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USER\Desktop\CONTRTAOS 2026\BGA-030-2026\30.06\2. y 3. ECONOMICA Y APUS\"/>
    </mc:Choice>
  </mc:AlternateContent>
  <xr:revisionPtr revIDLastSave="0" documentId="13_ncr:1_{98452965-DF48-40F7-A358-7FBDB7EA5080}" xr6:coauthVersionLast="47" xr6:coauthVersionMax="47" xr10:uidLastSave="{00000000-0000-0000-0000-000000000000}"/>
  <bookViews>
    <workbookView xWindow="-120" yWindow="-120" windowWidth="29040" windowHeight="15840" tabRatio="838" activeTab="11" xr2:uid="{00000000-000D-0000-FFFF-FFFF00000000}"/>
  </bookViews>
  <sheets>
    <sheet name="Datos" sheetId="1" r:id="rId1"/>
    <sheet name="Menu" sheetId="2" r:id="rId2"/>
    <sheet name="Materiales" sheetId="10" r:id="rId3"/>
    <sheet name="M.O" sheetId="3" r:id="rId4"/>
    <sheet name="Equipos" sheetId="4" r:id="rId5"/>
    <sheet name="Transportes" sheetId="5" r:id="rId6"/>
    <sheet name="AIU" sheetId="6" state="hidden" r:id="rId7"/>
    <sheet name="Presupuesto" sheetId="7" r:id="rId8"/>
    <sheet name="Actividades" sheetId="8" r:id="rId9"/>
    <sheet name="subAPU" sheetId="9" r:id="rId10"/>
    <sheet name="Cantidades" sheetId="11" state="hidden" r:id="rId11"/>
    <sheet name="APU" sheetId="12" r:id="rId12"/>
    <sheet name="Cronograma" sheetId="13" r:id="rId13"/>
    <sheet name="PROPUESTA ECONOMICA(SASERCO)" sheetId="17" state="hidden" r:id="rId14"/>
    <sheet name="__OpenSolverCache__" sheetId="14" state="hidden" r:id="rId15"/>
    <sheet name="__OpenSolver__" sheetId="15" state="hidden" r:id="rId16"/>
    <sheet name="Cant Acero" sheetId="16"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3">[9]!_xlbgnm.ane7</definedName>
    <definedName name="_____ane7">[9]!_xlbgnm.ane7</definedName>
    <definedName name="_____ane8" localSheetId="13">[9]!_xlbgnm.ane8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3">[13]!_xlbgnm.ane7</definedName>
    <definedName name="____ane7">[13]!_xlbgnm.ane7</definedName>
    <definedName name="____ane8" localSheetId="13">[13]!_xlbgnm.ane8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3">[15]!_xlbgnm.ane7</definedName>
    <definedName name="___ane7">[15]!_xlbgnm.ane7</definedName>
    <definedName name="___ane8" localSheetId="13">[15]!_xlbgnm.ane8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3">[13]!_xlbgnm.ane7</definedName>
    <definedName name="__ane7">[13]!_xlbgnm.ane7</definedName>
    <definedName name="__ane8" localSheetId="13">[13]!_xlbgnm.ane8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3">[13]!_xlbgnm.ane7</definedName>
    <definedName name="_ane7">[13]!_xlbgnm.ane7</definedName>
    <definedName name="_ane8" localSheetId="13">[13]!_xlbgnm.ane8</definedName>
    <definedName name="_ane8">[13]!_xlbgnm.ane8</definedName>
    <definedName name="_APU221">#REF!</definedName>
    <definedName name="_APU465" localSheetId="13">[21]!absc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16">#REF!</definedName>
    <definedName name="_Fill" hidden="1">#REF!</definedName>
    <definedName name="_xlnm._FilterDatabase" localSheetId="13" hidden="1">'PROPUESTA ECONOMICA(SASERCO)'!#REF!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'PROPUESTA ECONOMICA(SASERCO)'!$F$3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3">[26]!absc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3">[26]!absc</definedName>
    <definedName name="adoc1">[26]!absc</definedName>
    <definedName name="ADOC125" localSheetId="13">[29]!absc</definedName>
    <definedName name="ADOC125">[29]!absc</definedName>
    <definedName name="adoq" localSheetId="13">[30]!absc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2">Cronograma!$B$2:$Z$93</definedName>
    <definedName name="_xlnm.Print_Area" localSheetId="7">Presupuesto!$B$2:$L$128</definedName>
    <definedName name="_xlnm.Print_Area" localSheetId="13">'PROPUESTA ECONOMICA(SASERCO)'!$A$1:$M$130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3">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3">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Equipos" localSheetId="6">AIU!$B$13:$B$41</definedName>
    <definedName name="CodEquipos">Equipos!$B$13:$B$296</definedName>
    <definedName name="codigo">#REF!,#REF!</definedName>
    <definedName name="CodigoInversion">#REF!</definedName>
    <definedName name="CodigoProyecto">#REF!</definedName>
    <definedName name="Codigos">#REF!</definedName>
    <definedName name="CodMat">Materiales!$B$15:$B$652</definedName>
    <definedName name="CodMO">M.O!$B$98:$B$164</definedName>
    <definedName name="CODOS">#REF!</definedName>
    <definedName name="CodTransporte">Transportes!$B$29:$B$236</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3">[50]!Customize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 localSheetId="6">AIU!$D$13:$D$41</definedName>
    <definedName name="Equipos" localSheetId="13">#REF!</definedName>
    <definedName name="Equipos">Equipos!$D$13:$D$296</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3">[50]!FareWellStmnt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3">[50]!FinePrint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3">[50]!INV_Payments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Act">Actividades!$D$12:$K$915</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3">[26]!absc</definedName>
    <definedName name="LOCA">[26]!absc</definedName>
    <definedName name="LOCA1" localSheetId="13">[38]!absc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 localSheetId="13">[68]materiales!$A$7:$A$1317</definedName>
    <definedName name="Materiales">Materiales!$D$15:$D$652</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M.O!$C$98:$C$164</definedName>
    <definedName name="MOA" hidden="1">{#N/A,#N/A,FALSE,"Hoja1";#N/A,#N/A,FALSE,"Hoja2"}</definedName>
    <definedName name="MOD">#REF!</definedName>
    <definedName name="MODIVejec" hidden="1">{#N/A,#N/A,FALSE,"Hoja1";#N/A,#N/A,FALSE,"Hoja2"}</definedName>
    <definedName name="Módulo3.anexo1" localSheetId="13">[9]!Módulo3.anexo1</definedName>
    <definedName name="Módulo3.anexo1">[9]!Módulo3.anexo1</definedName>
    <definedName name="Módulo3.anexo10" localSheetId="13">[9]!Módulo3.anexo10</definedName>
    <definedName name="Módulo3.anexo10">[9]!Módulo3.anexo10</definedName>
    <definedName name="Módulo3.anexo11" localSheetId="13">[9]!Módulo3.anexo11</definedName>
    <definedName name="Módulo3.anexo11">[9]!Módulo3.anexo11</definedName>
    <definedName name="Módulo3.anexo12" localSheetId="13">[9]!Módulo3.anexo12</definedName>
    <definedName name="Módulo3.anexo12">[9]!Módulo3.anexo12</definedName>
    <definedName name="Módulo3.anexo3" localSheetId="13">[9]!Módulo3.anexo3</definedName>
    <definedName name="Módulo3.anexo3">[9]!Módulo3.anexo3</definedName>
    <definedName name="Módulo3.anexo4" localSheetId="13">[9]!Módulo3.anexo4</definedName>
    <definedName name="Módulo3.anexo4">[9]!Módulo3.anexo4</definedName>
    <definedName name="Módulo3.anexo5" localSheetId="13">[9]!Módulo3.anexo5</definedName>
    <definedName name="Módulo3.anexo5">[9]!Módulo3.anexo5</definedName>
    <definedName name="Módulo3.anexo6" localSheetId="13">[9]!Módulo3.anexo6</definedName>
    <definedName name="Módulo3.anexo6">[9]!Módulo3.anexo6</definedName>
    <definedName name="Módulo8.anexo16" localSheetId="13">[9]!Módulo8.anexo16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3">[50]!Nada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3">DATE(YEAR([91]!Loan_Start),MONTH([91]!Loan_Start)+Payment_Number,DAY([91]!Loan_Start))</definedName>
    <definedName name="obras1">DATE(YEAR([91]!Loan_Start),MONTH([91]!Loan_Start)+Payment_Number,DAY([91]!Loan_Start))</definedName>
    <definedName name="obras11" hidden="1">#REF!</definedName>
    <definedName name="obras111" localSheetId="13">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3">DATE(YEAR([0]!Loan_Start),MONTH([0]!Loan_Start)+Payment_Number,DAY([0]!Loan_Start))</definedName>
    <definedName name="Payment_Date">DATE(YEAR(Loan_Start),MONTH(Loan_Start)+Payment_Number,DAY(Loan_Start))</definedName>
    <definedName name="Payment_Date1" localSheetId="13">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OPUESTASASERCO">'PROPUESTA ECONOMICA(SASERCO)'!$C$11:$J$110</definedName>
    <definedName name="PRUEBA" localSheetId="13">[95]!absc</definedName>
    <definedName name="PRUEBA">[95]!absc</definedName>
    <definedName name="prueba1" localSheetId="13">[95]!absc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3">[9]!resu8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QTOTAL">'[100]PRESUPUESTO OFICIAL (Entidad)'!$K$116</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13" hidden="1">'PROPUESTA ECONOMICA(SASERCO)'!#REF!</definedName>
    <definedName name="solver_cvg" localSheetId="13" hidden="1">0.0001</definedName>
    <definedName name="solver_drv" localSheetId="13" hidden="1">1</definedName>
    <definedName name="solver_est" localSheetId="13" hidden="1">1</definedName>
    <definedName name="solver_itr" localSheetId="13" hidden="1">100</definedName>
    <definedName name="solver_lhs1" localSheetId="13" hidden="1">'PROPUESTA ECONOMICA(SASERCO)'!$K$122</definedName>
    <definedName name="solver_lin" localSheetId="13" hidden="1">2</definedName>
    <definedName name="solver_neg" localSheetId="13" hidden="1">2</definedName>
    <definedName name="solver_num" localSheetId="13" hidden="1">1</definedName>
    <definedName name="solver_nwt" localSheetId="13" hidden="1">1</definedName>
    <definedName name="solver_opt" localSheetId="13" hidden="1">'PROPUESTA ECONOMICA(SASERCO)'!$K$122</definedName>
    <definedName name="solver_pre" localSheetId="13" hidden="1">0.000001</definedName>
    <definedName name="solver_rel1" localSheetId="13" hidden="1">2</definedName>
    <definedName name="solver_rhs1" localSheetId="13" hidden="1">'PROPUESTA ECONOMICA(SASERCO)'!$K$123</definedName>
    <definedName name="solver_scl" localSheetId="13" hidden="1">2</definedName>
    <definedName name="solver_sho" localSheetId="13" hidden="1">2</definedName>
    <definedName name="solver_tim" localSheetId="13" hidden="1">100</definedName>
    <definedName name="solver_tol" localSheetId="13" hidden="1">0.05</definedName>
    <definedName name="solver_typ" localSheetId="13" hidden="1">3</definedName>
    <definedName name="solver_val" localSheetId="13"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3">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OTAL">'[100]PRESUPUESTO OFICIAL (Entidad)'!$K$97</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3">[21]!absc</definedName>
    <definedName name="t">[21]!absc</definedName>
    <definedName name="t_1" localSheetId="13">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[102]Hoja3!$B$4:$F$28</definedName>
    <definedName name="TablaEquipos" localSheetId="6">AIU!$B$12:$H$41</definedName>
    <definedName name="TablaEquipos">Equipos!$B$12:$H$645</definedName>
    <definedName name="TablaInsumos">Materiales!$B$13:$H$652</definedName>
    <definedName name="TablaMO">M.O!$B$97:$M$164</definedName>
    <definedName name="TablaTransporte">Transportes!$B$27:$H$236</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7">Presupuesto!$5:$11</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Presupuesto!#REF!</definedName>
    <definedName name="Total_Interest">#REF!</definedName>
    <definedName name="Total_Pay">#REF!</definedName>
    <definedName name="Total_Payment" localSheetId="13">Scheduled_Payment+Extra_Payment</definedName>
    <definedName name="Total_Payment">Scheduled_Payment+Extra_Payment</definedName>
    <definedName name="Total_Payment1" localSheetId="13">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 localSheetId="13">'[10]DATOS CONTRATO'!$E$16</definedName>
    <definedName name="Transporte">Transportes!$D$29:$D$236</definedName>
    <definedName name="TRAT">[105]desmonte!$E$48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6">#REF!</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3">[111]!absc</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3">[26]!absc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PrintArea">#REF!</definedName>
    <definedName name="Z_026CD6D7_F7CA_4BE8_B625_9A1778CFA739_.wvu.PrintTitles">#REF!</definedName>
    <definedName name="Z_05670E35_1347_49D9_AD91_AA9A31A4EF61_.wvu.PrintArea">#REF!</definedName>
    <definedName name="Z_05670E35_1347_49D9_AD91_AA9A31A4EF61_.wvu.PrintTitles">#REF!</definedName>
    <definedName name="Z_086A872D_15DF_436A_8459_CE22F6819FF4_.wvu.Rows">#REF!</definedName>
    <definedName name="Z_0890F28A_A8C8_451C_A3E6_C3AFDD239B64_.wvu.PrintArea">#REF!</definedName>
    <definedName name="Z_0890F28A_A8C8_451C_A3E6_C3AFDD239B64_.wvu.PrintTitles">#REF!</definedName>
    <definedName name="Z_0A4C2D72_EA87_11DA_B6F6_00609720E0A1_.wvu.PrintArea">#REF!</definedName>
    <definedName name="Z_0A4C2D72_EA87_11DA_B6F6_00609720E0A1_.wvu.PrintTitles">#REF!</definedName>
    <definedName name="Z_0A4C2D73_EA87_11DA_B6F6_00609720E0A1_.wvu.PrintArea">#REF!</definedName>
    <definedName name="Z_0A4C2D73_EA87_11DA_B6F6_00609720E0A1_.wvu.PrintTitles">#REF!</definedName>
    <definedName name="Z_0A4C2D74_EA87_11DA_B6F6_00609720E0A1_.wvu.PrintArea">#REF!</definedName>
    <definedName name="Z_0A4C2D74_EA87_11DA_B6F6_00609720E0A1_.wvu.PrintTitles">#REF!</definedName>
    <definedName name="Z_0A4C2D75_EA87_11DA_B6F6_00609720E0A1_.wvu.PrintArea">#REF!</definedName>
    <definedName name="Z_0A4C2D75_EA87_11DA_B6F6_00609720E0A1_.wvu.PrintTitles">#REF!</definedName>
    <definedName name="Z_0A4C2D76_EA87_11DA_B6F6_00609720E0A1_.wvu.PrintArea">#REF!</definedName>
    <definedName name="Z_0A4C2D76_EA87_11DA_B6F6_00609720E0A1_.wvu.PrintTitles">#REF!</definedName>
    <definedName name="Z_0E0DE1F8_394A_4093_8E74_B2A631A3A88C_.wvu.PrintArea">#REF!</definedName>
    <definedName name="Z_0E0DE1F8_394A_4093_8E74_B2A631A3A88C_.wvu.PrintTitles">#REF!</definedName>
    <definedName name="Z_18C710ED_70CF_48D0_92F5_038A88335068_.wvu.PrintArea">#REF!</definedName>
    <definedName name="Z_18C710ED_70CF_48D0_92F5_038A88335068_.wvu.PrintTitles">#REF!</definedName>
    <definedName name="Z_378D82E8_FE69_4712_AE73_9D578C4190DE_.wvu.PrintArea">#REF!</definedName>
    <definedName name="Z_378D82E8_FE69_4712_AE73_9D578C4190DE_.wvu.PrintTitles">#REF!</definedName>
    <definedName name="Z_381FCF61_DF95_4756_B103_A1118DFFDE02_.wvu.PrintArea">#REF!</definedName>
    <definedName name="Z_381FCF61_DF95_4756_B103_A1118DFFDE02_.wvu.PrintTitles">#REF!</definedName>
    <definedName name="Z_3B3C0CA1_2A9C_45FD_9823_50B200F6C0D1_.wvu.PrintArea">#REF!</definedName>
    <definedName name="Z_3B3C0CA1_2A9C_45FD_9823_50B200F6C0D1_.wvu.PrintTitles">#REF!</definedName>
    <definedName name="Z_3E9430E5_6A83_435B_9E47_1B8F7E18D67C_.wvu.PrintArea">#REF!</definedName>
    <definedName name="Z_3E9430E5_6A83_435B_9E47_1B8F7E18D67C_.wvu.PrintTitles">#REF!</definedName>
    <definedName name="Z_4A14CB5C_2287_4F6E_9A65_22F0A4D81D81_.wvu.PrintArea">#REF!</definedName>
    <definedName name="Z_4A14CB5C_2287_4F6E_9A65_22F0A4D81D81_.wvu.PrintTitles">#REF!</definedName>
    <definedName name="Z_4BBC24C4_A093_4EC9_8AFF_49C6F602CC39_.wvu.PrintArea">#REF!</definedName>
    <definedName name="Z_4BBC24C4_A093_4EC9_8AFF_49C6F602CC39_.wvu.PrintTitles">#REF!</definedName>
    <definedName name="Z_504A8F9D_2C46_439E_975A_DF1C1FA56E7B_.wvu.PrintArea">#REF!</definedName>
    <definedName name="Z_504A8F9D_2C46_439E_975A_DF1C1FA56E7B_.wvu.PrintTitles">#REF!</definedName>
    <definedName name="Z_653348E7_CDAD_4F62_A236_641A4BB6425A_.wvu.PrintArea">#REF!</definedName>
    <definedName name="Z_653348E7_CDAD_4F62_A236_641A4BB6425A_.wvu.PrintTitles">#REF!</definedName>
    <definedName name="Z_68C48519_C8C2_4287_96F6_0F561F815CE8_.wvu.PrintArea">#REF!</definedName>
    <definedName name="Z_68C48519_C8C2_4287_96F6_0F561F815CE8_.wvu.PrintTitles">#REF!</definedName>
    <definedName name="Z_6BA141F2_E104_11DA_B6F6_00609720E0A1_.wvu.PrintArea">#REF!</definedName>
    <definedName name="Z_6BA141F2_E104_11DA_B6F6_00609720E0A1_.wvu.PrintTitles">#REF!</definedName>
    <definedName name="Z_6BA141F3_E104_11DA_B6F6_00609720E0A1_.wvu.PrintArea">#REF!</definedName>
    <definedName name="Z_6BA141F3_E104_11DA_B6F6_00609720E0A1_.wvu.PrintTitles">#REF!</definedName>
    <definedName name="Z_6BA141F4_E104_11DA_B6F6_00609720E0A1_.wvu.PrintArea">#REF!</definedName>
    <definedName name="Z_6BA141F4_E104_11DA_B6F6_00609720E0A1_.wvu.PrintTitles">#REF!</definedName>
    <definedName name="Z_6BA141F5_E104_11DA_B6F6_00609720E0A1_.wvu.PrintArea">#REF!</definedName>
    <definedName name="Z_6BA141F5_E104_11DA_B6F6_00609720E0A1_.wvu.PrintTitles">#REF!</definedName>
    <definedName name="Z_6BA141F6_E104_11DA_B6F6_00609720E0A1_.wvu.PrintArea">#REF!</definedName>
    <definedName name="Z_6BA141F6_E104_11DA_B6F6_00609720E0A1_.wvu.PrintTitles">#REF!</definedName>
    <definedName name="Z_726673D2_C579_4EF3_83C7_45DC3792EA6A_.wvu.PrintArea">#REF!</definedName>
    <definedName name="Z_726673D2_C579_4EF3_83C7_45DC3792EA6A_.wvu.PrintTitles">#REF!</definedName>
    <definedName name="Z_729969D8_DFDA_47B9_ADA2_E05CF62B3DEF_.wvu.PrintArea">#REF!</definedName>
    <definedName name="Z_729969D8_DFDA_47B9_ADA2_E05CF62B3DEF_.wvu.PrintTitles">#REF!</definedName>
    <definedName name="Z_75EDDC88_CA8C_4671_911D_25D74F37EC47_.wvu.PrintArea">#REF!</definedName>
    <definedName name="Z_75EDDC88_CA8C_4671_911D_25D74F37EC47_.wvu.PrintTitles">#REF!</definedName>
    <definedName name="Z_80573755_2D8B_4158_BD3A_CC331B950748_.wvu.PrintArea">#REF!</definedName>
    <definedName name="Z_80573755_2D8B_4158_BD3A_CC331B950748_.wvu.PrintTitles">#REF!</definedName>
    <definedName name="Z_9C7B0D6D_4DDE_4C72_B23F_2E183F63ECB1_.wvu.PrintArea">#REF!</definedName>
    <definedName name="Z_9C7B0D6D_4DDE_4C72_B23F_2E183F63ECB1_.wvu.PrintTitles">#REF!</definedName>
    <definedName name="Z_9C8B6436_249F_426A_96DC_EEE5E7CB7D1B_.wvu.PrintArea">#REF!</definedName>
    <definedName name="Z_9C8B6436_249F_426A_96DC_EEE5E7CB7D1B_.wvu.PrintTitles">#REF!</definedName>
    <definedName name="Z_9FCFD0D5_270B_4F36_B422_02EF7A3700B8_.wvu.PrintArea">#REF!</definedName>
    <definedName name="Z_9FCFD0D5_270B_4F36_B422_02EF7A3700B8_.wvu.PrintTitles">#REF!</definedName>
    <definedName name="Z_9FE8FF3F_4486_44D6_9AFB_43CC5B824BF9_.wvu.PrintArea">#REF!</definedName>
    <definedName name="Z_9FE8FF3F_4486_44D6_9AFB_43CC5B824BF9_.wvu.PrintTitles">#REF!</definedName>
    <definedName name="Z_A3DE26BA_CF48_4654_9BE9_FAEB3C301C95_.wvu.PrintArea">#REF!</definedName>
    <definedName name="Z_A3DE26BA_CF48_4654_9BE9_FAEB3C301C95_.wvu.PrintTitles">#REF!</definedName>
    <definedName name="Z_AAA1DD33_F1E3_423A_B1F2_E8567F4D95A5_.wvu.PrintArea">#REF!</definedName>
    <definedName name="Z_AAA1DD33_F1E3_423A_B1F2_E8567F4D95A5_.wvu.PrintTitles">#REF!</definedName>
    <definedName name="Z_B4899972_EBDC_11DA_B6F6_00609720E0A1_.wvu.PrintArea">#REF!</definedName>
    <definedName name="Z_B4899972_EBDC_11DA_B6F6_00609720E0A1_.wvu.PrintTitles">#REF!</definedName>
    <definedName name="Z_B4899973_EBDC_11DA_B6F6_00609720E0A1_.wvu.PrintArea">#REF!</definedName>
    <definedName name="Z_B4899973_EBDC_11DA_B6F6_00609720E0A1_.wvu.PrintTitles">#REF!</definedName>
    <definedName name="Z_B4899974_EBDC_11DA_B6F6_00609720E0A1_.wvu.PrintArea">#REF!</definedName>
    <definedName name="Z_B4899974_EBDC_11DA_B6F6_00609720E0A1_.wvu.PrintTitles">#REF!</definedName>
    <definedName name="Z_B4899975_EBDC_11DA_B6F6_00609720E0A1_.wvu.PrintArea">#REF!</definedName>
    <definedName name="Z_B4899975_EBDC_11DA_B6F6_00609720E0A1_.wvu.PrintTitles">#REF!</definedName>
    <definedName name="Z_B4899976_EBDC_11DA_B6F6_00609720E0A1_.wvu.PrintArea">#REF!</definedName>
    <definedName name="Z_B4899976_EBDC_11DA_B6F6_00609720E0A1_.wvu.PrintTitles">#REF!</definedName>
    <definedName name="Z_C24E6469_C4CC_430B_8814_72DD019DF2C8_.wvu.PrintArea">#REF!</definedName>
    <definedName name="Z_C24E6469_C4CC_430B_8814_72DD019DF2C8_.wvu.PrintTitles">#REF!</definedName>
    <definedName name="Z_CA61CA57_E7CE_4A4D_974A_F3124BCA2797_.wvu.PrintArea">#REF!</definedName>
    <definedName name="Z_CA61CA57_E7CE_4A4D_974A_F3124BCA2797_.wvu.PrintTitles">#REF!</definedName>
    <definedName name="Z_D55C8B2E_861A_459E_9D09_3AF38A1DE99E_.wvu.Rows">#REF!</definedName>
    <definedName name="Z_DA4D5A8F_12FA_42F5_A8BB_526600E97433_.wvu.PrintArea">#REF!</definedName>
    <definedName name="Z_DA4D5A8F_12FA_42F5_A8BB_526600E97433_.wvu.PrintTitles">#REF!</definedName>
    <definedName name="Z_DFB4C5EB_A8D3_475E_B627_EA98F95F9220_.wvu.PrintArea">#REF!</definedName>
    <definedName name="Z_DFB4C5EB_A8D3_475E_B627_EA98F95F9220_.wvu.PrintTitles">#REF!</definedName>
    <definedName name="Z_F2B990A1_57B3_4766_8C3D_4D3A5265BAEF_.wvu.PrintArea">#REF!</definedName>
    <definedName name="Z_F2B990A1_57B3_4766_8C3D_4D3A5265BAEF_.wvu.PrintTitles">#REF!</definedName>
    <definedName name="Z_F540D718_D9AA_403F_AE49_60D937FD77E5_.wvu.Rows">#REF!</definedName>
    <definedName name="Z_F9482E1F_92B8_43D8_949A_7DDCF2E63A19_.wvu.PrintArea">#REF!</definedName>
    <definedName name="Z_F9482E1F_92B8_43D8_949A_7DDCF2E63A19_.wvu.PrintTitles">#REF!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 name="당초계획">#REF!</definedName>
    <definedName name="보충">#REF!</definedName>
    <definedName name="부대공사">#REF!</definedName>
    <definedName name="사업부양식2">#REF!</definedName>
    <definedName name="손익계산서">#REF!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70" i="12" l="1"/>
  <c r="L2271" i="12" s="1"/>
  <c r="Q5415" i="12"/>
  <c r="Q5330" i="12"/>
  <c r="Q5245" i="12"/>
  <c r="Q5160" i="12"/>
  <c r="J297" i="10"/>
  <c r="H297" i="10" s="1"/>
  <c r="E297" i="10" s="1"/>
  <c r="Q5075" i="12"/>
  <c r="Q4987" i="12"/>
  <c r="Q4902" i="12"/>
  <c r="Q4816" i="12"/>
  <c r="Q4731" i="12"/>
  <c r="Q4647" i="12"/>
  <c r="Q4562" i="12"/>
  <c r="Q4478" i="12"/>
  <c r="Q4394" i="12"/>
  <c r="Q4309" i="12"/>
  <c r="Q4224" i="12"/>
  <c r="J596" i="10"/>
  <c r="H596" i="10" s="1"/>
  <c r="E596" i="10" s="1"/>
  <c r="Q4139" i="12"/>
  <c r="Q4054" i="12"/>
  <c r="L3963" i="12"/>
  <c r="Q3969" i="12"/>
  <c r="Q3883" i="12"/>
  <c r="Q3798" i="12"/>
  <c r="J595" i="10"/>
  <c r="H595" i="10" s="1"/>
  <c r="E595" i="10" s="1"/>
  <c r="J594" i="10"/>
  <c r="H594" i="10" s="1"/>
  <c r="E594" i="10" s="1"/>
  <c r="Q3713" i="12"/>
  <c r="J593" i="10"/>
  <c r="H593" i="10" s="1"/>
  <c r="E593" i="10" s="1"/>
  <c r="Q3627" i="12"/>
  <c r="Q3541" i="12"/>
  <c r="Q3457" i="12"/>
  <c r="J115" i="10"/>
  <c r="H115" i="10" s="1"/>
  <c r="E115" i="10" s="1"/>
  <c r="J114" i="10"/>
  <c r="H114" i="10" s="1"/>
  <c r="E114" i="10" s="1"/>
  <c r="J113" i="10"/>
  <c r="H113" i="10" s="1"/>
  <c r="E113" i="10" s="1"/>
  <c r="Q3373" i="12"/>
  <c r="Q3289" i="12"/>
  <c r="L89" i="10"/>
  <c r="L90" i="10"/>
  <c r="L88" i="10"/>
  <c r="Q3205" i="12"/>
  <c r="J112" i="10"/>
  <c r="H112" i="10"/>
  <c r="E112" i="10" s="1"/>
  <c r="J111" i="10"/>
  <c r="H111" i="10" s="1"/>
  <c r="E111" i="10" s="1"/>
  <c r="Q3120" i="12"/>
  <c r="J110" i="10"/>
  <c r="H110" i="10" s="1"/>
  <c r="E110" i="10" s="1"/>
  <c r="Q3036" i="12"/>
  <c r="Q2952" i="12"/>
  <c r="L107" i="10"/>
  <c r="J107" i="10"/>
  <c r="H107" i="10" s="1"/>
  <c r="E107" i="10" s="1"/>
  <c r="J106" i="10"/>
  <c r="H106" i="10" s="1"/>
  <c r="E106" i="10" s="1"/>
  <c r="Q2868" i="12"/>
  <c r="J374" i="10"/>
  <c r="H374" i="10" s="1"/>
  <c r="E374" i="10" s="1"/>
  <c r="L373" i="10"/>
  <c r="J373" i="10"/>
  <c r="H373" i="10" s="1"/>
  <c r="E373" i="10" s="1"/>
  <c r="Q2784" i="12"/>
  <c r="J372" i="10"/>
  <c r="H372" i="10" s="1"/>
  <c r="E372" i="10" s="1"/>
  <c r="L366" i="10"/>
  <c r="Q2700" i="12"/>
  <c r="A2590" i="12" a="1"/>
  <c r="A2590" i="12" s="1"/>
  <c r="A2591" i="12" a="1"/>
  <c r="A2591" i="12" s="1"/>
  <c r="A2592" i="12" a="1"/>
  <c r="A2592" i="12" s="1"/>
  <c r="J105" i="10"/>
  <c r="H105" i="10" s="1"/>
  <c r="E105" i="10" s="1"/>
  <c r="L369" i="10"/>
  <c r="L419" i="10"/>
  <c r="Q2615" i="12"/>
  <c r="L381" i="10"/>
  <c r="L379" i="10"/>
  <c r="H44" i="4"/>
  <c r="Q2528" i="12"/>
  <c r="L371" i="10"/>
  <c r="J371" i="10"/>
  <c r="H371" i="10" s="1"/>
  <c r="E371" i="10" s="1"/>
  <c r="N2404" i="12"/>
  <c r="Q2444" i="12"/>
  <c r="L370" i="10"/>
  <c r="J370" i="10" s="1"/>
  <c r="H370" i="10" s="1"/>
  <c r="E370" i="10" s="1"/>
  <c r="L104" i="10"/>
  <c r="J104" i="10" s="1"/>
  <c r="H104" i="10" s="1"/>
  <c r="E104" i="10" s="1"/>
  <c r="L103" i="10"/>
  <c r="Q2360" i="12"/>
  <c r="L273" i="10"/>
  <c r="Q2276" i="12"/>
  <c r="Q2187" i="12"/>
  <c r="L225" i="10"/>
  <c r="L302" i="10"/>
  <c r="J302" i="10" s="1"/>
  <c r="H302" i="10" s="1"/>
  <c r="E302" i="10" s="1"/>
  <c r="Q2103" i="12"/>
  <c r="L101" i="10"/>
  <c r="Q2020" i="12"/>
  <c r="L155" i="10"/>
  <c r="J155" i="10"/>
  <c r="H155" i="10" s="1"/>
  <c r="E155" i="10" s="1"/>
  <c r="L97" i="10"/>
  <c r="L154" i="10"/>
  <c r="J154" i="10"/>
  <c r="H154" i="10" s="1"/>
  <c r="E154" i="10" s="1"/>
  <c r="H24" i="4"/>
  <c r="Q1935" i="12"/>
  <c r="Q1850" i="12"/>
  <c r="Q1765" i="12"/>
  <c r="Q1680" i="12"/>
  <c r="Q1595" i="12"/>
  <c r="Q1510" i="12"/>
  <c r="Q1425" i="12"/>
  <c r="Q1340" i="12"/>
  <c r="Q1255" i="12"/>
  <c r="H222" i="4"/>
  <c r="Q1170" i="12"/>
  <c r="H29" i="4"/>
  <c r="E29" i="4" s="1"/>
  <c r="L94" i="10"/>
  <c r="J94" i="10"/>
  <c r="H94" i="10" s="1"/>
  <c r="E94" i="10" s="1"/>
  <c r="H37" i="4"/>
  <c r="Q1085" i="12"/>
  <c r="Q1000" i="12"/>
  <c r="H36" i="4"/>
  <c r="Q915" i="12"/>
  <c r="Q830" i="12"/>
  <c r="Q745" i="12"/>
  <c r="Q660" i="12"/>
  <c r="L68" i="10"/>
  <c r="H31" i="4"/>
  <c r="Q575" i="12"/>
  <c r="H28" i="4"/>
  <c r="L93" i="10"/>
  <c r="J93" i="10"/>
  <c r="H93" i="10" s="1"/>
  <c r="E93" i="10" s="1"/>
  <c r="Q490" i="12"/>
  <c r="Q405" i="12"/>
  <c r="J110" i="17"/>
  <c r="K110" i="17" s="1"/>
  <c r="J109" i="17"/>
  <c r="K109" i="17" s="1"/>
  <c r="J108" i="17"/>
  <c r="K108" i="17" s="1"/>
  <c r="J107" i="17"/>
  <c r="K107" i="17" s="1"/>
  <c r="J106" i="17"/>
  <c r="K106" i="17" s="1"/>
  <c r="K105" i="17"/>
  <c r="K111" i="17" s="1"/>
  <c r="K114" i="17" s="1"/>
  <c r="J105" i="17"/>
  <c r="J92" i="17"/>
  <c r="K92" i="17" s="1"/>
  <c r="J91" i="17"/>
  <c r="K91" i="17" s="1"/>
  <c r="K93" i="17" s="1"/>
  <c r="J88" i="17"/>
  <c r="K88" i="17" s="1"/>
  <c r="K87" i="17"/>
  <c r="J87" i="17"/>
  <c r="J86" i="17"/>
  <c r="K86" i="17" s="1"/>
  <c r="J85" i="17"/>
  <c r="K85" i="17" s="1"/>
  <c r="J84" i="17"/>
  <c r="K84" i="17" s="1"/>
  <c r="J83" i="17"/>
  <c r="K83" i="17" s="1"/>
  <c r="J82" i="17"/>
  <c r="K82" i="17" s="1"/>
  <c r="J81" i="17"/>
  <c r="K81" i="17" s="1"/>
  <c r="J80" i="17"/>
  <c r="K80" i="17" s="1"/>
  <c r="K79" i="17"/>
  <c r="J79" i="17"/>
  <c r="J78" i="17"/>
  <c r="K78" i="17" s="1"/>
  <c r="K77" i="17"/>
  <c r="J77" i="17"/>
  <c r="J76" i="17"/>
  <c r="K76" i="17" s="1"/>
  <c r="J75" i="17"/>
  <c r="K75" i="17" s="1"/>
  <c r="J74" i="17"/>
  <c r="K74" i="17" s="1"/>
  <c r="J73" i="17"/>
  <c r="K73" i="17" s="1"/>
  <c r="J72" i="17"/>
  <c r="K72" i="17" s="1"/>
  <c r="K71" i="17"/>
  <c r="J71" i="17"/>
  <c r="J70" i="17"/>
  <c r="K70" i="17" s="1"/>
  <c r="J69" i="17"/>
  <c r="K69" i="17" s="1"/>
  <c r="J68" i="17"/>
  <c r="K68" i="17" s="1"/>
  <c r="J65" i="17"/>
  <c r="K65" i="17" s="1"/>
  <c r="J64" i="17"/>
  <c r="K64" i="17" s="1"/>
  <c r="J63" i="17"/>
  <c r="K63" i="17" s="1"/>
  <c r="J62" i="17"/>
  <c r="K62" i="17" s="1"/>
  <c r="J61" i="17"/>
  <c r="K61" i="17" s="1"/>
  <c r="J60" i="17"/>
  <c r="K60" i="17" s="1"/>
  <c r="J59" i="17"/>
  <c r="K59" i="17" s="1"/>
  <c r="J58" i="17"/>
  <c r="K58" i="17" s="1"/>
  <c r="K66" i="17" s="1"/>
  <c r="J55" i="17"/>
  <c r="K55" i="17" s="1"/>
  <c r="J54" i="17"/>
  <c r="K54" i="17" s="1"/>
  <c r="J53" i="17"/>
  <c r="K53" i="17" s="1"/>
  <c r="K52" i="17"/>
  <c r="K56" i="17" s="1"/>
  <c r="J52" i="17"/>
  <c r="J49" i="17"/>
  <c r="K49" i="17" s="1"/>
  <c r="K50" i="17" s="1"/>
  <c r="J46" i="17"/>
  <c r="K46" i="17" s="1"/>
  <c r="J45" i="17"/>
  <c r="K45" i="17" s="1"/>
  <c r="K47" i="17" s="1"/>
  <c r="J42" i="17"/>
  <c r="K42" i="17" s="1"/>
  <c r="J41" i="17"/>
  <c r="K41" i="17" s="1"/>
  <c r="K43" i="17" s="1"/>
  <c r="K38" i="17"/>
  <c r="J38" i="17"/>
  <c r="J37" i="17"/>
  <c r="K37" i="17" s="1"/>
  <c r="K36" i="17"/>
  <c r="J36" i="17"/>
  <c r="J35" i="17"/>
  <c r="K35" i="17" s="1"/>
  <c r="K39" i="17" s="1"/>
  <c r="J32" i="17"/>
  <c r="K32" i="17" s="1"/>
  <c r="K33" i="17" s="1"/>
  <c r="J29" i="17"/>
  <c r="K29" i="17" s="1"/>
  <c r="J28" i="17"/>
  <c r="K28" i="17" s="1"/>
  <c r="J25" i="17"/>
  <c r="K25" i="17" s="1"/>
  <c r="K26" i="17" s="1"/>
  <c r="J22" i="17"/>
  <c r="K22" i="17" s="1"/>
  <c r="J21" i="17"/>
  <c r="K21" i="17" s="1"/>
  <c r="J20" i="17"/>
  <c r="K20" i="17" s="1"/>
  <c r="J19" i="17"/>
  <c r="K19" i="17" s="1"/>
  <c r="J18" i="17"/>
  <c r="K18" i="17" s="1"/>
  <c r="J17" i="17"/>
  <c r="K17" i="17" s="1"/>
  <c r="K16" i="17"/>
  <c r="J16" i="17"/>
  <c r="J13" i="17"/>
  <c r="K13" i="17" s="1"/>
  <c r="J12" i="17"/>
  <c r="K12" i="17" s="1"/>
  <c r="J11" i="17"/>
  <c r="K11" i="17" s="1"/>
  <c r="K14" i="17" s="1"/>
  <c r="H67" i="4"/>
  <c r="L62" i="10"/>
  <c r="L46" i="10"/>
  <c r="J2590" i="12" l="1"/>
  <c r="L2591" i="12"/>
  <c r="N2591" i="12" s="1"/>
  <c r="J2591" i="12"/>
  <c r="K30" i="17"/>
  <c r="K115" i="17"/>
  <c r="K116" i="17" s="1"/>
  <c r="K89" i="17"/>
  <c r="K23" i="17"/>
  <c r="K95" i="17" s="1"/>
  <c r="K98" i="17" l="1"/>
  <c r="K99" i="17" s="1"/>
  <c r="K97" i="17"/>
  <c r="K96" i="17"/>
  <c r="K100" i="17" s="1"/>
  <c r="K118" i="17" s="1"/>
  <c r="L45" i="10" l="1"/>
  <c r="H14" i="4"/>
  <c r="L1137" i="9"/>
  <c r="L1055" i="9"/>
  <c r="L973" i="9"/>
  <c r="L891" i="9"/>
  <c r="L809" i="9"/>
  <c r="L727" i="9"/>
  <c r="L645" i="9"/>
  <c r="L563" i="9"/>
  <c r="L479" i="9"/>
  <c r="L397" i="9"/>
  <c r="L315" i="9"/>
  <c r="L231" i="9"/>
  <c r="L149" i="9"/>
  <c r="L67" i="9"/>
  <c r="K125" i="7"/>
  <c r="K124" i="7"/>
  <c r="K123" i="7"/>
  <c r="G111" i="7"/>
  <c r="H111" i="7"/>
  <c r="G112" i="7"/>
  <c r="H112" i="7"/>
  <c r="G109" i="7"/>
  <c r="H109" i="7"/>
  <c r="G110" i="7"/>
  <c r="H110" i="7"/>
  <c r="H108" i="7"/>
  <c r="G108" i="7"/>
  <c r="H107" i="7"/>
  <c r="G107" i="7"/>
  <c r="H94" i="7"/>
  <c r="G94" i="7"/>
  <c r="H93" i="7"/>
  <c r="G93" i="7"/>
  <c r="D92" i="7"/>
  <c r="G90" i="7"/>
  <c r="H90" i="7"/>
  <c r="G81" i="7"/>
  <c r="H81" i="7"/>
  <c r="G82" i="7"/>
  <c r="H82" i="7"/>
  <c r="G83" i="7"/>
  <c r="H83" i="7"/>
  <c r="G84" i="7"/>
  <c r="H84" i="7"/>
  <c r="G85" i="7"/>
  <c r="H85" i="7"/>
  <c r="G86" i="7"/>
  <c r="H86" i="7"/>
  <c r="G87" i="7"/>
  <c r="H87" i="7"/>
  <c r="G88" i="7"/>
  <c r="H88" i="7"/>
  <c r="G89" i="7"/>
  <c r="H89" i="7"/>
  <c r="G72" i="7"/>
  <c r="H72" i="7"/>
  <c r="G73" i="7"/>
  <c r="H73" i="7"/>
  <c r="G74" i="7"/>
  <c r="H74" i="7"/>
  <c r="G75" i="7"/>
  <c r="H75" i="7"/>
  <c r="G76" i="7"/>
  <c r="H76" i="7"/>
  <c r="G77" i="7"/>
  <c r="H77" i="7"/>
  <c r="G78" i="7"/>
  <c r="H78" i="7"/>
  <c r="G79" i="7"/>
  <c r="H79" i="7"/>
  <c r="G80" i="7"/>
  <c r="H80" i="7"/>
  <c r="H71" i="7"/>
  <c r="G71" i="7"/>
  <c r="H70" i="7"/>
  <c r="G70" i="7"/>
  <c r="D69" i="7"/>
  <c r="G65" i="7"/>
  <c r="H65" i="7"/>
  <c r="G66" i="7"/>
  <c r="H66" i="7"/>
  <c r="G67" i="7"/>
  <c r="H67" i="7"/>
  <c r="G61" i="7"/>
  <c r="H61" i="7"/>
  <c r="G62" i="7"/>
  <c r="H62" i="7"/>
  <c r="G63" i="7"/>
  <c r="H63" i="7"/>
  <c r="G64" i="7"/>
  <c r="H64" i="7"/>
  <c r="H60" i="7"/>
  <c r="G60" i="7"/>
  <c r="D59" i="7"/>
  <c r="G55" i="7"/>
  <c r="H55" i="7"/>
  <c r="G56" i="7"/>
  <c r="H56" i="7"/>
  <c r="G57" i="7"/>
  <c r="H57" i="7"/>
  <c r="H54" i="7"/>
  <c r="G54" i="7"/>
  <c r="D53" i="7"/>
  <c r="H51" i="7"/>
  <c r="G51" i="7"/>
  <c r="D50" i="7"/>
  <c r="H48" i="7"/>
  <c r="G48" i="7"/>
  <c r="H47" i="7"/>
  <c r="G47" i="7"/>
  <c r="D46" i="7"/>
  <c r="H44" i="7"/>
  <c r="G44" i="7"/>
  <c r="H43" i="7"/>
  <c r="G43" i="7"/>
  <c r="D42" i="7"/>
  <c r="G38" i="7"/>
  <c r="H38" i="7"/>
  <c r="G39" i="7"/>
  <c r="H39" i="7"/>
  <c r="G40" i="7"/>
  <c r="H40" i="7"/>
  <c r="J153" i="10"/>
  <c r="H153" i="10" s="1"/>
  <c r="E153" i="10" s="1"/>
  <c r="J152" i="10"/>
  <c r="H152" i="10" s="1"/>
  <c r="E152" i="10" s="1"/>
  <c r="J151" i="10"/>
  <c r="H151" i="10" s="1"/>
  <c r="E151" i="10" s="1"/>
  <c r="L2194" i="12"/>
  <c r="L2193" i="12"/>
  <c r="L2192" i="12"/>
  <c r="N2184" i="12"/>
  <c r="A2184" i="12" a="1"/>
  <c r="A2184" i="12" s="1"/>
  <c r="N2183" i="12"/>
  <c r="A2183" i="12" a="1"/>
  <c r="A2183" i="12" s="1"/>
  <c r="A2182" i="12" a="1"/>
  <c r="A2182" i="12" s="1"/>
  <c r="L2181" i="12"/>
  <c r="L2182" i="12" s="1"/>
  <c r="A2181" i="12" a="1"/>
  <c r="A2181" i="12" s="1"/>
  <c r="A2180" i="12" a="1"/>
  <c r="A2180" i="12" s="1"/>
  <c r="N2174" i="12"/>
  <c r="A2174" i="12" a="1"/>
  <c r="A2174" i="12" s="1"/>
  <c r="N2173" i="12"/>
  <c r="A2173" i="12" a="1"/>
  <c r="A2173" i="12" s="1"/>
  <c r="N2172" i="12"/>
  <c r="A2172" i="12" a="1"/>
  <c r="A2172" i="12" s="1"/>
  <c r="N2171" i="12"/>
  <c r="A2171" i="12" a="1"/>
  <c r="A2171" i="12" s="1"/>
  <c r="L2171" i="12" s="1"/>
  <c r="N2170" i="12"/>
  <c r="A2170" i="12" a="1"/>
  <c r="A2170" i="12" s="1"/>
  <c r="N2164" i="12"/>
  <c r="A2164" i="12" a="1"/>
  <c r="A2164" i="12" s="1"/>
  <c r="N2163" i="12"/>
  <c r="A2163" i="12" a="1"/>
  <c r="A2163" i="12" s="1"/>
  <c r="N2162" i="12"/>
  <c r="A2162" i="12" a="1"/>
  <c r="A2162" i="12" s="1"/>
  <c r="A2161" i="12" a="1"/>
  <c r="A2161" i="12" s="1"/>
  <c r="A2160" i="12" a="1"/>
  <c r="A2160" i="12" s="1"/>
  <c r="A2159" i="12" a="1"/>
  <c r="A2159" i="12" s="1"/>
  <c r="A2158" i="12" a="1"/>
  <c r="A2158" i="12" s="1"/>
  <c r="A2157" i="12" a="1"/>
  <c r="A2157" i="12" s="1"/>
  <c r="N2151" i="12"/>
  <c r="A2151" i="12" a="1"/>
  <c r="A2151" i="12" s="1"/>
  <c r="K2151" i="12" s="1"/>
  <c r="N2150" i="12"/>
  <c r="A2150" i="12" a="1"/>
  <c r="A2150" i="12" s="1"/>
  <c r="K2150" i="12" s="1"/>
  <c r="N2149" i="12"/>
  <c r="A2149" i="12" a="1"/>
  <c r="A2149" i="12" s="1"/>
  <c r="K2149" i="12" s="1"/>
  <c r="N2148" i="12"/>
  <c r="A2148" i="12" a="1"/>
  <c r="A2148" i="12" s="1"/>
  <c r="K2148" i="12" s="1"/>
  <c r="N2147" i="12"/>
  <c r="A2147" i="12" a="1"/>
  <c r="A2147" i="12" s="1"/>
  <c r="K2147" i="12" s="1"/>
  <c r="L2141" i="12"/>
  <c r="D2141" i="12"/>
  <c r="D2137" i="12"/>
  <c r="D2136" i="12"/>
  <c r="N2133" i="12"/>
  <c r="M2133" i="12"/>
  <c r="L2133" i="12"/>
  <c r="E2129" i="12"/>
  <c r="E2128" i="12"/>
  <c r="E2126" i="12"/>
  <c r="G23" i="7"/>
  <c r="H23" i="7"/>
  <c r="G24" i="7"/>
  <c r="H24" i="7"/>
  <c r="J15" i="7"/>
  <c r="N2175" i="12" l="1"/>
  <c r="J2183" i="12"/>
  <c r="K2183" i="12"/>
  <c r="J2172" i="12"/>
  <c r="L2172" i="12"/>
  <c r="K2172" i="12"/>
  <c r="J2161" i="12"/>
  <c r="L2162" i="12"/>
  <c r="J2162" i="12"/>
  <c r="L2163" i="12"/>
  <c r="J2163" i="12"/>
  <c r="I2184" i="12"/>
  <c r="K2184" i="12"/>
  <c r="J2184" i="12"/>
  <c r="J2158" i="12"/>
  <c r="J2159" i="12"/>
  <c r="K2173" i="12"/>
  <c r="J2173" i="12"/>
  <c r="L2173" i="12"/>
  <c r="J2160" i="12"/>
  <c r="K2174" i="12"/>
  <c r="L2174" i="12"/>
  <c r="J2174" i="12"/>
  <c r="L2164" i="12"/>
  <c r="J2164" i="12"/>
  <c r="J2170" i="12"/>
  <c r="L2170" i="12"/>
  <c r="K2170" i="12"/>
  <c r="L2157" i="12"/>
  <c r="N2157" i="12" s="1"/>
  <c r="J2157" i="12"/>
  <c r="J2171" i="12"/>
  <c r="K2171" i="12"/>
  <c r="I2183" i="12"/>
  <c r="G15" i="7" l="1"/>
  <c r="H15" i="7"/>
  <c r="J592" i="10"/>
  <c r="H592" i="10" s="1"/>
  <c r="E592" i="10" s="1"/>
  <c r="J591" i="10"/>
  <c r="H591" i="10" s="1"/>
  <c r="E591" i="10" s="1"/>
  <c r="L590" i="10"/>
  <c r="J590" i="10" s="1"/>
  <c r="H590" i="10" s="1"/>
  <c r="E590" i="10" s="1"/>
  <c r="J589" i="10"/>
  <c r="H589" i="10" s="1"/>
  <c r="E589" i="10" s="1"/>
  <c r="K5130" i="12"/>
  <c r="J150" i="10"/>
  <c r="H150" i="10" s="1"/>
  <c r="E150" i="10" s="1"/>
  <c r="J474" i="10"/>
  <c r="H474" i="10" s="1"/>
  <c r="E474" i="10" s="1"/>
  <c r="J473" i="10"/>
  <c r="H473" i="10" s="1"/>
  <c r="E473" i="10" s="1"/>
  <c r="J301" i="10"/>
  <c r="H301" i="10" s="1"/>
  <c r="E301" i="10" s="1"/>
  <c r="J300" i="10"/>
  <c r="H300" i="10" s="1"/>
  <c r="E300" i="10" s="1"/>
  <c r="J472" i="10"/>
  <c r="H472" i="10" s="1"/>
  <c r="E472" i="10" s="1"/>
  <c r="J149" i="10"/>
  <c r="H149" i="10" s="1"/>
  <c r="E149" i="10" s="1"/>
  <c r="J148" i="10"/>
  <c r="H148" i="10" s="1"/>
  <c r="E148" i="10" s="1"/>
  <c r="J421" i="10"/>
  <c r="H421" i="10" s="1"/>
  <c r="E421" i="10" s="1"/>
  <c r="J420" i="10"/>
  <c r="H420" i="10" s="1"/>
  <c r="E420" i="10" s="1"/>
  <c r="J471" i="10"/>
  <c r="H471" i="10" s="1"/>
  <c r="E471" i="10" s="1"/>
  <c r="J349" i="10"/>
  <c r="H349" i="10" s="1"/>
  <c r="E349" i="10" s="1"/>
  <c r="J350" i="10"/>
  <c r="H350" i="10" s="1"/>
  <c r="E350" i="10" s="1"/>
  <c r="J588" i="10"/>
  <c r="H588" i="10" s="1"/>
  <c r="E588" i="10" s="1"/>
  <c r="J587" i="10"/>
  <c r="H587" i="10" s="1"/>
  <c r="E587" i="10" s="1"/>
  <c r="L586" i="10"/>
  <c r="J586" i="10" s="1"/>
  <c r="H586" i="10" s="1"/>
  <c r="E586" i="10" s="1"/>
  <c r="K4279" i="12"/>
  <c r="J585" i="10"/>
  <c r="H585" i="10" s="1"/>
  <c r="E585" i="10" s="1"/>
  <c r="J584" i="10"/>
  <c r="H584" i="10" s="1"/>
  <c r="E584" i="10" s="1"/>
  <c r="J583" i="10"/>
  <c r="H583" i="10" s="1"/>
  <c r="E583" i="10" s="1"/>
  <c r="L546" i="10"/>
  <c r="J546" i="10" s="1"/>
  <c r="H546" i="10" s="1"/>
  <c r="E546" i="10" s="1"/>
  <c r="A3604" i="12" a="1"/>
  <c r="A3604" i="12" s="1"/>
  <c r="J3604" i="12" s="1"/>
  <c r="V69" i="16"/>
  <c r="R69" i="16"/>
  <c r="V68" i="16"/>
  <c r="R68" i="16"/>
  <c r="V67" i="16"/>
  <c r="R67" i="16"/>
  <c r="V66" i="16"/>
  <c r="R66" i="16"/>
  <c r="V65" i="16"/>
  <c r="R65" i="16"/>
  <c r="V64" i="16"/>
  <c r="R64" i="16"/>
  <c r="V63" i="16"/>
  <c r="R63" i="16"/>
  <c r="V62" i="16"/>
  <c r="R62" i="16"/>
  <c r="V60" i="16"/>
  <c r="R60" i="16"/>
  <c r="V59" i="16"/>
  <c r="R59" i="16"/>
  <c r="V58" i="16"/>
  <c r="R58" i="16"/>
  <c r="V57" i="16"/>
  <c r="R57" i="16"/>
  <c r="V55" i="16"/>
  <c r="R55" i="16"/>
  <c r="V54" i="16"/>
  <c r="R54" i="16"/>
  <c r="V53" i="16"/>
  <c r="R53" i="16"/>
  <c r="V52" i="16"/>
  <c r="R52" i="16"/>
  <c r="V50" i="16"/>
  <c r="P50" i="16"/>
  <c r="R50" i="16" s="1"/>
  <c r="V49" i="16"/>
  <c r="P49" i="16"/>
  <c r="R49" i="16" s="1"/>
  <c r="V48" i="16"/>
  <c r="R48" i="16"/>
  <c r="V47" i="16"/>
  <c r="P47" i="16"/>
  <c r="R47" i="16" s="1"/>
  <c r="V46" i="16"/>
  <c r="P46" i="16"/>
  <c r="R46" i="16" s="1"/>
  <c r="V45" i="16"/>
  <c r="R45" i="16"/>
  <c r="V43" i="16"/>
  <c r="P43" i="16"/>
  <c r="R43" i="16" s="1"/>
  <c r="V42" i="16"/>
  <c r="P42" i="16"/>
  <c r="R42" i="16" s="1"/>
  <c r="V41" i="16"/>
  <c r="R41" i="16"/>
  <c r="V40" i="16"/>
  <c r="P40" i="16"/>
  <c r="R40" i="16" s="1"/>
  <c r="V39" i="16"/>
  <c r="R39" i="16"/>
  <c r="V37" i="16"/>
  <c r="P37" i="16"/>
  <c r="R37" i="16" s="1"/>
  <c r="V36" i="16"/>
  <c r="P36" i="16"/>
  <c r="R36" i="16" s="1"/>
  <c r="V35" i="16"/>
  <c r="R35" i="16"/>
  <c r="V34" i="16"/>
  <c r="P34" i="16"/>
  <c r="R34" i="16" s="1"/>
  <c r="V33" i="16"/>
  <c r="R33" i="16"/>
  <c r="V31" i="16"/>
  <c r="R31" i="16"/>
  <c r="V30" i="16"/>
  <c r="R30" i="16"/>
  <c r="V28" i="16"/>
  <c r="Q28" i="16"/>
  <c r="R28" i="16" s="1"/>
  <c r="V27" i="16"/>
  <c r="R27" i="16"/>
  <c r="V25" i="16"/>
  <c r="Q25" i="16"/>
  <c r="R25" i="16" s="1"/>
  <c r="V24" i="16"/>
  <c r="R24" i="16"/>
  <c r="A12" i="15"/>
  <c r="A11" i="15"/>
  <c r="A10" i="15"/>
  <c r="A8" i="15"/>
  <c r="A7" i="15"/>
  <c r="A6" i="15"/>
  <c r="A5" i="15"/>
  <c r="A4" i="15"/>
  <c r="A3" i="15"/>
  <c r="A2" i="15"/>
  <c r="A1" i="15"/>
  <c r="E93" i="13"/>
  <c r="E92" i="13"/>
  <c r="E91" i="13"/>
  <c r="E90" i="13"/>
  <c r="E89" i="13"/>
  <c r="E88" i="13"/>
  <c r="E86" i="13"/>
  <c r="E85" i="13"/>
  <c r="E83" i="13"/>
  <c r="E82" i="13"/>
  <c r="E81" i="13"/>
  <c r="E80" i="13"/>
  <c r="E79" i="13"/>
  <c r="E78" i="13"/>
  <c r="E77" i="13"/>
  <c r="E76" i="13"/>
  <c r="E75" i="13"/>
  <c r="E74" i="13"/>
  <c r="E73" i="13"/>
  <c r="E72" i="13"/>
  <c r="E71" i="13"/>
  <c r="E70" i="13"/>
  <c r="E69" i="13"/>
  <c r="E68" i="13"/>
  <c r="E67" i="13"/>
  <c r="E66" i="13"/>
  <c r="E65" i="13"/>
  <c r="E64" i="13"/>
  <c r="E63" i="13"/>
  <c r="E61" i="13"/>
  <c r="E60" i="13"/>
  <c r="E59" i="13"/>
  <c r="E58" i="13"/>
  <c r="E57" i="13"/>
  <c r="E56" i="13"/>
  <c r="E55" i="13"/>
  <c r="E54" i="13"/>
  <c r="E52" i="13"/>
  <c r="E51" i="13"/>
  <c r="E50" i="13"/>
  <c r="E49" i="13"/>
  <c r="E47" i="13"/>
  <c r="E45" i="13"/>
  <c r="E44" i="13"/>
  <c r="E42" i="13"/>
  <c r="E41" i="13"/>
  <c r="E39" i="13"/>
  <c r="E38" i="13"/>
  <c r="E37" i="13"/>
  <c r="E36" i="13"/>
  <c r="E34" i="13"/>
  <c r="E32" i="13"/>
  <c r="E31" i="13"/>
  <c r="E29" i="13"/>
  <c r="E27" i="13"/>
  <c r="E26" i="13"/>
  <c r="E25" i="13"/>
  <c r="E24" i="13"/>
  <c r="E23" i="13"/>
  <c r="E22" i="13"/>
  <c r="E21" i="13"/>
  <c r="E19" i="13"/>
  <c r="E18" i="13"/>
  <c r="E17" i="13"/>
  <c r="M9" i="13"/>
  <c r="L9" i="13"/>
  <c r="K9" i="13"/>
  <c r="C5" i="13"/>
  <c r="C4" i="13"/>
  <c r="C2" i="13"/>
  <c r="N5412" i="12"/>
  <c r="A5412" i="12" a="1"/>
  <c r="A5412" i="12" s="1"/>
  <c r="N5411" i="12"/>
  <c r="A5411" i="12" a="1"/>
  <c r="A5411" i="12" s="1"/>
  <c r="N5410" i="12"/>
  <c r="A5410" i="12" a="1"/>
  <c r="A5410" i="12" s="1"/>
  <c r="A5409" i="12" a="1"/>
  <c r="A5409" i="12" s="1"/>
  <c r="A5408" i="12" a="1"/>
  <c r="A5408" i="12" s="1"/>
  <c r="N5402" i="12"/>
  <c r="A5402" i="12" a="1"/>
  <c r="A5402" i="12" s="1"/>
  <c r="N5401" i="12"/>
  <c r="A5401" i="12" a="1"/>
  <c r="A5401" i="12" s="1"/>
  <c r="L5401" i="12" s="1"/>
  <c r="N5400" i="12"/>
  <c r="A5400" i="12" a="1"/>
  <c r="A5400" i="12" s="1"/>
  <c r="L5400" i="12" s="1"/>
  <c r="N5399" i="12"/>
  <c r="A5399" i="12" a="1"/>
  <c r="A5399" i="12" s="1"/>
  <c r="N5398" i="12"/>
  <c r="A5398" i="12" a="1"/>
  <c r="A5398" i="12" s="1"/>
  <c r="N5392" i="12"/>
  <c r="A5392" i="12" a="1"/>
  <c r="A5392" i="12" s="1"/>
  <c r="N5391" i="12"/>
  <c r="A5391" i="12" a="1"/>
  <c r="A5391" i="12" s="1"/>
  <c r="N5390" i="12"/>
  <c r="A5390" i="12" a="1"/>
  <c r="A5390" i="12" s="1"/>
  <c r="N5389" i="12"/>
  <c r="A5389" i="12" a="1"/>
  <c r="A5389" i="12" s="1"/>
  <c r="N5388" i="12"/>
  <c r="A5388" i="12" a="1"/>
  <c r="A5388" i="12" s="1"/>
  <c r="N5379" i="12"/>
  <c r="A5379" i="12" a="1"/>
  <c r="A5379" i="12" s="1"/>
  <c r="K5379" i="12" s="1"/>
  <c r="N5378" i="12"/>
  <c r="A5378" i="12" a="1"/>
  <c r="A5378" i="12" s="1"/>
  <c r="K5378" i="12" s="1"/>
  <c r="A5377" i="12" a="1"/>
  <c r="A5377" i="12" s="1"/>
  <c r="K5377" i="12" s="1"/>
  <c r="A5376" i="12" a="1"/>
  <c r="A5376" i="12" s="1"/>
  <c r="K5376" i="12" s="1"/>
  <c r="A5375" i="12" a="1"/>
  <c r="A5375" i="12" s="1"/>
  <c r="K5375" i="12" s="1"/>
  <c r="L5369" i="12"/>
  <c r="D5369" i="12"/>
  <c r="D5365" i="12"/>
  <c r="D5364" i="12"/>
  <c r="N5361" i="12"/>
  <c r="M5361" i="12"/>
  <c r="L5361" i="12"/>
  <c r="E5357" i="12"/>
  <c r="E5356" i="12"/>
  <c r="E5354" i="12"/>
  <c r="N5327" i="12"/>
  <c r="A5327" i="12" a="1"/>
  <c r="A5327" i="12" s="1"/>
  <c r="J5327" i="12" s="1"/>
  <c r="N5326" i="12"/>
  <c r="A5326" i="12" a="1"/>
  <c r="A5326" i="12" s="1"/>
  <c r="J5326" i="12" s="1"/>
  <c r="N5325" i="12"/>
  <c r="A5325" i="12" a="1"/>
  <c r="A5325" i="12" s="1"/>
  <c r="L5324" i="12"/>
  <c r="A5324" i="12" a="1"/>
  <c r="A5324" i="12" s="1"/>
  <c r="A5323" i="12" a="1"/>
  <c r="A5323" i="12" s="1"/>
  <c r="N5317" i="12"/>
  <c r="A5317" i="12" a="1"/>
  <c r="A5317" i="12" s="1"/>
  <c r="N5316" i="12"/>
  <c r="A5316" i="12" a="1"/>
  <c r="A5316" i="12" s="1"/>
  <c r="K5316" i="12" s="1"/>
  <c r="N5315" i="12"/>
  <c r="A5315" i="12" a="1"/>
  <c r="A5315" i="12" s="1"/>
  <c r="N5314" i="12"/>
  <c r="A5314" i="12" a="1"/>
  <c r="A5314" i="12" s="1"/>
  <c r="N5313" i="12"/>
  <c r="A5313" i="12" a="1"/>
  <c r="A5313" i="12" s="1"/>
  <c r="N5307" i="12"/>
  <c r="A5307" i="12" a="1"/>
  <c r="A5307" i="12" s="1"/>
  <c r="L5307" i="12" s="1"/>
  <c r="N5306" i="12"/>
  <c r="A5306" i="12" a="1"/>
  <c r="A5306" i="12" s="1"/>
  <c r="L5306" i="12" s="1"/>
  <c r="N5305" i="12"/>
  <c r="A5305" i="12" a="1"/>
  <c r="A5305" i="12" s="1"/>
  <c r="N5304" i="12"/>
  <c r="A5304" i="12" a="1"/>
  <c r="A5304" i="12" s="1"/>
  <c r="L5304" i="12" s="1"/>
  <c r="N5303" i="12"/>
  <c r="A5303" i="12" a="1"/>
  <c r="A5303" i="12" s="1"/>
  <c r="L5303" i="12" s="1"/>
  <c r="N5294" i="12"/>
  <c r="A5294" i="12" a="1"/>
  <c r="A5294" i="12" s="1"/>
  <c r="K5294" i="12" s="1"/>
  <c r="N5293" i="12"/>
  <c r="A5293" i="12" a="1"/>
  <c r="A5293" i="12" s="1"/>
  <c r="K5293" i="12" s="1"/>
  <c r="A5292" i="12" a="1"/>
  <c r="A5292" i="12" s="1"/>
  <c r="K5292" i="12" s="1"/>
  <c r="A5291" i="12" a="1"/>
  <c r="A5291" i="12" s="1"/>
  <c r="K5291" i="12" s="1"/>
  <c r="A5290" i="12" a="1"/>
  <c r="A5290" i="12" s="1"/>
  <c r="K5290" i="12" s="1"/>
  <c r="L5284" i="12"/>
  <c r="D5284" i="12"/>
  <c r="D5280" i="12"/>
  <c r="D5279" i="12"/>
  <c r="N5276" i="12"/>
  <c r="M5276" i="12"/>
  <c r="L5276" i="12"/>
  <c r="E5272" i="12"/>
  <c r="E5271" i="12"/>
  <c r="E5269" i="12"/>
  <c r="N5242" i="12"/>
  <c r="A5242" i="12" a="1"/>
  <c r="A5242" i="12" s="1"/>
  <c r="N5241" i="12"/>
  <c r="A5241" i="12" a="1"/>
  <c r="A5241" i="12" s="1"/>
  <c r="N5240" i="12"/>
  <c r="A5240" i="12" a="1"/>
  <c r="A5240" i="12" s="1"/>
  <c r="A5239" i="12" a="1"/>
  <c r="A5239" i="12" s="1"/>
  <c r="A5238" i="12" a="1"/>
  <c r="A5238" i="12" s="1"/>
  <c r="N5232" i="12"/>
  <c r="A5232" i="12" a="1"/>
  <c r="A5232" i="12" s="1"/>
  <c r="N5231" i="12"/>
  <c r="A5231" i="12" a="1"/>
  <c r="A5231" i="12" s="1"/>
  <c r="N5230" i="12"/>
  <c r="A5230" i="12" a="1"/>
  <c r="A5230" i="12" s="1"/>
  <c r="L5230" i="12" s="1"/>
  <c r="N5229" i="12"/>
  <c r="A5229" i="12" a="1"/>
  <c r="A5229" i="12" s="1"/>
  <c r="J5229" i="12" s="1"/>
  <c r="N5228" i="12"/>
  <c r="A5228" i="12" a="1"/>
  <c r="A5228" i="12" s="1"/>
  <c r="N5222" i="12"/>
  <c r="A5222" i="12" a="1"/>
  <c r="A5222" i="12" s="1"/>
  <c r="L5222" i="12" s="1"/>
  <c r="N5221" i="12"/>
  <c r="A5221" i="12" a="1"/>
  <c r="A5221" i="12" s="1"/>
  <c r="N5220" i="12"/>
  <c r="A5220" i="12" a="1"/>
  <c r="A5220" i="12" s="1"/>
  <c r="N5219" i="12"/>
  <c r="A5219" i="12" a="1"/>
  <c r="A5219" i="12" s="1"/>
  <c r="J5219" i="12" s="1"/>
  <c r="N5218" i="12"/>
  <c r="A5218" i="12" a="1"/>
  <c r="A5218" i="12" s="1"/>
  <c r="L5218" i="12" s="1"/>
  <c r="N5217" i="12"/>
  <c r="A5217" i="12" a="1"/>
  <c r="A5217" i="12" s="1"/>
  <c r="N5209" i="12"/>
  <c r="A5209" i="12" a="1"/>
  <c r="A5209" i="12" s="1"/>
  <c r="K5209" i="12" s="1"/>
  <c r="N5208" i="12"/>
  <c r="A5208" i="12" a="1"/>
  <c r="A5208" i="12" s="1"/>
  <c r="K5208" i="12" s="1"/>
  <c r="A5207" i="12" a="1"/>
  <c r="A5207" i="12" s="1"/>
  <c r="K5207" i="12" s="1"/>
  <c r="A5206" i="12" a="1"/>
  <c r="A5206" i="12" s="1"/>
  <c r="K5206" i="12" s="1"/>
  <c r="N5207" i="12"/>
  <c r="A5205" i="12" a="1"/>
  <c r="A5205" i="12" s="1"/>
  <c r="K5205" i="12" s="1"/>
  <c r="N5205" i="12" s="1"/>
  <c r="L5199" i="12"/>
  <c r="D5199" i="12"/>
  <c r="D5195" i="12"/>
  <c r="D5194" i="12"/>
  <c r="N5191" i="12"/>
  <c r="M5191" i="12"/>
  <c r="L5191" i="12"/>
  <c r="E5187" i="12"/>
  <c r="E5186" i="12"/>
  <c r="E5184" i="12"/>
  <c r="L5167" i="12"/>
  <c r="L5166" i="12"/>
  <c r="L5165" i="12"/>
  <c r="N5157" i="12"/>
  <c r="A5157" i="12" a="1"/>
  <c r="A5157" i="12" s="1"/>
  <c r="N5156" i="12"/>
  <c r="A5156" i="12" a="1"/>
  <c r="A5156" i="12" s="1"/>
  <c r="N5155" i="12"/>
  <c r="A5155" i="12" a="1"/>
  <c r="A5155" i="12" s="1"/>
  <c r="A5154" i="12" a="1"/>
  <c r="A5154" i="12" s="1"/>
  <c r="A5153" i="12" a="1"/>
  <c r="A5153" i="12" s="1"/>
  <c r="N5147" i="12"/>
  <c r="A5147" i="12" a="1"/>
  <c r="A5147" i="12" s="1"/>
  <c r="N5146" i="12"/>
  <c r="A5146" i="12" a="1"/>
  <c r="A5146" i="12" s="1"/>
  <c r="N5145" i="12"/>
  <c r="A5145" i="12" a="1"/>
  <c r="A5145" i="12" s="1"/>
  <c r="L5145" i="12" s="1"/>
  <c r="N5144" i="12"/>
  <c r="A5144" i="12" a="1"/>
  <c r="A5144" i="12" s="1"/>
  <c r="N5143" i="12"/>
  <c r="A5143" i="12" a="1"/>
  <c r="A5143" i="12" s="1"/>
  <c r="L5143" i="12" s="1"/>
  <c r="N5137" i="12"/>
  <c r="A5137" i="12" a="1"/>
  <c r="A5137" i="12" s="1"/>
  <c r="N5136" i="12"/>
  <c r="A5136" i="12" a="1"/>
  <c r="A5136" i="12" s="1"/>
  <c r="A5134" i="12" a="1"/>
  <c r="A5134" i="12" s="1"/>
  <c r="A5133" i="12" a="1"/>
  <c r="A5133" i="12" s="1"/>
  <c r="A5130" i="12" a="1"/>
  <c r="A5130" i="12" s="1"/>
  <c r="N5124" i="12"/>
  <c r="A5124" i="12" a="1"/>
  <c r="A5124" i="12" s="1"/>
  <c r="K5124" i="12" s="1"/>
  <c r="N5123" i="12"/>
  <c r="A5123" i="12" a="1"/>
  <c r="A5123" i="12" s="1"/>
  <c r="K5123" i="12" s="1"/>
  <c r="A5122" i="12" a="1"/>
  <c r="A5122" i="12" s="1"/>
  <c r="K5122" i="12" s="1"/>
  <c r="A5121" i="12" a="1"/>
  <c r="A5121" i="12" s="1"/>
  <c r="K5121" i="12" s="1"/>
  <c r="A5120" i="12" a="1"/>
  <c r="A5120" i="12" s="1"/>
  <c r="K5120" i="12" s="1"/>
  <c r="L5114" i="12"/>
  <c r="D5114" i="12"/>
  <c r="D5110" i="12"/>
  <c r="D5109" i="12"/>
  <c r="N5106" i="12"/>
  <c r="M5106" i="12"/>
  <c r="L5106" i="12"/>
  <c r="E5102" i="12"/>
  <c r="E5101" i="12"/>
  <c r="E5099" i="12"/>
  <c r="L5082" i="12"/>
  <c r="L5081" i="12"/>
  <c r="L5080" i="12"/>
  <c r="N5072" i="12"/>
  <c r="A5072" i="12" a="1"/>
  <c r="A5072" i="12" s="1"/>
  <c r="N5071" i="12"/>
  <c r="A5071" i="12" a="1"/>
  <c r="A5071" i="12" s="1"/>
  <c r="N5070" i="12"/>
  <c r="A5070" i="12" a="1"/>
  <c r="A5070" i="12" s="1"/>
  <c r="I5070" i="12" s="1"/>
  <c r="A5069" i="12" a="1"/>
  <c r="A5069" i="12" s="1"/>
  <c r="A5068" i="12" a="1"/>
  <c r="A5068" i="12" s="1"/>
  <c r="N5062" i="12"/>
  <c r="A5062" i="12" a="1"/>
  <c r="A5062" i="12" s="1"/>
  <c r="J5062" i="12" s="1"/>
  <c r="N5061" i="12"/>
  <c r="A5061" i="12" a="1"/>
  <c r="A5061" i="12" s="1"/>
  <c r="N5060" i="12"/>
  <c r="A5060" i="12" a="1"/>
  <c r="A5060" i="12" s="1"/>
  <c r="L5060" i="12" s="1"/>
  <c r="N5059" i="12"/>
  <c r="A5059" i="12" a="1"/>
  <c r="A5059" i="12" s="1"/>
  <c r="N5058" i="12"/>
  <c r="A5058" i="12" a="1"/>
  <c r="A5058" i="12" s="1"/>
  <c r="N5052" i="12"/>
  <c r="A5052" i="12" a="1"/>
  <c r="A5052" i="12" s="1"/>
  <c r="A5047" i="12" a="1"/>
  <c r="A5047" i="12" s="1"/>
  <c r="J5047" i="12" s="1"/>
  <c r="A5046" i="12" a="1"/>
  <c r="A5046" i="12" s="1"/>
  <c r="A5045" i="12" a="1"/>
  <c r="A5045" i="12" s="1"/>
  <c r="J5045" i="12" s="1"/>
  <c r="A5044" i="12" a="1"/>
  <c r="A5044" i="12" s="1"/>
  <c r="J5044" i="12" s="1"/>
  <c r="A5042" i="12" a="1"/>
  <c r="A5042" i="12" s="1"/>
  <c r="N5036" i="12"/>
  <c r="A5036" i="12" a="1"/>
  <c r="A5036" i="12" s="1"/>
  <c r="K5036" i="12" s="1"/>
  <c r="N5035" i="12"/>
  <c r="A5035" i="12" a="1"/>
  <c r="A5035" i="12" s="1"/>
  <c r="K5035" i="12" s="1"/>
  <c r="A5034" i="12" a="1"/>
  <c r="A5034" i="12" s="1"/>
  <c r="K5034" i="12" s="1"/>
  <c r="A5033" i="12" a="1"/>
  <c r="A5033" i="12" s="1"/>
  <c r="K5033" i="12" s="1"/>
  <c r="A5032" i="12" a="1"/>
  <c r="A5032" i="12" s="1"/>
  <c r="K5032" i="12" s="1"/>
  <c r="N5032" i="12" s="1"/>
  <c r="L5026" i="12"/>
  <c r="D5026" i="12"/>
  <c r="D5022" i="12"/>
  <c r="D5021" i="12"/>
  <c r="N5018" i="12"/>
  <c r="M5018" i="12"/>
  <c r="L5018" i="12"/>
  <c r="E5014" i="12"/>
  <c r="E5013" i="12"/>
  <c r="E5011" i="12"/>
  <c r="L4994" i="12"/>
  <c r="L4993" i="12"/>
  <c r="L4992" i="12"/>
  <c r="N4984" i="12"/>
  <c r="A4984" i="12" a="1"/>
  <c r="A4984" i="12" s="1"/>
  <c r="N4983" i="12"/>
  <c r="A4983" i="12" a="1"/>
  <c r="A4983" i="12" s="1"/>
  <c r="I4983" i="12" s="1"/>
  <c r="N4982" i="12"/>
  <c r="A4982" i="12" a="1"/>
  <c r="A4982" i="12" s="1"/>
  <c r="A4981" i="12" a="1"/>
  <c r="A4981" i="12" s="1"/>
  <c r="A4980" i="12" a="1"/>
  <c r="A4980" i="12" s="1"/>
  <c r="N4974" i="12"/>
  <c r="A4974" i="12" a="1"/>
  <c r="A4974" i="12" s="1"/>
  <c r="N4973" i="12"/>
  <c r="A4973" i="12" a="1"/>
  <c r="A4973" i="12" s="1"/>
  <c r="L4973" i="12" s="1"/>
  <c r="N4972" i="12"/>
  <c r="A4972" i="12" a="1"/>
  <c r="A4972" i="12" s="1"/>
  <c r="N4971" i="12"/>
  <c r="A4971" i="12" a="1"/>
  <c r="A4971" i="12" s="1"/>
  <c r="J4971" i="12" s="1"/>
  <c r="N4970" i="12"/>
  <c r="A4970" i="12" a="1"/>
  <c r="A4970" i="12" s="1"/>
  <c r="N4964" i="12"/>
  <c r="A4964" i="12" a="1"/>
  <c r="A4964" i="12" s="1"/>
  <c r="L4964" i="12" s="1"/>
  <c r="N4963" i="12"/>
  <c r="A4963" i="12" a="1"/>
  <c r="A4963" i="12" s="1"/>
  <c r="N4962" i="12"/>
  <c r="A4962" i="12" a="1"/>
  <c r="A4962" i="12" s="1"/>
  <c r="N4961" i="12"/>
  <c r="A4961" i="12" a="1"/>
  <c r="A4961" i="12" s="1"/>
  <c r="N4960" i="12"/>
  <c r="A4960" i="12" a="1"/>
  <c r="A4960" i="12" s="1"/>
  <c r="L4960" i="12" s="1"/>
  <c r="N4959" i="12"/>
  <c r="A4959" i="12" a="1"/>
  <c r="A4959" i="12" s="1"/>
  <c r="N4951" i="12"/>
  <c r="A4951" i="12" a="1"/>
  <c r="A4951" i="12" s="1"/>
  <c r="K4951" i="12" s="1"/>
  <c r="N4950" i="12"/>
  <c r="A4950" i="12" a="1"/>
  <c r="A4950" i="12" s="1"/>
  <c r="K4950" i="12" s="1"/>
  <c r="A4949" i="12" a="1"/>
  <c r="A4949" i="12" s="1"/>
  <c r="K4949" i="12" s="1"/>
  <c r="A4948" i="12" a="1"/>
  <c r="A4948" i="12" s="1"/>
  <c r="K4948" i="12" s="1"/>
  <c r="A4947" i="12" a="1"/>
  <c r="A4947" i="12" s="1"/>
  <c r="K4947" i="12" s="1"/>
  <c r="L4941" i="12"/>
  <c r="D4941" i="12"/>
  <c r="D4937" i="12"/>
  <c r="D4936" i="12"/>
  <c r="N4933" i="12"/>
  <c r="M4933" i="12"/>
  <c r="L4933" i="12"/>
  <c r="E4929" i="12"/>
  <c r="E4928" i="12"/>
  <c r="E4926" i="12"/>
  <c r="L4909" i="12"/>
  <c r="L4908" i="12"/>
  <c r="L4907" i="12"/>
  <c r="N4899" i="12"/>
  <c r="A4899" i="12" a="1"/>
  <c r="A4899" i="12" s="1"/>
  <c r="K4899" i="12" s="1"/>
  <c r="N4898" i="12"/>
  <c r="A4898" i="12" a="1"/>
  <c r="A4898" i="12" s="1"/>
  <c r="K4898" i="12" s="1"/>
  <c r="N4897" i="12"/>
  <c r="A4897" i="12" a="1"/>
  <c r="A4897" i="12" s="1"/>
  <c r="I4897" i="12" s="1"/>
  <c r="A4896" i="12" a="1"/>
  <c r="A4896" i="12" s="1"/>
  <c r="A4895" i="12" a="1"/>
  <c r="A4895" i="12" s="1"/>
  <c r="N4889" i="12"/>
  <c r="A4889" i="12" a="1"/>
  <c r="A4889" i="12" s="1"/>
  <c r="N4888" i="12"/>
  <c r="A4888" i="12" a="1"/>
  <c r="A4888" i="12" s="1"/>
  <c r="N4887" i="12"/>
  <c r="A4887" i="12" a="1"/>
  <c r="A4887" i="12" s="1"/>
  <c r="L4887" i="12" s="1"/>
  <c r="N4886" i="12"/>
  <c r="A4886" i="12" a="1"/>
  <c r="A4886" i="12" s="1"/>
  <c r="N4885" i="12"/>
  <c r="A4885" i="12" a="1"/>
  <c r="A4885" i="12" s="1"/>
  <c r="N4879" i="12"/>
  <c r="A4879" i="12" a="1"/>
  <c r="A4879" i="12" s="1"/>
  <c r="L4879" i="12" s="1"/>
  <c r="N4878" i="12"/>
  <c r="A4878" i="12" a="1"/>
  <c r="A4878" i="12" s="1"/>
  <c r="N4877" i="12"/>
  <c r="A4877" i="12" a="1"/>
  <c r="A4877" i="12" s="1"/>
  <c r="L4877" i="12" s="1"/>
  <c r="A4876" i="12" a="1"/>
  <c r="A4876" i="12" s="1"/>
  <c r="A4875" i="12" a="1"/>
  <c r="A4875" i="12" s="1"/>
  <c r="A4874" i="12" a="1"/>
  <c r="A4874" i="12" s="1"/>
  <c r="A4872" i="12" a="1"/>
  <c r="A4872" i="12" s="1"/>
  <c r="J4872" i="12" s="1"/>
  <c r="N4866" i="12"/>
  <c r="A4866" i="12" a="1"/>
  <c r="A4866" i="12" s="1"/>
  <c r="K4866" i="12" s="1"/>
  <c r="N4865" i="12"/>
  <c r="A4865" i="12" a="1"/>
  <c r="A4865" i="12" s="1"/>
  <c r="K4865" i="12" s="1"/>
  <c r="A4864" i="12" a="1"/>
  <c r="A4864" i="12" s="1"/>
  <c r="K4864" i="12" s="1"/>
  <c r="A4863" i="12" a="1"/>
  <c r="A4863" i="12" s="1"/>
  <c r="K4863" i="12" s="1"/>
  <c r="N4862" i="12"/>
  <c r="A4862" i="12" a="1"/>
  <c r="A4862" i="12" s="1"/>
  <c r="K4862" i="12" s="1"/>
  <c r="L4856" i="12"/>
  <c r="D4856" i="12"/>
  <c r="D4852" i="12"/>
  <c r="D4851" i="12"/>
  <c r="N4848" i="12"/>
  <c r="M4848" i="12"/>
  <c r="L4848" i="12"/>
  <c r="E4844" i="12"/>
  <c r="E4843" i="12"/>
  <c r="E4841" i="12"/>
  <c r="L4823" i="12"/>
  <c r="L4822" i="12"/>
  <c r="L4821" i="12"/>
  <c r="N4813" i="12"/>
  <c r="A4813" i="12" a="1"/>
  <c r="A4813" i="12" s="1"/>
  <c r="N4812" i="12"/>
  <c r="A4812" i="12" a="1"/>
  <c r="A4812" i="12" s="1"/>
  <c r="N4811" i="12"/>
  <c r="A4811" i="12" a="1"/>
  <c r="A4811" i="12" s="1"/>
  <c r="I4811" i="12" s="1"/>
  <c r="L4810" i="12"/>
  <c r="A4810" i="12" a="1"/>
  <c r="A4810" i="12" s="1"/>
  <c r="A4809" i="12" a="1"/>
  <c r="A4809" i="12" s="1"/>
  <c r="N4803" i="12"/>
  <c r="A4803" i="12" a="1"/>
  <c r="A4803" i="12" s="1"/>
  <c r="J4803" i="12" s="1"/>
  <c r="N4802" i="12"/>
  <c r="A4802" i="12" a="1"/>
  <c r="A4802" i="12" s="1"/>
  <c r="N4801" i="12"/>
  <c r="A4801" i="12" a="1"/>
  <c r="A4801" i="12" s="1"/>
  <c r="L4801" i="12" s="1"/>
  <c r="N4800" i="12"/>
  <c r="A4800" i="12" a="1"/>
  <c r="A4800" i="12" s="1"/>
  <c r="K4800" i="12" s="1"/>
  <c r="N4799" i="12"/>
  <c r="A4799" i="12" a="1"/>
  <c r="A4799" i="12" s="1"/>
  <c r="N4793" i="12"/>
  <c r="A4793" i="12" a="1"/>
  <c r="A4793" i="12" s="1"/>
  <c r="N4792" i="12"/>
  <c r="A4792" i="12" a="1"/>
  <c r="A4792" i="12" s="1"/>
  <c r="J4792" i="12" s="1"/>
  <c r="N4791" i="12"/>
  <c r="A4791" i="12" a="1"/>
  <c r="A4791" i="12" s="1"/>
  <c r="J4791" i="12" s="1"/>
  <c r="N4790" i="12"/>
  <c r="A4790" i="12" a="1"/>
  <c r="A4790" i="12" s="1"/>
  <c r="N4789" i="12"/>
  <c r="A4789" i="12" a="1"/>
  <c r="A4789" i="12" s="1"/>
  <c r="N4780" i="12"/>
  <c r="A4780" i="12" a="1"/>
  <c r="A4780" i="12" s="1"/>
  <c r="K4780" i="12" s="1"/>
  <c r="N4779" i="12"/>
  <c r="A4779" i="12" a="1"/>
  <c r="A4779" i="12" s="1"/>
  <c r="K4779" i="12" s="1"/>
  <c r="A4778" i="12" a="1"/>
  <c r="A4778" i="12" s="1"/>
  <c r="K4778" i="12" s="1"/>
  <c r="A4777" i="12" a="1"/>
  <c r="A4777" i="12" s="1"/>
  <c r="K4777" i="12" s="1"/>
  <c r="N4776" i="12"/>
  <c r="A4776" i="12" a="1"/>
  <c r="A4776" i="12" s="1"/>
  <c r="K4776" i="12" s="1"/>
  <c r="L4770" i="12"/>
  <c r="D4770" i="12"/>
  <c r="D4766" i="12"/>
  <c r="D4765" i="12"/>
  <c r="N4762" i="12"/>
  <c r="M4762" i="12"/>
  <c r="L4762" i="12"/>
  <c r="E4758" i="12"/>
  <c r="E4757" i="12"/>
  <c r="E4755" i="12"/>
  <c r="L4738" i="12"/>
  <c r="L4737" i="12"/>
  <c r="L4736" i="12"/>
  <c r="N4728" i="12"/>
  <c r="A4728" i="12" a="1"/>
  <c r="A4728" i="12" s="1"/>
  <c r="N4727" i="12"/>
  <c r="A4727" i="12" a="1"/>
  <c r="A4727" i="12" s="1"/>
  <c r="N4726" i="12"/>
  <c r="A4726" i="12" a="1"/>
  <c r="A4726" i="12" s="1"/>
  <c r="K4726" i="12" s="1"/>
  <c r="L4725" i="12"/>
  <c r="A4725" i="12" a="1"/>
  <c r="A4725" i="12" s="1"/>
  <c r="A4724" i="12" a="1"/>
  <c r="A4724" i="12" s="1"/>
  <c r="N4718" i="12"/>
  <c r="A4718" i="12" a="1"/>
  <c r="A4718" i="12" s="1"/>
  <c r="N4717" i="12"/>
  <c r="A4717" i="12" a="1"/>
  <c r="A4717" i="12" s="1"/>
  <c r="N4716" i="12"/>
  <c r="A4716" i="12" a="1"/>
  <c r="A4716" i="12" s="1"/>
  <c r="K4716" i="12" s="1"/>
  <c r="N4715" i="12"/>
  <c r="A4715" i="12" a="1"/>
  <c r="A4715" i="12" s="1"/>
  <c r="N4714" i="12"/>
  <c r="A4714" i="12" a="1"/>
  <c r="A4714" i="12" s="1"/>
  <c r="J4714" i="12" s="1"/>
  <c r="N4708" i="12"/>
  <c r="A4708" i="12" a="1"/>
  <c r="A4708" i="12" s="1"/>
  <c r="L4708" i="12" s="1"/>
  <c r="N4707" i="12"/>
  <c r="A4707" i="12" a="1"/>
  <c r="A4707" i="12" s="1"/>
  <c r="N4706" i="12"/>
  <c r="A4706" i="12" a="1"/>
  <c r="A4706" i="12" s="1"/>
  <c r="N4705" i="12"/>
  <c r="A4705" i="12" a="1"/>
  <c r="A4705" i="12" s="1"/>
  <c r="N4704" i="12"/>
  <c r="A4704" i="12" a="1"/>
  <c r="A4704" i="12" s="1"/>
  <c r="N4703" i="12"/>
  <c r="A4703" i="12" a="1"/>
  <c r="A4703" i="12" s="1"/>
  <c r="J4703" i="12" s="1"/>
  <c r="A4701" i="12" a="1"/>
  <c r="A4701" i="12" s="1"/>
  <c r="N4695" i="12"/>
  <c r="A4695" i="12" a="1"/>
  <c r="A4695" i="12" s="1"/>
  <c r="K4695" i="12" s="1"/>
  <c r="N4694" i="12"/>
  <c r="A4694" i="12" a="1"/>
  <c r="A4694" i="12" s="1"/>
  <c r="K4694" i="12" s="1"/>
  <c r="A4693" i="12" a="1"/>
  <c r="A4693" i="12" s="1"/>
  <c r="K4693" i="12" s="1"/>
  <c r="A4692" i="12" a="1"/>
  <c r="A4692" i="12" s="1"/>
  <c r="K4692" i="12" s="1"/>
  <c r="A4691" i="12" a="1"/>
  <c r="A4691" i="12" s="1"/>
  <c r="K4691" i="12" s="1"/>
  <c r="N4691" i="12" s="1"/>
  <c r="L4685" i="12"/>
  <c r="D4685" i="12"/>
  <c r="D4681" i="12"/>
  <c r="D4680" i="12"/>
  <c r="N4677" i="12"/>
  <c r="M4677" i="12"/>
  <c r="L4677" i="12"/>
  <c r="E4673" i="12"/>
  <c r="E4672" i="12"/>
  <c r="E4670" i="12"/>
  <c r="L4654" i="12"/>
  <c r="L4653" i="12"/>
  <c r="L4652" i="12"/>
  <c r="N4644" i="12"/>
  <c r="A4644" i="12" a="1"/>
  <c r="A4644" i="12" s="1"/>
  <c r="N4643" i="12"/>
  <c r="A4643" i="12" a="1"/>
  <c r="A4643" i="12" s="1"/>
  <c r="N4642" i="12"/>
  <c r="A4642" i="12" a="1"/>
  <c r="A4642" i="12" s="1"/>
  <c r="J4642" i="12" s="1"/>
  <c r="A4641" i="12" a="1"/>
  <c r="A4641" i="12" s="1"/>
  <c r="A4640" i="12" a="1"/>
  <c r="A4640" i="12" s="1"/>
  <c r="N4634" i="12"/>
  <c r="A4634" i="12" a="1"/>
  <c r="A4634" i="12" s="1"/>
  <c r="N4633" i="12"/>
  <c r="A4633" i="12" a="1"/>
  <c r="A4633" i="12" s="1"/>
  <c r="N4632" i="12"/>
  <c r="A4632" i="12" a="1"/>
  <c r="A4632" i="12" s="1"/>
  <c r="K4632" i="12" s="1"/>
  <c r="N4631" i="12"/>
  <c r="A4631" i="12" a="1"/>
  <c r="A4631" i="12" s="1"/>
  <c r="K4631" i="12" s="1"/>
  <c r="N4630" i="12"/>
  <c r="A4630" i="12" a="1"/>
  <c r="A4630" i="12" s="1"/>
  <c r="J4630" i="12" s="1"/>
  <c r="N4624" i="12"/>
  <c r="A4624" i="12" a="1"/>
  <c r="A4624" i="12" s="1"/>
  <c r="L4624" i="12" s="1"/>
  <c r="N4623" i="12"/>
  <c r="A4623" i="12" a="1"/>
  <c r="A4623" i="12" s="1"/>
  <c r="J4623" i="12" s="1"/>
  <c r="N4622" i="12"/>
  <c r="A4622" i="12" a="1"/>
  <c r="A4622" i="12" s="1"/>
  <c r="L4622" i="12" s="1"/>
  <c r="N4621" i="12"/>
  <c r="A4621" i="12" a="1"/>
  <c r="A4621" i="12" s="1"/>
  <c r="N4620" i="12"/>
  <c r="A4620" i="12" a="1"/>
  <c r="A4620" i="12" s="1"/>
  <c r="N4619" i="12"/>
  <c r="A4619" i="12" a="1"/>
  <c r="A4619" i="12" s="1"/>
  <c r="J4619" i="12" s="1"/>
  <c r="N4611" i="12"/>
  <c r="A4611" i="12" a="1"/>
  <c r="A4611" i="12" s="1"/>
  <c r="K4611" i="12" s="1"/>
  <c r="N4610" i="12"/>
  <c r="A4610" i="12" a="1"/>
  <c r="A4610" i="12" s="1"/>
  <c r="K4610" i="12" s="1"/>
  <c r="A4609" i="12" a="1"/>
  <c r="A4609" i="12" s="1"/>
  <c r="K4609" i="12" s="1"/>
  <c r="A4608" i="12" a="1"/>
  <c r="A4608" i="12" s="1"/>
  <c r="K4608" i="12" s="1"/>
  <c r="A4607" i="12" a="1"/>
  <c r="A4607" i="12" s="1"/>
  <c r="K4607" i="12" s="1"/>
  <c r="N4607" i="12" s="1"/>
  <c r="L4601" i="12"/>
  <c r="D4601" i="12"/>
  <c r="D4597" i="12"/>
  <c r="D4596" i="12"/>
  <c r="N4593" i="12"/>
  <c r="M4593" i="12"/>
  <c r="L4593" i="12"/>
  <c r="E4589" i="12"/>
  <c r="E4588" i="12"/>
  <c r="E4586" i="12"/>
  <c r="L4569" i="12"/>
  <c r="L4568" i="12"/>
  <c r="L4567" i="12"/>
  <c r="N4559" i="12"/>
  <c r="A4559" i="12" a="1"/>
  <c r="A4559" i="12" s="1"/>
  <c r="J4559" i="12" s="1"/>
  <c r="N4558" i="12"/>
  <c r="A4558" i="12" a="1"/>
  <c r="A4558" i="12" s="1"/>
  <c r="N4557" i="12"/>
  <c r="A4557" i="12" a="1"/>
  <c r="A4557" i="12" s="1"/>
  <c r="I4557" i="12" s="1"/>
  <c r="A4556" i="12" a="1"/>
  <c r="A4556" i="12" s="1"/>
  <c r="A4555" i="12" a="1"/>
  <c r="A4555" i="12" s="1"/>
  <c r="N4549" i="12"/>
  <c r="A4549" i="12" a="1"/>
  <c r="A4549" i="12" s="1"/>
  <c r="J4549" i="12" s="1"/>
  <c r="N4548" i="12"/>
  <c r="A4548" i="12" a="1"/>
  <c r="A4548" i="12" s="1"/>
  <c r="K4548" i="12" s="1"/>
  <c r="N4547" i="12"/>
  <c r="A4547" i="12" a="1"/>
  <c r="A4547" i="12" s="1"/>
  <c r="N4546" i="12"/>
  <c r="A4546" i="12" a="1"/>
  <c r="A4546" i="12" s="1"/>
  <c r="N4545" i="12"/>
  <c r="A4545" i="12" a="1"/>
  <c r="A4545" i="12" s="1"/>
  <c r="L4545" i="12" s="1"/>
  <c r="N4539" i="12"/>
  <c r="A4539" i="12" a="1"/>
  <c r="A4539" i="12" s="1"/>
  <c r="N4538" i="12"/>
  <c r="A4538" i="12" a="1"/>
  <c r="A4538" i="12" s="1"/>
  <c r="J4538" i="12" s="1"/>
  <c r="N4537" i="12"/>
  <c r="A4537" i="12" a="1"/>
  <c r="A4537" i="12" s="1"/>
  <c r="L4537" i="12" s="1"/>
  <c r="N4536" i="12"/>
  <c r="A4536" i="12" a="1"/>
  <c r="A4536" i="12" s="1"/>
  <c r="L4536" i="12" s="1"/>
  <c r="N4535" i="12"/>
  <c r="A4535" i="12" a="1"/>
  <c r="A4535" i="12" s="1"/>
  <c r="J4535" i="12" s="1"/>
  <c r="N4534" i="12"/>
  <c r="A4534" i="12" a="1"/>
  <c r="A4534" i="12" s="1"/>
  <c r="L4534" i="12" s="1"/>
  <c r="N4526" i="12"/>
  <c r="A4526" i="12" a="1"/>
  <c r="A4526" i="12" s="1"/>
  <c r="K4526" i="12" s="1"/>
  <c r="N4525" i="12"/>
  <c r="A4525" i="12" a="1"/>
  <c r="A4525" i="12" s="1"/>
  <c r="K4525" i="12" s="1"/>
  <c r="A4524" i="12" a="1"/>
  <c r="A4524" i="12" s="1"/>
  <c r="K4524" i="12" s="1"/>
  <c r="A4523" i="12" a="1"/>
  <c r="A4523" i="12" s="1"/>
  <c r="K4523" i="12" s="1"/>
  <c r="A4522" i="12" a="1"/>
  <c r="A4522" i="12" s="1"/>
  <c r="K4522" i="12" s="1"/>
  <c r="N4522" i="12" s="1"/>
  <c r="L4516" i="12"/>
  <c r="D4516" i="12"/>
  <c r="D4512" i="12"/>
  <c r="D4511" i="12"/>
  <c r="N4508" i="12"/>
  <c r="M4508" i="12"/>
  <c r="L4508" i="12"/>
  <c r="E4504" i="12"/>
  <c r="E4503" i="12"/>
  <c r="E4501" i="12"/>
  <c r="L4485" i="12"/>
  <c r="L4484" i="12"/>
  <c r="L4483" i="12"/>
  <c r="N4475" i="12"/>
  <c r="A4475" i="12" a="1"/>
  <c r="A4475" i="12" s="1"/>
  <c r="I4475" i="12" s="1"/>
  <c r="N4474" i="12"/>
  <c r="A4474" i="12" a="1"/>
  <c r="A4474" i="12" s="1"/>
  <c r="N4473" i="12"/>
  <c r="A4473" i="12" a="1"/>
  <c r="A4473" i="12" s="1"/>
  <c r="J4473" i="12" s="1"/>
  <c r="A4472" i="12" a="1"/>
  <c r="A4472" i="12" s="1"/>
  <c r="A4471" i="12" a="1"/>
  <c r="A4471" i="12" s="1"/>
  <c r="N4465" i="12"/>
  <c r="A4465" i="12" a="1"/>
  <c r="A4465" i="12" s="1"/>
  <c r="K4465" i="12" s="1"/>
  <c r="N4464" i="12"/>
  <c r="A4464" i="12" a="1"/>
  <c r="A4464" i="12" s="1"/>
  <c r="N4463" i="12"/>
  <c r="A4463" i="12" a="1"/>
  <c r="A4463" i="12" s="1"/>
  <c r="N4462" i="12"/>
  <c r="A4462" i="12" a="1"/>
  <c r="A4462" i="12" s="1"/>
  <c r="N4461" i="12"/>
  <c r="A4461" i="12" a="1"/>
  <c r="A4461" i="12" s="1"/>
  <c r="N4455" i="12"/>
  <c r="A4455" i="12" a="1"/>
  <c r="A4455" i="12" s="1"/>
  <c r="N4454" i="12"/>
  <c r="A4454" i="12" a="1"/>
  <c r="A4454" i="12" s="1"/>
  <c r="J4454" i="12" s="1"/>
  <c r="N4453" i="12"/>
  <c r="A4453" i="12" a="1"/>
  <c r="A4453" i="12" s="1"/>
  <c r="L4453" i="12" s="1"/>
  <c r="N4452" i="12"/>
  <c r="A4452" i="12" a="1"/>
  <c r="A4452" i="12" s="1"/>
  <c r="L4452" i="12" s="1"/>
  <c r="N4451" i="12"/>
  <c r="A4451" i="12" a="1"/>
  <c r="A4451" i="12" s="1"/>
  <c r="N4450" i="12"/>
  <c r="A4450" i="12" a="1"/>
  <c r="A4450" i="12" s="1"/>
  <c r="J4450" i="12" s="1"/>
  <c r="N4442" i="12"/>
  <c r="A4442" i="12" a="1"/>
  <c r="A4442" i="12" s="1"/>
  <c r="K4442" i="12" s="1"/>
  <c r="N4441" i="12"/>
  <c r="A4441" i="12" a="1"/>
  <c r="A4441" i="12" s="1"/>
  <c r="K4441" i="12" s="1"/>
  <c r="A4440" i="12" a="1"/>
  <c r="A4440" i="12" s="1"/>
  <c r="K4440" i="12" s="1"/>
  <c r="N4440" i="12" s="1"/>
  <c r="A4439" i="12" a="1"/>
  <c r="A4439" i="12" s="1"/>
  <c r="K4439" i="12" s="1"/>
  <c r="A4438" i="12" a="1"/>
  <c r="A4438" i="12" s="1"/>
  <c r="K4438" i="12" s="1"/>
  <c r="N4438" i="12" s="1"/>
  <c r="L4432" i="12"/>
  <c r="D4432" i="12"/>
  <c r="D4428" i="12"/>
  <c r="D4427" i="12"/>
  <c r="N4424" i="12"/>
  <c r="M4424" i="12"/>
  <c r="L4424" i="12"/>
  <c r="E4420" i="12"/>
  <c r="E4419" i="12"/>
  <c r="E4417" i="12"/>
  <c r="L4401" i="12"/>
  <c r="L4400" i="12"/>
  <c r="L4399" i="12"/>
  <c r="N4391" i="12"/>
  <c r="A4391" i="12" a="1"/>
  <c r="A4391" i="12" s="1"/>
  <c r="K4391" i="12" s="1"/>
  <c r="N4390" i="12"/>
  <c r="A4390" i="12" a="1"/>
  <c r="A4390" i="12" s="1"/>
  <c r="N4389" i="12"/>
  <c r="A4389" i="12" a="1"/>
  <c r="A4389" i="12" s="1"/>
  <c r="K4389" i="12" s="1"/>
  <c r="A4388" i="12" a="1"/>
  <c r="A4388" i="12" s="1"/>
  <c r="A4387" i="12" a="1"/>
  <c r="A4387" i="12" s="1"/>
  <c r="N4381" i="12"/>
  <c r="A4381" i="12" a="1"/>
  <c r="A4381" i="12" s="1"/>
  <c r="N4380" i="12"/>
  <c r="A4380" i="12" a="1"/>
  <c r="A4380" i="12" s="1"/>
  <c r="N4379" i="12"/>
  <c r="A4379" i="12" a="1"/>
  <c r="A4379" i="12" s="1"/>
  <c r="N4378" i="12"/>
  <c r="A4378" i="12" a="1"/>
  <c r="A4378" i="12" s="1"/>
  <c r="N4377" i="12"/>
  <c r="A4377" i="12" a="1"/>
  <c r="A4377" i="12" s="1"/>
  <c r="N4371" i="12"/>
  <c r="A4371" i="12" a="1"/>
  <c r="A4371" i="12" s="1"/>
  <c r="N4370" i="12"/>
  <c r="A4370" i="12" a="1"/>
  <c r="A4370" i="12" s="1"/>
  <c r="N4369" i="12"/>
  <c r="A4369" i="12" a="1"/>
  <c r="A4369" i="12" s="1"/>
  <c r="N4368" i="12"/>
  <c r="A4368" i="12" a="1"/>
  <c r="A4368" i="12" s="1"/>
  <c r="N4367" i="12"/>
  <c r="A4367" i="12" a="1"/>
  <c r="A4367" i="12" s="1"/>
  <c r="J4367" i="12" s="1"/>
  <c r="N4366" i="12"/>
  <c r="A4366" i="12" a="1"/>
  <c r="A4366" i="12" s="1"/>
  <c r="L4366" i="12" s="1"/>
  <c r="N4358" i="12"/>
  <c r="A4358" i="12" a="1"/>
  <c r="A4358" i="12" s="1"/>
  <c r="K4358" i="12" s="1"/>
  <c r="N4357" i="12"/>
  <c r="A4357" i="12" a="1"/>
  <c r="A4357" i="12" s="1"/>
  <c r="K4357" i="12" s="1"/>
  <c r="A4356" i="12" a="1"/>
  <c r="A4356" i="12" s="1"/>
  <c r="K4356" i="12" s="1"/>
  <c r="A4355" i="12" a="1"/>
  <c r="A4355" i="12" s="1"/>
  <c r="K4355" i="12" s="1"/>
  <c r="A4354" i="12" a="1"/>
  <c r="A4354" i="12" s="1"/>
  <c r="K4354" i="12" s="1"/>
  <c r="L4348" i="12"/>
  <c r="D4348" i="12"/>
  <c r="D4344" i="12"/>
  <c r="D4343" i="12"/>
  <c r="N4340" i="12"/>
  <c r="M4340" i="12"/>
  <c r="L4340" i="12"/>
  <c r="E4336" i="12"/>
  <c r="E4335" i="12"/>
  <c r="E4333" i="12"/>
  <c r="L4316" i="12"/>
  <c r="L4315" i="12"/>
  <c r="L4314" i="12"/>
  <c r="N4306" i="12"/>
  <c r="A4306" i="12" a="1"/>
  <c r="A4306" i="12" s="1"/>
  <c r="N4305" i="12"/>
  <c r="A4305" i="12" a="1"/>
  <c r="A4305" i="12" s="1"/>
  <c r="K4305" i="12" s="1"/>
  <c r="N4304" i="12"/>
  <c r="A4304" i="12" a="1"/>
  <c r="A4304" i="12" s="1"/>
  <c r="K4304" i="12" s="1"/>
  <c r="A4303" i="12" a="1"/>
  <c r="A4303" i="12" s="1"/>
  <c r="A4302" i="12" a="1"/>
  <c r="A4302" i="12" s="1"/>
  <c r="N4296" i="12"/>
  <c r="A4296" i="12" a="1"/>
  <c r="A4296" i="12" s="1"/>
  <c r="N4295" i="12"/>
  <c r="A4295" i="12" a="1"/>
  <c r="A4295" i="12" s="1"/>
  <c r="N4294" i="12"/>
  <c r="A4294" i="12" a="1"/>
  <c r="A4294" i="12" s="1"/>
  <c r="N4293" i="12"/>
  <c r="A4293" i="12" a="1"/>
  <c r="A4293" i="12" s="1"/>
  <c r="N4292" i="12"/>
  <c r="A4292" i="12" a="1"/>
  <c r="A4292" i="12" s="1"/>
  <c r="N4286" i="12"/>
  <c r="A4286" i="12" a="1"/>
  <c r="A4286" i="12" s="1"/>
  <c r="N4285" i="12"/>
  <c r="A4285" i="12" a="1"/>
  <c r="A4285" i="12" s="1"/>
  <c r="N4284" i="12"/>
  <c r="A4284" i="12" a="1"/>
  <c r="A4284" i="12" s="1"/>
  <c r="N4283" i="12"/>
  <c r="A4283" i="12" a="1"/>
  <c r="A4283" i="12" s="1"/>
  <c r="N4282" i="12"/>
  <c r="A4282" i="12" a="1"/>
  <c r="A4282" i="12" s="1"/>
  <c r="A4281" i="12" a="1"/>
  <c r="A4281" i="12" s="1"/>
  <c r="N4273" i="12"/>
  <c r="A4273" i="12" a="1"/>
  <c r="A4273" i="12" s="1"/>
  <c r="K4273" i="12" s="1"/>
  <c r="N4272" i="12"/>
  <c r="A4272" i="12" a="1"/>
  <c r="A4272" i="12" s="1"/>
  <c r="K4272" i="12" s="1"/>
  <c r="N4271" i="12"/>
  <c r="A4271" i="12" a="1"/>
  <c r="A4271" i="12" s="1"/>
  <c r="K4271" i="12" s="1"/>
  <c r="N4270" i="12"/>
  <c r="A4270" i="12" a="1"/>
  <c r="A4270" i="12" s="1"/>
  <c r="K4270" i="12" s="1"/>
  <c r="N4269" i="12"/>
  <c r="A4269" i="12" a="1"/>
  <c r="A4269" i="12" s="1"/>
  <c r="K4269" i="12" s="1"/>
  <c r="L4263" i="12"/>
  <c r="D4263" i="12"/>
  <c r="D4259" i="12"/>
  <c r="D4258" i="12"/>
  <c r="N4255" i="12"/>
  <c r="M4255" i="12"/>
  <c r="L4255" i="12"/>
  <c r="E4251" i="12"/>
  <c r="E4250" i="12"/>
  <c r="E4248" i="12"/>
  <c r="L4231" i="12"/>
  <c r="L4230" i="12"/>
  <c r="L4229" i="12"/>
  <c r="N4221" i="12"/>
  <c r="A4221" i="12" a="1"/>
  <c r="A4221" i="12" s="1"/>
  <c r="N4220" i="12"/>
  <c r="A4220" i="12" a="1"/>
  <c r="A4220" i="12" s="1"/>
  <c r="K4220" i="12" s="1"/>
  <c r="N4219" i="12"/>
  <c r="A4219" i="12" a="1"/>
  <c r="A4219" i="12" s="1"/>
  <c r="J4219" i="12" s="1"/>
  <c r="N4218" i="12"/>
  <c r="A4218" i="12" a="1"/>
  <c r="A4218" i="12" s="1"/>
  <c r="A4217" i="12" a="1"/>
  <c r="A4217" i="12" s="1"/>
  <c r="N4211" i="12"/>
  <c r="A4211" i="12" a="1"/>
  <c r="A4211" i="12" s="1"/>
  <c r="L4211" i="12" s="1"/>
  <c r="N4210" i="12"/>
  <c r="A4210" i="12" a="1"/>
  <c r="A4210" i="12" s="1"/>
  <c r="N4209" i="12"/>
  <c r="A4209" i="12" a="1"/>
  <c r="A4209" i="12" s="1"/>
  <c r="L4209" i="12" s="1"/>
  <c r="N4208" i="12"/>
  <c r="A4208" i="12" a="1"/>
  <c r="A4208" i="12" s="1"/>
  <c r="J4208" i="12" s="1"/>
  <c r="N4207" i="12"/>
  <c r="A4207" i="12" a="1"/>
  <c r="A4207" i="12" s="1"/>
  <c r="N4201" i="12"/>
  <c r="A4201" i="12" a="1"/>
  <c r="A4201" i="12" s="1"/>
  <c r="N4200" i="12"/>
  <c r="A4200" i="12" a="1"/>
  <c r="A4200" i="12" s="1"/>
  <c r="N4199" i="12"/>
  <c r="A4199" i="12" a="1"/>
  <c r="A4199" i="12" s="1"/>
  <c r="J4199" i="12" s="1"/>
  <c r="N4198" i="12"/>
  <c r="A4198" i="12" a="1"/>
  <c r="A4198" i="12" s="1"/>
  <c r="L4198" i="12" s="1"/>
  <c r="N4197" i="12"/>
  <c r="A4197" i="12" a="1"/>
  <c r="A4197" i="12" s="1"/>
  <c r="A4196" i="12" a="1"/>
  <c r="A4196" i="12" s="1"/>
  <c r="J4196" i="12" s="1"/>
  <c r="N4188" i="12"/>
  <c r="A4188" i="12" a="1"/>
  <c r="A4188" i="12" s="1"/>
  <c r="K4188" i="12" s="1"/>
  <c r="N4187" i="12"/>
  <c r="A4187" i="12" a="1"/>
  <c r="A4187" i="12" s="1"/>
  <c r="K4187" i="12" s="1"/>
  <c r="N4186" i="12"/>
  <c r="A4186" i="12" a="1"/>
  <c r="A4186" i="12" s="1"/>
  <c r="K4186" i="12" s="1"/>
  <c r="N4185" i="12"/>
  <c r="A4185" i="12" a="1"/>
  <c r="A4185" i="12" s="1"/>
  <c r="K4185" i="12" s="1"/>
  <c r="N4184" i="12"/>
  <c r="A4184" i="12" a="1"/>
  <c r="A4184" i="12" s="1"/>
  <c r="K4184" i="12" s="1"/>
  <c r="L4178" i="12"/>
  <c r="D4178" i="12"/>
  <c r="D4174" i="12"/>
  <c r="D4173" i="12"/>
  <c r="N4170" i="12"/>
  <c r="M4170" i="12"/>
  <c r="L4170" i="12"/>
  <c r="E4166" i="12"/>
  <c r="E4165" i="12"/>
  <c r="E4163" i="12"/>
  <c r="L4146" i="12"/>
  <c r="L4145" i="12"/>
  <c r="L4144" i="12"/>
  <c r="N4136" i="12"/>
  <c r="A4136" i="12" a="1"/>
  <c r="A4136" i="12" s="1"/>
  <c r="N4135" i="12"/>
  <c r="A4135" i="12" a="1"/>
  <c r="A4135" i="12" s="1"/>
  <c r="J4135" i="12" s="1"/>
  <c r="N4134" i="12"/>
  <c r="A4134" i="12" a="1"/>
  <c r="A4134" i="12" s="1"/>
  <c r="I4134" i="12" s="1"/>
  <c r="N4133" i="12"/>
  <c r="A4133" i="12" a="1"/>
  <c r="A4133" i="12" s="1"/>
  <c r="A4132" i="12" a="1"/>
  <c r="A4132" i="12" s="1"/>
  <c r="N4126" i="12"/>
  <c r="A4126" i="12" a="1"/>
  <c r="A4126" i="12" s="1"/>
  <c r="L4126" i="12" s="1"/>
  <c r="N4125" i="12"/>
  <c r="A4125" i="12" a="1"/>
  <c r="A4125" i="12" s="1"/>
  <c r="J4125" i="12" s="1"/>
  <c r="N4124" i="12"/>
  <c r="A4124" i="12" a="1"/>
  <c r="A4124" i="12" s="1"/>
  <c r="N4123" i="12"/>
  <c r="A4123" i="12" a="1"/>
  <c r="A4123" i="12" s="1"/>
  <c r="N4122" i="12"/>
  <c r="A4122" i="12" a="1"/>
  <c r="A4122" i="12" s="1"/>
  <c r="N4116" i="12"/>
  <c r="A4116" i="12" a="1"/>
  <c r="A4116" i="12" s="1"/>
  <c r="N4115" i="12"/>
  <c r="A4115" i="12" a="1"/>
  <c r="A4115" i="12" s="1"/>
  <c r="L4115" i="12" s="1"/>
  <c r="N4114" i="12"/>
  <c r="A4114" i="12" a="1"/>
  <c r="A4114" i="12" s="1"/>
  <c r="N4113" i="12"/>
  <c r="A4113" i="12" a="1"/>
  <c r="A4113" i="12" s="1"/>
  <c r="J4113" i="12" s="1"/>
  <c r="N4103" i="12"/>
  <c r="A4103" i="12" a="1"/>
  <c r="A4103" i="12" s="1"/>
  <c r="K4103" i="12" s="1"/>
  <c r="N4102" i="12"/>
  <c r="A4102" i="12" a="1"/>
  <c r="A4102" i="12" s="1"/>
  <c r="K4102" i="12" s="1"/>
  <c r="N4101" i="12"/>
  <c r="A4101" i="12" a="1"/>
  <c r="A4101" i="12" s="1"/>
  <c r="K4101" i="12" s="1"/>
  <c r="N4100" i="12"/>
  <c r="A4100" i="12" a="1"/>
  <c r="A4100" i="12" s="1"/>
  <c r="K4100" i="12" s="1"/>
  <c r="N4099" i="12"/>
  <c r="A4099" i="12" a="1"/>
  <c r="A4099" i="12" s="1"/>
  <c r="K4099" i="12" s="1"/>
  <c r="L4093" i="12"/>
  <c r="D4093" i="12"/>
  <c r="D4089" i="12"/>
  <c r="D4088" i="12"/>
  <c r="N4085" i="12"/>
  <c r="M4085" i="12"/>
  <c r="L4085" i="12"/>
  <c r="E4081" i="12"/>
  <c r="E4080" i="12"/>
  <c r="E4078" i="12"/>
  <c r="L4061" i="12"/>
  <c r="L4060" i="12"/>
  <c r="L4059" i="12"/>
  <c r="N4051" i="12"/>
  <c r="A4051" i="12" a="1"/>
  <c r="A4051" i="12" s="1"/>
  <c r="K4051" i="12" s="1"/>
  <c r="N4050" i="12"/>
  <c r="A4050" i="12" a="1"/>
  <c r="A4050" i="12" s="1"/>
  <c r="N4049" i="12"/>
  <c r="A4049" i="12" a="1"/>
  <c r="A4049" i="12" s="1"/>
  <c r="J4049" i="12" s="1"/>
  <c r="N4048" i="12"/>
  <c r="A4048" i="12" a="1"/>
  <c r="A4048" i="12" s="1"/>
  <c r="A4047" i="12" a="1"/>
  <c r="A4047" i="12" s="1"/>
  <c r="N4041" i="12"/>
  <c r="A4041" i="12" a="1"/>
  <c r="A4041" i="12" s="1"/>
  <c r="K4041" i="12" s="1"/>
  <c r="N4040" i="12"/>
  <c r="A4040" i="12" a="1"/>
  <c r="A4040" i="12" s="1"/>
  <c r="N4039" i="12"/>
  <c r="A4039" i="12" a="1"/>
  <c r="A4039" i="12" s="1"/>
  <c r="N4038" i="12"/>
  <c r="A4038" i="12" a="1"/>
  <c r="A4038" i="12" s="1"/>
  <c r="J4038" i="12" s="1"/>
  <c r="N4037" i="12"/>
  <c r="A4037" i="12" a="1"/>
  <c r="A4037" i="12" s="1"/>
  <c r="N4031" i="12"/>
  <c r="A4031" i="12" a="1"/>
  <c r="A4031" i="12" s="1"/>
  <c r="N4030" i="12"/>
  <c r="A4030" i="12" a="1"/>
  <c r="A4030" i="12" s="1"/>
  <c r="N4029" i="12"/>
  <c r="A4029" i="12" a="1"/>
  <c r="A4029" i="12" s="1"/>
  <c r="J4029" i="12" s="1"/>
  <c r="N4028" i="12"/>
  <c r="A4028" i="12" a="1"/>
  <c r="A4028" i="12" s="1"/>
  <c r="N4018" i="12"/>
  <c r="A4018" i="12" a="1"/>
  <c r="A4018" i="12" s="1"/>
  <c r="K4018" i="12" s="1"/>
  <c r="N4017" i="12"/>
  <c r="A4017" i="12" a="1"/>
  <c r="A4017" i="12" s="1"/>
  <c r="K4017" i="12" s="1"/>
  <c r="N4016" i="12"/>
  <c r="A4016" i="12" a="1"/>
  <c r="A4016" i="12" s="1"/>
  <c r="K4016" i="12" s="1"/>
  <c r="N4015" i="12"/>
  <c r="A4015" i="12" a="1"/>
  <c r="A4015" i="12" s="1"/>
  <c r="K4015" i="12" s="1"/>
  <c r="N4014" i="12"/>
  <c r="A4014" i="12" a="1"/>
  <c r="A4014" i="12" s="1"/>
  <c r="K4014" i="12" s="1"/>
  <c r="L4008" i="12"/>
  <c r="D4008" i="12"/>
  <c r="D4004" i="12"/>
  <c r="D4003" i="12"/>
  <c r="N4000" i="12"/>
  <c r="M4000" i="12"/>
  <c r="L4000" i="12"/>
  <c r="E3996" i="12"/>
  <c r="E3995" i="12"/>
  <c r="E3993" i="12"/>
  <c r="L3976" i="12"/>
  <c r="L3975" i="12"/>
  <c r="L3974" i="12"/>
  <c r="N3966" i="12"/>
  <c r="A3966" i="12" a="1"/>
  <c r="A3966" i="12" s="1"/>
  <c r="J3966" i="12" s="1"/>
  <c r="N3965" i="12"/>
  <c r="A3965" i="12" a="1"/>
  <c r="A3965" i="12" s="1"/>
  <c r="I3965" i="12" s="1"/>
  <c r="N3964" i="12"/>
  <c r="A3964" i="12" a="1"/>
  <c r="A3964" i="12" s="1"/>
  <c r="A3963" i="12" a="1"/>
  <c r="A3963" i="12" s="1"/>
  <c r="A3962" i="12" a="1"/>
  <c r="A3962" i="12" s="1"/>
  <c r="N3956" i="12"/>
  <c r="A3956" i="12" a="1"/>
  <c r="A3956" i="12" s="1"/>
  <c r="N3955" i="12"/>
  <c r="A3955" i="12" a="1"/>
  <c r="A3955" i="12" s="1"/>
  <c r="N3954" i="12"/>
  <c r="A3954" i="12" a="1"/>
  <c r="A3954" i="12" s="1"/>
  <c r="L3954" i="12" s="1"/>
  <c r="N3953" i="12"/>
  <c r="A3953" i="12" a="1"/>
  <c r="A3953" i="12" s="1"/>
  <c r="J3953" i="12" s="1"/>
  <c r="N3952" i="12"/>
  <c r="A3952" i="12" a="1"/>
  <c r="A3952" i="12" s="1"/>
  <c r="N3946" i="12"/>
  <c r="A3946" i="12" a="1"/>
  <c r="A3946" i="12" s="1"/>
  <c r="A3945" i="12" a="1"/>
  <c r="A3945" i="12" s="1"/>
  <c r="N3933" i="12"/>
  <c r="A3933" i="12" a="1"/>
  <c r="A3933" i="12" s="1"/>
  <c r="K3933" i="12" s="1"/>
  <c r="N3932" i="12"/>
  <c r="A3932" i="12" a="1"/>
  <c r="A3932" i="12" s="1"/>
  <c r="K3932" i="12" s="1"/>
  <c r="N3931" i="12"/>
  <c r="A3931" i="12" a="1"/>
  <c r="A3931" i="12" s="1"/>
  <c r="K3931" i="12" s="1"/>
  <c r="N3930" i="12"/>
  <c r="A3930" i="12" a="1"/>
  <c r="A3930" i="12" s="1"/>
  <c r="K3930" i="12" s="1"/>
  <c r="N3929" i="12"/>
  <c r="A3929" i="12" a="1"/>
  <c r="A3929" i="12" s="1"/>
  <c r="K3929" i="12" s="1"/>
  <c r="L3923" i="12"/>
  <c r="D3923" i="12"/>
  <c r="D3919" i="12"/>
  <c r="D3918" i="12"/>
  <c r="N3915" i="12"/>
  <c r="M3915" i="12"/>
  <c r="L3915" i="12"/>
  <c r="E3911" i="12"/>
  <c r="E3910" i="12"/>
  <c r="E3908" i="12"/>
  <c r="L3890" i="12"/>
  <c r="L3889" i="12"/>
  <c r="L3888" i="12"/>
  <c r="N3880" i="12"/>
  <c r="A3880" i="12" a="1"/>
  <c r="A3880" i="12" s="1"/>
  <c r="I3880" i="12" s="1"/>
  <c r="N3879" i="12"/>
  <c r="A3879" i="12" a="1"/>
  <c r="A3879" i="12" s="1"/>
  <c r="N3878" i="12"/>
  <c r="A3878" i="12" a="1"/>
  <c r="A3878" i="12" s="1"/>
  <c r="A3877" i="12" a="1"/>
  <c r="A3877" i="12" s="1"/>
  <c r="A3876" i="12" a="1"/>
  <c r="A3876" i="12" s="1"/>
  <c r="N3870" i="12"/>
  <c r="A3870" i="12" a="1"/>
  <c r="A3870" i="12" s="1"/>
  <c r="J3870" i="12" s="1"/>
  <c r="N3869" i="12"/>
  <c r="A3869" i="12" a="1"/>
  <c r="A3869" i="12" s="1"/>
  <c r="J3869" i="12" s="1"/>
  <c r="N3868" i="12"/>
  <c r="A3868" i="12" a="1"/>
  <c r="A3868" i="12" s="1"/>
  <c r="J3868" i="12" s="1"/>
  <c r="N3867" i="12"/>
  <c r="A3867" i="12" a="1"/>
  <c r="A3867" i="12" s="1"/>
  <c r="N3866" i="12"/>
  <c r="A3866" i="12" a="1"/>
  <c r="A3866" i="12" s="1"/>
  <c r="N3860" i="12"/>
  <c r="A3860" i="12" a="1"/>
  <c r="A3860" i="12" s="1"/>
  <c r="J3860" i="12" s="1"/>
  <c r="N3859" i="12"/>
  <c r="A3859" i="12" a="1"/>
  <c r="A3859" i="12" s="1"/>
  <c r="N3858" i="12"/>
  <c r="A3858" i="12" a="1"/>
  <c r="A3858" i="12" s="1"/>
  <c r="L3858" i="12" s="1"/>
  <c r="N3857" i="12"/>
  <c r="A3857" i="12" a="1"/>
  <c r="A3857" i="12" s="1"/>
  <c r="N3856" i="12"/>
  <c r="A3856" i="12" a="1"/>
  <c r="A3856" i="12" s="1"/>
  <c r="N3855" i="12"/>
  <c r="A3855" i="12" a="1"/>
  <c r="A3855" i="12" s="1"/>
  <c r="N3847" i="12"/>
  <c r="A3847" i="12" a="1"/>
  <c r="A3847" i="12" s="1"/>
  <c r="K3847" i="12" s="1"/>
  <c r="N3846" i="12"/>
  <c r="A3846" i="12" a="1"/>
  <c r="A3846" i="12" s="1"/>
  <c r="K3846" i="12" s="1"/>
  <c r="N3845" i="12"/>
  <c r="A3845" i="12" a="1"/>
  <c r="A3845" i="12" s="1"/>
  <c r="K3845" i="12" s="1"/>
  <c r="A3844" i="12" a="1"/>
  <c r="A3844" i="12" s="1"/>
  <c r="K3844" i="12" s="1"/>
  <c r="N3844" i="12" s="1"/>
  <c r="N3843" i="12"/>
  <c r="A3843" i="12" a="1"/>
  <c r="A3843" i="12" s="1"/>
  <c r="K3843" i="12" s="1"/>
  <c r="L3837" i="12"/>
  <c r="D3837" i="12"/>
  <c r="D3833" i="12"/>
  <c r="D3832" i="12"/>
  <c r="N3829" i="12"/>
  <c r="M3829" i="12"/>
  <c r="L3829" i="12"/>
  <c r="E3825" i="12"/>
  <c r="E3824" i="12"/>
  <c r="E3822" i="12"/>
  <c r="L3805" i="12"/>
  <c r="L3804" i="12"/>
  <c r="L3803" i="12"/>
  <c r="N3795" i="12"/>
  <c r="A3795" i="12" a="1"/>
  <c r="A3795" i="12" s="1"/>
  <c r="K3795" i="12" s="1"/>
  <c r="N3794" i="12"/>
  <c r="A3794" i="12" a="1"/>
  <c r="A3794" i="12" s="1"/>
  <c r="N3793" i="12"/>
  <c r="A3793" i="12" a="1"/>
  <c r="A3793" i="12" s="1"/>
  <c r="J3793" i="12" s="1"/>
  <c r="A3792" i="12" a="1"/>
  <c r="A3792" i="12" s="1"/>
  <c r="I3792" i="12" s="1"/>
  <c r="A3791" i="12" a="1"/>
  <c r="A3791" i="12" s="1"/>
  <c r="N3785" i="12"/>
  <c r="A3785" i="12" a="1"/>
  <c r="A3785" i="12" s="1"/>
  <c r="N3784" i="12"/>
  <c r="A3784" i="12" a="1"/>
  <c r="A3784" i="12" s="1"/>
  <c r="K3784" i="12" s="1"/>
  <c r="N3783" i="12"/>
  <c r="A3783" i="12" a="1"/>
  <c r="A3783" i="12" s="1"/>
  <c r="J3783" i="12" s="1"/>
  <c r="N3782" i="12"/>
  <c r="A3782" i="12" a="1"/>
  <c r="A3782" i="12" s="1"/>
  <c r="N3781" i="12"/>
  <c r="A3781" i="12" a="1"/>
  <c r="A3781" i="12" s="1"/>
  <c r="N3775" i="12"/>
  <c r="A3775" i="12" a="1"/>
  <c r="A3775" i="12" s="1"/>
  <c r="L3775" i="12" s="1"/>
  <c r="N3774" i="12"/>
  <c r="A3774" i="12" a="1"/>
  <c r="A3774" i="12" s="1"/>
  <c r="N3773" i="12"/>
  <c r="A3773" i="12" a="1"/>
  <c r="A3773" i="12" s="1"/>
  <c r="L3773" i="12" s="1"/>
  <c r="N3772" i="12"/>
  <c r="A3772" i="12" a="1"/>
  <c r="A3772" i="12" s="1"/>
  <c r="N3771" i="12"/>
  <c r="A3771" i="12" a="1"/>
  <c r="A3771" i="12" s="1"/>
  <c r="N3770" i="12"/>
  <c r="A3770" i="12" a="1"/>
  <c r="A3770" i="12" s="1"/>
  <c r="A3769" i="12" a="1"/>
  <c r="A3769" i="12" s="1"/>
  <c r="L3769" i="12" s="1"/>
  <c r="N3769" i="12" s="1"/>
  <c r="N3762" i="12"/>
  <c r="A3762" i="12" a="1"/>
  <c r="A3762" i="12" s="1"/>
  <c r="K3762" i="12" s="1"/>
  <c r="N3761" i="12"/>
  <c r="A3761" i="12" a="1"/>
  <c r="A3761" i="12" s="1"/>
  <c r="K3761" i="12" s="1"/>
  <c r="N3760" i="12"/>
  <c r="A3760" i="12" a="1"/>
  <c r="A3760" i="12" s="1"/>
  <c r="K3760" i="12" s="1"/>
  <c r="N3759" i="12"/>
  <c r="A3759" i="12" a="1"/>
  <c r="A3759" i="12" s="1"/>
  <c r="K3759" i="12" s="1"/>
  <c r="A3758" i="12" a="1"/>
  <c r="A3758" i="12" s="1"/>
  <c r="K3758" i="12" s="1"/>
  <c r="N3758" i="12" s="1"/>
  <c r="L3752" i="12"/>
  <c r="D3752" i="12"/>
  <c r="D3748" i="12"/>
  <c r="D3747" i="12"/>
  <c r="N3744" i="12"/>
  <c r="M3744" i="12"/>
  <c r="L3744" i="12"/>
  <c r="E3740" i="12"/>
  <c r="E3739" i="12"/>
  <c r="E3737" i="12"/>
  <c r="L3720" i="12"/>
  <c r="L3719" i="12"/>
  <c r="L3718" i="12"/>
  <c r="N3710" i="12"/>
  <c r="A3710" i="12" a="1"/>
  <c r="A3710" i="12" s="1"/>
  <c r="N3709" i="12"/>
  <c r="A3709" i="12" a="1"/>
  <c r="A3709" i="12" s="1"/>
  <c r="K3709" i="12" s="1"/>
  <c r="N3708" i="12"/>
  <c r="A3708" i="12" a="1"/>
  <c r="A3708" i="12" s="1"/>
  <c r="K3708" i="12" s="1"/>
  <c r="N3707" i="12"/>
  <c r="A3707" i="12" a="1"/>
  <c r="A3707" i="12" s="1"/>
  <c r="A3706" i="12" a="1"/>
  <c r="A3706" i="12" s="1"/>
  <c r="N3700" i="12"/>
  <c r="A3700" i="12" a="1"/>
  <c r="A3700" i="12" s="1"/>
  <c r="L3700" i="12" s="1"/>
  <c r="N3699" i="12"/>
  <c r="A3699" i="12" a="1"/>
  <c r="A3699" i="12" s="1"/>
  <c r="J3699" i="12" s="1"/>
  <c r="N3698" i="12"/>
  <c r="A3698" i="12" a="1"/>
  <c r="A3698" i="12" s="1"/>
  <c r="N3697" i="12"/>
  <c r="A3697" i="12" a="1"/>
  <c r="A3697" i="12" s="1"/>
  <c r="N3696" i="12"/>
  <c r="A3696" i="12" a="1"/>
  <c r="A3696" i="12" s="1"/>
  <c r="N3690" i="12"/>
  <c r="A3690" i="12" a="1"/>
  <c r="A3690" i="12" s="1"/>
  <c r="L3689" i="12"/>
  <c r="J3689" i="12"/>
  <c r="L3688" i="12"/>
  <c r="J3688" i="12"/>
  <c r="N3687" i="12"/>
  <c r="A3687" i="12" a="1"/>
  <c r="A3687" i="12" s="1"/>
  <c r="N3686" i="12"/>
  <c r="A3686" i="12" a="1"/>
  <c r="A3686" i="12" s="1"/>
  <c r="A3685" i="12" a="1"/>
  <c r="A3685" i="12" s="1"/>
  <c r="L3685" i="12" s="1"/>
  <c r="N3685" i="12" s="1"/>
  <c r="N3684" i="12"/>
  <c r="A3684" i="12" a="1"/>
  <c r="A3684" i="12" s="1"/>
  <c r="N3683" i="12"/>
  <c r="A3683" i="12" a="1"/>
  <c r="A3683" i="12" s="1"/>
  <c r="J3683" i="12" s="1"/>
  <c r="A3682" i="12" a="1"/>
  <c r="A3682" i="12" s="1"/>
  <c r="A3681" i="12" a="1"/>
  <c r="A3681" i="12" s="1"/>
  <c r="N3675" i="12"/>
  <c r="A3675" i="12" a="1"/>
  <c r="A3675" i="12" s="1"/>
  <c r="K3675" i="12" s="1"/>
  <c r="N3674" i="12"/>
  <c r="A3674" i="12" a="1"/>
  <c r="A3674" i="12" s="1"/>
  <c r="K3674" i="12" s="1"/>
  <c r="N3673" i="12"/>
  <c r="A3673" i="12" a="1"/>
  <c r="A3673" i="12" s="1"/>
  <c r="K3673" i="12" s="1"/>
  <c r="N3672" i="12"/>
  <c r="A3672" i="12" a="1"/>
  <c r="A3672" i="12" s="1"/>
  <c r="K3672" i="12" s="1"/>
  <c r="A3671" i="12" a="1"/>
  <c r="A3671" i="12" s="1"/>
  <c r="K3671" i="12" s="1"/>
  <c r="N3671" i="12" s="1"/>
  <c r="L3665" i="12"/>
  <c r="D3665" i="12"/>
  <c r="D3661" i="12"/>
  <c r="D3660" i="12"/>
  <c r="N3657" i="12"/>
  <c r="M3657" i="12"/>
  <c r="L3657" i="12"/>
  <c r="E3653" i="12"/>
  <c r="E3652" i="12"/>
  <c r="E3650" i="12"/>
  <c r="L3634" i="12"/>
  <c r="L3633" i="12"/>
  <c r="L3632" i="12"/>
  <c r="N3624" i="12"/>
  <c r="A3624" i="12" a="1"/>
  <c r="A3624" i="12" s="1"/>
  <c r="N3623" i="12"/>
  <c r="A3623" i="12" a="1"/>
  <c r="A3623" i="12" s="1"/>
  <c r="I3623" i="12" s="1"/>
  <c r="N3622" i="12"/>
  <c r="A3622" i="12" a="1"/>
  <c r="A3622" i="12" s="1"/>
  <c r="N3621" i="12"/>
  <c r="A3621" i="12" a="1"/>
  <c r="A3621" i="12" s="1"/>
  <c r="K3621" i="12" s="1"/>
  <c r="A3620" i="12" a="1"/>
  <c r="A3620" i="12" s="1"/>
  <c r="N3614" i="12"/>
  <c r="A3614" i="12" a="1"/>
  <c r="A3614" i="12" s="1"/>
  <c r="N3613" i="12"/>
  <c r="A3613" i="12" a="1"/>
  <c r="A3613" i="12" s="1"/>
  <c r="N3612" i="12"/>
  <c r="A3612" i="12" a="1"/>
  <c r="A3612" i="12" s="1"/>
  <c r="J3612" i="12" s="1"/>
  <c r="N3611" i="12"/>
  <c r="A3611" i="12" a="1"/>
  <c r="A3611" i="12" s="1"/>
  <c r="K3611" i="12" s="1"/>
  <c r="N3610" i="12"/>
  <c r="A3610" i="12" a="1"/>
  <c r="A3610" i="12" s="1"/>
  <c r="N3604" i="12"/>
  <c r="N3589" i="12"/>
  <c r="A3589" i="12" a="1"/>
  <c r="A3589" i="12" s="1"/>
  <c r="K3589" i="12" s="1"/>
  <c r="N3588" i="12"/>
  <c r="A3588" i="12" a="1"/>
  <c r="A3588" i="12" s="1"/>
  <c r="K3588" i="12" s="1"/>
  <c r="N3587" i="12"/>
  <c r="A3587" i="12" a="1"/>
  <c r="A3587" i="12" s="1"/>
  <c r="K3587" i="12" s="1"/>
  <c r="N3586" i="12"/>
  <c r="A3586" i="12" a="1"/>
  <c r="A3586" i="12" s="1"/>
  <c r="K3586" i="12" s="1"/>
  <c r="A3585" i="12" a="1"/>
  <c r="A3585" i="12" s="1"/>
  <c r="K3585" i="12" s="1"/>
  <c r="N3585" i="12" s="1"/>
  <c r="L3579" i="12"/>
  <c r="D3579" i="12"/>
  <c r="D3575" i="12"/>
  <c r="D3574" i="12"/>
  <c r="N3571" i="12"/>
  <c r="M3571" i="12"/>
  <c r="L3571" i="12"/>
  <c r="E3567" i="12"/>
  <c r="E3566" i="12"/>
  <c r="E3564" i="12"/>
  <c r="L3548" i="12"/>
  <c r="L3547" i="12"/>
  <c r="L3546" i="12"/>
  <c r="N3538" i="12"/>
  <c r="A3538" i="12" a="1"/>
  <c r="A3538" i="12" s="1"/>
  <c r="N3537" i="12"/>
  <c r="A3537" i="12" a="1"/>
  <c r="A3537" i="12" s="1"/>
  <c r="I3537" i="12" s="1"/>
  <c r="N3536" i="12"/>
  <c r="A3536" i="12" a="1"/>
  <c r="A3536" i="12" s="1"/>
  <c r="J3536" i="12" s="1"/>
  <c r="N3535" i="12"/>
  <c r="A3535" i="12" a="1"/>
  <c r="A3535" i="12" s="1"/>
  <c r="A3534" i="12" a="1"/>
  <c r="A3534" i="12" s="1"/>
  <c r="N3528" i="12"/>
  <c r="A3528" i="12" a="1"/>
  <c r="A3528" i="12" s="1"/>
  <c r="J3528" i="12" s="1"/>
  <c r="N3527" i="12"/>
  <c r="A3527" i="12" a="1"/>
  <c r="A3527" i="12" s="1"/>
  <c r="K3527" i="12" s="1"/>
  <c r="N3526" i="12"/>
  <c r="A3526" i="12" a="1"/>
  <c r="A3526" i="12" s="1"/>
  <c r="N3525" i="12"/>
  <c r="A3525" i="12" a="1"/>
  <c r="A3525" i="12" s="1"/>
  <c r="N3524" i="12"/>
  <c r="A3524" i="12" a="1"/>
  <c r="A3524" i="12" s="1"/>
  <c r="N3518" i="12"/>
  <c r="A3518" i="12" a="1"/>
  <c r="A3518" i="12" s="1"/>
  <c r="N3517" i="12"/>
  <c r="A3517" i="12" a="1"/>
  <c r="A3517" i="12" s="1"/>
  <c r="N3516" i="12"/>
  <c r="A3516" i="12" a="1"/>
  <c r="A3516" i="12" s="1"/>
  <c r="L3516" i="12" s="1"/>
  <c r="N3515" i="12"/>
  <c r="A3515" i="12" a="1"/>
  <c r="A3515" i="12" s="1"/>
  <c r="L3515" i="12" s="1"/>
  <c r="N3514" i="12"/>
  <c r="A3514" i="12" a="1"/>
  <c r="A3514" i="12" s="1"/>
  <c r="J3514" i="12" s="1"/>
  <c r="N3513" i="12"/>
  <c r="A3513" i="12" a="1"/>
  <c r="A3513" i="12" s="1"/>
  <c r="L3513" i="12" s="1"/>
  <c r="N3512" i="12"/>
  <c r="A3512" i="12" a="1"/>
  <c r="A3512" i="12" s="1"/>
  <c r="L3512" i="12" s="1"/>
  <c r="N3511" i="12"/>
  <c r="A3511" i="12" a="1"/>
  <c r="A3511" i="12" s="1"/>
  <c r="N3505" i="12"/>
  <c r="A3505" i="12" a="1"/>
  <c r="A3505" i="12" s="1"/>
  <c r="K3505" i="12" s="1"/>
  <c r="N3504" i="12"/>
  <c r="A3504" i="12" a="1"/>
  <c r="A3504" i="12" s="1"/>
  <c r="K3504" i="12" s="1"/>
  <c r="N3503" i="12"/>
  <c r="A3503" i="12" a="1"/>
  <c r="A3503" i="12" s="1"/>
  <c r="K3503" i="12" s="1"/>
  <c r="N3502" i="12"/>
  <c r="A3502" i="12" a="1"/>
  <c r="A3502" i="12" s="1"/>
  <c r="K3502" i="12" s="1"/>
  <c r="A3501" i="12" a="1"/>
  <c r="A3501" i="12" s="1"/>
  <c r="K3501" i="12" s="1"/>
  <c r="N3501" i="12" s="1"/>
  <c r="L3495" i="12"/>
  <c r="D3495" i="12"/>
  <c r="D3491" i="12"/>
  <c r="D3490" i="12"/>
  <c r="N3487" i="12"/>
  <c r="M3487" i="12"/>
  <c r="L3487" i="12"/>
  <c r="E3483" i="12"/>
  <c r="E3482" i="12"/>
  <c r="E3480" i="12"/>
  <c r="L3464" i="12"/>
  <c r="L3463" i="12"/>
  <c r="L3462" i="12"/>
  <c r="N3454" i="12"/>
  <c r="A3454" i="12" a="1"/>
  <c r="A3454" i="12" s="1"/>
  <c r="N3453" i="12"/>
  <c r="A3453" i="12" a="1"/>
  <c r="A3453" i="12" s="1"/>
  <c r="N3452" i="12"/>
  <c r="A3452" i="12" a="1"/>
  <c r="A3452" i="12" s="1"/>
  <c r="N3451" i="12"/>
  <c r="A3451" i="12" a="1"/>
  <c r="A3451" i="12" s="1"/>
  <c r="K3451" i="12" s="1"/>
  <c r="A3450" i="12" a="1"/>
  <c r="A3450" i="12" s="1"/>
  <c r="N3444" i="12"/>
  <c r="A3444" i="12" a="1"/>
  <c r="A3444" i="12" s="1"/>
  <c r="K3444" i="12" s="1"/>
  <c r="N3443" i="12"/>
  <c r="A3443" i="12" a="1"/>
  <c r="A3443" i="12" s="1"/>
  <c r="N3442" i="12"/>
  <c r="A3442" i="12" a="1"/>
  <c r="A3442" i="12" s="1"/>
  <c r="L3442" i="12" s="1"/>
  <c r="N3441" i="12"/>
  <c r="A3441" i="12" a="1"/>
  <c r="A3441" i="12" s="1"/>
  <c r="L3441" i="12" s="1"/>
  <c r="N3440" i="12"/>
  <c r="A3440" i="12" a="1"/>
  <c r="A3440" i="12" s="1"/>
  <c r="K3440" i="12" s="1"/>
  <c r="N3434" i="12"/>
  <c r="A3434" i="12" a="1"/>
  <c r="A3434" i="12" s="1"/>
  <c r="J3434" i="12" s="1"/>
  <c r="N3433" i="12"/>
  <c r="A3433" i="12" a="1"/>
  <c r="A3433" i="12" s="1"/>
  <c r="N3432" i="12"/>
  <c r="A3432" i="12" a="1"/>
  <c r="A3432" i="12" s="1"/>
  <c r="L3432" i="12" s="1"/>
  <c r="N3431" i="12"/>
  <c r="A3431" i="12" a="1"/>
  <c r="A3431" i="12" s="1"/>
  <c r="N3430" i="12"/>
  <c r="A3430" i="12" a="1"/>
  <c r="A3430" i="12" s="1"/>
  <c r="N3429" i="12"/>
  <c r="A3429" i="12" a="1"/>
  <c r="A3429" i="12" s="1"/>
  <c r="J3429" i="12" s="1"/>
  <c r="N3428" i="12"/>
  <c r="A3428" i="12" a="1"/>
  <c r="A3428" i="12" s="1"/>
  <c r="N3427" i="12"/>
  <c r="A3427" i="12" a="1"/>
  <c r="A3427" i="12" s="1"/>
  <c r="N3421" i="12"/>
  <c r="A3421" i="12" a="1"/>
  <c r="A3421" i="12" s="1"/>
  <c r="K3421" i="12" s="1"/>
  <c r="N3420" i="12"/>
  <c r="A3420" i="12" a="1"/>
  <c r="A3420" i="12" s="1"/>
  <c r="K3420" i="12" s="1"/>
  <c r="N3419" i="12"/>
  <c r="A3419" i="12" a="1"/>
  <c r="A3419" i="12" s="1"/>
  <c r="K3419" i="12" s="1"/>
  <c r="N3418" i="12"/>
  <c r="A3418" i="12" a="1"/>
  <c r="A3418" i="12" s="1"/>
  <c r="K3418" i="12" s="1"/>
  <c r="A3417" i="12" a="1"/>
  <c r="A3417" i="12" s="1"/>
  <c r="K3417" i="12" s="1"/>
  <c r="N3417" i="12" s="1"/>
  <c r="L3411" i="12"/>
  <c r="D3411" i="12"/>
  <c r="D3407" i="12"/>
  <c r="D3406" i="12"/>
  <c r="N3403" i="12"/>
  <c r="M3403" i="12"/>
  <c r="L3403" i="12"/>
  <c r="E3399" i="12"/>
  <c r="E3398" i="12"/>
  <c r="E3396" i="12"/>
  <c r="N3370" i="12"/>
  <c r="A3370" i="12" a="1"/>
  <c r="A3370" i="12" s="1"/>
  <c r="J3370" i="12" s="1"/>
  <c r="L3369" i="12"/>
  <c r="A3369" i="12" a="1"/>
  <c r="A3369" i="12" s="1"/>
  <c r="L3368" i="12"/>
  <c r="A3368" i="12" a="1"/>
  <c r="A3368" i="12" s="1"/>
  <c r="L3367" i="12"/>
  <c r="A3367" i="12" a="1"/>
  <c r="A3367" i="12" s="1"/>
  <c r="A3366" i="12" a="1"/>
  <c r="A3366" i="12" s="1"/>
  <c r="N3360" i="12"/>
  <c r="A3360" i="12" a="1"/>
  <c r="A3360" i="12" s="1"/>
  <c r="N3359" i="12"/>
  <c r="A3359" i="12" a="1"/>
  <c r="A3359" i="12" s="1"/>
  <c r="K3359" i="12" s="1"/>
  <c r="N3358" i="12"/>
  <c r="A3358" i="12" a="1"/>
  <c r="A3358" i="12" s="1"/>
  <c r="N3357" i="12"/>
  <c r="A3357" i="12" a="1"/>
  <c r="A3357" i="12" s="1"/>
  <c r="N3356" i="12"/>
  <c r="A3356" i="12" a="1"/>
  <c r="A3356" i="12" s="1"/>
  <c r="L3356" i="12" s="1"/>
  <c r="N3350" i="12"/>
  <c r="A3350" i="12" a="1"/>
  <c r="A3350" i="12" s="1"/>
  <c r="L3350" i="12" s="1"/>
  <c r="N3349" i="12"/>
  <c r="A3349" i="12" a="1"/>
  <c r="A3349" i="12" s="1"/>
  <c r="J3349" i="12" s="1"/>
  <c r="N3348" i="12"/>
  <c r="A3348" i="12" a="1"/>
  <c r="A3348" i="12" s="1"/>
  <c r="L3348" i="12" s="1"/>
  <c r="N3347" i="12"/>
  <c r="A3347" i="12" a="1"/>
  <c r="A3347" i="12" s="1"/>
  <c r="L3347" i="12" s="1"/>
  <c r="A3346" i="12" a="1"/>
  <c r="A3346" i="12" s="1"/>
  <c r="J3346" i="12" s="1"/>
  <c r="A3345" i="12" a="1"/>
  <c r="A3345" i="12" s="1"/>
  <c r="J3345" i="12" s="1"/>
  <c r="A3344" i="12" a="1"/>
  <c r="A3344" i="12" s="1"/>
  <c r="A3343" i="12" a="1"/>
  <c r="A3343" i="12" s="1"/>
  <c r="J3343" i="12" s="1"/>
  <c r="N3337" i="12"/>
  <c r="A3337" i="12" a="1"/>
  <c r="A3337" i="12" s="1"/>
  <c r="K3337" i="12" s="1"/>
  <c r="N3336" i="12"/>
  <c r="A3336" i="12" a="1"/>
  <c r="A3336" i="12" s="1"/>
  <c r="K3336" i="12" s="1"/>
  <c r="N3335" i="12"/>
  <c r="A3335" i="12" a="1"/>
  <c r="A3335" i="12" s="1"/>
  <c r="K3335" i="12" s="1"/>
  <c r="N3334" i="12"/>
  <c r="A3334" i="12" a="1"/>
  <c r="A3334" i="12" s="1"/>
  <c r="K3334" i="12" s="1"/>
  <c r="N3333" i="12"/>
  <c r="A3333" i="12" a="1"/>
  <c r="A3333" i="12" s="1"/>
  <c r="K3333" i="12" s="1"/>
  <c r="L3327" i="12"/>
  <c r="D3327" i="12"/>
  <c r="D3323" i="12"/>
  <c r="D3322" i="12"/>
  <c r="N3319" i="12"/>
  <c r="M3319" i="12"/>
  <c r="L3319" i="12"/>
  <c r="E3315" i="12"/>
  <c r="E3314" i="12"/>
  <c r="E3312" i="12"/>
  <c r="N3286" i="12"/>
  <c r="A3286" i="12" a="1"/>
  <c r="A3286" i="12" s="1"/>
  <c r="J3286" i="12" s="1"/>
  <c r="N3285" i="12"/>
  <c r="A3285" i="12" a="1"/>
  <c r="A3285" i="12" s="1"/>
  <c r="K3285" i="12" s="1"/>
  <c r="N3284" i="12"/>
  <c r="A3284" i="12" a="1"/>
  <c r="A3284" i="12" s="1"/>
  <c r="L3283" i="12"/>
  <c r="A3283" i="12" a="1"/>
  <c r="A3283" i="12" s="1"/>
  <c r="I3283" i="12" s="1"/>
  <c r="A3282" i="12" a="1"/>
  <c r="A3282" i="12" s="1"/>
  <c r="N3276" i="12"/>
  <c r="A3276" i="12" a="1"/>
  <c r="A3276" i="12" s="1"/>
  <c r="N3275" i="12"/>
  <c r="A3275" i="12" a="1"/>
  <c r="A3275" i="12" s="1"/>
  <c r="L3275" i="12" s="1"/>
  <c r="N3274" i="12"/>
  <c r="A3274" i="12" a="1"/>
  <c r="A3274" i="12" s="1"/>
  <c r="N3273" i="12"/>
  <c r="A3273" i="12" a="1"/>
  <c r="A3273" i="12" s="1"/>
  <c r="L3273" i="12" s="1"/>
  <c r="N3272" i="12"/>
  <c r="A3272" i="12" a="1"/>
  <c r="A3272" i="12" s="1"/>
  <c r="N3266" i="12"/>
  <c r="A3266" i="12" a="1"/>
  <c r="A3266" i="12" s="1"/>
  <c r="N3265" i="12"/>
  <c r="A3265" i="12" a="1"/>
  <c r="A3265" i="12" s="1"/>
  <c r="N3264" i="12"/>
  <c r="A3264" i="12" a="1"/>
  <c r="A3264" i="12" s="1"/>
  <c r="L3264" i="12" s="1"/>
  <c r="N3263" i="12"/>
  <c r="A3263" i="12" a="1"/>
  <c r="A3263" i="12" s="1"/>
  <c r="N3262" i="12"/>
  <c r="A3262" i="12" a="1"/>
  <c r="A3262" i="12" s="1"/>
  <c r="L3262" i="12" s="1"/>
  <c r="N3261" i="12"/>
  <c r="A3261" i="12" a="1"/>
  <c r="A3261" i="12" s="1"/>
  <c r="N3260" i="12"/>
  <c r="A3260" i="12" a="1"/>
  <c r="A3260" i="12" s="1"/>
  <c r="A3259" i="12" a="1"/>
  <c r="A3259" i="12" s="1"/>
  <c r="N3253" i="12"/>
  <c r="A3253" i="12" a="1"/>
  <c r="A3253" i="12" s="1"/>
  <c r="K3253" i="12" s="1"/>
  <c r="N3252" i="12"/>
  <c r="A3252" i="12" a="1"/>
  <c r="A3252" i="12" s="1"/>
  <c r="K3252" i="12" s="1"/>
  <c r="N3251" i="12"/>
  <c r="A3251" i="12" a="1"/>
  <c r="A3251" i="12" s="1"/>
  <c r="K3251" i="12" s="1"/>
  <c r="N3250" i="12"/>
  <c r="A3250" i="12" a="1"/>
  <c r="A3250" i="12" s="1"/>
  <c r="K3250" i="12" s="1"/>
  <c r="N3249" i="12"/>
  <c r="A3249" i="12" a="1"/>
  <c r="A3249" i="12" s="1"/>
  <c r="K3249" i="12" s="1"/>
  <c r="L3243" i="12"/>
  <c r="D3243" i="12"/>
  <c r="D3239" i="12"/>
  <c r="D3238" i="12"/>
  <c r="N3235" i="12"/>
  <c r="M3235" i="12"/>
  <c r="L3235" i="12"/>
  <c r="E3231" i="12"/>
  <c r="E3230" i="12"/>
  <c r="E3228" i="12"/>
  <c r="N3202" i="12"/>
  <c r="A3202" i="12" a="1"/>
  <c r="A3202" i="12" s="1"/>
  <c r="K3202" i="12" s="1"/>
  <c r="L3201" i="12"/>
  <c r="A3201" i="12" a="1"/>
  <c r="A3201" i="12" s="1"/>
  <c r="L3200" i="12"/>
  <c r="A3200" i="12" a="1"/>
  <c r="A3200" i="12" s="1"/>
  <c r="L3199" i="12"/>
  <c r="A3199" i="12" a="1"/>
  <c r="A3199" i="12" s="1"/>
  <c r="A3198" i="12" a="1"/>
  <c r="A3198" i="12" s="1"/>
  <c r="N3192" i="12"/>
  <c r="A3192" i="12" a="1"/>
  <c r="A3192" i="12" s="1"/>
  <c r="N3191" i="12"/>
  <c r="A3191" i="12" a="1"/>
  <c r="A3191" i="12" s="1"/>
  <c r="N3190" i="12"/>
  <c r="A3190" i="12" a="1"/>
  <c r="A3190" i="12" s="1"/>
  <c r="K3190" i="12" s="1"/>
  <c r="N3189" i="12"/>
  <c r="A3189" i="12" a="1"/>
  <c r="A3189" i="12" s="1"/>
  <c r="K3189" i="12" s="1"/>
  <c r="N3188" i="12"/>
  <c r="A3188" i="12" a="1"/>
  <c r="A3188" i="12" s="1"/>
  <c r="K3188" i="12" s="1"/>
  <c r="N3182" i="12"/>
  <c r="A3182" i="12" a="1"/>
  <c r="A3182" i="12" s="1"/>
  <c r="N3181" i="12"/>
  <c r="A3181" i="12" a="1"/>
  <c r="A3181" i="12" s="1"/>
  <c r="N3180" i="12"/>
  <c r="A3180" i="12" a="1"/>
  <c r="A3180" i="12" s="1"/>
  <c r="N3179" i="12"/>
  <c r="A3179" i="12" a="1"/>
  <c r="A3179" i="12" s="1"/>
  <c r="L3179" i="12" s="1"/>
  <c r="N3178" i="12"/>
  <c r="A3178" i="12" a="1"/>
  <c r="A3178" i="12" s="1"/>
  <c r="J3178" i="12" s="1"/>
  <c r="A3177" i="12" a="1"/>
  <c r="A3177" i="12" s="1"/>
  <c r="A3176" i="12" a="1"/>
  <c r="A3176" i="12" s="1"/>
  <c r="J3176" i="12" s="1"/>
  <c r="A3175" i="12" a="1"/>
  <c r="A3175" i="12" s="1"/>
  <c r="J3175" i="12" s="1"/>
  <c r="N3169" i="12"/>
  <c r="A3169" i="12" a="1"/>
  <c r="A3169" i="12" s="1"/>
  <c r="K3169" i="12" s="1"/>
  <c r="N3168" i="12"/>
  <c r="A3168" i="12" a="1"/>
  <c r="A3168" i="12" s="1"/>
  <c r="K3168" i="12" s="1"/>
  <c r="N3167" i="12"/>
  <c r="A3167" i="12" a="1"/>
  <c r="A3167" i="12" s="1"/>
  <c r="K3167" i="12" s="1"/>
  <c r="N3166" i="12"/>
  <c r="A3166" i="12" a="1"/>
  <c r="A3166" i="12" s="1"/>
  <c r="K3166" i="12" s="1"/>
  <c r="N3165" i="12"/>
  <c r="A3165" i="12" a="1"/>
  <c r="A3165" i="12" s="1"/>
  <c r="K3165" i="12" s="1"/>
  <c r="L3159" i="12"/>
  <c r="D3159" i="12"/>
  <c r="D3155" i="12"/>
  <c r="D3154" i="12"/>
  <c r="N3151" i="12"/>
  <c r="M3151" i="12"/>
  <c r="L3151" i="12"/>
  <c r="E3147" i="12"/>
  <c r="E3146" i="12"/>
  <c r="E3144" i="12"/>
  <c r="L3127" i="12"/>
  <c r="L3126" i="12"/>
  <c r="L3125" i="12"/>
  <c r="N3117" i="12"/>
  <c r="A3117" i="12" a="1"/>
  <c r="A3117" i="12" s="1"/>
  <c r="I3117" i="12" s="1"/>
  <c r="L3116" i="12"/>
  <c r="A3116" i="12" a="1"/>
  <c r="A3116" i="12" s="1"/>
  <c r="L3115" i="12"/>
  <c r="A3115" i="12" a="1"/>
  <c r="A3115" i="12" s="1"/>
  <c r="L3114" i="12"/>
  <c r="A3114" i="12" a="1"/>
  <c r="A3114" i="12" s="1"/>
  <c r="A3113" i="12" a="1"/>
  <c r="A3113" i="12" s="1"/>
  <c r="N3107" i="12"/>
  <c r="A3107" i="12" a="1"/>
  <c r="A3107" i="12" s="1"/>
  <c r="L3107" i="12" s="1"/>
  <c r="N3106" i="12"/>
  <c r="A3106" i="12" a="1"/>
  <c r="A3106" i="12" s="1"/>
  <c r="L3106" i="12" s="1"/>
  <c r="N3105" i="12"/>
  <c r="A3105" i="12" a="1"/>
  <c r="A3105" i="12" s="1"/>
  <c r="A3104" i="12" a="1"/>
  <c r="A3104" i="12" s="1"/>
  <c r="A3103" i="12" a="1"/>
  <c r="A3103" i="12" s="1"/>
  <c r="N3097" i="12"/>
  <c r="A3097" i="12" a="1"/>
  <c r="A3097" i="12" s="1"/>
  <c r="L3097" i="12" s="1"/>
  <c r="N3096" i="12"/>
  <c r="A3096" i="12" a="1"/>
  <c r="A3096" i="12" s="1"/>
  <c r="J3096" i="12" s="1"/>
  <c r="N3095" i="12"/>
  <c r="A3095" i="12" a="1"/>
  <c r="A3095" i="12" s="1"/>
  <c r="J3095" i="12" s="1"/>
  <c r="N3094" i="12"/>
  <c r="A3094" i="12" a="1"/>
  <c r="A3094" i="12" s="1"/>
  <c r="N3093" i="12"/>
  <c r="A3093" i="12" a="1"/>
  <c r="A3093" i="12" s="1"/>
  <c r="J3093" i="12" s="1"/>
  <c r="N3092" i="12"/>
  <c r="A3092" i="12" a="1"/>
  <c r="A3092" i="12" s="1"/>
  <c r="J3092" i="12" s="1"/>
  <c r="A3091" i="12" a="1"/>
  <c r="A3091" i="12" s="1"/>
  <c r="L3091" i="12" s="1"/>
  <c r="N3091" i="12" s="1"/>
  <c r="A3090" i="12" a="1"/>
  <c r="A3090" i="12" s="1"/>
  <c r="N3084" i="12"/>
  <c r="A3084" i="12" a="1"/>
  <c r="A3084" i="12" s="1"/>
  <c r="K3084" i="12" s="1"/>
  <c r="N3083" i="12"/>
  <c r="A3083" i="12" a="1"/>
  <c r="A3083" i="12" s="1"/>
  <c r="K3083" i="12" s="1"/>
  <c r="N3082" i="12"/>
  <c r="A3082" i="12" a="1"/>
  <c r="A3082" i="12" s="1"/>
  <c r="K3082" i="12" s="1"/>
  <c r="N3081" i="12"/>
  <c r="A3081" i="12" a="1"/>
  <c r="A3081" i="12" s="1"/>
  <c r="K3081" i="12" s="1"/>
  <c r="N3080" i="12"/>
  <c r="A3080" i="12" a="1"/>
  <c r="A3080" i="12" s="1"/>
  <c r="K3080" i="12" s="1"/>
  <c r="L3074" i="12"/>
  <c r="D3074" i="12"/>
  <c r="D3070" i="12"/>
  <c r="D3069" i="12"/>
  <c r="N3066" i="12"/>
  <c r="M3066" i="12"/>
  <c r="L3066" i="12"/>
  <c r="E3062" i="12"/>
  <c r="E3061" i="12"/>
  <c r="E3059" i="12"/>
  <c r="L3043" i="12"/>
  <c r="L3042" i="12"/>
  <c r="L3041" i="12"/>
  <c r="N3033" i="12"/>
  <c r="A3033" i="12" a="1"/>
  <c r="A3033" i="12" s="1"/>
  <c r="J3033" i="12" s="1"/>
  <c r="L3032" i="12"/>
  <c r="A3032" i="12" a="1"/>
  <c r="A3032" i="12" s="1"/>
  <c r="L3031" i="12"/>
  <c r="A3031" i="12" a="1"/>
  <c r="A3031" i="12" s="1"/>
  <c r="L3030" i="12"/>
  <c r="A3030" i="12" a="1"/>
  <c r="A3030" i="12" s="1"/>
  <c r="A3029" i="12" a="1"/>
  <c r="A3029" i="12" s="1"/>
  <c r="N3023" i="12"/>
  <c r="A3023" i="12" a="1"/>
  <c r="A3023" i="12" s="1"/>
  <c r="L3023" i="12" s="1"/>
  <c r="N3022" i="12"/>
  <c r="A3022" i="12" a="1"/>
  <c r="A3022" i="12" s="1"/>
  <c r="K3022" i="12" s="1"/>
  <c r="N3021" i="12"/>
  <c r="A3021" i="12" a="1"/>
  <c r="A3021" i="12" s="1"/>
  <c r="N3020" i="12"/>
  <c r="A3020" i="12" a="1"/>
  <c r="A3020" i="12" s="1"/>
  <c r="N3019" i="12"/>
  <c r="A3019" i="12" a="1"/>
  <c r="A3019" i="12" s="1"/>
  <c r="K3019" i="12" s="1"/>
  <c r="N3013" i="12"/>
  <c r="A3013" i="12" a="1"/>
  <c r="A3013" i="12" s="1"/>
  <c r="J3013" i="12" s="1"/>
  <c r="N3012" i="12"/>
  <c r="A3012" i="12" a="1"/>
  <c r="A3012" i="12" s="1"/>
  <c r="L3012" i="12" s="1"/>
  <c r="A3011" i="12" a="1"/>
  <c r="A3011" i="12" s="1"/>
  <c r="A3010" i="12" a="1"/>
  <c r="A3010" i="12" s="1"/>
  <c r="J3010" i="12" s="1"/>
  <c r="A3009" i="12" a="1"/>
  <c r="A3009" i="12" s="1"/>
  <c r="J3009" i="12" s="1"/>
  <c r="A3008" i="12" a="1"/>
  <c r="A3008" i="12" s="1"/>
  <c r="A3007" i="12" a="1"/>
  <c r="A3007" i="12" s="1"/>
  <c r="A3006" i="12" a="1"/>
  <c r="A3006" i="12" s="1"/>
  <c r="J3006" i="12" s="1"/>
  <c r="N3000" i="12"/>
  <c r="A3000" i="12" a="1"/>
  <c r="A3000" i="12" s="1"/>
  <c r="K3000" i="12" s="1"/>
  <c r="N2999" i="12"/>
  <c r="A2999" i="12" a="1"/>
  <c r="A2999" i="12" s="1"/>
  <c r="K2999" i="12" s="1"/>
  <c r="N2998" i="12"/>
  <c r="A2998" i="12" a="1"/>
  <c r="A2998" i="12" s="1"/>
  <c r="K2998" i="12" s="1"/>
  <c r="N2997" i="12"/>
  <c r="A2997" i="12" a="1"/>
  <c r="A2997" i="12" s="1"/>
  <c r="K2997" i="12" s="1"/>
  <c r="N2996" i="12"/>
  <c r="A2996" i="12" a="1"/>
  <c r="A2996" i="12" s="1"/>
  <c r="K2996" i="12" s="1"/>
  <c r="L2990" i="12"/>
  <c r="D2990" i="12"/>
  <c r="D2986" i="12"/>
  <c r="D2985" i="12"/>
  <c r="N2982" i="12"/>
  <c r="M2982" i="12"/>
  <c r="L2982" i="12"/>
  <c r="E2978" i="12"/>
  <c r="E2977" i="12"/>
  <c r="E2975" i="12"/>
  <c r="L2959" i="12"/>
  <c r="L2958" i="12"/>
  <c r="L2957" i="12"/>
  <c r="N2949" i="12"/>
  <c r="A2949" i="12" a="1"/>
  <c r="A2949" i="12" s="1"/>
  <c r="N2948" i="12"/>
  <c r="A2948" i="12" a="1"/>
  <c r="A2948" i="12" s="1"/>
  <c r="I2948" i="12" s="1"/>
  <c r="N2947" i="12"/>
  <c r="A2947" i="12" a="1"/>
  <c r="A2947" i="12" s="1"/>
  <c r="L2946" i="12"/>
  <c r="A2946" i="12" a="1"/>
  <c r="A2946" i="12" s="1"/>
  <c r="A2945" i="12" a="1"/>
  <c r="A2945" i="12" s="1"/>
  <c r="N2939" i="12"/>
  <c r="A2939" i="12" a="1"/>
  <c r="A2939" i="12" s="1"/>
  <c r="L2939" i="12" s="1"/>
  <c r="N2938" i="12"/>
  <c r="A2938" i="12" a="1"/>
  <c r="A2938" i="12" s="1"/>
  <c r="N2937" i="12"/>
  <c r="A2937" i="12" a="1"/>
  <c r="A2937" i="12" s="1"/>
  <c r="K2937" i="12" s="1"/>
  <c r="N2936" i="12"/>
  <c r="A2936" i="12" a="1"/>
  <c r="A2936" i="12" s="1"/>
  <c r="N2935" i="12"/>
  <c r="A2935" i="12" a="1"/>
  <c r="A2935" i="12" s="1"/>
  <c r="N2929" i="12"/>
  <c r="A2929" i="12" a="1"/>
  <c r="A2929" i="12" s="1"/>
  <c r="L2929" i="12" s="1"/>
  <c r="N2928" i="12"/>
  <c r="A2928" i="12" a="1"/>
  <c r="A2928" i="12" s="1"/>
  <c r="L2928" i="12" s="1"/>
  <c r="N2927" i="12"/>
  <c r="A2927" i="12" a="1"/>
  <c r="A2927" i="12" s="1"/>
  <c r="N2926" i="12"/>
  <c r="A2926" i="12" a="1"/>
  <c r="A2926" i="12" s="1"/>
  <c r="N2925" i="12"/>
  <c r="A2925" i="12" a="1"/>
  <c r="A2925" i="12" s="1"/>
  <c r="N2916" i="12"/>
  <c r="A2916" i="12" a="1"/>
  <c r="A2916" i="12" s="1"/>
  <c r="K2916" i="12" s="1"/>
  <c r="N2915" i="12"/>
  <c r="A2915" i="12" a="1"/>
  <c r="A2915" i="12" s="1"/>
  <c r="K2915" i="12" s="1"/>
  <c r="N2914" i="12"/>
  <c r="A2914" i="12" a="1"/>
  <c r="A2914" i="12" s="1"/>
  <c r="K2914" i="12" s="1"/>
  <c r="N2913" i="12"/>
  <c r="A2913" i="12" a="1"/>
  <c r="A2913" i="12" s="1"/>
  <c r="K2913" i="12" s="1"/>
  <c r="N2912" i="12"/>
  <c r="A2912" i="12" a="1"/>
  <c r="A2912" i="12" s="1"/>
  <c r="K2912" i="12" s="1"/>
  <c r="L2906" i="12"/>
  <c r="D2906" i="12"/>
  <c r="D2902" i="12"/>
  <c r="D2901" i="12"/>
  <c r="N2898" i="12"/>
  <c r="M2898" i="12"/>
  <c r="L2898" i="12"/>
  <c r="E2894" i="12"/>
  <c r="E2893" i="12"/>
  <c r="E2891" i="12"/>
  <c r="L2875" i="12"/>
  <c r="L2874" i="12"/>
  <c r="L2873" i="12"/>
  <c r="N2865" i="12"/>
  <c r="A2865" i="12" a="1"/>
  <c r="A2865" i="12" s="1"/>
  <c r="N2864" i="12"/>
  <c r="A2864" i="12" a="1"/>
  <c r="A2864" i="12" s="1"/>
  <c r="K2864" i="12" s="1"/>
  <c r="N2863" i="12"/>
  <c r="A2863" i="12" a="1"/>
  <c r="A2863" i="12" s="1"/>
  <c r="K2863" i="12" s="1"/>
  <c r="L2862" i="12"/>
  <c r="A2862" i="12" a="1"/>
  <c r="A2862" i="12" s="1"/>
  <c r="A2861" i="12" a="1"/>
  <c r="A2861" i="12" s="1"/>
  <c r="N2855" i="12"/>
  <c r="A2855" i="12" a="1"/>
  <c r="A2855" i="12" s="1"/>
  <c r="N2854" i="12"/>
  <c r="A2854" i="12" a="1"/>
  <c r="A2854" i="12" s="1"/>
  <c r="J2854" i="12" s="1"/>
  <c r="N2853" i="12"/>
  <c r="A2853" i="12" a="1"/>
  <c r="A2853" i="12" s="1"/>
  <c r="N2852" i="12"/>
  <c r="A2852" i="12" a="1"/>
  <c r="A2852" i="12" s="1"/>
  <c r="N2851" i="12"/>
  <c r="A2851" i="12" a="1"/>
  <c r="A2851" i="12" s="1"/>
  <c r="J2851" i="12" s="1"/>
  <c r="N2845" i="12"/>
  <c r="A2845" i="12" a="1"/>
  <c r="A2845" i="12" s="1"/>
  <c r="L2845" i="12" s="1"/>
  <c r="N2844" i="12"/>
  <c r="A2844" i="12" a="1"/>
  <c r="A2844" i="12" s="1"/>
  <c r="L2844" i="12" s="1"/>
  <c r="N2843" i="12"/>
  <c r="A2843" i="12" a="1"/>
  <c r="A2843" i="12" s="1"/>
  <c r="L2843" i="12" s="1"/>
  <c r="N2842" i="12"/>
  <c r="A2842" i="12" a="1"/>
  <c r="A2842" i="12" s="1"/>
  <c r="L2842" i="12" s="1"/>
  <c r="N2841" i="12"/>
  <c r="A2841" i="12" a="1"/>
  <c r="A2841" i="12" s="1"/>
  <c r="L2841" i="12" s="1"/>
  <c r="A2840" i="12" a="1"/>
  <c r="A2840" i="12" s="1"/>
  <c r="A2839" i="12" a="1"/>
  <c r="A2839" i="12" s="1"/>
  <c r="J2839" i="12" s="1"/>
  <c r="A2838" i="12" a="1"/>
  <c r="A2838" i="12" s="1"/>
  <c r="J2838" i="12" s="1"/>
  <c r="N2832" i="12"/>
  <c r="A2832" i="12" a="1"/>
  <c r="A2832" i="12" s="1"/>
  <c r="K2832" i="12" s="1"/>
  <c r="N2831" i="12"/>
  <c r="A2831" i="12" a="1"/>
  <c r="A2831" i="12" s="1"/>
  <c r="K2831" i="12" s="1"/>
  <c r="N2830" i="12"/>
  <c r="A2830" i="12" a="1"/>
  <c r="A2830" i="12" s="1"/>
  <c r="K2830" i="12" s="1"/>
  <c r="N2829" i="12"/>
  <c r="A2829" i="12" a="1"/>
  <c r="A2829" i="12" s="1"/>
  <c r="K2829" i="12" s="1"/>
  <c r="A2828" i="12" a="1"/>
  <c r="A2828" i="12" s="1"/>
  <c r="K2828" i="12" s="1"/>
  <c r="N2828" i="12" s="1"/>
  <c r="L2822" i="12"/>
  <c r="D2822" i="12"/>
  <c r="D2818" i="12"/>
  <c r="D2817" i="12"/>
  <c r="N2814" i="12"/>
  <c r="M2814" i="12"/>
  <c r="L2814" i="12"/>
  <c r="E2810" i="12"/>
  <c r="E2809" i="12"/>
  <c r="E2807" i="12"/>
  <c r="L2791" i="12"/>
  <c r="L2790" i="12"/>
  <c r="L2789" i="12"/>
  <c r="N2781" i="12"/>
  <c r="A2781" i="12" a="1"/>
  <c r="A2781" i="12" s="1"/>
  <c r="J2781" i="12" s="1"/>
  <c r="N2780" i="12"/>
  <c r="A2780" i="12" a="1"/>
  <c r="A2780" i="12" s="1"/>
  <c r="N2779" i="12"/>
  <c r="A2779" i="12" a="1"/>
  <c r="A2779" i="12" s="1"/>
  <c r="L2778" i="12"/>
  <c r="A2778" i="12" a="1"/>
  <c r="A2778" i="12" s="1"/>
  <c r="A2777" i="12" a="1"/>
  <c r="A2777" i="12" s="1"/>
  <c r="N2771" i="12"/>
  <c r="A2771" i="12" a="1"/>
  <c r="A2771" i="12" s="1"/>
  <c r="J2771" i="12" s="1"/>
  <c r="N2770" i="12"/>
  <c r="A2770" i="12" a="1"/>
  <c r="A2770" i="12" s="1"/>
  <c r="J2770" i="12" s="1"/>
  <c r="N2769" i="12"/>
  <c r="A2769" i="12" a="1"/>
  <c r="A2769" i="12" s="1"/>
  <c r="L2769" i="12" s="1"/>
  <c r="N2768" i="12"/>
  <c r="A2768" i="12" a="1"/>
  <c r="A2768" i="12" s="1"/>
  <c r="K2768" i="12" s="1"/>
  <c r="N2767" i="12"/>
  <c r="A2767" i="12" a="1"/>
  <c r="A2767" i="12" s="1"/>
  <c r="J2767" i="12" s="1"/>
  <c r="N2761" i="12"/>
  <c r="A2761" i="12" a="1"/>
  <c r="A2761" i="12" s="1"/>
  <c r="A2760" i="12" a="1"/>
  <c r="A2760" i="12" s="1"/>
  <c r="L2760" i="12" s="1"/>
  <c r="N2760" i="12" s="1"/>
  <c r="A2759" i="12" a="1"/>
  <c r="A2759" i="12" s="1"/>
  <c r="J2759" i="12" s="1"/>
  <c r="A2757" i="12" a="1"/>
  <c r="A2757" i="12" s="1"/>
  <c r="A2755" i="12" a="1"/>
  <c r="A2755" i="12" s="1"/>
  <c r="J2755" i="12" s="1"/>
  <c r="N2748" i="12"/>
  <c r="A2748" i="12" a="1"/>
  <c r="A2748" i="12" s="1"/>
  <c r="K2748" i="12" s="1"/>
  <c r="N2747" i="12"/>
  <c r="A2747" i="12" a="1"/>
  <c r="A2747" i="12" s="1"/>
  <c r="K2747" i="12" s="1"/>
  <c r="N2746" i="12"/>
  <c r="A2746" i="12" a="1"/>
  <c r="A2746" i="12" s="1"/>
  <c r="K2746" i="12" s="1"/>
  <c r="N2745" i="12"/>
  <c r="A2745" i="12" a="1"/>
  <c r="A2745" i="12" s="1"/>
  <c r="K2745" i="12" s="1"/>
  <c r="A2744" i="12" a="1"/>
  <c r="A2744" i="12" s="1"/>
  <c r="K2744" i="12" s="1"/>
  <c r="N2744" i="12" s="1"/>
  <c r="L2738" i="12"/>
  <c r="D2738" i="12"/>
  <c r="D2734" i="12"/>
  <c r="D2733" i="12"/>
  <c r="N2730" i="12"/>
  <c r="M2730" i="12"/>
  <c r="L2730" i="12"/>
  <c r="E2726" i="12"/>
  <c r="E2725" i="12"/>
  <c r="E2723" i="12"/>
  <c r="L2707" i="12"/>
  <c r="L2706" i="12"/>
  <c r="L2705" i="12"/>
  <c r="N2697" i="12"/>
  <c r="A2697" i="12" a="1"/>
  <c r="A2697" i="12" s="1"/>
  <c r="N2696" i="12"/>
  <c r="A2696" i="12" a="1"/>
  <c r="A2696" i="12" s="1"/>
  <c r="J2696" i="12" s="1"/>
  <c r="N2695" i="12"/>
  <c r="A2695" i="12" a="1"/>
  <c r="A2695" i="12" s="1"/>
  <c r="L2694" i="12"/>
  <c r="A2694" i="12" a="1"/>
  <c r="A2694" i="12" s="1"/>
  <c r="A2693" i="12" a="1"/>
  <c r="A2693" i="12" s="1"/>
  <c r="N2687" i="12"/>
  <c r="A2687" i="12" a="1"/>
  <c r="A2687" i="12" s="1"/>
  <c r="L2687" i="12" s="1"/>
  <c r="N2686" i="12"/>
  <c r="A2686" i="12" a="1"/>
  <c r="A2686" i="12" s="1"/>
  <c r="K2686" i="12" s="1"/>
  <c r="N2685" i="12"/>
  <c r="A2685" i="12" a="1"/>
  <c r="A2685" i="12" s="1"/>
  <c r="J2685" i="12" s="1"/>
  <c r="N2684" i="12"/>
  <c r="A2684" i="12" a="1"/>
  <c r="A2684" i="12" s="1"/>
  <c r="K2684" i="12" s="1"/>
  <c r="N2683" i="12"/>
  <c r="A2683" i="12" a="1"/>
  <c r="A2683" i="12" s="1"/>
  <c r="L2683" i="12" s="1"/>
  <c r="N2677" i="12"/>
  <c r="A2677" i="12" a="1"/>
  <c r="A2677" i="12" s="1"/>
  <c r="L2677" i="12" s="1"/>
  <c r="A2676" i="12" a="1"/>
  <c r="A2676" i="12" s="1"/>
  <c r="J2676" i="12" s="1"/>
  <c r="A2671" i="12" a="1"/>
  <c r="A2671" i="12" s="1"/>
  <c r="N2664" i="12"/>
  <c r="A2664" i="12" a="1"/>
  <c r="A2664" i="12" s="1"/>
  <c r="K2664" i="12" s="1"/>
  <c r="N2663" i="12"/>
  <c r="A2663" i="12" a="1"/>
  <c r="A2663" i="12" s="1"/>
  <c r="K2663" i="12" s="1"/>
  <c r="N2662" i="12"/>
  <c r="A2662" i="12" a="1"/>
  <c r="A2662" i="12" s="1"/>
  <c r="K2662" i="12" s="1"/>
  <c r="N2661" i="12"/>
  <c r="A2661" i="12" a="1"/>
  <c r="A2661" i="12" s="1"/>
  <c r="K2661" i="12" s="1"/>
  <c r="A2660" i="12" a="1"/>
  <c r="A2660" i="12" s="1"/>
  <c r="K2660" i="12" s="1"/>
  <c r="N2660" i="12" s="1"/>
  <c r="L2654" i="12"/>
  <c r="D2654" i="12"/>
  <c r="D2650" i="12"/>
  <c r="D2649" i="12"/>
  <c r="N2646" i="12"/>
  <c r="M2646" i="12"/>
  <c r="L2646" i="12"/>
  <c r="E2642" i="12"/>
  <c r="E2641" i="12"/>
  <c r="E2639" i="12"/>
  <c r="L2622" i="12"/>
  <c r="L2621" i="12"/>
  <c r="L2620" i="12"/>
  <c r="N2612" i="12"/>
  <c r="A2612" i="12" a="1"/>
  <c r="A2612" i="12" s="1"/>
  <c r="N2611" i="12"/>
  <c r="A2611" i="12" a="1"/>
  <c r="A2611" i="12" s="1"/>
  <c r="N2610" i="12"/>
  <c r="A2610" i="12" a="1"/>
  <c r="A2610" i="12" s="1"/>
  <c r="K2610" i="12" s="1"/>
  <c r="L2609" i="12"/>
  <c r="A2609" i="12" a="1"/>
  <c r="A2609" i="12" s="1"/>
  <c r="A2608" i="12" a="1"/>
  <c r="A2608" i="12" s="1"/>
  <c r="N2602" i="12"/>
  <c r="A2602" i="12" a="1"/>
  <c r="A2602" i="12" s="1"/>
  <c r="N2601" i="12"/>
  <c r="A2601" i="12" a="1"/>
  <c r="A2601" i="12" s="1"/>
  <c r="N2600" i="12"/>
  <c r="A2600" i="12" a="1"/>
  <c r="A2600" i="12" s="1"/>
  <c r="K2600" i="12" s="1"/>
  <c r="N2599" i="12"/>
  <c r="A2599" i="12" a="1"/>
  <c r="A2599" i="12" s="1"/>
  <c r="L2599" i="12" s="1"/>
  <c r="N2598" i="12"/>
  <c r="A2598" i="12" a="1"/>
  <c r="A2598" i="12" s="1"/>
  <c r="N2592" i="12"/>
  <c r="L2592" i="12"/>
  <c r="A2585" i="12" a="1"/>
  <c r="A2585" i="12" s="1"/>
  <c r="N2576" i="12"/>
  <c r="A2576" i="12" a="1"/>
  <c r="A2576" i="12" s="1"/>
  <c r="K2576" i="12" s="1"/>
  <c r="N2575" i="12"/>
  <c r="A2575" i="12" a="1"/>
  <c r="A2575" i="12" s="1"/>
  <c r="K2575" i="12" s="1"/>
  <c r="N2574" i="12"/>
  <c r="A2574" i="12" a="1"/>
  <c r="A2574" i="12" s="1"/>
  <c r="K2574" i="12" s="1"/>
  <c r="N2573" i="12"/>
  <c r="A2573" i="12" a="1"/>
  <c r="A2573" i="12" s="1"/>
  <c r="K2573" i="12" s="1"/>
  <c r="L2572" i="12"/>
  <c r="A2572" i="12" a="1"/>
  <c r="A2572" i="12" s="1"/>
  <c r="L2566" i="12"/>
  <c r="D2566" i="12"/>
  <c r="D2562" i="12"/>
  <c r="D2561" i="12"/>
  <c r="N2558" i="12"/>
  <c r="M2558" i="12"/>
  <c r="L2558" i="12"/>
  <c r="E2554" i="12"/>
  <c r="E2553" i="12"/>
  <c r="E2551" i="12"/>
  <c r="L2535" i="12"/>
  <c r="L2534" i="12"/>
  <c r="L2533" i="12"/>
  <c r="N2525" i="12"/>
  <c r="A2525" i="12" a="1"/>
  <c r="A2525" i="12" s="1"/>
  <c r="K2525" i="12" s="1"/>
  <c r="N2524" i="12"/>
  <c r="A2524" i="12" a="1"/>
  <c r="A2524" i="12" s="1"/>
  <c r="N2523" i="12"/>
  <c r="A2523" i="12" a="1"/>
  <c r="A2523" i="12" s="1"/>
  <c r="L2522" i="12"/>
  <c r="A2522" i="12" a="1"/>
  <c r="A2522" i="12" s="1"/>
  <c r="A2521" i="12" a="1"/>
  <c r="A2521" i="12" s="1"/>
  <c r="N2515" i="12"/>
  <c r="A2515" i="12" a="1"/>
  <c r="A2515" i="12" s="1"/>
  <c r="N2514" i="12"/>
  <c r="A2514" i="12" a="1"/>
  <c r="A2514" i="12" s="1"/>
  <c r="N2513" i="12"/>
  <c r="A2513" i="12" a="1"/>
  <c r="A2513" i="12" s="1"/>
  <c r="K2513" i="12" s="1"/>
  <c r="N2512" i="12"/>
  <c r="A2512" i="12" a="1"/>
  <c r="A2512" i="12" s="1"/>
  <c r="N2511" i="12"/>
  <c r="A2511" i="12" a="1"/>
  <c r="A2511" i="12" s="1"/>
  <c r="K2511" i="12" s="1"/>
  <c r="N2505" i="12"/>
  <c r="A2505" i="12" a="1"/>
  <c r="A2505" i="12" s="1"/>
  <c r="J2505" i="12" s="1"/>
  <c r="N2504" i="12"/>
  <c r="A2504" i="12" a="1"/>
  <c r="A2504" i="12" s="1"/>
  <c r="J2504" i="12" s="1"/>
  <c r="N2503" i="12"/>
  <c r="A2503" i="12" a="1"/>
  <c r="A2503" i="12" s="1"/>
  <c r="N2502" i="12"/>
  <c r="A2502" i="12" a="1"/>
  <c r="A2502" i="12" s="1"/>
  <c r="L2502" i="12" s="1"/>
  <c r="N2492" i="12"/>
  <c r="A2492" i="12" a="1"/>
  <c r="A2492" i="12" s="1"/>
  <c r="K2492" i="12" s="1"/>
  <c r="N2491" i="12"/>
  <c r="A2491" i="12" a="1"/>
  <c r="A2491" i="12" s="1"/>
  <c r="K2491" i="12" s="1"/>
  <c r="N2490" i="12"/>
  <c r="A2490" i="12" a="1"/>
  <c r="A2490" i="12" s="1"/>
  <c r="K2490" i="12" s="1"/>
  <c r="N2489" i="12"/>
  <c r="A2489" i="12" a="1"/>
  <c r="A2489" i="12" s="1"/>
  <c r="K2489" i="12" s="1"/>
  <c r="A2488" i="12" a="1"/>
  <c r="A2488" i="12" s="1"/>
  <c r="L2482" i="12"/>
  <c r="D2482" i="12"/>
  <c r="D2478" i="12"/>
  <c r="D2477" i="12"/>
  <c r="N2474" i="12"/>
  <c r="M2474" i="12"/>
  <c r="L2474" i="12"/>
  <c r="E2470" i="12"/>
  <c r="E2469" i="12"/>
  <c r="E2467" i="12"/>
  <c r="L2451" i="12"/>
  <c r="L2450" i="12"/>
  <c r="L2449" i="12"/>
  <c r="N2441" i="12"/>
  <c r="A2441" i="12" a="1"/>
  <c r="A2441" i="12" s="1"/>
  <c r="K2441" i="12" s="1"/>
  <c r="N2440" i="12"/>
  <c r="A2440" i="12" a="1"/>
  <c r="A2440" i="12" s="1"/>
  <c r="N2439" i="12"/>
  <c r="A2439" i="12" a="1"/>
  <c r="A2439" i="12" s="1"/>
  <c r="L2438" i="12"/>
  <c r="A2438" i="12" a="1"/>
  <c r="A2438" i="12" s="1"/>
  <c r="A2437" i="12" a="1"/>
  <c r="A2437" i="12" s="1"/>
  <c r="N2431" i="12"/>
  <c r="A2431" i="12" a="1"/>
  <c r="A2431" i="12" s="1"/>
  <c r="N2430" i="12"/>
  <c r="A2430" i="12" a="1"/>
  <c r="A2430" i="12" s="1"/>
  <c r="L2430" i="12" s="1"/>
  <c r="N2429" i="12"/>
  <c r="A2429" i="12" a="1"/>
  <c r="A2429" i="12" s="1"/>
  <c r="N2428" i="12"/>
  <c r="A2428" i="12" a="1"/>
  <c r="A2428" i="12" s="1"/>
  <c r="N2427" i="12"/>
  <c r="A2427" i="12" a="1"/>
  <c r="A2427" i="12" s="1"/>
  <c r="N2421" i="12"/>
  <c r="A2421" i="12" a="1"/>
  <c r="A2421" i="12" s="1"/>
  <c r="L2421" i="12" s="1"/>
  <c r="A2419" i="12" a="1"/>
  <c r="A2419" i="12" s="1"/>
  <c r="A2418" i="12" a="1"/>
  <c r="A2418" i="12" s="1"/>
  <c r="A2416" i="12" a="1"/>
  <c r="A2416" i="12" s="1"/>
  <c r="J2416" i="12" s="1"/>
  <c r="A2415" i="12" a="1"/>
  <c r="A2415" i="12" s="1"/>
  <c r="J2415" i="12" s="1"/>
  <c r="A2414" i="12" a="1"/>
  <c r="A2414" i="12" s="1"/>
  <c r="N2408" i="12"/>
  <c r="A2408" i="12" a="1"/>
  <c r="A2408" i="12" s="1"/>
  <c r="K2408" i="12" s="1"/>
  <c r="N2407" i="12"/>
  <c r="A2407" i="12" a="1"/>
  <c r="A2407" i="12" s="1"/>
  <c r="K2407" i="12" s="1"/>
  <c r="N2406" i="12"/>
  <c r="A2406" i="12" a="1"/>
  <c r="A2406" i="12" s="1"/>
  <c r="K2406" i="12" s="1"/>
  <c r="N2405" i="12"/>
  <c r="A2405" i="12" a="1"/>
  <c r="A2405" i="12" s="1"/>
  <c r="K2405" i="12" s="1"/>
  <c r="A2404" i="12" a="1"/>
  <c r="A2404" i="12" s="1"/>
  <c r="K2404" i="12" s="1"/>
  <c r="L2398" i="12"/>
  <c r="D2398" i="12"/>
  <c r="D2394" i="12"/>
  <c r="D2393" i="12"/>
  <c r="N2390" i="12"/>
  <c r="M2390" i="12"/>
  <c r="L2390" i="12"/>
  <c r="E2386" i="12"/>
  <c r="E2385" i="12"/>
  <c r="E2383" i="12"/>
  <c r="L2367" i="12"/>
  <c r="L2366" i="12"/>
  <c r="L2365" i="12"/>
  <c r="N2357" i="12"/>
  <c r="A2357" i="12" a="1"/>
  <c r="A2357" i="12" s="1"/>
  <c r="J2357" i="12" s="1"/>
  <c r="N2356" i="12"/>
  <c r="A2356" i="12" a="1"/>
  <c r="A2356" i="12" s="1"/>
  <c r="K2356" i="12" s="1"/>
  <c r="N2355" i="12"/>
  <c r="A2355" i="12" a="1"/>
  <c r="A2355" i="12" s="1"/>
  <c r="L2354" i="12"/>
  <c r="A2354" i="12" a="1"/>
  <c r="A2354" i="12" s="1"/>
  <c r="A2353" i="12" a="1"/>
  <c r="A2353" i="12" s="1"/>
  <c r="N2347" i="12"/>
  <c r="A2347" i="12" a="1"/>
  <c r="A2347" i="12" s="1"/>
  <c r="L2347" i="12" s="1"/>
  <c r="N2346" i="12"/>
  <c r="A2346" i="12" a="1"/>
  <c r="A2346" i="12" s="1"/>
  <c r="L2346" i="12" s="1"/>
  <c r="N2345" i="12"/>
  <c r="A2345" i="12" a="1"/>
  <c r="A2345" i="12" s="1"/>
  <c r="L2345" i="12" s="1"/>
  <c r="N2344" i="12"/>
  <c r="A2344" i="12" a="1"/>
  <c r="A2344" i="12" s="1"/>
  <c r="L2344" i="12" s="1"/>
  <c r="N2343" i="12"/>
  <c r="A2343" i="12" a="1"/>
  <c r="A2343" i="12" s="1"/>
  <c r="N2337" i="12"/>
  <c r="A2337" i="12" a="1"/>
  <c r="A2337" i="12" s="1"/>
  <c r="N2336" i="12"/>
  <c r="A2336" i="12" a="1"/>
  <c r="A2336" i="12" s="1"/>
  <c r="A2335" i="12" a="1"/>
  <c r="A2335" i="12" s="1"/>
  <c r="A2332" i="12" a="1"/>
  <c r="A2332" i="12" s="1"/>
  <c r="A2331" i="12" a="1"/>
  <c r="A2331" i="12" s="1"/>
  <c r="N2324" i="12"/>
  <c r="A2324" i="12" a="1"/>
  <c r="A2324" i="12" s="1"/>
  <c r="K2324" i="12" s="1"/>
  <c r="N2323" i="12"/>
  <c r="A2323" i="12" a="1"/>
  <c r="A2323" i="12" s="1"/>
  <c r="K2323" i="12" s="1"/>
  <c r="N2322" i="12"/>
  <c r="A2322" i="12" a="1"/>
  <c r="A2322" i="12" s="1"/>
  <c r="K2322" i="12" s="1"/>
  <c r="N2321" i="12"/>
  <c r="A2321" i="12" a="1"/>
  <c r="A2321" i="12" s="1"/>
  <c r="K2321" i="12" s="1"/>
  <c r="A2320" i="12" a="1"/>
  <c r="A2320" i="12" s="1"/>
  <c r="K2320" i="12" s="1"/>
  <c r="N2320" i="12" s="1"/>
  <c r="L2314" i="12"/>
  <c r="D2314" i="12"/>
  <c r="D2310" i="12"/>
  <c r="D2309" i="12"/>
  <c r="N2306" i="12"/>
  <c r="M2306" i="12"/>
  <c r="L2306" i="12"/>
  <c r="E2302" i="12"/>
  <c r="E2301" i="12"/>
  <c r="E2299" i="12"/>
  <c r="L2283" i="12"/>
  <c r="L2282" i="12"/>
  <c r="L2281" i="12"/>
  <c r="N2273" i="12"/>
  <c r="A2273" i="12" a="1"/>
  <c r="A2273" i="12" s="1"/>
  <c r="N2272" i="12"/>
  <c r="A2272" i="12" a="1"/>
  <c r="A2272" i="12" s="1"/>
  <c r="A2271" i="12" a="1"/>
  <c r="A2271" i="12" s="1"/>
  <c r="A2270" i="12" a="1"/>
  <c r="A2270" i="12" s="1"/>
  <c r="A2269" i="12" a="1"/>
  <c r="A2269" i="12" s="1"/>
  <c r="N2263" i="12"/>
  <c r="A2263" i="12" a="1"/>
  <c r="A2263" i="12" s="1"/>
  <c r="K2263" i="12" s="1"/>
  <c r="N2262" i="12"/>
  <c r="A2262" i="12" a="1"/>
  <c r="A2262" i="12" s="1"/>
  <c r="N2261" i="12"/>
  <c r="A2261" i="12" a="1"/>
  <c r="A2261" i="12" s="1"/>
  <c r="N2260" i="12"/>
  <c r="A2260" i="12" a="1"/>
  <c r="A2260" i="12" s="1"/>
  <c r="N2259" i="12"/>
  <c r="A2259" i="12" a="1"/>
  <c r="A2259" i="12" s="1"/>
  <c r="N2253" i="12"/>
  <c r="A2253" i="12" a="1"/>
  <c r="A2253" i="12" s="1"/>
  <c r="J2253" i="12" s="1"/>
  <c r="N2252" i="12"/>
  <c r="A2252" i="12" a="1"/>
  <c r="A2252" i="12" s="1"/>
  <c r="L2252" i="12" s="1"/>
  <c r="N2251" i="12"/>
  <c r="A2251" i="12" a="1"/>
  <c r="A2251" i="12" s="1"/>
  <c r="L2251" i="12" s="1"/>
  <c r="A2250" i="12" a="1"/>
  <c r="A2250" i="12" s="1"/>
  <c r="J2250" i="12" s="1"/>
  <c r="A2249" i="12" a="1"/>
  <c r="A2249" i="12" s="1"/>
  <c r="K2248" i="12"/>
  <c r="A2248" i="12" a="1"/>
  <c r="A2248" i="12" s="1"/>
  <c r="A2247" i="12" a="1"/>
  <c r="A2247" i="12" s="1"/>
  <c r="J2247" i="12" s="1"/>
  <c r="A2246" i="12" a="1"/>
  <c r="A2246" i="12" s="1"/>
  <c r="J2246" i="12" s="1"/>
  <c r="N2240" i="12"/>
  <c r="A2240" i="12" a="1"/>
  <c r="A2240" i="12" s="1"/>
  <c r="K2240" i="12" s="1"/>
  <c r="N2239" i="12"/>
  <c r="A2239" i="12" a="1"/>
  <c r="A2239" i="12" s="1"/>
  <c r="K2239" i="12" s="1"/>
  <c r="N2238" i="12"/>
  <c r="A2238" i="12" a="1"/>
  <c r="A2238" i="12" s="1"/>
  <c r="K2238" i="12" s="1"/>
  <c r="N2237" i="12"/>
  <c r="A2237" i="12" a="1"/>
  <c r="A2237" i="12" s="1"/>
  <c r="K2237" i="12" s="1"/>
  <c r="N2236" i="12"/>
  <c r="A2236" i="12" a="1"/>
  <c r="A2236" i="12" s="1"/>
  <c r="K2236" i="12" s="1"/>
  <c r="L2230" i="12"/>
  <c r="D2230" i="12"/>
  <c r="D2226" i="12"/>
  <c r="D2225" i="12"/>
  <c r="N2222" i="12"/>
  <c r="M2222" i="12"/>
  <c r="L2222" i="12"/>
  <c r="E2218" i="12"/>
  <c r="E2217" i="12"/>
  <c r="E2215" i="12"/>
  <c r="L2110" i="12"/>
  <c r="L2109" i="12"/>
  <c r="L2108" i="12"/>
  <c r="N2100" i="12"/>
  <c r="A2100" i="12" a="1"/>
  <c r="A2100" i="12" s="1"/>
  <c r="I2100" i="12" s="1"/>
  <c r="N2099" i="12"/>
  <c r="A2099" i="12" a="1"/>
  <c r="A2099" i="12" s="1"/>
  <c r="A2098" i="12" a="1"/>
  <c r="A2098" i="12" s="1"/>
  <c r="J2098" i="12" s="1"/>
  <c r="L2097" i="12"/>
  <c r="L2098" i="12" s="1"/>
  <c r="A2097" i="12" a="1"/>
  <c r="A2097" i="12" s="1"/>
  <c r="A2096" i="12" a="1"/>
  <c r="A2096" i="12" s="1"/>
  <c r="N2090" i="12"/>
  <c r="A2090" i="12" a="1"/>
  <c r="A2090" i="12" s="1"/>
  <c r="N2089" i="12"/>
  <c r="A2089" i="12" a="1"/>
  <c r="A2089" i="12" s="1"/>
  <c r="J2089" i="12" s="1"/>
  <c r="N2088" i="12"/>
  <c r="A2088" i="12" a="1"/>
  <c r="A2088" i="12" s="1"/>
  <c r="N2087" i="12"/>
  <c r="A2087" i="12" a="1"/>
  <c r="A2087" i="12" s="1"/>
  <c r="N2086" i="12"/>
  <c r="A2086" i="12" a="1"/>
  <c r="A2086" i="12" s="1"/>
  <c r="N2080" i="12"/>
  <c r="A2080" i="12" a="1"/>
  <c r="A2080" i="12" s="1"/>
  <c r="J2080" i="12" s="1"/>
  <c r="N2079" i="12"/>
  <c r="A2079" i="12" a="1"/>
  <c r="A2079" i="12" s="1"/>
  <c r="J2079" i="12" s="1"/>
  <c r="N2078" i="12"/>
  <c r="A2078" i="12" a="1"/>
  <c r="A2078" i="12" s="1"/>
  <c r="A2077" i="12" a="1"/>
  <c r="A2077" i="12" s="1"/>
  <c r="A2076" i="12" a="1"/>
  <c r="A2076" i="12" s="1"/>
  <c r="J2076" i="12" s="1"/>
  <c r="A2075" i="12" a="1"/>
  <c r="A2075" i="12" s="1"/>
  <c r="J2075" i="12" s="1"/>
  <c r="A2074" i="12" a="1"/>
  <c r="A2074" i="12" s="1"/>
  <c r="J2074" i="12" s="1"/>
  <c r="A2073" i="12" a="1"/>
  <c r="A2073" i="12" s="1"/>
  <c r="N2067" i="12"/>
  <c r="A2067" i="12" a="1"/>
  <c r="A2067" i="12" s="1"/>
  <c r="K2067" i="12" s="1"/>
  <c r="N2066" i="12"/>
  <c r="A2066" i="12" a="1"/>
  <c r="A2066" i="12" s="1"/>
  <c r="K2066" i="12" s="1"/>
  <c r="N2065" i="12"/>
  <c r="A2065" i="12" a="1"/>
  <c r="A2065" i="12" s="1"/>
  <c r="K2065" i="12" s="1"/>
  <c r="N2064" i="12"/>
  <c r="A2064" i="12" a="1"/>
  <c r="A2064" i="12" s="1"/>
  <c r="K2064" i="12" s="1"/>
  <c r="N2063" i="12"/>
  <c r="A2063" i="12" a="1"/>
  <c r="A2063" i="12" s="1"/>
  <c r="K2063" i="12" s="1"/>
  <c r="L2057" i="12"/>
  <c r="D2057" i="12"/>
  <c r="D2053" i="12"/>
  <c r="D2052" i="12"/>
  <c r="N2049" i="12"/>
  <c r="M2049" i="12"/>
  <c r="L2049" i="12"/>
  <c r="E2045" i="12"/>
  <c r="E2044" i="12"/>
  <c r="E2042" i="12"/>
  <c r="L2027" i="12"/>
  <c r="L2026" i="12"/>
  <c r="L2025" i="12"/>
  <c r="N2017" i="12"/>
  <c r="A2017" i="12" a="1"/>
  <c r="A2017" i="12" s="1"/>
  <c r="I2017" i="12" s="1"/>
  <c r="N2016" i="12"/>
  <c r="A2016" i="12" a="1"/>
  <c r="A2016" i="12" s="1"/>
  <c r="I2016" i="12" s="1"/>
  <c r="L2015" i="12"/>
  <c r="A2015" i="12" a="1"/>
  <c r="A2015" i="12" s="1"/>
  <c r="L2014" i="12"/>
  <c r="A2014" i="12" a="1"/>
  <c r="A2014" i="12" s="1"/>
  <c r="A2013" i="12" a="1"/>
  <c r="A2013" i="12" s="1"/>
  <c r="N2007" i="12"/>
  <c r="A2007" i="12" a="1"/>
  <c r="A2007" i="12" s="1"/>
  <c r="N2006" i="12"/>
  <c r="A2006" i="12" a="1"/>
  <c r="A2006" i="12" s="1"/>
  <c r="L2006" i="12" s="1"/>
  <c r="N2005" i="12"/>
  <c r="A2005" i="12" a="1"/>
  <c r="A2005" i="12" s="1"/>
  <c r="N2004" i="12"/>
  <c r="A2004" i="12" a="1"/>
  <c r="A2004" i="12" s="1"/>
  <c r="K2004" i="12" s="1"/>
  <c r="N2003" i="12"/>
  <c r="A2003" i="12" a="1"/>
  <c r="A2003" i="12" s="1"/>
  <c r="K2003" i="12" s="1"/>
  <c r="N1997" i="12"/>
  <c r="A1997" i="12" a="1"/>
  <c r="A1997" i="12" s="1"/>
  <c r="N1996" i="12"/>
  <c r="A1996" i="12" a="1"/>
  <c r="A1996" i="12" s="1"/>
  <c r="A1991" i="12" a="1"/>
  <c r="A1991" i="12" s="1"/>
  <c r="J1991" i="12" s="1"/>
  <c r="N1984" i="12"/>
  <c r="A1984" i="12" a="1"/>
  <c r="A1984" i="12" s="1"/>
  <c r="K1984" i="12" s="1"/>
  <c r="N1983" i="12"/>
  <c r="A1983" i="12" a="1"/>
  <c r="A1983" i="12" s="1"/>
  <c r="K1983" i="12" s="1"/>
  <c r="N1982" i="12"/>
  <c r="A1982" i="12" a="1"/>
  <c r="A1982" i="12" s="1"/>
  <c r="K1982" i="12" s="1"/>
  <c r="N1981" i="12"/>
  <c r="A1981" i="12" a="1"/>
  <c r="A1981" i="12" s="1"/>
  <c r="K1981" i="12" s="1"/>
  <c r="N1980" i="12"/>
  <c r="A1980" i="12" a="1"/>
  <c r="A1980" i="12" s="1"/>
  <c r="K1980" i="12" s="1"/>
  <c r="L1974" i="12"/>
  <c r="D1974" i="12"/>
  <c r="D1970" i="12"/>
  <c r="D1969" i="12"/>
  <c r="N1966" i="12"/>
  <c r="M1966" i="12"/>
  <c r="L1966" i="12"/>
  <c r="E1962" i="12"/>
  <c r="E1961" i="12"/>
  <c r="E1959" i="12"/>
  <c r="L1942" i="12"/>
  <c r="L1941" i="12"/>
  <c r="L1940" i="12"/>
  <c r="N1932" i="12"/>
  <c r="A1932" i="12" a="1"/>
  <c r="A1932" i="12" s="1"/>
  <c r="N1931" i="12"/>
  <c r="A1931" i="12" a="1"/>
  <c r="A1931" i="12" s="1"/>
  <c r="I1931" i="12" s="1"/>
  <c r="A1930" i="12" a="1"/>
  <c r="A1930" i="12" s="1"/>
  <c r="J1930" i="12" s="1"/>
  <c r="L1929" i="12"/>
  <c r="L1930" i="12" s="1"/>
  <c r="A1929" i="12" a="1"/>
  <c r="A1929" i="12" s="1"/>
  <c r="A1928" i="12" a="1"/>
  <c r="A1928" i="12" s="1"/>
  <c r="N1922" i="12"/>
  <c r="A1922" i="12" a="1"/>
  <c r="A1922" i="12" s="1"/>
  <c r="N1921" i="12"/>
  <c r="A1921" i="12" a="1"/>
  <c r="A1921" i="12" s="1"/>
  <c r="L1921" i="12" s="1"/>
  <c r="N1920" i="12"/>
  <c r="A1920" i="12" a="1"/>
  <c r="A1920" i="12" s="1"/>
  <c r="N1919" i="12"/>
  <c r="A1919" i="12" a="1"/>
  <c r="A1919" i="12" s="1"/>
  <c r="J1919" i="12" s="1"/>
  <c r="N1918" i="12"/>
  <c r="A1918" i="12" a="1"/>
  <c r="A1918" i="12" s="1"/>
  <c r="N1912" i="12"/>
  <c r="A1912" i="12" a="1"/>
  <c r="A1912" i="12" s="1"/>
  <c r="J1912" i="12" s="1"/>
  <c r="N1911" i="12"/>
  <c r="A1911" i="12" a="1"/>
  <c r="A1911" i="12" s="1"/>
  <c r="N1910" i="12"/>
  <c r="A1910" i="12" a="1"/>
  <c r="A1910" i="12" s="1"/>
  <c r="A1909" i="12" a="1"/>
  <c r="A1909" i="12" s="1"/>
  <c r="J1909" i="12" s="1"/>
  <c r="A1908" i="12" a="1"/>
  <c r="A1908" i="12" s="1"/>
  <c r="L1908" i="12" s="1"/>
  <c r="N1908" i="12" s="1"/>
  <c r="A1907" i="12" a="1"/>
  <c r="A1907" i="12" s="1"/>
  <c r="A1906" i="12" a="1"/>
  <c r="A1906" i="12" s="1"/>
  <c r="L1906" i="12" s="1"/>
  <c r="N1906" i="12" s="1"/>
  <c r="A1905" i="12" a="1"/>
  <c r="A1905" i="12" s="1"/>
  <c r="J1905" i="12" s="1"/>
  <c r="N1899" i="12"/>
  <c r="A1899" i="12" a="1"/>
  <c r="A1899" i="12" s="1"/>
  <c r="K1899" i="12" s="1"/>
  <c r="N1898" i="12"/>
  <c r="A1898" i="12" a="1"/>
  <c r="A1898" i="12" s="1"/>
  <c r="K1898" i="12" s="1"/>
  <c r="N1897" i="12"/>
  <c r="A1897" i="12" a="1"/>
  <c r="A1897" i="12" s="1"/>
  <c r="K1897" i="12" s="1"/>
  <c r="N1896" i="12"/>
  <c r="A1896" i="12" a="1"/>
  <c r="A1896" i="12" s="1"/>
  <c r="K1896" i="12" s="1"/>
  <c r="A1895" i="12" a="1"/>
  <c r="A1895" i="12" s="1"/>
  <c r="K1895" i="12" s="1"/>
  <c r="N1895" i="12" s="1"/>
  <c r="L1889" i="12"/>
  <c r="D1889" i="12"/>
  <c r="D1885" i="12"/>
  <c r="D1884" i="12"/>
  <c r="N1881" i="12"/>
  <c r="M1881" i="12"/>
  <c r="L1881" i="12"/>
  <c r="E1877" i="12"/>
  <c r="E1876" i="12"/>
  <c r="E1874" i="12"/>
  <c r="L1857" i="12"/>
  <c r="L1856" i="12"/>
  <c r="L1855" i="12"/>
  <c r="N1847" i="12"/>
  <c r="A1847" i="12" a="1"/>
  <c r="A1847" i="12" s="1"/>
  <c r="N1846" i="12"/>
  <c r="A1846" i="12" a="1"/>
  <c r="A1846" i="12" s="1"/>
  <c r="N1845" i="12"/>
  <c r="A1845" i="12" a="1"/>
  <c r="A1845" i="12" s="1"/>
  <c r="J1845" i="12" s="1"/>
  <c r="L1844" i="12"/>
  <c r="A1844" i="12" a="1"/>
  <c r="A1844" i="12" s="1"/>
  <c r="A1843" i="12" a="1"/>
  <c r="A1843" i="12" s="1"/>
  <c r="N1837" i="12"/>
  <c r="A1837" i="12" a="1"/>
  <c r="A1837" i="12" s="1"/>
  <c r="N1836" i="12"/>
  <c r="A1836" i="12" a="1"/>
  <c r="A1836" i="12" s="1"/>
  <c r="N1835" i="12"/>
  <c r="A1835" i="12" a="1"/>
  <c r="A1835" i="12" s="1"/>
  <c r="N1834" i="12"/>
  <c r="A1834" i="12" a="1"/>
  <c r="A1834" i="12" s="1"/>
  <c r="N1833" i="12"/>
  <c r="A1833" i="12" a="1"/>
  <c r="A1833" i="12" s="1"/>
  <c r="N1827" i="12"/>
  <c r="A1827" i="12" a="1"/>
  <c r="A1827" i="12" s="1"/>
  <c r="L1827" i="12" s="1"/>
  <c r="N1826" i="12"/>
  <c r="A1826" i="12" a="1"/>
  <c r="A1826" i="12" s="1"/>
  <c r="L1826" i="12" s="1"/>
  <c r="N1825" i="12"/>
  <c r="A1825" i="12" a="1"/>
  <c r="A1825" i="12" s="1"/>
  <c r="N1824" i="12"/>
  <c r="A1824" i="12" a="1"/>
  <c r="A1824" i="12" s="1"/>
  <c r="N1823" i="12"/>
  <c r="A1823" i="12" a="1"/>
  <c r="A1823" i="12" s="1"/>
  <c r="L1823" i="12" s="1"/>
  <c r="N1822" i="12"/>
  <c r="A1822" i="12" a="1"/>
  <c r="A1822" i="12" s="1"/>
  <c r="N1821" i="12"/>
  <c r="A1821" i="12" a="1"/>
  <c r="A1821" i="12" s="1"/>
  <c r="L1821" i="12" s="1"/>
  <c r="A1820" i="12" a="1"/>
  <c r="A1820" i="12" s="1"/>
  <c r="J1820" i="12" s="1"/>
  <c r="N1814" i="12"/>
  <c r="A1814" i="12" a="1"/>
  <c r="A1814" i="12" s="1"/>
  <c r="K1814" i="12" s="1"/>
  <c r="N1813" i="12"/>
  <c r="A1813" i="12" a="1"/>
  <c r="A1813" i="12" s="1"/>
  <c r="K1813" i="12" s="1"/>
  <c r="N1812" i="12"/>
  <c r="A1812" i="12" a="1"/>
  <c r="A1812" i="12" s="1"/>
  <c r="K1812" i="12" s="1"/>
  <c r="N1811" i="12"/>
  <c r="A1811" i="12" a="1"/>
  <c r="A1811" i="12" s="1"/>
  <c r="K1811" i="12" s="1"/>
  <c r="N1810" i="12"/>
  <c r="A1810" i="12" a="1"/>
  <c r="A1810" i="12" s="1"/>
  <c r="K1810" i="12" s="1"/>
  <c r="L1804" i="12"/>
  <c r="D1804" i="12"/>
  <c r="D1800" i="12"/>
  <c r="D1799" i="12"/>
  <c r="N1796" i="12"/>
  <c r="M1796" i="12"/>
  <c r="L1796" i="12"/>
  <c r="E1792" i="12"/>
  <c r="E1791" i="12"/>
  <c r="E1789" i="12"/>
  <c r="L1772" i="12"/>
  <c r="L1771" i="12"/>
  <c r="L1770" i="12"/>
  <c r="N1762" i="12"/>
  <c r="A1762" i="12" a="1"/>
  <c r="A1762" i="12" s="1"/>
  <c r="I1762" i="12" s="1"/>
  <c r="N1761" i="12"/>
  <c r="A1761" i="12" a="1"/>
  <c r="A1761" i="12" s="1"/>
  <c r="N1760" i="12"/>
  <c r="A1760" i="12" a="1"/>
  <c r="A1760" i="12" s="1"/>
  <c r="K1760" i="12" s="1"/>
  <c r="L1759" i="12"/>
  <c r="A1759" i="12" a="1"/>
  <c r="A1759" i="12" s="1"/>
  <c r="A1758" i="12" a="1"/>
  <c r="A1758" i="12" s="1"/>
  <c r="N1752" i="12"/>
  <c r="A1752" i="12" a="1"/>
  <c r="A1752" i="12" s="1"/>
  <c r="L1752" i="12" s="1"/>
  <c r="N1751" i="12"/>
  <c r="A1751" i="12" a="1"/>
  <c r="A1751" i="12" s="1"/>
  <c r="L1751" i="12" s="1"/>
  <c r="N1750" i="12"/>
  <c r="A1750" i="12" a="1"/>
  <c r="A1750" i="12" s="1"/>
  <c r="J1750" i="12" s="1"/>
  <c r="N1749" i="12"/>
  <c r="A1749" i="12" a="1"/>
  <c r="A1749" i="12" s="1"/>
  <c r="N1748" i="12"/>
  <c r="A1748" i="12" a="1"/>
  <c r="A1748" i="12" s="1"/>
  <c r="N1742" i="12"/>
  <c r="A1742" i="12" a="1"/>
  <c r="A1742" i="12" s="1"/>
  <c r="N1741" i="12"/>
  <c r="A1741" i="12" a="1"/>
  <c r="A1741" i="12" s="1"/>
  <c r="J1741" i="12" s="1"/>
  <c r="N1740" i="12"/>
  <c r="A1740" i="12" a="1"/>
  <c r="A1740" i="12" s="1"/>
  <c r="L1740" i="12" s="1"/>
  <c r="N1739" i="12"/>
  <c r="A1739" i="12" a="1"/>
  <c r="A1739" i="12" s="1"/>
  <c r="L1739" i="12" s="1"/>
  <c r="N1738" i="12"/>
  <c r="A1738" i="12" a="1"/>
  <c r="A1738" i="12" s="1"/>
  <c r="A1737" i="12" a="1"/>
  <c r="A1737" i="12" s="1"/>
  <c r="A1736" i="12" a="1"/>
  <c r="A1736" i="12" s="1"/>
  <c r="A1735" i="12" a="1"/>
  <c r="A1735" i="12" s="1"/>
  <c r="N1729" i="12"/>
  <c r="A1729" i="12" a="1"/>
  <c r="A1729" i="12" s="1"/>
  <c r="K1729" i="12" s="1"/>
  <c r="N1728" i="12"/>
  <c r="A1728" i="12" a="1"/>
  <c r="A1728" i="12" s="1"/>
  <c r="K1728" i="12" s="1"/>
  <c r="N1727" i="12"/>
  <c r="A1727" i="12" a="1"/>
  <c r="A1727" i="12" s="1"/>
  <c r="K1727" i="12" s="1"/>
  <c r="N1726" i="12"/>
  <c r="A1726" i="12" a="1"/>
  <c r="A1726" i="12" s="1"/>
  <c r="K1726" i="12" s="1"/>
  <c r="A1725" i="12" a="1"/>
  <c r="A1725" i="12" s="1"/>
  <c r="K1725" i="12" s="1"/>
  <c r="L1719" i="12"/>
  <c r="D1719" i="12"/>
  <c r="D1715" i="12"/>
  <c r="D1714" i="12"/>
  <c r="N1711" i="12"/>
  <c r="M1711" i="12"/>
  <c r="L1711" i="12"/>
  <c r="E1707" i="12"/>
  <c r="E1706" i="12"/>
  <c r="E1704" i="12"/>
  <c r="L1687" i="12"/>
  <c r="L1686" i="12"/>
  <c r="L1685" i="12"/>
  <c r="N1677" i="12"/>
  <c r="A1677" i="12" a="1"/>
  <c r="A1677" i="12" s="1"/>
  <c r="K1677" i="12" s="1"/>
  <c r="N1676" i="12"/>
  <c r="A1676" i="12" a="1"/>
  <c r="A1676" i="12" s="1"/>
  <c r="N1675" i="12"/>
  <c r="A1675" i="12" a="1"/>
  <c r="A1675" i="12" s="1"/>
  <c r="L1674" i="12"/>
  <c r="A1674" i="12" a="1"/>
  <c r="A1674" i="12" s="1"/>
  <c r="A1673" i="12" a="1"/>
  <c r="A1673" i="12" s="1"/>
  <c r="N1667" i="12"/>
  <c r="A1667" i="12" a="1"/>
  <c r="A1667" i="12" s="1"/>
  <c r="N1666" i="12"/>
  <c r="A1666" i="12" a="1"/>
  <c r="A1666" i="12" s="1"/>
  <c r="K1666" i="12" s="1"/>
  <c r="N1665" i="12"/>
  <c r="A1665" i="12" a="1"/>
  <c r="A1665" i="12" s="1"/>
  <c r="J1665" i="12" s="1"/>
  <c r="N1664" i="12"/>
  <c r="A1664" i="12" a="1"/>
  <c r="A1664" i="12" s="1"/>
  <c r="L1664" i="12" s="1"/>
  <c r="N1663" i="12"/>
  <c r="A1663" i="12" a="1"/>
  <c r="A1663" i="12" s="1"/>
  <c r="L1663" i="12" s="1"/>
  <c r="N1657" i="12"/>
  <c r="A1657" i="12" a="1"/>
  <c r="A1657" i="12" s="1"/>
  <c r="N1656" i="12"/>
  <c r="A1656" i="12" a="1"/>
  <c r="A1656" i="12" s="1"/>
  <c r="L1656" i="12" s="1"/>
  <c r="N1655" i="12"/>
  <c r="A1655" i="12" a="1"/>
  <c r="A1655" i="12" s="1"/>
  <c r="N1654" i="12"/>
  <c r="A1654" i="12" a="1"/>
  <c r="A1654" i="12" s="1"/>
  <c r="N1653" i="12"/>
  <c r="A1653" i="12" a="1"/>
  <c r="A1653" i="12" s="1"/>
  <c r="L1653" i="12" s="1"/>
  <c r="N1652" i="12"/>
  <c r="A1652" i="12" a="1"/>
  <c r="A1652" i="12" s="1"/>
  <c r="A1651" i="12" a="1"/>
  <c r="A1651" i="12" s="1"/>
  <c r="A1650" i="12" a="1"/>
  <c r="A1650" i="12" s="1"/>
  <c r="N1644" i="12"/>
  <c r="A1644" i="12" a="1"/>
  <c r="A1644" i="12" s="1"/>
  <c r="K1644" i="12" s="1"/>
  <c r="N1643" i="12"/>
  <c r="A1643" i="12" a="1"/>
  <c r="A1643" i="12" s="1"/>
  <c r="K1643" i="12" s="1"/>
  <c r="N1642" i="12"/>
  <c r="A1642" i="12" a="1"/>
  <c r="A1642" i="12" s="1"/>
  <c r="K1642" i="12" s="1"/>
  <c r="N1641" i="12"/>
  <c r="A1641" i="12" a="1"/>
  <c r="A1641" i="12" s="1"/>
  <c r="K1641" i="12" s="1"/>
  <c r="A1640" i="12" a="1"/>
  <c r="A1640" i="12" s="1"/>
  <c r="K1640" i="12" s="1"/>
  <c r="N1640" i="12" s="1"/>
  <c r="L1634" i="12"/>
  <c r="D1634" i="12"/>
  <c r="D1630" i="12"/>
  <c r="D1629" i="12"/>
  <c r="N1626" i="12"/>
  <c r="M1626" i="12"/>
  <c r="L1626" i="12"/>
  <c r="E1622" i="12"/>
  <c r="E1621" i="12"/>
  <c r="E1619" i="12"/>
  <c r="L1602" i="12"/>
  <c r="L1601" i="12"/>
  <c r="L1600" i="12"/>
  <c r="N1592" i="12"/>
  <c r="A1592" i="12" a="1"/>
  <c r="A1592" i="12" s="1"/>
  <c r="I1592" i="12" s="1"/>
  <c r="N1591" i="12"/>
  <c r="A1591" i="12" a="1"/>
  <c r="A1591" i="12" s="1"/>
  <c r="K1591" i="12" s="1"/>
  <c r="N1590" i="12"/>
  <c r="A1590" i="12" a="1"/>
  <c r="A1590" i="12" s="1"/>
  <c r="I1590" i="12" s="1"/>
  <c r="L1589" i="12"/>
  <c r="A1589" i="12" a="1"/>
  <c r="A1589" i="12" s="1"/>
  <c r="A1588" i="12" a="1"/>
  <c r="A1588" i="12" s="1"/>
  <c r="N1582" i="12"/>
  <c r="A1582" i="12" a="1"/>
  <c r="A1582" i="12" s="1"/>
  <c r="N1581" i="12"/>
  <c r="A1581" i="12" a="1"/>
  <c r="A1581" i="12" s="1"/>
  <c r="J1581" i="12" s="1"/>
  <c r="N1580" i="12"/>
  <c r="A1580" i="12" a="1"/>
  <c r="A1580" i="12" s="1"/>
  <c r="N1579" i="12"/>
  <c r="A1579" i="12" a="1"/>
  <c r="A1579" i="12" s="1"/>
  <c r="K1579" i="12" s="1"/>
  <c r="N1578" i="12"/>
  <c r="A1578" i="12" a="1"/>
  <c r="A1578" i="12" s="1"/>
  <c r="K1578" i="12" s="1"/>
  <c r="A1571" i="12" a="1"/>
  <c r="A1571" i="12" s="1"/>
  <c r="A1570" i="12" a="1"/>
  <c r="A1570" i="12" s="1"/>
  <c r="A1569" i="12" a="1"/>
  <c r="A1569" i="12" s="1"/>
  <c r="A1568" i="12" a="1"/>
  <c r="A1568" i="12" s="1"/>
  <c r="J1568" i="12" s="1"/>
  <c r="A1567" i="12" a="1"/>
  <c r="A1567" i="12" s="1"/>
  <c r="A1566" i="12" a="1"/>
  <c r="A1566" i="12" s="1"/>
  <c r="A1565" i="12" a="1"/>
  <c r="A1565" i="12" s="1"/>
  <c r="J1565" i="12" s="1"/>
  <c r="N1559" i="12"/>
  <c r="A1559" i="12" a="1"/>
  <c r="A1559" i="12" s="1"/>
  <c r="K1559" i="12" s="1"/>
  <c r="N1558" i="12"/>
  <c r="A1558" i="12" a="1"/>
  <c r="A1558" i="12" s="1"/>
  <c r="K1558" i="12" s="1"/>
  <c r="N1557" i="12"/>
  <c r="A1557" i="12" a="1"/>
  <c r="A1557" i="12" s="1"/>
  <c r="K1557" i="12" s="1"/>
  <c r="N1556" i="12"/>
  <c r="A1556" i="12" a="1"/>
  <c r="A1556" i="12" s="1"/>
  <c r="K1556" i="12" s="1"/>
  <c r="A1555" i="12" a="1"/>
  <c r="A1555" i="12" s="1"/>
  <c r="L1549" i="12"/>
  <c r="D1549" i="12"/>
  <c r="D1545" i="12"/>
  <c r="D1544" i="12"/>
  <c r="N1541" i="12"/>
  <c r="M1541" i="12"/>
  <c r="L1541" i="12"/>
  <c r="E1537" i="12"/>
  <c r="E1536" i="12"/>
  <c r="E1534" i="12"/>
  <c r="L1517" i="12"/>
  <c r="L1516" i="12"/>
  <c r="L1515" i="12"/>
  <c r="N1507" i="12"/>
  <c r="A1507" i="12" a="1"/>
  <c r="A1507" i="12" s="1"/>
  <c r="N1506" i="12"/>
  <c r="A1506" i="12" a="1"/>
  <c r="A1506" i="12" s="1"/>
  <c r="K1506" i="12" s="1"/>
  <c r="N1505" i="12"/>
  <c r="A1505" i="12" a="1"/>
  <c r="A1505" i="12" s="1"/>
  <c r="L1504" i="12"/>
  <c r="A1504" i="12" a="1"/>
  <c r="A1504" i="12" s="1"/>
  <c r="A1503" i="12" a="1"/>
  <c r="A1503" i="12" s="1"/>
  <c r="N1497" i="12"/>
  <c r="A1497" i="12" a="1"/>
  <c r="A1497" i="12" s="1"/>
  <c r="J1497" i="12" s="1"/>
  <c r="N1496" i="12"/>
  <c r="A1496" i="12" a="1"/>
  <c r="A1496" i="12" s="1"/>
  <c r="K1496" i="12" s="1"/>
  <c r="N1495" i="12"/>
  <c r="A1495" i="12" a="1"/>
  <c r="A1495" i="12" s="1"/>
  <c r="N1494" i="12"/>
  <c r="A1494" i="12" a="1"/>
  <c r="A1494" i="12" s="1"/>
  <c r="N1493" i="12"/>
  <c r="A1493" i="12" a="1"/>
  <c r="A1493" i="12" s="1"/>
  <c r="K1493" i="12" s="1"/>
  <c r="N1487" i="12"/>
  <c r="A1487" i="12" a="1"/>
  <c r="A1487" i="12" s="1"/>
  <c r="J1487" i="12" s="1"/>
  <c r="N1486" i="12"/>
  <c r="A1486" i="12" a="1"/>
  <c r="A1486" i="12" s="1"/>
  <c r="L1486" i="12" s="1"/>
  <c r="N1485" i="12"/>
  <c r="A1485" i="12" a="1"/>
  <c r="A1485" i="12" s="1"/>
  <c r="L1485" i="12" s="1"/>
  <c r="N1484" i="12"/>
  <c r="A1484" i="12" a="1"/>
  <c r="A1484" i="12" s="1"/>
  <c r="N1483" i="12"/>
  <c r="A1483" i="12" a="1"/>
  <c r="A1483" i="12" s="1"/>
  <c r="N1482" i="12"/>
  <c r="A1482" i="12" a="1"/>
  <c r="A1482" i="12" s="1"/>
  <c r="L1482" i="12" s="1"/>
  <c r="N1481" i="12"/>
  <c r="A1481" i="12" a="1"/>
  <c r="A1481" i="12" s="1"/>
  <c r="L1481" i="12" s="1"/>
  <c r="A1480" i="12" a="1"/>
  <c r="A1480" i="12" s="1"/>
  <c r="N1474" i="12"/>
  <c r="A1474" i="12" a="1"/>
  <c r="A1474" i="12" s="1"/>
  <c r="K1474" i="12" s="1"/>
  <c r="N1473" i="12"/>
  <c r="A1473" i="12" a="1"/>
  <c r="A1473" i="12" s="1"/>
  <c r="K1473" i="12" s="1"/>
  <c r="N1472" i="12"/>
  <c r="A1472" i="12" a="1"/>
  <c r="A1472" i="12" s="1"/>
  <c r="K1472" i="12" s="1"/>
  <c r="N1471" i="12"/>
  <c r="A1471" i="12" a="1"/>
  <c r="A1471" i="12" s="1"/>
  <c r="K1471" i="12" s="1"/>
  <c r="N1470" i="12"/>
  <c r="A1470" i="12" a="1"/>
  <c r="A1470" i="12" s="1"/>
  <c r="K1470" i="12" s="1"/>
  <c r="L1464" i="12"/>
  <c r="D1464" i="12"/>
  <c r="D1460" i="12"/>
  <c r="D1459" i="12"/>
  <c r="N1456" i="12"/>
  <c r="M1456" i="12"/>
  <c r="L1456" i="12"/>
  <c r="E1452" i="12"/>
  <c r="E1451" i="12"/>
  <c r="E1449" i="12"/>
  <c r="L1432" i="12"/>
  <c r="L1431" i="12"/>
  <c r="L1430" i="12"/>
  <c r="N1422" i="12"/>
  <c r="A1422" i="12" a="1"/>
  <c r="A1422" i="12" s="1"/>
  <c r="I1422" i="12" s="1"/>
  <c r="N1421" i="12"/>
  <c r="A1421" i="12" a="1"/>
  <c r="A1421" i="12" s="1"/>
  <c r="N1420" i="12"/>
  <c r="A1420" i="12" a="1"/>
  <c r="A1420" i="12" s="1"/>
  <c r="K1420" i="12" s="1"/>
  <c r="L1419" i="12"/>
  <c r="A1419" i="12" a="1"/>
  <c r="A1419" i="12" s="1"/>
  <c r="A1418" i="12" a="1"/>
  <c r="A1418" i="12" s="1"/>
  <c r="N1412" i="12"/>
  <c r="A1412" i="12" a="1"/>
  <c r="A1412" i="12" s="1"/>
  <c r="N1411" i="12"/>
  <c r="A1411" i="12" a="1"/>
  <c r="A1411" i="12" s="1"/>
  <c r="N1410" i="12"/>
  <c r="A1410" i="12" a="1"/>
  <c r="A1410" i="12" s="1"/>
  <c r="N1409" i="12"/>
  <c r="A1409" i="12" a="1"/>
  <c r="A1409" i="12" s="1"/>
  <c r="L1409" i="12" s="1"/>
  <c r="N1408" i="12"/>
  <c r="A1408" i="12" a="1"/>
  <c r="A1408" i="12" s="1"/>
  <c r="N1402" i="12"/>
  <c r="A1402" i="12" a="1"/>
  <c r="A1402" i="12" s="1"/>
  <c r="N1401" i="12"/>
  <c r="A1401" i="12" a="1"/>
  <c r="A1401" i="12" s="1"/>
  <c r="N1400" i="12"/>
  <c r="A1400" i="12" a="1"/>
  <c r="A1400" i="12" s="1"/>
  <c r="N1399" i="12"/>
  <c r="A1399" i="12" a="1"/>
  <c r="A1399" i="12" s="1"/>
  <c r="L1399" i="12" s="1"/>
  <c r="N1398" i="12"/>
  <c r="A1398" i="12" a="1"/>
  <c r="A1398" i="12" s="1"/>
  <c r="N1397" i="12"/>
  <c r="A1397" i="12" a="1"/>
  <c r="A1397" i="12" s="1"/>
  <c r="N1396" i="12"/>
  <c r="A1396" i="12" a="1"/>
  <c r="A1396" i="12" s="1"/>
  <c r="L1396" i="12" s="1"/>
  <c r="A1395" i="12" a="1"/>
  <c r="A1395" i="12" s="1"/>
  <c r="N1389" i="12"/>
  <c r="A1389" i="12" a="1"/>
  <c r="A1389" i="12" s="1"/>
  <c r="K1389" i="12" s="1"/>
  <c r="N1388" i="12"/>
  <c r="A1388" i="12" a="1"/>
  <c r="A1388" i="12" s="1"/>
  <c r="K1388" i="12" s="1"/>
  <c r="N1387" i="12"/>
  <c r="A1387" i="12" a="1"/>
  <c r="A1387" i="12" s="1"/>
  <c r="K1387" i="12" s="1"/>
  <c r="N1386" i="12"/>
  <c r="A1386" i="12" a="1"/>
  <c r="A1386" i="12" s="1"/>
  <c r="K1386" i="12" s="1"/>
  <c r="N1385" i="12"/>
  <c r="A1385" i="12" a="1"/>
  <c r="A1385" i="12" s="1"/>
  <c r="K1385" i="12" s="1"/>
  <c r="L1379" i="12"/>
  <c r="D1379" i="12"/>
  <c r="D1375" i="12"/>
  <c r="D1374" i="12"/>
  <c r="N1371" i="12"/>
  <c r="M1371" i="12"/>
  <c r="L1371" i="12"/>
  <c r="E1367" i="12"/>
  <c r="E1366" i="12"/>
  <c r="E1364" i="12"/>
  <c r="L1347" i="12"/>
  <c r="L1346" i="12"/>
  <c r="L1345" i="12"/>
  <c r="N1337" i="12"/>
  <c r="A1337" i="12" a="1"/>
  <c r="A1337" i="12" s="1"/>
  <c r="J1337" i="12" s="1"/>
  <c r="N1336" i="12"/>
  <c r="A1336" i="12" a="1"/>
  <c r="A1336" i="12" s="1"/>
  <c r="N1335" i="12"/>
  <c r="A1335" i="12" a="1"/>
  <c r="A1335" i="12" s="1"/>
  <c r="J1335" i="12" s="1"/>
  <c r="L1334" i="12"/>
  <c r="A1334" i="12" a="1"/>
  <c r="A1334" i="12" s="1"/>
  <c r="A1333" i="12" a="1"/>
  <c r="A1333" i="12" s="1"/>
  <c r="N1327" i="12"/>
  <c r="A1327" i="12" a="1"/>
  <c r="A1327" i="12" s="1"/>
  <c r="N1326" i="12"/>
  <c r="A1326" i="12" a="1"/>
  <c r="A1326" i="12" s="1"/>
  <c r="N1325" i="12"/>
  <c r="A1325" i="12" a="1"/>
  <c r="A1325" i="12" s="1"/>
  <c r="K1325" i="12" s="1"/>
  <c r="N1324" i="12"/>
  <c r="A1324" i="12" a="1"/>
  <c r="A1324" i="12" s="1"/>
  <c r="L1324" i="12" s="1"/>
  <c r="N1323" i="12"/>
  <c r="A1323" i="12" a="1"/>
  <c r="A1323" i="12" s="1"/>
  <c r="L1323" i="12" s="1"/>
  <c r="N1317" i="12"/>
  <c r="A1317" i="12" a="1"/>
  <c r="A1317" i="12" s="1"/>
  <c r="N1316" i="12"/>
  <c r="A1316" i="12" a="1"/>
  <c r="A1316" i="12" s="1"/>
  <c r="L1316" i="12" s="1"/>
  <c r="N1315" i="12"/>
  <c r="A1315" i="12" a="1"/>
  <c r="A1315" i="12" s="1"/>
  <c r="L1315" i="12" s="1"/>
  <c r="A1314" i="12" a="1"/>
  <c r="A1314" i="12" s="1"/>
  <c r="J1314" i="12" s="1"/>
  <c r="A1313" i="12" a="1"/>
  <c r="A1313" i="12" s="1"/>
  <c r="A1312" i="12" a="1"/>
  <c r="A1312" i="12" s="1"/>
  <c r="J1312" i="12" s="1"/>
  <c r="A1311" i="12" a="1"/>
  <c r="A1311" i="12" s="1"/>
  <c r="J1311" i="12" s="1"/>
  <c r="A1310" i="12" a="1"/>
  <c r="A1310" i="12" s="1"/>
  <c r="N1304" i="12"/>
  <c r="A1304" i="12" a="1"/>
  <c r="A1304" i="12" s="1"/>
  <c r="K1304" i="12" s="1"/>
  <c r="N1303" i="12"/>
  <c r="A1303" i="12" a="1"/>
  <c r="A1303" i="12" s="1"/>
  <c r="K1303" i="12" s="1"/>
  <c r="N1302" i="12"/>
  <c r="A1302" i="12" a="1"/>
  <c r="A1302" i="12" s="1"/>
  <c r="K1302" i="12" s="1"/>
  <c r="N1301" i="12"/>
  <c r="A1301" i="12" a="1"/>
  <c r="A1301" i="12" s="1"/>
  <c r="K1301" i="12" s="1"/>
  <c r="A1300" i="12" a="1"/>
  <c r="A1300" i="12" s="1"/>
  <c r="K1300" i="12" s="1"/>
  <c r="L1294" i="12"/>
  <c r="D1294" i="12"/>
  <c r="D1290" i="12"/>
  <c r="D1289" i="12"/>
  <c r="N1286" i="12"/>
  <c r="M1286" i="12"/>
  <c r="L1286" i="12"/>
  <c r="E1282" i="12"/>
  <c r="E1281" i="12"/>
  <c r="E1279" i="12"/>
  <c r="L1262" i="12"/>
  <c r="L1261" i="12"/>
  <c r="L1260" i="12"/>
  <c r="N1252" i="12"/>
  <c r="A1252" i="12" a="1"/>
  <c r="A1252" i="12" s="1"/>
  <c r="N1251" i="12"/>
  <c r="A1251" i="12" a="1"/>
  <c r="A1251" i="12" s="1"/>
  <c r="N1250" i="12"/>
  <c r="A1250" i="12" a="1"/>
  <c r="A1250" i="12" s="1"/>
  <c r="I1250" i="12" s="1"/>
  <c r="L1249" i="12"/>
  <c r="A1249" i="12" a="1"/>
  <c r="A1249" i="12" s="1"/>
  <c r="A1248" i="12" a="1"/>
  <c r="A1248" i="12" s="1"/>
  <c r="N1242" i="12"/>
  <c r="A1242" i="12" a="1"/>
  <c r="A1242" i="12" s="1"/>
  <c r="N1241" i="12"/>
  <c r="A1241" i="12" a="1"/>
  <c r="A1241" i="12" s="1"/>
  <c r="L1241" i="12" s="1"/>
  <c r="N1240" i="12"/>
  <c r="A1240" i="12" a="1"/>
  <c r="A1240" i="12" s="1"/>
  <c r="N1239" i="12"/>
  <c r="A1239" i="12" a="1"/>
  <c r="A1239" i="12" s="1"/>
  <c r="N1238" i="12"/>
  <c r="A1238" i="12" a="1"/>
  <c r="A1238" i="12" s="1"/>
  <c r="N1232" i="12"/>
  <c r="A1232" i="12" a="1"/>
  <c r="A1232" i="12" s="1"/>
  <c r="J1232" i="12" s="1"/>
  <c r="N1231" i="12"/>
  <c r="A1231" i="12" a="1"/>
  <c r="A1231" i="12" s="1"/>
  <c r="N1230" i="12"/>
  <c r="A1230" i="12" a="1"/>
  <c r="A1230" i="12" s="1"/>
  <c r="L1230" i="12" s="1"/>
  <c r="N1229" i="12"/>
  <c r="A1229" i="12" a="1"/>
  <c r="A1229" i="12" s="1"/>
  <c r="L1229" i="12" s="1"/>
  <c r="A1225" i="12" a="1"/>
  <c r="A1225" i="12" s="1"/>
  <c r="J1225" i="12" s="1"/>
  <c r="N1219" i="12"/>
  <c r="A1219" i="12" a="1"/>
  <c r="A1219" i="12" s="1"/>
  <c r="K1219" i="12" s="1"/>
  <c r="N1218" i="12"/>
  <c r="A1218" i="12" a="1"/>
  <c r="A1218" i="12" s="1"/>
  <c r="K1218" i="12" s="1"/>
  <c r="N1217" i="12"/>
  <c r="A1217" i="12" a="1"/>
  <c r="A1217" i="12" s="1"/>
  <c r="K1217" i="12" s="1"/>
  <c r="N1216" i="12"/>
  <c r="A1216" i="12" a="1"/>
  <c r="A1216" i="12" s="1"/>
  <c r="K1216" i="12" s="1"/>
  <c r="A1215" i="12" a="1"/>
  <c r="A1215" i="12" s="1"/>
  <c r="K1215" i="12" s="1"/>
  <c r="N1215" i="12" s="1"/>
  <c r="L1209" i="12"/>
  <c r="D1209" i="12"/>
  <c r="D1205" i="12"/>
  <c r="D1204" i="12"/>
  <c r="N1201" i="12"/>
  <c r="M1201" i="12"/>
  <c r="L1201" i="12"/>
  <c r="E1197" i="12"/>
  <c r="E1196" i="12"/>
  <c r="E1194" i="12"/>
  <c r="L1177" i="12"/>
  <c r="L1176" i="12"/>
  <c r="L1175" i="12"/>
  <c r="N1167" i="12"/>
  <c r="A1167" i="12" a="1"/>
  <c r="A1167" i="12" s="1"/>
  <c r="K1167" i="12" s="1"/>
  <c r="N1166" i="12"/>
  <c r="A1166" i="12" a="1"/>
  <c r="A1166" i="12" s="1"/>
  <c r="J1166" i="12" s="1"/>
  <c r="N1165" i="12"/>
  <c r="A1165" i="12" a="1"/>
  <c r="A1165" i="12" s="1"/>
  <c r="L1164" i="12"/>
  <c r="A1164" i="12" a="1"/>
  <c r="A1164" i="12" s="1"/>
  <c r="A1163" i="12" a="1"/>
  <c r="A1163" i="12" s="1"/>
  <c r="N1157" i="12"/>
  <c r="A1157" i="12" a="1"/>
  <c r="A1157" i="12" s="1"/>
  <c r="N1156" i="12"/>
  <c r="A1156" i="12" a="1"/>
  <c r="A1156" i="12" s="1"/>
  <c r="L1156" i="12" s="1"/>
  <c r="N1155" i="12"/>
  <c r="A1155" i="12" a="1"/>
  <c r="A1155" i="12" s="1"/>
  <c r="N1154" i="12"/>
  <c r="A1154" i="12" a="1"/>
  <c r="A1154" i="12" s="1"/>
  <c r="J1154" i="12" s="1"/>
  <c r="N1153" i="12"/>
  <c r="A1153" i="12" a="1"/>
  <c r="A1153" i="12" s="1"/>
  <c r="K1153" i="12" s="1"/>
  <c r="N1147" i="12"/>
  <c r="A1147" i="12" a="1"/>
  <c r="A1147" i="12" s="1"/>
  <c r="L1147" i="12" s="1"/>
  <c r="N1146" i="12"/>
  <c r="A1146" i="12" a="1"/>
  <c r="A1146" i="12" s="1"/>
  <c r="N1145" i="12"/>
  <c r="A1145" i="12" a="1"/>
  <c r="A1145" i="12" s="1"/>
  <c r="N1144" i="12"/>
  <c r="A1144" i="12" a="1"/>
  <c r="A1144" i="12" s="1"/>
  <c r="N1143" i="12"/>
  <c r="A1143" i="12" a="1"/>
  <c r="A1143" i="12" s="1"/>
  <c r="L1143" i="12" s="1"/>
  <c r="N1142" i="12"/>
  <c r="A1142" i="12" a="1"/>
  <c r="A1142" i="12" s="1"/>
  <c r="L1142" i="12" s="1"/>
  <c r="N1141" i="12"/>
  <c r="A1141" i="12" a="1"/>
  <c r="A1141" i="12" s="1"/>
  <c r="A1140" i="12" a="1"/>
  <c r="A1140" i="12" s="1"/>
  <c r="J1140" i="12" s="1"/>
  <c r="N1134" i="12"/>
  <c r="A1134" i="12" a="1"/>
  <c r="A1134" i="12" s="1"/>
  <c r="K1134" i="12" s="1"/>
  <c r="N1133" i="12"/>
  <c r="A1133" i="12" a="1"/>
  <c r="A1133" i="12" s="1"/>
  <c r="K1133" i="12" s="1"/>
  <c r="N1132" i="12"/>
  <c r="A1132" i="12" a="1"/>
  <c r="A1132" i="12" s="1"/>
  <c r="K1132" i="12" s="1"/>
  <c r="N1131" i="12"/>
  <c r="A1131" i="12" a="1"/>
  <c r="A1131" i="12" s="1"/>
  <c r="K1131" i="12" s="1"/>
  <c r="A1130" i="12" a="1"/>
  <c r="A1130" i="12" s="1"/>
  <c r="K1130" i="12" s="1"/>
  <c r="N1130" i="12" s="1"/>
  <c r="L1124" i="12"/>
  <c r="D1124" i="12"/>
  <c r="D1120" i="12"/>
  <c r="D1119" i="12"/>
  <c r="N1116" i="12"/>
  <c r="M1116" i="12"/>
  <c r="L1116" i="12"/>
  <c r="E1112" i="12"/>
  <c r="E1111" i="12"/>
  <c r="E1109" i="12"/>
  <c r="L1092" i="12"/>
  <c r="L1091" i="12"/>
  <c r="L1090" i="12"/>
  <c r="N1082" i="12"/>
  <c r="A1082" i="12" a="1"/>
  <c r="A1082" i="12" s="1"/>
  <c r="J1082" i="12" s="1"/>
  <c r="N1081" i="12"/>
  <c r="A1081" i="12" a="1"/>
  <c r="A1081" i="12" s="1"/>
  <c r="J1081" i="12" s="1"/>
  <c r="N1080" i="12"/>
  <c r="A1080" i="12" a="1"/>
  <c r="A1080" i="12" s="1"/>
  <c r="L1079" i="12"/>
  <c r="A1079" i="12" a="1"/>
  <c r="A1079" i="12" s="1"/>
  <c r="A1078" i="12" a="1"/>
  <c r="A1078" i="12" s="1"/>
  <c r="N1072" i="12"/>
  <c r="A1072" i="12" a="1"/>
  <c r="A1072" i="12" s="1"/>
  <c r="L1072" i="12" s="1"/>
  <c r="N1071" i="12"/>
  <c r="A1071" i="12" a="1"/>
  <c r="A1071" i="12" s="1"/>
  <c r="N1070" i="12"/>
  <c r="A1070" i="12" a="1"/>
  <c r="A1070" i="12" s="1"/>
  <c r="N1069" i="12"/>
  <c r="A1069" i="12" a="1"/>
  <c r="A1069" i="12" s="1"/>
  <c r="L1069" i="12" s="1"/>
  <c r="N1068" i="12"/>
  <c r="A1068" i="12" a="1"/>
  <c r="A1068" i="12" s="1"/>
  <c r="J1068" i="12" s="1"/>
  <c r="N1062" i="12"/>
  <c r="A1062" i="12" a="1"/>
  <c r="A1062" i="12" s="1"/>
  <c r="L1062" i="12" s="1"/>
  <c r="N1061" i="12"/>
  <c r="A1061" i="12" a="1"/>
  <c r="A1061" i="12" s="1"/>
  <c r="N1060" i="12"/>
  <c r="A1060" i="12" a="1"/>
  <c r="A1060" i="12" s="1"/>
  <c r="L1060" i="12" s="1"/>
  <c r="N1059" i="12"/>
  <c r="A1059" i="12" a="1"/>
  <c r="A1059" i="12" s="1"/>
  <c r="N1058" i="12"/>
  <c r="A1058" i="12" a="1"/>
  <c r="A1058" i="12" s="1"/>
  <c r="L1058" i="12" s="1"/>
  <c r="N1057" i="12"/>
  <c r="A1057" i="12" a="1"/>
  <c r="A1057" i="12" s="1"/>
  <c r="L1057" i="12" s="1"/>
  <c r="A1055" i="12" a="1"/>
  <c r="A1055" i="12" s="1"/>
  <c r="J1055" i="12" s="1"/>
  <c r="N1049" i="12"/>
  <c r="A1049" i="12" a="1"/>
  <c r="A1049" i="12" s="1"/>
  <c r="K1049" i="12" s="1"/>
  <c r="N1048" i="12"/>
  <c r="A1048" i="12" a="1"/>
  <c r="A1048" i="12" s="1"/>
  <c r="K1048" i="12" s="1"/>
  <c r="A1047" i="12" a="1"/>
  <c r="A1047" i="12" s="1"/>
  <c r="K1047" i="12" s="1"/>
  <c r="N1047" i="12" s="1"/>
  <c r="A1046" i="12" a="1"/>
  <c r="A1046" i="12" s="1"/>
  <c r="K1046" i="12" s="1"/>
  <c r="A1045" i="12" a="1"/>
  <c r="A1045" i="12" s="1"/>
  <c r="K1045" i="12" s="1"/>
  <c r="N1045" i="12" s="1"/>
  <c r="L1039" i="12"/>
  <c r="D1039" i="12"/>
  <c r="D1035" i="12"/>
  <c r="D1034" i="12"/>
  <c r="N1031" i="12"/>
  <c r="M1031" i="12"/>
  <c r="L1031" i="12"/>
  <c r="E1027" i="12"/>
  <c r="E1026" i="12"/>
  <c r="E1024" i="12"/>
  <c r="L1007" i="12"/>
  <c r="L1006" i="12"/>
  <c r="L1005" i="12"/>
  <c r="N997" i="12"/>
  <c r="A997" i="12" a="1"/>
  <c r="A997" i="12" s="1"/>
  <c r="N996" i="12"/>
  <c r="A996" i="12" a="1"/>
  <c r="A996" i="12" s="1"/>
  <c r="N995" i="12"/>
  <c r="A995" i="12" a="1"/>
  <c r="A995" i="12" s="1"/>
  <c r="L994" i="12"/>
  <c r="A994" i="12" a="1"/>
  <c r="A994" i="12" s="1"/>
  <c r="A993" i="12" a="1"/>
  <c r="A993" i="12" s="1"/>
  <c r="N987" i="12"/>
  <c r="A987" i="12" a="1"/>
  <c r="A987" i="12" s="1"/>
  <c r="N986" i="12"/>
  <c r="A986" i="12" a="1"/>
  <c r="A986" i="12" s="1"/>
  <c r="N985" i="12"/>
  <c r="A985" i="12" a="1"/>
  <c r="A985" i="12" s="1"/>
  <c r="K985" i="12" s="1"/>
  <c r="N984" i="12"/>
  <c r="A984" i="12" a="1"/>
  <c r="A984" i="12" s="1"/>
  <c r="J984" i="12" s="1"/>
  <c r="N983" i="12"/>
  <c r="A983" i="12" a="1"/>
  <c r="A983" i="12" s="1"/>
  <c r="K983" i="12" s="1"/>
  <c r="N977" i="12"/>
  <c r="A977" i="12" a="1"/>
  <c r="A977" i="12" s="1"/>
  <c r="L977" i="12" s="1"/>
  <c r="N976" i="12"/>
  <c r="A976" i="12" a="1"/>
  <c r="A976" i="12" s="1"/>
  <c r="J976" i="12" s="1"/>
  <c r="N975" i="12"/>
  <c r="A975" i="12" a="1"/>
  <c r="A975" i="12" s="1"/>
  <c r="L975" i="12" s="1"/>
  <c r="N974" i="12"/>
  <c r="A974" i="12" a="1"/>
  <c r="A974" i="12" s="1"/>
  <c r="N973" i="12"/>
  <c r="A973" i="12" a="1"/>
  <c r="A973" i="12" s="1"/>
  <c r="L973" i="12" s="1"/>
  <c r="N972" i="12"/>
  <c r="A972" i="12" a="1"/>
  <c r="A972" i="12" s="1"/>
  <c r="A971" i="12" a="1"/>
  <c r="A971" i="12" s="1"/>
  <c r="J971" i="12" s="1"/>
  <c r="N964" i="12"/>
  <c r="A964" i="12" a="1"/>
  <c r="A964" i="12" s="1"/>
  <c r="K964" i="12" s="1"/>
  <c r="N963" i="12"/>
  <c r="A963" i="12" a="1"/>
  <c r="A963" i="12" s="1"/>
  <c r="K963" i="12" s="1"/>
  <c r="A962" i="12" a="1"/>
  <c r="A962" i="12" s="1"/>
  <c r="A961" i="12" a="1"/>
  <c r="A961" i="12" s="1"/>
  <c r="K961" i="12" s="1"/>
  <c r="N961" i="12" s="1"/>
  <c r="A960" i="12" a="1"/>
  <c r="A960" i="12" s="1"/>
  <c r="K960" i="12" s="1"/>
  <c r="N960" i="12" s="1"/>
  <c r="L954" i="12"/>
  <c r="D954" i="12"/>
  <c r="D950" i="12"/>
  <c r="D949" i="12"/>
  <c r="N946" i="12"/>
  <c r="M946" i="12"/>
  <c r="L946" i="12"/>
  <c r="E942" i="12"/>
  <c r="E941" i="12"/>
  <c r="E939" i="12"/>
  <c r="L922" i="12"/>
  <c r="L921" i="12"/>
  <c r="L920" i="12"/>
  <c r="N912" i="12"/>
  <c r="A912" i="12" a="1"/>
  <c r="A912" i="12" s="1"/>
  <c r="I912" i="12" s="1"/>
  <c r="N911" i="12"/>
  <c r="A911" i="12" a="1"/>
  <c r="A911" i="12" s="1"/>
  <c r="N910" i="12"/>
  <c r="A910" i="12" a="1"/>
  <c r="A910" i="12" s="1"/>
  <c r="K910" i="12" s="1"/>
  <c r="L909" i="12"/>
  <c r="A909" i="12" a="1"/>
  <c r="A909" i="12" s="1"/>
  <c r="A908" i="12" a="1"/>
  <c r="A908" i="12" s="1"/>
  <c r="N902" i="12"/>
  <c r="A902" i="12" a="1"/>
  <c r="A902" i="12" s="1"/>
  <c r="L902" i="12" s="1"/>
  <c r="N901" i="12"/>
  <c r="A901" i="12" a="1"/>
  <c r="A901" i="12" s="1"/>
  <c r="N900" i="12"/>
  <c r="A900" i="12" a="1"/>
  <c r="A900" i="12" s="1"/>
  <c r="N899" i="12"/>
  <c r="A899" i="12" a="1"/>
  <c r="A899" i="12" s="1"/>
  <c r="N898" i="12"/>
  <c r="A898" i="12" a="1"/>
  <c r="A898" i="12" s="1"/>
  <c r="K898" i="12" s="1"/>
  <c r="N892" i="12"/>
  <c r="A892" i="12" a="1"/>
  <c r="A892" i="12" s="1"/>
  <c r="J892" i="12" s="1"/>
  <c r="N891" i="12"/>
  <c r="A891" i="12" a="1"/>
  <c r="A891" i="12" s="1"/>
  <c r="L891" i="12" s="1"/>
  <c r="N890" i="12"/>
  <c r="A890" i="12" a="1"/>
  <c r="A890" i="12" s="1"/>
  <c r="L890" i="12" s="1"/>
  <c r="N889" i="12"/>
  <c r="A889" i="12" a="1"/>
  <c r="A889" i="12" s="1"/>
  <c r="L889" i="12" s="1"/>
  <c r="N888" i="12"/>
  <c r="A888" i="12" a="1"/>
  <c r="A888" i="12" s="1"/>
  <c r="N887" i="12"/>
  <c r="A887" i="12" a="1"/>
  <c r="A887" i="12" s="1"/>
  <c r="J887" i="12" s="1"/>
  <c r="N886" i="12"/>
  <c r="A886" i="12" a="1"/>
  <c r="A886" i="12" s="1"/>
  <c r="N885" i="12"/>
  <c r="A885" i="12" a="1"/>
  <c r="A885" i="12" s="1"/>
  <c r="L885" i="12" s="1"/>
  <c r="N879" i="12"/>
  <c r="A879" i="12" a="1"/>
  <c r="A879" i="12" s="1"/>
  <c r="K879" i="12" s="1"/>
  <c r="N878" i="12"/>
  <c r="A878" i="12" a="1"/>
  <c r="A878" i="12" s="1"/>
  <c r="K878" i="12" s="1"/>
  <c r="A877" i="12" a="1"/>
  <c r="A877" i="12" s="1"/>
  <c r="N876" i="12"/>
  <c r="A876" i="12" a="1"/>
  <c r="A876" i="12" s="1"/>
  <c r="K876" i="12" s="1"/>
  <c r="N875" i="12"/>
  <c r="A875" i="12" a="1"/>
  <c r="A875" i="12" s="1"/>
  <c r="K875" i="12" s="1"/>
  <c r="L869" i="12"/>
  <c r="D869" i="12"/>
  <c r="D865" i="12"/>
  <c r="D864" i="12"/>
  <c r="N861" i="12"/>
  <c r="M861" i="12"/>
  <c r="L861" i="12"/>
  <c r="E857" i="12"/>
  <c r="E856" i="12"/>
  <c r="E854" i="12"/>
  <c r="L837" i="12"/>
  <c r="L836" i="12"/>
  <c r="L835" i="12"/>
  <c r="N827" i="12"/>
  <c r="A827" i="12" a="1"/>
  <c r="A827" i="12" s="1"/>
  <c r="N826" i="12"/>
  <c r="A826" i="12" a="1"/>
  <c r="A826" i="12" s="1"/>
  <c r="K826" i="12" s="1"/>
  <c r="N825" i="12"/>
  <c r="A825" i="12" a="1"/>
  <c r="A825" i="12" s="1"/>
  <c r="L824" i="12"/>
  <c r="A824" i="12" a="1"/>
  <c r="A824" i="12" s="1"/>
  <c r="A823" i="12" a="1"/>
  <c r="A823" i="12" s="1"/>
  <c r="N817" i="12"/>
  <c r="A817" i="12" a="1"/>
  <c r="A817" i="12" s="1"/>
  <c r="J817" i="12" s="1"/>
  <c r="N816" i="12"/>
  <c r="A816" i="12" a="1"/>
  <c r="A816" i="12" s="1"/>
  <c r="L816" i="12" s="1"/>
  <c r="N815" i="12"/>
  <c r="A815" i="12" a="1"/>
  <c r="A815" i="12" s="1"/>
  <c r="L815" i="12" s="1"/>
  <c r="N814" i="12"/>
  <c r="A814" i="12" a="1"/>
  <c r="A814" i="12" s="1"/>
  <c r="N813" i="12"/>
  <c r="A813" i="12" a="1"/>
  <c r="A813" i="12" s="1"/>
  <c r="N807" i="12"/>
  <c r="A807" i="12" a="1"/>
  <c r="A807" i="12" s="1"/>
  <c r="J807" i="12" s="1"/>
  <c r="N806" i="12"/>
  <c r="A806" i="12" a="1"/>
  <c r="A806" i="12" s="1"/>
  <c r="N805" i="12"/>
  <c r="A805" i="12" a="1"/>
  <c r="A805" i="12" s="1"/>
  <c r="N804" i="12"/>
  <c r="A804" i="12" a="1"/>
  <c r="A804" i="12" s="1"/>
  <c r="L804" i="12" s="1"/>
  <c r="N803" i="12"/>
  <c r="A803" i="12" a="1"/>
  <c r="A803" i="12" s="1"/>
  <c r="N802" i="12"/>
  <c r="A802" i="12" a="1"/>
  <c r="A802" i="12" s="1"/>
  <c r="N801" i="12"/>
  <c r="A801" i="12" a="1"/>
  <c r="A801" i="12" s="1"/>
  <c r="N800" i="12"/>
  <c r="A800" i="12" a="1"/>
  <c r="A800" i="12" s="1"/>
  <c r="J800" i="12" s="1"/>
  <c r="N794" i="12"/>
  <c r="A794" i="12" a="1"/>
  <c r="A794" i="12" s="1"/>
  <c r="K794" i="12" s="1"/>
  <c r="N793" i="12"/>
  <c r="A793" i="12" a="1"/>
  <c r="A793" i="12" s="1"/>
  <c r="K793" i="12" s="1"/>
  <c r="A792" i="12" a="1"/>
  <c r="A792" i="12" s="1"/>
  <c r="N791" i="12"/>
  <c r="A791" i="12" a="1"/>
  <c r="A791" i="12" s="1"/>
  <c r="K791" i="12" s="1"/>
  <c r="N790" i="12"/>
  <c r="A790" i="12" a="1"/>
  <c r="A790" i="12" s="1"/>
  <c r="K790" i="12" s="1"/>
  <c r="L784" i="12"/>
  <c r="D784" i="12"/>
  <c r="D780" i="12"/>
  <c r="D779" i="12"/>
  <c r="N776" i="12"/>
  <c r="M776" i="12"/>
  <c r="L776" i="12"/>
  <c r="E772" i="12"/>
  <c r="E771" i="12"/>
  <c r="E769" i="12"/>
  <c r="L752" i="12"/>
  <c r="L751" i="12"/>
  <c r="L750" i="12"/>
  <c r="N742" i="12"/>
  <c r="A742" i="12" a="1"/>
  <c r="A742" i="12" s="1"/>
  <c r="N741" i="12"/>
  <c r="A741" i="12" a="1"/>
  <c r="A741" i="12" s="1"/>
  <c r="K741" i="12" s="1"/>
  <c r="N740" i="12"/>
  <c r="A740" i="12" a="1"/>
  <c r="A740" i="12" s="1"/>
  <c r="K740" i="12" s="1"/>
  <c r="L739" i="12"/>
  <c r="A739" i="12" a="1"/>
  <c r="A739" i="12" s="1"/>
  <c r="A738" i="12" a="1"/>
  <c r="A738" i="12" s="1"/>
  <c r="N732" i="12"/>
  <c r="A732" i="12" a="1"/>
  <c r="A732" i="12" s="1"/>
  <c r="L732" i="12" s="1"/>
  <c r="N731" i="12"/>
  <c r="A731" i="12" a="1"/>
  <c r="A731" i="12" s="1"/>
  <c r="L731" i="12" s="1"/>
  <c r="N730" i="12"/>
  <c r="A730" i="12" a="1"/>
  <c r="A730" i="12" s="1"/>
  <c r="N729" i="12"/>
  <c r="A729" i="12" a="1"/>
  <c r="A729" i="12" s="1"/>
  <c r="L729" i="12" s="1"/>
  <c r="N728" i="12"/>
  <c r="A728" i="12" a="1"/>
  <c r="A728" i="12" s="1"/>
  <c r="N722" i="12"/>
  <c r="A722" i="12" a="1"/>
  <c r="A722" i="12" s="1"/>
  <c r="L722" i="12" s="1"/>
  <c r="N721" i="12"/>
  <c r="A721" i="12" a="1"/>
  <c r="A721" i="12" s="1"/>
  <c r="N720" i="12"/>
  <c r="A720" i="12" a="1"/>
  <c r="A720" i="12" s="1"/>
  <c r="L720" i="12" s="1"/>
  <c r="N719" i="12"/>
  <c r="A719" i="12" a="1"/>
  <c r="A719" i="12" s="1"/>
  <c r="L719" i="12" s="1"/>
  <c r="N718" i="12"/>
  <c r="A718" i="12" a="1"/>
  <c r="A718" i="12" s="1"/>
  <c r="J718" i="12" s="1"/>
  <c r="N717" i="12"/>
  <c r="A717" i="12" a="1"/>
  <c r="A717" i="12" s="1"/>
  <c r="J717" i="12" s="1"/>
  <c r="N709" i="12"/>
  <c r="A709" i="12" a="1"/>
  <c r="A709" i="12" s="1"/>
  <c r="K709" i="12" s="1"/>
  <c r="N708" i="12"/>
  <c r="A708" i="12" a="1"/>
  <c r="A708" i="12" s="1"/>
  <c r="K708" i="12" s="1"/>
  <c r="A707" i="12" a="1"/>
  <c r="A707" i="12" s="1"/>
  <c r="N706" i="12"/>
  <c r="A706" i="12" a="1"/>
  <c r="A706" i="12" s="1"/>
  <c r="K706" i="12" s="1"/>
  <c r="A705" i="12" a="1"/>
  <c r="A705" i="12" s="1"/>
  <c r="K705" i="12" s="1"/>
  <c r="N705" i="12" s="1"/>
  <c r="L699" i="12"/>
  <c r="D699" i="12"/>
  <c r="D695" i="12"/>
  <c r="D694" i="12"/>
  <c r="N691" i="12"/>
  <c r="M691" i="12"/>
  <c r="L691" i="12"/>
  <c r="E687" i="12"/>
  <c r="E686" i="12"/>
  <c r="E684" i="12"/>
  <c r="L667" i="12"/>
  <c r="L666" i="12"/>
  <c r="L665" i="12"/>
  <c r="N657" i="12"/>
  <c r="A657" i="12" a="1"/>
  <c r="A657" i="12" s="1"/>
  <c r="I657" i="12" s="1"/>
  <c r="N656" i="12"/>
  <c r="A656" i="12" a="1"/>
  <c r="A656" i="12" s="1"/>
  <c r="I656" i="12" s="1"/>
  <c r="N655" i="12"/>
  <c r="A655" i="12" a="1"/>
  <c r="A655" i="12" s="1"/>
  <c r="L654" i="12"/>
  <c r="A654" i="12" a="1"/>
  <c r="A654" i="12" s="1"/>
  <c r="A653" i="12" a="1"/>
  <c r="A653" i="12" s="1"/>
  <c r="N647" i="12"/>
  <c r="A647" i="12" a="1"/>
  <c r="A647" i="12" s="1"/>
  <c r="N646" i="12"/>
  <c r="A646" i="12" a="1"/>
  <c r="A646" i="12" s="1"/>
  <c r="J646" i="12" s="1"/>
  <c r="N645" i="12"/>
  <c r="A645" i="12" a="1"/>
  <c r="A645" i="12" s="1"/>
  <c r="L645" i="12" s="1"/>
  <c r="N644" i="12"/>
  <c r="A644" i="12" a="1"/>
  <c r="A644" i="12" s="1"/>
  <c r="N643" i="12"/>
  <c r="A643" i="12" a="1"/>
  <c r="A643" i="12" s="1"/>
  <c r="N637" i="12"/>
  <c r="A637" i="12" a="1"/>
  <c r="A637" i="12" s="1"/>
  <c r="N636" i="12"/>
  <c r="A636" i="12" a="1"/>
  <c r="A636" i="12" s="1"/>
  <c r="L636" i="12" s="1"/>
  <c r="N635" i="12"/>
  <c r="A635" i="12" a="1"/>
  <c r="A635" i="12" s="1"/>
  <c r="N634" i="12"/>
  <c r="A634" i="12" a="1"/>
  <c r="A634" i="12" s="1"/>
  <c r="N633" i="12"/>
  <c r="A633" i="12" a="1"/>
  <c r="A633" i="12" s="1"/>
  <c r="L633" i="12" s="1"/>
  <c r="N632" i="12"/>
  <c r="A632" i="12" a="1"/>
  <c r="A632" i="12" s="1"/>
  <c r="L632" i="12" s="1"/>
  <c r="A631" i="12" a="1"/>
  <c r="A631" i="12" s="1"/>
  <c r="N624" i="12"/>
  <c r="A624" i="12" a="1"/>
  <c r="A624" i="12" s="1"/>
  <c r="K624" i="12" s="1"/>
  <c r="N623" i="12"/>
  <c r="A623" i="12" a="1"/>
  <c r="A623" i="12" s="1"/>
  <c r="K623" i="12" s="1"/>
  <c r="A622" i="12" a="1"/>
  <c r="A622" i="12" s="1"/>
  <c r="N621" i="12"/>
  <c r="A621" i="12" a="1"/>
  <c r="A621" i="12" s="1"/>
  <c r="K621" i="12" s="1"/>
  <c r="A620" i="12" a="1"/>
  <c r="A620" i="12" s="1"/>
  <c r="K620" i="12" s="1"/>
  <c r="N620" i="12" s="1"/>
  <c r="L614" i="12"/>
  <c r="D614" i="12"/>
  <c r="D610" i="12"/>
  <c r="D609" i="12"/>
  <c r="N606" i="12"/>
  <c r="M606" i="12"/>
  <c r="L606" i="12"/>
  <c r="E602" i="12"/>
  <c r="E601" i="12"/>
  <c r="E599" i="12"/>
  <c r="L582" i="12"/>
  <c r="L581" i="12"/>
  <c r="L580" i="12"/>
  <c r="N572" i="12"/>
  <c r="A572" i="12" a="1"/>
  <c r="A572" i="12" s="1"/>
  <c r="J572" i="12" s="1"/>
  <c r="N571" i="12"/>
  <c r="A571" i="12" a="1"/>
  <c r="A571" i="12" s="1"/>
  <c r="I571" i="12" s="1"/>
  <c r="N570" i="12"/>
  <c r="A570" i="12" a="1"/>
  <c r="A570" i="12" s="1"/>
  <c r="K570" i="12" s="1"/>
  <c r="L569" i="12"/>
  <c r="A569" i="12" a="1"/>
  <c r="A569" i="12" s="1"/>
  <c r="A568" i="12" a="1"/>
  <c r="A568" i="12" s="1"/>
  <c r="N562" i="12"/>
  <c r="A562" i="12" a="1"/>
  <c r="A562" i="12" s="1"/>
  <c r="K562" i="12" s="1"/>
  <c r="N561" i="12"/>
  <c r="A561" i="12" a="1"/>
  <c r="A561" i="12" s="1"/>
  <c r="K561" i="12" s="1"/>
  <c r="N560" i="12"/>
  <c r="A560" i="12" a="1"/>
  <c r="A560" i="12" s="1"/>
  <c r="N559" i="12"/>
  <c r="A559" i="12" a="1"/>
  <c r="A559" i="12" s="1"/>
  <c r="L559" i="12" s="1"/>
  <c r="N558" i="12"/>
  <c r="A558" i="12" a="1"/>
  <c r="A558" i="12" s="1"/>
  <c r="N552" i="12"/>
  <c r="A552" i="12" a="1"/>
  <c r="A552" i="12" s="1"/>
  <c r="N551" i="12"/>
  <c r="A551" i="12" a="1"/>
  <c r="A551" i="12" s="1"/>
  <c r="J551" i="12" s="1"/>
  <c r="N550" i="12"/>
  <c r="A550" i="12" a="1"/>
  <c r="A550" i="12" s="1"/>
  <c r="L550" i="12" s="1"/>
  <c r="N549" i="12"/>
  <c r="A549" i="12" a="1"/>
  <c r="A549" i="12" s="1"/>
  <c r="L549" i="12" s="1"/>
  <c r="N548" i="12"/>
  <c r="A548" i="12" a="1"/>
  <c r="A548" i="12" s="1"/>
  <c r="J548" i="12" s="1"/>
  <c r="N547" i="12"/>
  <c r="A547" i="12" a="1"/>
  <c r="A547" i="12" s="1"/>
  <c r="L547" i="12" s="1"/>
  <c r="Q547" i="12" s="1"/>
  <c r="N546" i="12"/>
  <c r="A546" i="12" a="1"/>
  <c r="A546" i="12" s="1"/>
  <c r="N545" i="12"/>
  <c r="A545" i="12" a="1"/>
  <c r="A545" i="12" s="1"/>
  <c r="L545" i="12" s="1"/>
  <c r="N539" i="12"/>
  <c r="A539" i="12" a="1"/>
  <c r="A539" i="12" s="1"/>
  <c r="K539" i="12" s="1"/>
  <c r="N538" i="12"/>
  <c r="A538" i="12" a="1"/>
  <c r="A538" i="12" s="1"/>
  <c r="K538" i="12" s="1"/>
  <c r="A537" i="12" a="1"/>
  <c r="A537" i="12" s="1"/>
  <c r="N536" i="12"/>
  <c r="A536" i="12" a="1"/>
  <c r="A536" i="12" s="1"/>
  <c r="K536" i="12" s="1"/>
  <c r="A535" i="12" a="1"/>
  <c r="A535" i="12" s="1"/>
  <c r="K535" i="12" s="1"/>
  <c r="N535" i="12" s="1"/>
  <c r="L529" i="12"/>
  <c r="D529" i="12"/>
  <c r="D525" i="12"/>
  <c r="D524" i="12"/>
  <c r="N521" i="12"/>
  <c r="M521" i="12"/>
  <c r="L521" i="12"/>
  <c r="E517" i="12"/>
  <c r="E516" i="12"/>
  <c r="E514" i="12"/>
  <c r="L497" i="12"/>
  <c r="L496" i="12"/>
  <c r="L495" i="12"/>
  <c r="N487" i="12"/>
  <c r="A487" i="12" a="1"/>
  <c r="A487" i="12" s="1"/>
  <c r="J487" i="12" s="1"/>
  <c r="N486" i="12"/>
  <c r="A486" i="12" a="1"/>
  <c r="A486" i="12" s="1"/>
  <c r="N485" i="12"/>
  <c r="A485" i="12" a="1"/>
  <c r="A485" i="12" s="1"/>
  <c r="I485" i="12" s="1"/>
  <c r="L484" i="12"/>
  <c r="A484" i="12" a="1"/>
  <c r="A484" i="12" s="1"/>
  <c r="A483" i="12" a="1"/>
  <c r="A483" i="12" s="1"/>
  <c r="N477" i="12"/>
  <c r="A477" i="12" a="1"/>
  <c r="A477" i="12" s="1"/>
  <c r="K477" i="12" s="1"/>
  <c r="N476" i="12"/>
  <c r="A476" i="12" a="1"/>
  <c r="A476" i="12" s="1"/>
  <c r="J476" i="12" s="1"/>
  <c r="N475" i="12"/>
  <c r="A475" i="12" a="1"/>
  <c r="A475" i="12" s="1"/>
  <c r="N474" i="12"/>
  <c r="A474" i="12" a="1"/>
  <c r="A474" i="12" s="1"/>
  <c r="N473" i="12"/>
  <c r="A473" i="12" a="1"/>
  <c r="A473" i="12" s="1"/>
  <c r="N467" i="12"/>
  <c r="A467" i="12" a="1"/>
  <c r="A467" i="12" s="1"/>
  <c r="L467" i="12" s="1"/>
  <c r="N466" i="12"/>
  <c r="A466" i="12" a="1"/>
  <c r="A466" i="12" s="1"/>
  <c r="N465" i="12"/>
  <c r="A465" i="12" a="1"/>
  <c r="A465" i="12" s="1"/>
  <c r="L465" i="12" s="1"/>
  <c r="N464" i="12"/>
  <c r="A464" i="12" a="1"/>
  <c r="A464" i="12" s="1"/>
  <c r="L464" i="12" s="1"/>
  <c r="A462" i="12" a="1"/>
  <c r="A462" i="12" s="1"/>
  <c r="N454" i="12"/>
  <c r="A454" i="12" a="1"/>
  <c r="A454" i="12" s="1"/>
  <c r="K454" i="12" s="1"/>
  <c r="N453" i="12"/>
  <c r="A453" i="12" a="1"/>
  <c r="A453" i="12" s="1"/>
  <c r="K453" i="12" s="1"/>
  <c r="A452" i="12" a="1"/>
  <c r="A452" i="12" s="1"/>
  <c r="N451" i="12"/>
  <c r="A451" i="12" a="1"/>
  <c r="A451" i="12" s="1"/>
  <c r="K451" i="12" s="1"/>
  <c r="L450" i="12"/>
  <c r="A450" i="12" a="1"/>
  <c r="A450" i="12" s="1"/>
  <c r="K450" i="12" s="1"/>
  <c r="L444" i="12"/>
  <c r="D444" i="12"/>
  <c r="D440" i="12"/>
  <c r="D439" i="12"/>
  <c r="N436" i="12"/>
  <c r="M436" i="12"/>
  <c r="L436" i="12"/>
  <c r="E432" i="12"/>
  <c r="E431" i="12"/>
  <c r="E429" i="12"/>
  <c r="L412" i="12"/>
  <c r="L411" i="12"/>
  <c r="L410" i="12"/>
  <c r="N402" i="12"/>
  <c r="A402" i="12" a="1"/>
  <c r="A402" i="12" s="1"/>
  <c r="N401" i="12"/>
  <c r="A401" i="12" a="1"/>
  <c r="A401" i="12" s="1"/>
  <c r="N400" i="12"/>
  <c r="A400" i="12" a="1"/>
  <c r="A400" i="12" s="1"/>
  <c r="L399" i="12"/>
  <c r="A399" i="12" a="1"/>
  <c r="A399" i="12" s="1"/>
  <c r="A398" i="12" a="1"/>
  <c r="A398" i="12" s="1"/>
  <c r="N392" i="12"/>
  <c r="A392" i="12" a="1"/>
  <c r="A392" i="12" s="1"/>
  <c r="K392" i="12" s="1"/>
  <c r="N391" i="12"/>
  <c r="A391" i="12" a="1"/>
  <c r="A391" i="12" s="1"/>
  <c r="N390" i="12"/>
  <c r="A390" i="12" a="1"/>
  <c r="A390" i="12" s="1"/>
  <c r="N389" i="12"/>
  <c r="A389" i="12" a="1"/>
  <c r="A389" i="12" s="1"/>
  <c r="K389" i="12" s="1"/>
  <c r="N388" i="12"/>
  <c r="A388" i="12" a="1"/>
  <c r="A388" i="12" s="1"/>
  <c r="L388" i="12" s="1"/>
  <c r="N382" i="12"/>
  <c r="A382" i="12" a="1"/>
  <c r="A382" i="12" s="1"/>
  <c r="L382" i="12" s="1"/>
  <c r="N381" i="12"/>
  <c r="A381" i="12" a="1"/>
  <c r="A381" i="12" s="1"/>
  <c r="N380" i="12"/>
  <c r="A380" i="12" a="1"/>
  <c r="A380" i="12" s="1"/>
  <c r="L380" i="12" s="1"/>
  <c r="N379" i="12"/>
  <c r="A379" i="12" a="1"/>
  <c r="A379" i="12" s="1"/>
  <c r="N378" i="12"/>
  <c r="A378" i="12" a="1"/>
  <c r="A378" i="12" s="1"/>
  <c r="L378" i="12" s="1"/>
  <c r="N377" i="12"/>
  <c r="A377" i="12" a="1"/>
  <c r="A377" i="12" s="1"/>
  <c r="J377" i="12" s="1"/>
  <c r="N376" i="12"/>
  <c r="A376" i="12" a="1"/>
  <c r="A376" i="12" s="1"/>
  <c r="N375" i="12"/>
  <c r="A375" i="12" a="1"/>
  <c r="A375" i="12" s="1"/>
  <c r="N369" i="12"/>
  <c r="A369" i="12" a="1"/>
  <c r="A369" i="12" s="1"/>
  <c r="K369" i="12" s="1"/>
  <c r="N368" i="12"/>
  <c r="A368" i="12" a="1"/>
  <c r="A368" i="12" s="1"/>
  <c r="K368" i="12" s="1"/>
  <c r="A367" i="12" a="1"/>
  <c r="A367" i="12" s="1"/>
  <c r="N366" i="12"/>
  <c r="A366" i="12" a="1"/>
  <c r="A366" i="12" s="1"/>
  <c r="K366" i="12" s="1"/>
  <c r="N365" i="12"/>
  <c r="A365" i="12" a="1"/>
  <c r="A365" i="12" s="1"/>
  <c r="K365" i="12" s="1"/>
  <c r="L359" i="12"/>
  <c r="D359" i="12"/>
  <c r="D355" i="12"/>
  <c r="D354" i="12"/>
  <c r="N351" i="12"/>
  <c r="M351" i="12"/>
  <c r="L351" i="12"/>
  <c r="E347" i="12"/>
  <c r="E346" i="12"/>
  <c r="E344" i="12"/>
  <c r="L327" i="12"/>
  <c r="L326" i="12"/>
  <c r="L325" i="12"/>
  <c r="N317" i="12"/>
  <c r="A317" i="12" a="1"/>
  <c r="A317" i="12" s="1"/>
  <c r="K317" i="12" s="1"/>
  <c r="N316" i="12"/>
  <c r="A316" i="12" a="1"/>
  <c r="A316" i="12" s="1"/>
  <c r="N315" i="12"/>
  <c r="A315" i="12" a="1"/>
  <c r="A315" i="12" s="1"/>
  <c r="I315" i="12" s="1"/>
  <c r="L314" i="12"/>
  <c r="A314" i="12" a="1"/>
  <c r="A314" i="12" s="1"/>
  <c r="A313" i="12" a="1"/>
  <c r="A313" i="12" s="1"/>
  <c r="N307" i="12"/>
  <c r="A307" i="12" a="1"/>
  <c r="A307" i="12" s="1"/>
  <c r="N306" i="12"/>
  <c r="A306" i="12" a="1"/>
  <c r="A306" i="12" s="1"/>
  <c r="J306" i="12" s="1"/>
  <c r="N305" i="12"/>
  <c r="A305" i="12" a="1"/>
  <c r="A305" i="12" s="1"/>
  <c r="N304" i="12"/>
  <c r="A304" i="12" a="1"/>
  <c r="A304" i="12" s="1"/>
  <c r="N303" i="12"/>
  <c r="A303" i="12" a="1"/>
  <c r="A303" i="12" s="1"/>
  <c r="N297" i="12"/>
  <c r="A297" i="12" a="1"/>
  <c r="A297" i="12" s="1"/>
  <c r="L297" i="12" s="1"/>
  <c r="N296" i="12"/>
  <c r="A296" i="12" a="1"/>
  <c r="A296" i="12" s="1"/>
  <c r="N295" i="12"/>
  <c r="A295" i="12" a="1"/>
  <c r="A295" i="12" s="1"/>
  <c r="L295" i="12" s="1"/>
  <c r="N294" i="12"/>
  <c r="A294" i="12" a="1"/>
  <c r="A294" i="12" s="1"/>
  <c r="L294" i="12" s="1"/>
  <c r="N293" i="12"/>
  <c r="A293" i="12" a="1"/>
  <c r="A293" i="12" s="1"/>
  <c r="N292" i="12"/>
  <c r="A292" i="12" a="1"/>
  <c r="A292" i="12" s="1"/>
  <c r="N291" i="12"/>
  <c r="A291" i="12" a="1"/>
  <c r="A291" i="12" s="1"/>
  <c r="N290" i="12"/>
  <c r="A290" i="12" a="1"/>
  <c r="A290" i="12" s="1"/>
  <c r="N284" i="12"/>
  <c r="A284" i="12" a="1"/>
  <c r="A284" i="12" s="1"/>
  <c r="K284" i="12" s="1"/>
  <c r="N283" i="12"/>
  <c r="A283" i="12" a="1"/>
  <c r="A283" i="12" s="1"/>
  <c r="K283" i="12" s="1"/>
  <c r="A282" i="12" a="1"/>
  <c r="A282" i="12" s="1"/>
  <c r="N281" i="12"/>
  <c r="A281" i="12" a="1"/>
  <c r="A281" i="12" s="1"/>
  <c r="K281" i="12" s="1"/>
  <c r="A280" i="12" a="1"/>
  <c r="A280" i="12" s="1"/>
  <c r="K280" i="12" s="1"/>
  <c r="L274" i="12"/>
  <c r="D274" i="12"/>
  <c r="D270" i="12"/>
  <c r="D269" i="12"/>
  <c r="N266" i="12"/>
  <c r="M266" i="12"/>
  <c r="L266" i="12"/>
  <c r="E262" i="12"/>
  <c r="E261" i="12"/>
  <c r="E259" i="12"/>
  <c r="L242" i="12"/>
  <c r="L241" i="12"/>
  <c r="L240" i="12"/>
  <c r="N232" i="12"/>
  <c r="A232" i="12" a="1"/>
  <c r="A232" i="12" s="1"/>
  <c r="N231" i="12"/>
  <c r="A231" i="12" a="1"/>
  <c r="A231" i="12" s="1"/>
  <c r="N230" i="12"/>
  <c r="A230" i="12" a="1"/>
  <c r="A230" i="12" s="1"/>
  <c r="L229" i="12"/>
  <c r="A229" i="12" a="1"/>
  <c r="A229" i="12" s="1"/>
  <c r="A228" i="12" a="1"/>
  <c r="A228" i="12" s="1"/>
  <c r="N222" i="12"/>
  <c r="A222" i="12" a="1"/>
  <c r="A222" i="12" s="1"/>
  <c r="N221" i="12"/>
  <c r="A221" i="12" a="1"/>
  <c r="A221" i="12" s="1"/>
  <c r="N220" i="12"/>
  <c r="A220" i="12" a="1"/>
  <c r="A220" i="12" s="1"/>
  <c r="N219" i="12"/>
  <c r="A219" i="12" a="1"/>
  <c r="A219" i="12" s="1"/>
  <c r="K219" i="12" s="1"/>
  <c r="N218" i="12"/>
  <c r="A218" i="12" a="1"/>
  <c r="A218" i="12" s="1"/>
  <c r="J218" i="12" s="1"/>
  <c r="N212" i="12"/>
  <c r="A212" i="12" a="1"/>
  <c r="A212" i="12" s="1"/>
  <c r="L212" i="12" s="1"/>
  <c r="N211" i="12"/>
  <c r="A211" i="12" a="1"/>
  <c r="A211" i="12" s="1"/>
  <c r="L211" i="12" s="1"/>
  <c r="N210" i="12"/>
  <c r="A210" i="12" a="1"/>
  <c r="A210" i="12" s="1"/>
  <c r="L210" i="12" s="1"/>
  <c r="N209" i="12"/>
  <c r="A209" i="12" a="1"/>
  <c r="A209" i="12" s="1"/>
  <c r="J209" i="12" s="1"/>
  <c r="A208" i="12" a="1"/>
  <c r="A208" i="12" s="1"/>
  <c r="J208" i="12" s="1"/>
  <c r="A207" i="12" a="1"/>
  <c r="A207" i="12" s="1"/>
  <c r="A206" i="12" a="1"/>
  <c r="A206" i="12" s="1"/>
  <c r="J206" i="12" s="1"/>
  <c r="A205" i="12" a="1"/>
  <c r="A205" i="12" s="1"/>
  <c r="J205" i="12" s="1"/>
  <c r="N199" i="12"/>
  <c r="A199" i="12" a="1"/>
  <c r="A199" i="12" s="1"/>
  <c r="K199" i="12" s="1"/>
  <c r="N198" i="12"/>
  <c r="A198" i="12" a="1"/>
  <c r="A198" i="12" s="1"/>
  <c r="K198" i="12" s="1"/>
  <c r="A197" i="12" a="1"/>
  <c r="A197" i="12" s="1"/>
  <c r="N196" i="12"/>
  <c r="A196" i="12" a="1"/>
  <c r="A196" i="12" s="1"/>
  <c r="K196" i="12" s="1"/>
  <c r="N195" i="12"/>
  <c r="A195" i="12" a="1"/>
  <c r="A195" i="12" s="1"/>
  <c r="K195" i="12" s="1"/>
  <c r="L189" i="12"/>
  <c r="D189" i="12"/>
  <c r="D185" i="12"/>
  <c r="D184" i="12"/>
  <c r="N181" i="12"/>
  <c r="M181" i="12"/>
  <c r="L181" i="12"/>
  <c r="E177" i="12"/>
  <c r="E176" i="12"/>
  <c r="E174" i="12"/>
  <c r="L157" i="12"/>
  <c r="L156" i="12"/>
  <c r="L155" i="12"/>
  <c r="N147" i="12"/>
  <c r="A147" i="12" a="1"/>
  <c r="A147" i="12" s="1"/>
  <c r="N146" i="12"/>
  <c r="A146" i="12" a="1"/>
  <c r="A146" i="12" s="1"/>
  <c r="N145" i="12"/>
  <c r="A145" i="12" a="1"/>
  <c r="A145" i="12" s="1"/>
  <c r="I145" i="12" s="1"/>
  <c r="N144" i="12"/>
  <c r="A144" i="12" a="1"/>
  <c r="A144" i="12" s="1"/>
  <c r="A143" i="12" a="1"/>
  <c r="A143" i="12" s="1"/>
  <c r="N137" i="12"/>
  <c r="A137" i="12" a="1"/>
  <c r="A137" i="12" s="1"/>
  <c r="K137" i="12" s="1"/>
  <c r="N136" i="12"/>
  <c r="A136" i="12" a="1"/>
  <c r="A136" i="12" s="1"/>
  <c r="N135" i="12"/>
  <c r="A135" i="12" a="1"/>
  <c r="A135" i="12" s="1"/>
  <c r="N134" i="12"/>
  <c r="A134" i="12" a="1"/>
  <c r="A134" i="12" s="1"/>
  <c r="N133" i="12"/>
  <c r="A133" i="12" a="1"/>
  <c r="A133" i="12" s="1"/>
  <c r="J133" i="12" s="1"/>
  <c r="N127" i="12"/>
  <c r="A127" i="12" a="1"/>
  <c r="A127" i="12" s="1"/>
  <c r="N126" i="12"/>
  <c r="A126" i="12" a="1"/>
  <c r="A126" i="12" s="1"/>
  <c r="J126" i="12" s="1"/>
  <c r="N125" i="12"/>
  <c r="A125" i="12" a="1"/>
  <c r="A125" i="12" s="1"/>
  <c r="N124" i="12"/>
  <c r="A124" i="12" a="1"/>
  <c r="A124" i="12" s="1"/>
  <c r="A123" i="12" a="1"/>
  <c r="A123" i="12" s="1"/>
  <c r="A122" i="12" a="1"/>
  <c r="A122" i="12" s="1"/>
  <c r="A121" i="12" a="1"/>
  <c r="A121" i="12" s="1"/>
  <c r="J121" i="12" s="1"/>
  <c r="A120" i="12" a="1"/>
  <c r="A120" i="12" s="1"/>
  <c r="N114" i="12"/>
  <c r="A114" i="12" a="1"/>
  <c r="A114" i="12" s="1"/>
  <c r="K114" i="12" s="1"/>
  <c r="N113" i="12"/>
  <c r="A113" i="12" a="1"/>
  <c r="A113" i="12" s="1"/>
  <c r="K113" i="12" s="1"/>
  <c r="A112" i="12" a="1"/>
  <c r="A112" i="12" s="1"/>
  <c r="N111" i="12"/>
  <c r="A111" i="12" a="1"/>
  <c r="A111" i="12" s="1"/>
  <c r="K111" i="12" s="1"/>
  <c r="N110" i="12"/>
  <c r="A110" i="12" a="1"/>
  <c r="A110" i="12" s="1"/>
  <c r="K110" i="12" s="1"/>
  <c r="L104" i="12"/>
  <c r="D104" i="12"/>
  <c r="D100" i="12"/>
  <c r="D99" i="12"/>
  <c r="N96" i="12"/>
  <c r="M96" i="12"/>
  <c r="L96" i="12"/>
  <c r="E92" i="12"/>
  <c r="E91" i="12"/>
  <c r="E89" i="12"/>
  <c r="L71" i="12"/>
  <c r="L70" i="12"/>
  <c r="L69" i="12"/>
  <c r="N61" i="12"/>
  <c r="A61" i="12" a="1"/>
  <c r="A61" i="12" s="1"/>
  <c r="I61" i="12" s="1"/>
  <c r="N60" i="12"/>
  <c r="A60" i="12" a="1"/>
  <c r="A60" i="12" s="1"/>
  <c r="J60" i="12" s="1"/>
  <c r="N59" i="12"/>
  <c r="A59" i="12" a="1"/>
  <c r="A59" i="12" s="1"/>
  <c r="L58" i="12"/>
  <c r="A58" i="12" a="1"/>
  <c r="A58" i="12" s="1"/>
  <c r="A57" i="12" a="1"/>
  <c r="A57" i="12" s="1"/>
  <c r="N51" i="12"/>
  <c r="A51" i="12" a="1"/>
  <c r="A51" i="12" s="1"/>
  <c r="N50" i="12"/>
  <c r="A50" i="12" a="1"/>
  <c r="A50" i="12" s="1"/>
  <c r="L50" i="12" s="1"/>
  <c r="N49" i="12"/>
  <c r="A49" i="12" a="1"/>
  <c r="A49" i="12" s="1"/>
  <c r="K49" i="12" s="1"/>
  <c r="N48" i="12"/>
  <c r="A48" i="12" a="1"/>
  <c r="A48" i="12" s="1"/>
  <c r="J48" i="12" s="1"/>
  <c r="N47" i="12"/>
  <c r="A47" i="12" a="1"/>
  <c r="A47" i="12" s="1"/>
  <c r="K47" i="12" s="1"/>
  <c r="N41" i="12"/>
  <c r="A41" i="12" a="1"/>
  <c r="A41" i="12" s="1"/>
  <c r="N40" i="12"/>
  <c r="A40" i="12" a="1"/>
  <c r="A40" i="12" s="1"/>
  <c r="N39" i="12"/>
  <c r="A39" i="12" a="1"/>
  <c r="A39" i="12" s="1"/>
  <c r="N38" i="12"/>
  <c r="A38" i="12" a="1"/>
  <c r="A38" i="12" s="1"/>
  <c r="J38" i="12" s="1"/>
  <c r="N37" i="12"/>
  <c r="A37" i="12" a="1"/>
  <c r="A37" i="12" s="1"/>
  <c r="A36" i="12" a="1"/>
  <c r="A36" i="12" s="1"/>
  <c r="A35" i="12" a="1"/>
  <c r="A35" i="12" s="1"/>
  <c r="A34" i="12" a="1"/>
  <c r="A34" i="12" s="1"/>
  <c r="J34" i="12" s="1"/>
  <c r="N28" i="12"/>
  <c r="A28" i="12" a="1"/>
  <c r="A28" i="12" s="1"/>
  <c r="K28" i="12" s="1"/>
  <c r="N27" i="12"/>
  <c r="A27" i="12" a="1"/>
  <c r="A27" i="12" s="1"/>
  <c r="K27" i="12" s="1"/>
  <c r="A26" i="12" a="1"/>
  <c r="A26" i="12" s="1"/>
  <c r="N25" i="12"/>
  <c r="A25" i="12" a="1"/>
  <c r="A25" i="12" s="1"/>
  <c r="K25" i="12" s="1"/>
  <c r="L24" i="12"/>
  <c r="A24" i="12" a="1"/>
  <c r="A24" i="12" s="1"/>
  <c r="L18" i="12"/>
  <c r="D18" i="12"/>
  <c r="D14" i="12"/>
  <c r="D13" i="12"/>
  <c r="N10" i="12"/>
  <c r="M10" i="12"/>
  <c r="L10" i="12"/>
  <c r="E6" i="12"/>
  <c r="E5" i="12"/>
  <c r="E3" i="12"/>
  <c r="O38" i="11"/>
  <c r="O37" i="11"/>
  <c r="O36" i="11"/>
  <c r="O35" i="11"/>
  <c r="O34" i="11"/>
  <c r="O33" i="11"/>
  <c r="O32" i="11"/>
  <c r="O31" i="11"/>
  <c r="O30" i="11"/>
  <c r="O29" i="11"/>
  <c r="O28" i="11"/>
  <c r="O27" i="11"/>
  <c r="O26" i="11"/>
  <c r="O25" i="11"/>
  <c r="O24" i="11"/>
  <c r="O23" i="11"/>
  <c r="O22" i="11"/>
  <c r="O21" i="11"/>
  <c r="O20" i="11"/>
  <c r="O19" i="11"/>
  <c r="O18" i="11"/>
  <c r="O17" i="11"/>
  <c r="O16" i="11"/>
  <c r="M12" i="11"/>
  <c r="K12" i="11"/>
  <c r="D12" i="11"/>
  <c r="N10" i="11"/>
  <c r="D10" i="11"/>
  <c r="D9" i="11"/>
  <c r="D8" i="11"/>
  <c r="J623" i="10"/>
  <c r="H623" i="10" s="1"/>
  <c r="E623" i="10" s="1"/>
  <c r="J622" i="10"/>
  <c r="H622" i="10" s="1"/>
  <c r="E622" i="10" s="1"/>
  <c r="J618" i="10"/>
  <c r="H618" i="10" s="1"/>
  <c r="E618" i="10" s="1"/>
  <c r="J617" i="10"/>
  <c r="H617" i="10" s="1"/>
  <c r="E617" i="10" s="1"/>
  <c r="J616" i="10"/>
  <c r="H616" i="10" s="1"/>
  <c r="E616" i="10" s="1"/>
  <c r="J615" i="10"/>
  <c r="H615" i="10" s="1"/>
  <c r="E615" i="10" s="1"/>
  <c r="J614" i="10"/>
  <c r="H614" i="10" s="1"/>
  <c r="E614" i="10" s="1"/>
  <c r="J613" i="10"/>
  <c r="H613" i="10" s="1"/>
  <c r="E613" i="10" s="1"/>
  <c r="J612" i="10"/>
  <c r="H612" i="10" s="1"/>
  <c r="E612" i="10" s="1"/>
  <c r="J611" i="10"/>
  <c r="H611" i="10" s="1"/>
  <c r="E611" i="10" s="1"/>
  <c r="J610" i="10"/>
  <c r="H610" i="10" s="1"/>
  <c r="E610" i="10" s="1"/>
  <c r="J609" i="10"/>
  <c r="H609" i="10" s="1"/>
  <c r="E609" i="10" s="1"/>
  <c r="J608" i="10"/>
  <c r="H608" i="10" s="1"/>
  <c r="E608" i="10" s="1"/>
  <c r="J607" i="10"/>
  <c r="H607" i="10" s="1"/>
  <c r="E607" i="10" s="1"/>
  <c r="J606" i="10"/>
  <c r="H606" i="10" s="1"/>
  <c r="E606" i="10" s="1"/>
  <c r="J605" i="10"/>
  <c r="H605" i="10" s="1"/>
  <c r="E605" i="10" s="1"/>
  <c r="J604" i="10"/>
  <c r="H604" i="10" s="1"/>
  <c r="E604" i="10" s="1"/>
  <c r="J603" i="10"/>
  <c r="H603" i="10" s="1"/>
  <c r="E603" i="10" s="1"/>
  <c r="L602" i="10"/>
  <c r="J602" i="10" s="1"/>
  <c r="H602" i="10" s="1"/>
  <c r="E602" i="10" s="1"/>
  <c r="J601" i="10"/>
  <c r="H601" i="10" s="1"/>
  <c r="E601" i="10" s="1"/>
  <c r="J600" i="10"/>
  <c r="H600" i="10" s="1"/>
  <c r="E600" i="10" s="1"/>
  <c r="J599" i="10"/>
  <c r="H599" i="10" s="1"/>
  <c r="E599" i="10" s="1"/>
  <c r="J582" i="10"/>
  <c r="H582" i="10" s="1"/>
  <c r="E582" i="10" s="1"/>
  <c r="J581" i="10"/>
  <c r="H581" i="10" s="1"/>
  <c r="E581" i="10" s="1"/>
  <c r="J580" i="10"/>
  <c r="H580" i="10" s="1"/>
  <c r="E580" i="10" s="1"/>
  <c r="J579" i="10"/>
  <c r="H579" i="10" s="1"/>
  <c r="E579" i="10" s="1"/>
  <c r="J578" i="10"/>
  <c r="H578" i="10" s="1"/>
  <c r="E578" i="10" s="1"/>
  <c r="J577" i="10"/>
  <c r="H577" i="10" s="1"/>
  <c r="E577" i="10" s="1"/>
  <c r="J576" i="10"/>
  <c r="H576" i="10" s="1"/>
  <c r="E576" i="10" s="1"/>
  <c r="J575" i="10"/>
  <c r="H575" i="10" s="1"/>
  <c r="E575" i="10" s="1"/>
  <c r="J574" i="10"/>
  <c r="H574" i="10" s="1"/>
  <c r="E574" i="10" s="1"/>
  <c r="J573" i="10"/>
  <c r="H573" i="10" s="1"/>
  <c r="E573" i="10" s="1"/>
  <c r="J572" i="10"/>
  <c r="H572" i="10" s="1"/>
  <c r="E572" i="10" s="1"/>
  <c r="J571" i="10"/>
  <c r="H571" i="10" s="1"/>
  <c r="E571" i="10" s="1"/>
  <c r="J570" i="10"/>
  <c r="H570" i="10" s="1"/>
  <c r="E570" i="10" s="1"/>
  <c r="J569" i="10"/>
  <c r="H569" i="10" s="1"/>
  <c r="E569" i="10" s="1"/>
  <c r="J568" i="10"/>
  <c r="H568" i="10" s="1"/>
  <c r="E568" i="10" s="1"/>
  <c r="J567" i="10"/>
  <c r="H567" i="10" s="1"/>
  <c r="E567" i="10" s="1"/>
  <c r="J566" i="10"/>
  <c r="H566" i="10" s="1"/>
  <c r="E566" i="10" s="1"/>
  <c r="J565" i="10"/>
  <c r="H565" i="10" s="1"/>
  <c r="E565" i="10" s="1"/>
  <c r="J564" i="10"/>
  <c r="H564" i="10" s="1"/>
  <c r="E564" i="10" s="1"/>
  <c r="J563" i="10"/>
  <c r="H563" i="10" s="1"/>
  <c r="E563" i="10" s="1"/>
  <c r="J562" i="10"/>
  <c r="H562" i="10" s="1"/>
  <c r="E562" i="10" s="1"/>
  <c r="J561" i="10"/>
  <c r="H561" i="10" s="1"/>
  <c r="E561" i="10" s="1"/>
  <c r="J560" i="10"/>
  <c r="H560" i="10" s="1"/>
  <c r="E560" i="10" s="1"/>
  <c r="J559" i="10"/>
  <c r="H559" i="10" s="1"/>
  <c r="E559" i="10" s="1"/>
  <c r="J558" i="10"/>
  <c r="H558" i="10" s="1"/>
  <c r="E558" i="10" s="1"/>
  <c r="J557" i="10"/>
  <c r="H557" i="10" s="1"/>
  <c r="E557" i="10" s="1"/>
  <c r="J556" i="10"/>
  <c r="H556" i="10" s="1"/>
  <c r="E556" i="10" s="1"/>
  <c r="J555" i="10"/>
  <c r="H555" i="10" s="1"/>
  <c r="E555" i="10" s="1"/>
  <c r="J554" i="10"/>
  <c r="H554" i="10" s="1"/>
  <c r="E554" i="10" s="1"/>
  <c r="J553" i="10"/>
  <c r="H553" i="10" s="1"/>
  <c r="E553" i="10" s="1"/>
  <c r="J552" i="10"/>
  <c r="H552" i="10" s="1"/>
  <c r="E552" i="10" s="1"/>
  <c r="J551" i="10"/>
  <c r="H551" i="10" s="1"/>
  <c r="E551" i="10" s="1"/>
  <c r="J550" i="10"/>
  <c r="H550" i="10" s="1"/>
  <c r="E550" i="10" s="1"/>
  <c r="J549" i="10"/>
  <c r="H549" i="10" s="1"/>
  <c r="E549" i="10" s="1"/>
  <c r="J548" i="10"/>
  <c r="H548" i="10" s="1"/>
  <c r="E548" i="10" s="1"/>
  <c r="J547" i="10"/>
  <c r="H547" i="10" s="1"/>
  <c r="E547" i="10" s="1"/>
  <c r="J545" i="10"/>
  <c r="H545" i="10" s="1"/>
  <c r="E545" i="10" s="1"/>
  <c r="J544" i="10"/>
  <c r="H544" i="10" s="1"/>
  <c r="E544" i="10" s="1"/>
  <c r="J543" i="10"/>
  <c r="H543" i="10" s="1"/>
  <c r="E543" i="10" s="1"/>
  <c r="J542" i="10"/>
  <c r="H542" i="10" s="1"/>
  <c r="E542" i="10" s="1"/>
  <c r="J541" i="10"/>
  <c r="H541" i="10" s="1"/>
  <c r="E541" i="10" s="1"/>
  <c r="J540" i="10"/>
  <c r="H540" i="10" s="1"/>
  <c r="E540" i="10" s="1"/>
  <c r="J539" i="10"/>
  <c r="H539" i="10" s="1"/>
  <c r="E539" i="10" s="1"/>
  <c r="J538" i="10"/>
  <c r="H538" i="10" s="1"/>
  <c r="E538" i="10" s="1"/>
  <c r="J537" i="10"/>
  <c r="H537" i="10" s="1"/>
  <c r="E537" i="10" s="1"/>
  <c r="J536" i="10"/>
  <c r="H536" i="10" s="1"/>
  <c r="E536" i="10" s="1"/>
  <c r="J535" i="10"/>
  <c r="H535" i="10" s="1"/>
  <c r="E535" i="10" s="1"/>
  <c r="J534" i="10"/>
  <c r="H534" i="10" s="1"/>
  <c r="E534" i="10" s="1"/>
  <c r="J533" i="10"/>
  <c r="H533" i="10" s="1"/>
  <c r="E533" i="10" s="1"/>
  <c r="J532" i="10"/>
  <c r="H532" i="10" s="1"/>
  <c r="E532" i="10" s="1"/>
  <c r="J531" i="10"/>
  <c r="H531" i="10" s="1"/>
  <c r="E531" i="10" s="1"/>
  <c r="J530" i="10"/>
  <c r="H530" i="10" s="1"/>
  <c r="E530" i="10" s="1"/>
  <c r="J529" i="10"/>
  <c r="H529" i="10" s="1"/>
  <c r="E529" i="10" s="1"/>
  <c r="J528" i="10"/>
  <c r="H528" i="10" s="1"/>
  <c r="E528" i="10" s="1"/>
  <c r="J527" i="10"/>
  <c r="H527" i="10" s="1"/>
  <c r="E527" i="10" s="1"/>
  <c r="J526" i="10"/>
  <c r="H526" i="10" s="1"/>
  <c r="E526" i="10" s="1"/>
  <c r="J525" i="10"/>
  <c r="H525" i="10" s="1"/>
  <c r="E525" i="10" s="1"/>
  <c r="J524" i="10"/>
  <c r="H524" i="10" s="1"/>
  <c r="E524" i="10" s="1"/>
  <c r="J523" i="10"/>
  <c r="H523" i="10" s="1"/>
  <c r="E523" i="10" s="1"/>
  <c r="J522" i="10"/>
  <c r="H522" i="10" s="1"/>
  <c r="E522" i="10" s="1"/>
  <c r="J521" i="10"/>
  <c r="H521" i="10" s="1"/>
  <c r="E521" i="10" s="1"/>
  <c r="J520" i="10"/>
  <c r="H520" i="10" s="1"/>
  <c r="E520" i="10" s="1"/>
  <c r="J519" i="10"/>
  <c r="H519" i="10" s="1"/>
  <c r="E519" i="10" s="1"/>
  <c r="J518" i="10"/>
  <c r="H518" i="10" s="1"/>
  <c r="E518" i="10" s="1"/>
  <c r="J517" i="10"/>
  <c r="H517" i="10" s="1"/>
  <c r="E517" i="10" s="1"/>
  <c r="J516" i="10"/>
  <c r="H516" i="10" s="1"/>
  <c r="E516" i="10" s="1"/>
  <c r="J515" i="10"/>
  <c r="H515" i="10" s="1"/>
  <c r="E515" i="10" s="1"/>
  <c r="J514" i="10"/>
  <c r="H514" i="10" s="1"/>
  <c r="E514" i="10" s="1"/>
  <c r="J513" i="10"/>
  <c r="H513" i="10" s="1"/>
  <c r="E513" i="10" s="1"/>
  <c r="J512" i="10"/>
  <c r="H512" i="10" s="1"/>
  <c r="E512" i="10" s="1"/>
  <c r="J511" i="10"/>
  <c r="H511" i="10" s="1"/>
  <c r="E511" i="10" s="1"/>
  <c r="J510" i="10"/>
  <c r="H510" i="10" s="1"/>
  <c r="E510" i="10" s="1"/>
  <c r="J509" i="10"/>
  <c r="H509" i="10" s="1"/>
  <c r="E509" i="10" s="1"/>
  <c r="J508" i="10"/>
  <c r="H508" i="10" s="1"/>
  <c r="E508" i="10" s="1"/>
  <c r="J507" i="10"/>
  <c r="H507" i="10" s="1"/>
  <c r="E507" i="10" s="1"/>
  <c r="J506" i="10"/>
  <c r="H506" i="10" s="1"/>
  <c r="E506" i="10" s="1"/>
  <c r="J505" i="10"/>
  <c r="H505" i="10" s="1"/>
  <c r="E505" i="10" s="1"/>
  <c r="J504" i="10"/>
  <c r="H504" i="10" s="1"/>
  <c r="E504" i="10" s="1"/>
  <c r="J503" i="10"/>
  <c r="H503" i="10" s="1"/>
  <c r="E503" i="10" s="1"/>
  <c r="J502" i="10"/>
  <c r="H502" i="10" s="1"/>
  <c r="E502" i="10" s="1"/>
  <c r="J501" i="10"/>
  <c r="H501" i="10" s="1"/>
  <c r="E501" i="10" s="1"/>
  <c r="J500" i="10"/>
  <c r="H500" i="10" s="1"/>
  <c r="E500" i="10" s="1"/>
  <c r="J499" i="10"/>
  <c r="H499" i="10" s="1"/>
  <c r="E499" i="10" s="1"/>
  <c r="J498" i="10"/>
  <c r="H498" i="10" s="1"/>
  <c r="E498" i="10" s="1"/>
  <c r="J497" i="10"/>
  <c r="H497" i="10" s="1"/>
  <c r="E497" i="10" s="1"/>
  <c r="J496" i="10"/>
  <c r="H496" i="10" s="1"/>
  <c r="E496" i="10" s="1"/>
  <c r="J495" i="10"/>
  <c r="H495" i="10" s="1"/>
  <c r="E495" i="10" s="1"/>
  <c r="J494" i="10"/>
  <c r="H494" i="10" s="1"/>
  <c r="E494" i="10" s="1"/>
  <c r="J493" i="10"/>
  <c r="H493" i="10" s="1"/>
  <c r="E493" i="10" s="1"/>
  <c r="J492" i="10"/>
  <c r="H492" i="10" s="1"/>
  <c r="E492" i="10" s="1"/>
  <c r="J491" i="10"/>
  <c r="H491" i="10" s="1"/>
  <c r="E491" i="10" s="1"/>
  <c r="J490" i="10"/>
  <c r="H490" i="10" s="1"/>
  <c r="E490" i="10" s="1"/>
  <c r="J489" i="10"/>
  <c r="H489" i="10" s="1"/>
  <c r="E489" i="10" s="1"/>
  <c r="J488" i="10"/>
  <c r="H488" i="10" s="1"/>
  <c r="E488" i="10" s="1"/>
  <c r="J487" i="10"/>
  <c r="H487" i="10" s="1"/>
  <c r="E487" i="10" s="1"/>
  <c r="J486" i="10"/>
  <c r="H486" i="10" s="1"/>
  <c r="E486" i="10" s="1"/>
  <c r="J485" i="10"/>
  <c r="H485" i="10" s="1"/>
  <c r="E485" i="10" s="1"/>
  <c r="J484" i="10"/>
  <c r="H484" i="10" s="1"/>
  <c r="E484" i="10" s="1"/>
  <c r="J482" i="10"/>
  <c r="H482" i="10" s="1"/>
  <c r="E482" i="10" s="1"/>
  <c r="J481" i="10"/>
  <c r="H481" i="10" s="1"/>
  <c r="E481" i="10" s="1"/>
  <c r="J480" i="10"/>
  <c r="H480" i="10" s="1"/>
  <c r="E480" i="10" s="1"/>
  <c r="J479" i="10"/>
  <c r="H479" i="10" s="1"/>
  <c r="E479" i="10" s="1"/>
  <c r="J478" i="10"/>
  <c r="H478" i="10" s="1"/>
  <c r="E478" i="10" s="1"/>
  <c r="J477" i="10"/>
  <c r="H477" i="10" s="1"/>
  <c r="E477" i="10" s="1"/>
  <c r="J476" i="10"/>
  <c r="H476" i="10" s="1"/>
  <c r="E476" i="10" s="1"/>
  <c r="J475" i="10"/>
  <c r="H475" i="10" s="1"/>
  <c r="E475" i="10" s="1"/>
  <c r="J470" i="10"/>
  <c r="H470" i="10" s="1"/>
  <c r="E470" i="10" s="1"/>
  <c r="L469" i="10"/>
  <c r="J469" i="10" s="1"/>
  <c r="H469" i="10" s="1"/>
  <c r="E469" i="10" s="1"/>
  <c r="J468" i="10"/>
  <c r="H468" i="10" s="1"/>
  <c r="E468" i="10" s="1"/>
  <c r="L467" i="10"/>
  <c r="J467" i="10" s="1"/>
  <c r="H467" i="10" s="1"/>
  <c r="E467" i="10" s="1"/>
  <c r="J466" i="10"/>
  <c r="H466" i="10" s="1"/>
  <c r="E466" i="10" s="1"/>
  <c r="J465" i="10"/>
  <c r="H465" i="10" s="1"/>
  <c r="E465" i="10" s="1"/>
  <c r="J464" i="10"/>
  <c r="H464" i="10" s="1"/>
  <c r="E464" i="10" s="1"/>
  <c r="L463" i="10"/>
  <c r="J463" i="10" s="1"/>
  <c r="H463" i="10" s="1"/>
  <c r="E463" i="10" s="1"/>
  <c r="L462" i="10"/>
  <c r="J462" i="10" s="1"/>
  <c r="H462" i="10" s="1"/>
  <c r="E462" i="10" s="1"/>
  <c r="L461" i="10"/>
  <c r="J461" i="10" s="1"/>
  <c r="H461" i="10" s="1"/>
  <c r="E461" i="10" s="1"/>
  <c r="J460" i="10"/>
  <c r="H460" i="10" s="1"/>
  <c r="E460" i="10" s="1"/>
  <c r="J459" i="10"/>
  <c r="H459" i="10" s="1"/>
  <c r="E459" i="10" s="1"/>
  <c r="L458" i="10"/>
  <c r="J458" i="10" s="1"/>
  <c r="H458" i="10" s="1"/>
  <c r="E458" i="10" s="1"/>
  <c r="J457" i="10"/>
  <c r="H457" i="10" s="1"/>
  <c r="E457" i="10" s="1"/>
  <c r="J456" i="10"/>
  <c r="H456" i="10" s="1"/>
  <c r="E456" i="10" s="1"/>
  <c r="J445" i="10"/>
  <c r="H445" i="10" s="1"/>
  <c r="E445" i="10" s="1"/>
  <c r="J444" i="10"/>
  <c r="H444" i="10" s="1"/>
  <c r="E444" i="10" s="1"/>
  <c r="J443" i="10"/>
  <c r="H443" i="10" s="1"/>
  <c r="E443" i="10" s="1"/>
  <c r="J442" i="10"/>
  <c r="H442" i="10" s="1"/>
  <c r="E442" i="10" s="1"/>
  <c r="J441" i="10"/>
  <c r="H441" i="10" s="1"/>
  <c r="E441" i="10" s="1"/>
  <c r="J440" i="10"/>
  <c r="H440" i="10" s="1"/>
  <c r="E440" i="10" s="1"/>
  <c r="J439" i="10"/>
  <c r="H439" i="10" s="1"/>
  <c r="E439" i="10" s="1"/>
  <c r="J438" i="10"/>
  <c r="H438" i="10" s="1"/>
  <c r="E438" i="10" s="1"/>
  <c r="J437" i="10"/>
  <c r="H437" i="10" s="1"/>
  <c r="E437" i="10" s="1"/>
  <c r="J436" i="10"/>
  <c r="H436" i="10" s="1"/>
  <c r="E436" i="10" s="1"/>
  <c r="J435" i="10"/>
  <c r="H435" i="10" s="1"/>
  <c r="E435" i="10" s="1"/>
  <c r="J434" i="10"/>
  <c r="H434" i="10" s="1"/>
  <c r="E434" i="10" s="1"/>
  <c r="J433" i="10"/>
  <c r="H433" i="10" s="1"/>
  <c r="E433" i="10" s="1"/>
  <c r="J432" i="10"/>
  <c r="H432" i="10" s="1"/>
  <c r="E432" i="10" s="1"/>
  <c r="J431" i="10"/>
  <c r="H431" i="10" s="1"/>
  <c r="E431" i="10" s="1"/>
  <c r="J430" i="10"/>
  <c r="H430" i="10" s="1"/>
  <c r="E430" i="10" s="1"/>
  <c r="J427" i="10"/>
  <c r="H427" i="10" s="1"/>
  <c r="E427" i="10" s="1"/>
  <c r="J426" i="10"/>
  <c r="H426" i="10" s="1"/>
  <c r="E426" i="10" s="1"/>
  <c r="J425" i="10"/>
  <c r="H425" i="10" s="1"/>
  <c r="E425" i="10" s="1"/>
  <c r="J419" i="10"/>
  <c r="H419" i="10" s="1"/>
  <c r="E419" i="10" s="1"/>
  <c r="J418" i="10"/>
  <c r="H418" i="10" s="1"/>
  <c r="E418" i="10" s="1"/>
  <c r="J417" i="10"/>
  <c r="H417" i="10" s="1"/>
  <c r="E417" i="10" s="1"/>
  <c r="J416" i="10"/>
  <c r="H416" i="10" s="1"/>
  <c r="E416" i="10" s="1"/>
  <c r="N415" i="10"/>
  <c r="L415" i="10"/>
  <c r="J414" i="10"/>
  <c r="H414" i="10" s="1"/>
  <c r="E414" i="10" s="1"/>
  <c r="L413" i="10"/>
  <c r="J413" i="10" s="1"/>
  <c r="H413" i="10" s="1"/>
  <c r="E413" i="10" s="1"/>
  <c r="N412" i="10"/>
  <c r="L412" i="10"/>
  <c r="J411" i="10"/>
  <c r="H411" i="10" s="1"/>
  <c r="E411" i="10" s="1"/>
  <c r="J410" i="10"/>
  <c r="H410" i="10" s="1"/>
  <c r="E410" i="10" s="1"/>
  <c r="N409" i="10"/>
  <c r="J409" i="10" s="1"/>
  <c r="H409" i="10" s="1"/>
  <c r="E409" i="10" s="1"/>
  <c r="J408" i="10"/>
  <c r="H408" i="10" s="1"/>
  <c r="E408" i="10" s="1"/>
  <c r="P407" i="10"/>
  <c r="J407" i="10" s="1"/>
  <c r="H407" i="10" s="1"/>
  <c r="E407" i="10" s="1"/>
  <c r="J406" i="10"/>
  <c r="H406" i="10" s="1"/>
  <c r="E406" i="10" s="1"/>
  <c r="J405" i="10"/>
  <c r="H405" i="10" s="1"/>
  <c r="E405" i="10" s="1"/>
  <c r="J404" i="10"/>
  <c r="H404" i="10" s="1"/>
  <c r="E404" i="10" s="1"/>
  <c r="L403" i="10"/>
  <c r="J403" i="10" s="1"/>
  <c r="H403" i="10" s="1"/>
  <c r="E403" i="10" s="1"/>
  <c r="L402" i="10"/>
  <c r="J402" i="10" s="1"/>
  <c r="H402" i="10" s="1"/>
  <c r="E402" i="10" s="1"/>
  <c r="J400" i="10"/>
  <c r="H400" i="10" s="1"/>
  <c r="E400" i="10" s="1"/>
  <c r="J399" i="10"/>
  <c r="H399" i="10" s="1"/>
  <c r="E399" i="10" s="1"/>
  <c r="J398" i="10"/>
  <c r="H398" i="10" s="1"/>
  <c r="E398" i="10" s="1"/>
  <c r="J397" i="10"/>
  <c r="H397" i="10" s="1"/>
  <c r="E397" i="10" s="1"/>
  <c r="N396" i="10"/>
  <c r="J396" i="10" s="1"/>
  <c r="H396" i="10" s="1"/>
  <c r="E396" i="10" s="1"/>
  <c r="L395" i="10"/>
  <c r="J395" i="10" s="1"/>
  <c r="H395" i="10" s="1"/>
  <c r="E395" i="10" s="1"/>
  <c r="J394" i="10"/>
  <c r="H394" i="10" s="1"/>
  <c r="E394" i="10" s="1"/>
  <c r="J393" i="10"/>
  <c r="H393" i="10" s="1"/>
  <c r="E393" i="10" s="1"/>
  <c r="J392" i="10"/>
  <c r="H392" i="10" s="1"/>
  <c r="E392" i="10" s="1"/>
  <c r="J389" i="10"/>
  <c r="H389" i="10" s="1"/>
  <c r="E389" i="10" s="1"/>
  <c r="J388" i="10"/>
  <c r="H388" i="10" s="1"/>
  <c r="E388" i="10" s="1"/>
  <c r="J387" i="10"/>
  <c r="H387" i="10" s="1"/>
  <c r="E387" i="10" s="1"/>
  <c r="J386" i="10"/>
  <c r="H386" i="10" s="1"/>
  <c r="E386" i="10" s="1"/>
  <c r="J385" i="10"/>
  <c r="H385" i="10" s="1"/>
  <c r="E385" i="10" s="1"/>
  <c r="J384" i="10"/>
  <c r="H384" i="10" s="1"/>
  <c r="E384" i="10" s="1"/>
  <c r="J383" i="10"/>
  <c r="H383" i="10" s="1"/>
  <c r="E383" i="10" s="1"/>
  <c r="L382" i="10"/>
  <c r="J382" i="10" s="1"/>
  <c r="H382" i="10" s="1"/>
  <c r="E382" i="10" s="1"/>
  <c r="J381" i="10"/>
  <c r="H381" i="10" s="1"/>
  <c r="E381" i="10" s="1"/>
  <c r="L380" i="10"/>
  <c r="J380" i="10" s="1"/>
  <c r="H380" i="10" s="1"/>
  <c r="E380" i="10" s="1"/>
  <c r="J379" i="10"/>
  <c r="H379" i="10" s="1"/>
  <c r="E379" i="10" s="1"/>
  <c r="J369" i="10"/>
  <c r="H369" i="10" s="1"/>
  <c r="E369" i="10" s="1"/>
  <c r="J368" i="10"/>
  <c r="H368" i="10" s="1"/>
  <c r="E368" i="10" s="1"/>
  <c r="J367" i="10"/>
  <c r="H367" i="10" s="1"/>
  <c r="E367" i="10" s="1"/>
  <c r="J366" i="10"/>
  <c r="H366" i="10" s="1"/>
  <c r="E366" i="10" s="1"/>
  <c r="J365" i="10"/>
  <c r="H365" i="10" s="1"/>
  <c r="E365" i="10" s="1"/>
  <c r="J364" i="10"/>
  <c r="H364" i="10" s="1"/>
  <c r="E364" i="10" s="1"/>
  <c r="D364" i="10"/>
  <c r="J363" i="10"/>
  <c r="H363" i="10" s="1"/>
  <c r="E363" i="10" s="1"/>
  <c r="J362" i="10"/>
  <c r="H362" i="10" s="1"/>
  <c r="E362" i="10" s="1"/>
  <c r="J361" i="10"/>
  <c r="H361" i="10" s="1"/>
  <c r="E361" i="10" s="1"/>
  <c r="J360" i="10"/>
  <c r="H360" i="10" s="1"/>
  <c r="E360" i="10" s="1"/>
  <c r="N359" i="10"/>
  <c r="L359" i="10"/>
  <c r="J358" i="10"/>
  <c r="H358" i="10" s="1"/>
  <c r="E358" i="10" s="1"/>
  <c r="J357" i="10"/>
  <c r="H357" i="10" s="1"/>
  <c r="E357" i="10" s="1"/>
  <c r="N356" i="10"/>
  <c r="L356" i="10"/>
  <c r="J355" i="10"/>
  <c r="H355" i="10" s="1"/>
  <c r="E355" i="10" s="1"/>
  <c r="J354" i="10"/>
  <c r="H354" i="10" s="1"/>
  <c r="J353" i="10"/>
  <c r="H353" i="10" s="1"/>
  <c r="L2590" i="12" s="1"/>
  <c r="N2590" i="12" s="1"/>
  <c r="J352" i="10"/>
  <c r="H352" i="10" s="1"/>
  <c r="J348" i="10"/>
  <c r="H348" i="10" s="1"/>
  <c r="E348" i="10" s="1"/>
  <c r="J347" i="10"/>
  <c r="H347" i="10" s="1"/>
  <c r="E347" i="10" s="1"/>
  <c r="L346" i="10"/>
  <c r="J346" i="10" s="1"/>
  <c r="H346" i="10" s="1"/>
  <c r="E346" i="10" s="1"/>
  <c r="J345" i="10"/>
  <c r="H345" i="10" s="1"/>
  <c r="E345" i="10" s="1"/>
  <c r="J344" i="10"/>
  <c r="H344" i="10" s="1"/>
  <c r="E344" i="10" s="1"/>
  <c r="J343" i="10"/>
  <c r="H343" i="10" s="1"/>
  <c r="E343" i="10" s="1"/>
  <c r="J342" i="10"/>
  <c r="H342" i="10" s="1"/>
  <c r="E342" i="10" s="1"/>
  <c r="J341" i="10"/>
  <c r="H341" i="10" s="1"/>
  <c r="E341" i="10" s="1"/>
  <c r="J340" i="10"/>
  <c r="H340" i="10" s="1"/>
  <c r="E340" i="10" s="1"/>
  <c r="J337" i="10"/>
  <c r="H337" i="10" s="1"/>
  <c r="E337" i="10" s="1"/>
  <c r="J336" i="10"/>
  <c r="H336" i="10" s="1"/>
  <c r="E336" i="10" s="1"/>
  <c r="J335" i="10"/>
  <c r="H335" i="10" s="1"/>
  <c r="E335" i="10" s="1"/>
  <c r="L334" i="10"/>
  <c r="J334" i="10" s="1"/>
  <c r="H334" i="10" s="1"/>
  <c r="E334" i="10" s="1"/>
  <c r="L333" i="10"/>
  <c r="J333" i="10" s="1"/>
  <c r="H333" i="10" s="1"/>
  <c r="E333" i="10" s="1"/>
  <c r="J332" i="10"/>
  <c r="H332" i="10" s="1"/>
  <c r="E332" i="10" s="1"/>
  <c r="J331" i="10"/>
  <c r="H331" i="10" s="1"/>
  <c r="E331" i="10" s="1"/>
  <c r="L330" i="10"/>
  <c r="J330" i="10" s="1"/>
  <c r="H330" i="10" s="1"/>
  <c r="E330" i="10" s="1"/>
  <c r="L329" i="10"/>
  <c r="J329" i="10" s="1"/>
  <c r="H329" i="10" s="1"/>
  <c r="E329" i="10" s="1"/>
  <c r="J328" i="10"/>
  <c r="H328" i="10" s="1"/>
  <c r="E328" i="10" s="1"/>
  <c r="L327" i="10"/>
  <c r="J327" i="10" s="1"/>
  <c r="H327" i="10" s="1"/>
  <c r="E327" i="10" s="1"/>
  <c r="L326" i="10"/>
  <c r="J326" i="10" s="1"/>
  <c r="H326" i="10" s="1"/>
  <c r="E326" i="10" s="1"/>
  <c r="L325" i="10"/>
  <c r="J325" i="10" s="1"/>
  <c r="H325" i="10" s="1"/>
  <c r="E325" i="10" s="1"/>
  <c r="L324" i="10"/>
  <c r="J324" i="10" s="1"/>
  <c r="H324" i="10" s="1"/>
  <c r="E324" i="10" s="1"/>
  <c r="J323" i="10"/>
  <c r="H323" i="10" s="1"/>
  <c r="E323" i="10" s="1"/>
  <c r="J322" i="10"/>
  <c r="H322" i="10" s="1"/>
  <c r="E322" i="10" s="1"/>
  <c r="J321" i="10"/>
  <c r="H321" i="10" s="1"/>
  <c r="E321" i="10" s="1"/>
  <c r="J320" i="10"/>
  <c r="H320" i="10" s="1"/>
  <c r="E320" i="10" s="1"/>
  <c r="J319" i="10"/>
  <c r="H319" i="10" s="1"/>
  <c r="E319" i="10" s="1"/>
  <c r="L318" i="10"/>
  <c r="J318" i="10" s="1"/>
  <c r="H318" i="10" s="1"/>
  <c r="E318" i="10" s="1"/>
  <c r="L317" i="10"/>
  <c r="J317" i="10" s="1"/>
  <c r="H317" i="10" s="1"/>
  <c r="E317" i="10" s="1"/>
  <c r="L316" i="10"/>
  <c r="J316" i="10" s="1"/>
  <c r="H316" i="10" s="1"/>
  <c r="E316" i="10" s="1"/>
  <c r="L315" i="10"/>
  <c r="J315" i="10" s="1"/>
  <c r="H315" i="10" s="1"/>
  <c r="E315" i="10" s="1"/>
  <c r="J314" i="10"/>
  <c r="H314" i="10" s="1"/>
  <c r="E314" i="10" s="1"/>
  <c r="J313" i="10"/>
  <c r="H313" i="10" s="1"/>
  <c r="E313" i="10" s="1"/>
  <c r="J312" i="10"/>
  <c r="H312" i="10" s="1"/>
  <c r="E312" i="10" s="1"/>
  <c r="J311" i="10"/>
  <c r="H311" i="10" s="1"/>
  <c r="E311" i="10" s="1"/>
  <c r="J310" i="10"/>
  <c r="H310" i="10" s="1"/>
  <c r="E310" i="10" s="1"/>
  <c r="J309" i="10"/>
  <c r="H309" i="10" s="1"/>
  <c r="E309" i="10" s="1"/>
  <c r="J308" i="10"/>
  <c r="H308" i="10" s="1"/>
  <c r="E308" i="10" s="1"/>
  <c r="J299" i="10"/>
  <c r="H299" i="10" s="1"/>
  <c r="E299" i="10" s="1"/>
  <c r="J298" i="10"/>
  <c r="H298" i="10" s="1"/>
  <c r="E298" i="10" s="1"/>
  <c r="J296" i="10"/>
  <c r="H296" i="10" s="1"/>
  <c r="E296" i="10" s="1"/>
  <c r="J295" i="10"/>
  <c r="H295" i="10" s="1"/>
  <c r="E295" i="10" s="1"/>
  <c r="J294" i="10"/>
  <c r="H294" i="10" s="1"/>
  <c r="E294" i="10" s="1"/>
  <c r="J293" i="10"/>
  <c r="H293" i="10" s="1"/>
  <c r="E293" i="10" s="1"/>
  <c r="J292" i="10"/>
  <c r="H292" i="10" s="1"/>
  <c r="E292" i="10" s="1"/>
  <c r="J291" i="10"/>
  <c r="H291" i="10" s="1"/>
  <c r="E291" i="10" s="1"/>
  <c r="J290" i="10"/>
  <c r="H290" i="10" s="1"/>
  <c r="E290" i="10" s="1"/>
  <c r="J288" i="10"/>
  <c r="H288" i="10" s="1"/>
  <c r="E288" i="10" s="1"/>
  <c r="J287" i="10"/>
  <c r="H287" i="10" s="1"/>
  <c r="J286" i="10"/>
  <c r="H286" i="10" s="1"/>
  <c r="E286" i="10" s="1"/>
  <c r="J285" i="10"/>
  <c r="H285" i="10" s="1"/>
  <c r="E285" i="10" s="1"/>
  <c r="J284" i="10"/>
  <c r="H284" i="10" s="1"/>
  <c r="E284" i="10" s="1"/>
  <c r="J282" i="10"/>
  <c r="H282" i="10" s="1"/>
  <c r="E282" i="10" s="1"/>
  <c r="J281" i="10"/>
  <c r="H281" i="10" s="1"/>
  <c r="E281" i="10" s="1"/>
  <c r="J280" i="10"/>
  <c r="H280" i="10" s="1"/>
  <c r="E280" i="10" s="1"/>
  <c r="J279" i="10"/>
  <c r="H279" i="10" s="1"/>
  <c r="E279" i="10" s="1"/>
  <c r="J278" i="10"/>
  <c r="H278" i="10" s="1"/>
  <c r="E278" i="10" s="1"/>
  <c r="J277" i="10"/>
  <c r="H277" i="10" s="1"/>
  <c r="E277" i="10" s="1"/>
  <c r="J276" i="10"/>
  <c r="H276" i="10" s="1"/>
  <c r="E276" i="10" s="1"/>
  <c r="J275" i="10"/>
  <c r="H275" i="10" s="1"/>
  <c r="E275" i="10" s="1"/>
  <c r="J273" i="10"/>
  <c r="H273" i="10" s="1"/>
  <c r="E273" i="10" s="1"/>
  <c r="L272" i="10"/>
  <c r="J272" i="10" s="1"/>
  <c r="H272" i="10" s="1"/>
  <c r="E272" i="10" s="1"/>
  <c r="L271" i="10"/>
  <c r="J271" i="10" s="1"/>
  <c r="H271" i="10" s="1"/>
  <c r="E271" i="10" s="1"/>
  <c r="L270" i="10"/>
  <c r="J270" i="10" s="1"/>
  <c r="H270" i="10" s="1"/>
  <c r="E270" i="10" s="1"/>
  <c r="L269" i="10"/>
  <c r="J269" i="10" s="1"/>
  <c r="H269" i="10" s="1"/>
  <c r="E269" i="10" s="1"/>
  <c r="L268" i="10"/>
  <c r="J268" i="10" s="1"/>
  <c r="H268" i="10" s="1"/>
  <c r="E268" i="10" s="1"/>
  <c r="L267" i="10"/>
  <c r="J267" i="10" s="1"/>
  <c r="H267" i="10" s="1"/>
  <c r="E267" i="10" s="1"/>
  <c r="L266" i="10"/>
  <c r="J266" i="10" s="1"/>
  <c r="H266" i="10" s="1"/>
  <c r="E266" i="10" s="1"/>
  <c r="L264" i="10"/>
  <c r="J264" i="10" s="1"/>
  <c r="H264" i="10" s="1"/>
  <c r="E264" i="10" s="1"/>
  <c r="L263" i="10"/>
  <c r="J263" i="10" s="1"/>
  <c r="H263" i="10" s="1"/>
  <c r="E263" i="10" s="1"/>
  <c r="L262" i="10"/>
  <c r="J262" i="10" s="1"/>
  <c r="H262" i="10" s="1"/>
  <c r="E262" i="10" s="1"/>
  <c r="L261" i="10"/>
  <c r="J261" i="10" s="1"/>
  <c r="H261" i="10" s="1"/>
  <c r="E261" i="10" s="1"/>
  <c r="L260" i="10"/>
  <c r="J260" i="10" s="1"/>
  <c r="H260" i="10" s="1"/>
  <c r="E260" i="10" s="1"/>
  <c r="L259" i="10"/>
  <c r="J259" i="10" s="1"/>
  <c r="H259" i="10" s="1"/>
  <c r="E259" i="10" s="1"/>
  <c r="L258" i="10"/>
  <c r="J258" i="10" s="1"/>
  <c r="H258" i="10" s="1"/>
  <c r="E258" i="10" s="1"/>
  <c r="L257" i="10"/>
  <c r="J257" i="10" s="1"/>
  <c r="H257" i="10" s="1"/>
  <c r="E257" i="10" s="1"/>
  <c r="L256" i="10"/>
  <c r="J256" i="10" s="1"/>
  <c r="H256" i="10" s="1"/>
  <c r="E256" i="10" s="1"/>
  <c r="P254" i="10"/>
  <c r="N254" i="10"/>
  <c r="J252" i="10"/>
  <c r="H252" i="10" s="1"/>
  <c r="E252" i="10" s="1"/>
  <c r="J251" i="10"/>
  <c r="H251" i="10" s="1"/>
  <c r="E251" i="10" s="1"/>
  <c r="J250" i="10"/>
  <c r="H250" i="10" s="1"/>
  <c r="E250" i="10" s="1"/>
  <c r="J249" i="10"/>
  <c r="H249" i="10" s="1"/>
  <c r="E249" i="10" s="1"/>
  <c r="J248" i="10"/>
  <c r="H248" i="10" s="1"/>
  <c r="E248" i="10" s="1"/>
  <c r="J246" i="10"/>
  <c r="H246" i="10" s="1"/>
  <c r="E246" i="10" s="1"/>
  <c r="J245" i="10"/>
  <c r="H245" i="10" s="1"/>
  <c r="E245" i="10" s="1"/>
  <c r="J244" i="10"/>
  <c r="H244" i="10" s="1"/>
  <c r="E244" i="10" s="1"/>
  <c r="J243" i="10"/>
  <c r="H243" i="10" s="1"/>
  <c r="E243" i="10" s="1"/>
  <c r="J242" i="10"/>
  <c r="H242" i="10" s="1"/>
  <c r="E242" i="10" s="1"/>
  <c r="J241" i="10"/>
  <c r="H241" i="10" s="1"/>
  <c r="E241" i="10" s="1"/>
  <c r="J240" i="10"/>
  <c r="H240" i="10" s="1"/>
  <c r="E240" i="10" s="1"/>
  <c r="J239" i="10"/>
  <c r="H239" i="10" s="1"/>
  <c r="E239" i="10" s="1"/>
  <c r="J237" i="10"/>
  <c r="H237" i="10" s="1"/>
  <c r="E237" i="10" s="1"/>
  <c r="J236" i="10"/>
  <c r="H236" i="10" s="1"/>
  <c r="E236" i="10" s="1"/>
  <c r="J235" i="10"/>
  <c r="H235" i="10" s="1"/>
  <c r="E235" i="10" s="1"/>
  <c r="J234" i="10"/>
  <c r="H234" i="10" s="1"/>
  <c r="E234" i="10" s="1"/>
  <c r="J233" i="10"/>
  <c r="H233" i="10" s="1"/>
  <c r="E233" i="10" s="1"/>
  <c r="J231" i="10"/>
  <c r="H231" i="10" s="1"/>
  <c r="E231" i="10" s="1"/>
  <c r="J230" i="10"/>
  <c r="H230" i="10" s="1"/>
  <c r="E230" i="10" s="1"/>
  <c r="J229" i="10"/>
  <c r="H229" i="10" s="1"/>
  <c r="E229" i="10" s="1"/>
  <c r="J228" i="10"/>
  <c r="H228" i="10" s="1"/>
  <c r="E228" i="10" s="1"/>
  <c r="J227" i="10"/>
  <c r="H227" i="10" s="1"/>
  <c r="E227" i="10" s="1"/>
  <c r="J225" i="10"/>
  <c r="H225" i="10" s="1"/>
  <c r="E225" i="10" s="1"/>
  <c r="J223" i="10"/>
  <c r="H223" i="10" s="1"/>
  <c r="E223" i="10" s="1"/>
  <c r="J222" i="10"/>
  <c r="H222" i="10" s="1"/>
  <c r="J221" i="10"/>
  <c r="H221" i="10" s="1"/>
  <c r="L2159" i="12" s="1"/>
  <c r="N2159" i="12" s="1"/>
  <c r="J219" i="10"/>
  <c r="H219" i="10" s="1"/>
  <c r="E219" i="10" s="1"/>
  <c r="J218" i="10"/>
  <c r="H218" i="10" s="1"/>
  <c r="E218" i="10" s="1"/>
  <c r="J216" i="10"/>
  <c r="H216" i="10" s="1"/>
  <c r="E216" i="10" s="1"/>
  <c r="L215" i="10"/>
  <c r="J215" i="10" s="1"/>
  <c r="H215" i="10" s="1"/>
  <c r="E215" i="10" s="1"/>
  <c r="L214" i="10"/>
  <c r="J214" i="10" s="1"/>
  <c r="H214" i="10" s="1"/>
  <c r="E214" i="10" s="1"/>
  <c r="L213" i="10"/>
  <c r="J213" i="10" s="1"/>
  <c r="H213" i="10" s="1"/>
  <c r="L212" i="10"/>
  <c r="J212" i="10" s="1"/>
  <c r="H212" i="10" s="1"/>
  <c r="E212" i="10" s="1"/>
  <c r="J210" i="10"/>
  <c r="H210" i="10" s="1"/>
  <c r="E210" i="10" s="1"/>
  <c r="J209" i="10"/>
  <c r="H209" i="10" s="1"/>
  <c r="E209" i="10" s="1"/>
  <c r="J208" i="10"/>
  <c r="H208" i="10" s="1"/>
  <c r="E208" i="10" s="1"/>
  <c r="J207" i="10"/>
  <c r="H207" i="10" s="1"/>
  <c r="E207" i="10" s="1"/>
  <c r="J206" i="10"/>
  <c r="H206" i="10" s="1"/>
  <c r="E206" i="10" s="1"/>
  <c r="J205" i="10"/>
  <c r="H205" i="10" s="1"/>
  <c r="E205" i="10" s="1"/>
  <c r="J204" i="10"/>
  <c r="H204" i="10" s="1"/>
  <c r="E204" i="10" s="1"/>
  <c r="L203" i="10"/>
  <c r="J203" i="10" s="1"/>
  <c r="H203" i="10" s="1"/>
  <c r="E203" i="10" s="1"/>
  <c r="J201" i="10"/>
  <c r="H201" i="10" s="1"/>
  <c r="E201" i="10" s="1"/>
  <c r="J200" i="10"/>
  <c r="H200" i="10" s="1"/>
  <c r="E200" i="10" s="1"/>
  <c r="J199" i="10"/>
  <c r="H199" i="10" s="1"/>
  <c r="E199" i="10" s="1"/>
  <c r="J198" i="10"/>
  <c r="H198" i="10" s="1"/>
  <c r="E198" i="10" s="1"/>
  <c r="J197" i="10"/>
  <c r="H197" i="10" s="1"/>
  <c r="E197" i="10" s="1"/>
  <c r="J196" i="10"/>
  <c r="H196" i="10" s="1"/>
  <c r="E196" i="10" s="1"/>
  <c r="J195" i="10"/>
  <c r="H195" i="10" s="1"/>
  <c r="E195" i="10" s="1"/>
  <c r="J194" i="10"/>
  <c r="H194" i="10" s="1"/>
  <c r="E194" i="10" s="1"/>
  <c r="J193" i="10"/>
  <c r="H193" i="10" s="1"/>
  <c r="E193" i="10" s="1"/>
  <c r="J191" i="10"/>
  <c r="H191" i="10" s="1"/>
  <c r="E191" i="10" s="1"/>
  <c r="J190" i="10"/>
  <c r="H190" i="10" s="1"/>
  <c r="E190" i="10" s="1"/>
  <c r="J189" i="10"/>
  <c r="H189" i="10" s="1"/>
  <c r="E189" i="10" s="1"/>
  <c r="J188" i="10"/>
  <c r="H188" i="10" s="1"/>
  <c r="E188" i="10" s="1"/>
  <c r="J187" i="10"/>
  <c r="H187" i="10" s="1"/>
  <c r="E187" i="10" s="1"/>
  <c r="J186" i="10"/>
  <c r="H186" i="10" s="1"/>
  <c r="E186" i="10" s="1"/>
  <c r="J185" i="10"/>
  <c r="H185" i="10" s="1"/>
  <c r="E185" i="10" s="1"/>
  <c r="J184" i="10"/>
  <c r="H184" i="10" s="1"/>
  <c r="E184" i="10" s="1"/>
  <c r="J182" i="10"/>
  <c r="H182" i="10" s="1"/>
  <c r="E182" i="10" s="1"/>
  <c r="J181" i="10"/>
  <c r="H181" i="10" s="1"/>
  <c r="E181" i="10" s="1"/>
  <c r="J179" i="10"/>
  <c r="H179" i="10" s="1"/>
  <c r="E179" i="10" s="1"/>
  <c r="J177" i="10"/>
  <c r="H177" i="10" s="1"/>
  <c r="E177" i="10" s="1"/>
  <c r="J176" i="10"/>
  <c r="H176" i="10" s="1"/>
  <c r="E176" i="10" s="1"/>
  <c r="J175" i="10"/>
  <c r="H175" i="10" s="1"/>
  <c r="E175" i="10" s="1"/>
  <c r="J174" i="10"/>
  <c r="H174" i="10" s="1"/>
  <c r="E174" i="10" s="1"/>
  <c r="J173" i="10"/>
  <c r="H173" i="10" s="1"/>
  <c r="E173" i="10" s="1"/>
  <c r="J172" i="10"/>
  <c r="H172" i="10" s="1"/>
  <c r="E172" i="10" s="1"/>
  <c r="J171" i="10"/>
  <c r="H171" i="10" s="1"/>
  <c r="E171" i="10" s="1"/>
  <c r="J169" i="10"/>
  <c r="H169" i="10" s="1"/>
  <c r="E169" i="10" s="1"/>
  <c r="J168" i="10"/>
  <c r="H168" i="10" s="1"/>
  <c r="E168" i="10" s="1"/>
  <c r="J167" i="10"/>
  <c r="H167" i="10" s="1"/>
  <c r="E167" i="10" s="1"/>
  <c r="J166" i="10"/>
  <c r="H166" i="10" s="1"/>
  <c r="E166" i="10" s="1"/>
  <c r="J165" i="10"/>
  <c r="H165" i="10" s="1"/>
  <c r="E165" i="10" s="1"/>
  <c r="J164" i="10"/>
  <c r="H164" i="10" s="1"/>
  <c r="E164" i="10" s="1"/>
  <c r="J163" i="10"/>
  <c r="H163" i="10" s="1"/>
  <c r="E163" i="10" s="1"/>
  <c r="J162" i="10"/>
  <c r="H162" i="10" s="1"/>
  <c r="E162" i="10" s="1"/>
  <c r="L147" i="10"/>
  <c r="J147" i="10" s="1"/>
  <c r="H147" i="10" s="1"/>
  <c r="E147" i="10" s="1"/>
  <c r="L146" i="10"/>
  <c r="J146" i="10" s="1"/>
  <c r="H146" i="10" s="1"/>
  <c r="E146" i="10" s="1"/>
  <c r="N145" i="10"/>
  <c r="L145" i="10"/>
  <c r="N144" i="10"/>
  <c r="L144" i="10"/>
  <c r="J143" i="10"/>
  <c r="H143" i="10" s="1"/>
  <c r="E143" i="10" s="1"/>
  <c r="J142" i="10"/>
  <c r="H142" i="10" s="1"/>
  <c r="E142" i="10" s="1"/>
  <c r="J141" i="10"/>
  <c r="H141" i="10" s="1"/>
  <c r="E141" i="10" s="1"/>
  <c r="J140" i="10"/>
  <c r="H140" i="10" s="1"/>
  <c r="E140" i="10" s="1"/>
  <c r="J139" i="10"/>
  <c r="H139" i="10" s="1"/>
  <c r="E139" i="10" s="1"/>
  <c r="J138" i="10"/>
  <c r="H138" i="10" s="1"/>
  <c r="E138" i="10" s="1"/>
  <c r="N137" i="10"/>
  <c r="L137" i="10"/>
  <c r="N136" i="10"/>
  <c r="L136" i="10"/>
  <c r="L135" i="10"/>
  <c r="J135" i="10" s="1"/>
  <c r="H135" i="10" s="1"/>
  <c r="E135" i="10" s="1"/>
  <c r="J134" i="10"/>
  <c r="H134" i="10" s="1"/>
  <c r="E134" i="10" s="1"/>
  <c r="J133" i="10"/>
  <c r="H133" i="10" s="1"/>
  <c r="E133" i="10" s="1"/>
  <c r="J132" i="10"/>
  <c r="H132" i="10" s="1"/>
  <c r="E132" i="10" s="1"/>
  <c r="L131" i="10"/>
  <c r="J131" i="10" s="1"/>
  <c r="H131" i="10" s="1"/>
  <c r="E131" i="10" s="1"/>
  <c r="J130" i="10"/>
  <c r="H130" i="10" s="1"/>
  <c r="E130" i="10" s="1"/>
  <c r="J128" i="10"/>
  <c r="H128" i="10" s="1"/>
  <c r="E128" i="10" s="1"/>
  <c r="L127" i="10"/>
  <c r="J127" i="10" s="1"/>
  <c r="H127" i="10" s="1"/>
  <c r="E127" i="10" s="1"/>
  <c r="J126" i="10"/>
  <c r="H126" i="10" s="1"/>
  <c r="E126" i="10" s="1"/>
  <c r="J125" i="10"/>
  <c r="H125" i="10" s="1"/>
  <c r="E125" i="10" s="1"/>
  <c r="J124" i="10"/>
  <c r="H124" i="10" s="1"/>
  <c r="E124" i="10" s="1"/>
  <c r="L123" i="10"/>
  <c r="J123" i="10" s="1"/>
  <c r="H123" i="10" s="1"/>
  <c r="E123" i="10" s="1"/>
  <c r="J122" i="10"/>
  <c r="H122" i="10" s="1"/>
  <c r="E122" i="10" s="1"/>
  <c r="L121" i="10"/>
  <c r="J121" i="10" s="1"/>
  <c r="H121" i="10" s="1"/>
  <c r="E121" i="10" s="1"/>
  <c r="J120" i="10"/>
  <c r="H120" i="10" s="1"/>
  <c r="E120" i="10" s="1"/>
  <c r="J119" i="10"/>
  <c r="H119" i="10" s="1"/>
  <c r="E119" i="10" s="1"/>
  <c r="J92" i="10"/>
  <c r="H92" i="10" s="1"/>
  <c r="J91" i="10"/>
  <c r="H91" i="10" s="1"/>
  <c r="E91" i="10" s="1"/>
  <c r="J90" i="10"/>
  <c r="H90" i="10" s="1"/>
  <c r="E90" i="10" s="1"/>
  <c r="J89" i="10"/>
  <c r="H89" i="10" s="1"/>
  <c r="E89" i="10" s="1"/>
  <c r="J88" i="10"/>
  <c r="H88" i="10" s="1"/>
  <c r="J87" i="10"/>
  <c r="H87" i="10" s="1"/>
  <c r="E87" i="10" s="1"/>
  <c r="J86" i="10"/>
  <c r="H86" i="10" s="1"/>
  <c r="E86" i="10" s="1"/>
  <c r="J85" i="10"/>
  <c r="H85" i="10" s="1"/>
  <c r="E85" i="10" s="1"/>
  <c r="J84" i="10"/>
  <c r="H84" i="10" s="1"/>
  <c r="E84" i="10" s="1"/>
  <c r="J83" i="10"/>
  <c r="H83" i="10" s="1"/>
  <c r="E83" i="10" s="1"/>
  <c r="J82" i="10"/>
  <c r="H82" i="10" s="1"/>
  <c r="E82" i="10" s="1"/>
  <c r="L81" i="10"/>
  <c r="J81" i="10" s="1"/>
  <c r="H81" i="10" s="1"/>
  <c r="E81" i="10" s="1"/>
  <c r="L80" i="10"/>
  <c r="J80" i="10" s="1"/>
  <c r="H80" i="10" s="1"/>
  <c r="E80" i="10" s="1"/>
  <c r="L79" i="10"/>
  <c r="J79" i="10" s="1"/>
  <c r="H79" i="10" s="1"/>
  <c r="E79" i="10" s="1"/>
  <c r="L78" i="10"/>
  <c r="J78" i="10" s="1"/>
  <c r="H78" i="10" s="1"/>
  <c r="L77" i="10"/>
  <c r="J77" i="10" s="1"/>
  <c r="H77" i="10" s="1"/>
  <c r="E77" i="10" s="1"/>
  <c r="L76" i="10"/>
  <c r="J76" i="10" s="1"/>
  <c r="H76" i="10" s="1"/>
  <c r="E76" i="10" s="1"/>
  <c r="L75" i="10"/>
  <c r="J75" i="10" s="1"/>
  <c r="H75" i="10" s="1"/>
  <c r="L74" i="10"/>
  <c r="J74" i="10" s="1"/>
  <c r="H74" i="10" s="1"/>
  <c r="E74" i="10" s="1"/>
  <c r="L73" i="10"/>
  <c r="J73" i="10" s="1"/>
  <c r="H73" i="10" s="1"/>
  <c r="E73" i="10" s="1"/>
  <c r="J72" i="10"/>
  <c r="H72" i="10" s="1"/>
  <c r="E72" i="10" s="1"/>
  <c r="L71" i="10"/>
  <c r="J71" i="10" s="1"/>
  <c r="H71" i="10" s="1"/>
  <c r="E71" i="10" s="1"/>
  <c r="L70" i="10"/>
  <c r="J70" i="10" s="1"/>
  <c r="H70" i="10" s="1"/>
  <c r="E70" i="10" s="1"/>
  <c r="L69" i="10"/>
  <c r="J69" i="10" s="1"/>
  <c r="H69" i="10" s="1"/>
  <c r="J68" i="10"/>
  <c r="H68" i="10" s="1"/>
  <c r="E68" i="10" s="1"/>
  <c r="J67" i="10"/>
  <c r="H67" i="10" s="1"/>
  <c r="E67" i="10" s="1"/>
  <c r="J66" i="10"/>
  <c r="H66" i="10" s="1"/>
  <c r="E66" i="10" s="1"/>
  <c r="J65" i="10"/>
  <c r="H65" i="10" s="1"/>
  <c r="E65" i="10" s="1"/>
  <c r="J64" i="10"/>
  <c r="H64" i="10" s="1"/>
  <c r="E64" i="10" s="1"/>
  <c r="J63" i="10"/>
  <c r="H63" i="10" s="1"/>
  <c r="E63" i="10" s="1"/>
  <c r="J62" i="10"/>
  <c r="H62" i="10" s="1"/>
  <c r="E62" i="10" s="1"/>
  <c r="J61" i="10"/>
  <c r="H61" i="10" s="1"/>
  <c r="E61" i="10" s="1"/>
  <c r="J60" i="10"/>
  <c r="H60" i="10" s="1"/>
  <c r="E60" i="10" s="1"/>
  <c r="J59" i="10"/>
  <c r="H59" i="10" s="1"/>
  <c r="E59" i="10" s="1"/>
  <c r="J58" i="10"/>
  <c r="H58" i="10" s="1"/>
  <c r="E58" i="10" s="1"/>
  <c r="L57" i="10"/>
  <c r="J57" i="10" s="1"/>
  <c r="H57" i="10" s="1"/>
  <c r="E57" i="10" s="1"/>
  <c r="J56" i="10"/>
  <c r="H56" i="10" s="1"/>
  <c r="E56" i="10" s="1"/>
  <c r="J55" i="10"/>
  <c r="H55" i="10" s="1"/>
  <c r="E55" i="10" s="1"/>
  <c r="J54" i="10"/>
  <c r="H54" i="10" s="1"/>
  <c r="E54" i="10" s="1"/>
  <c r="J53" i="10"/>
  <c r="H53" i="10" s="1"/>
  <c r="E53" i="10" s="1"/>
  <c r="J52" i="10"/>
  <c r="H52" i="10" s="1"/>
  <c r="E52" i="10" s="1"/>
  <c r="J51" i="10"/>
  <c r="H51" i="10" s="1"/>
  <c r="E51" i="10" s="1"/>
  <c r="J50" i="10"/>
  <c r="H50" i="10" s="1"/>
  <c r="E50" i="10" s="1"/>
  <c r="J49" i="10"/>
  <c r="H49" i="10" s="1"/>
  <c r="E49" i="10" s="1"/>
  <c r="L48" i="10"/>
  <c r="J48" i="10" s="1"/>
  <c r="H48" i="10" s="1"/>
  <c r="E48" i="10" s="1"/>
  <c r="J47" i="10"/>
  <c r="H47" i="10" s="1"/>
  <c r="E47" i="10" s="1"/>
  <c r="J46" i="10"/>
  <c r="H46" i="10" s="1"/>
  <c r="E46" i="10" s="1"/>
  <c r="J44" i="10"/>
  <c r="H44" i="10" s="1"/>
  <c r="E44" i="10" s="1"/>
  <c r="J43" i="10"/>
  <c r="H43" i="10" s="1"/>
  <c r="E43" i="10" s="1"/>
  <c r="J42" i="10"/>
  <c r="H42" i="10" s="1"/>
  <c r="E42" i="10" s="1"/>
  <c r="Q41" i="10"/>
  <c r="J41" i="10"/>
  <c r="H41" i="10" s="1"/>
  <c r="E41" i="10" s="1"/>
  <c r="Q40" i="10"/>
  <c r="J40" i="10"/>
  <c r="H40" i="10" s="1"/>
  <c r="E40" i="10" s="1"/>
  <c r="Q39" i="10"/>
  <c r="J39" i="10"/>
  <c r="H39" i="10" s="1"/>
  <c r="E39" i="10" s="1"/>
  <c r="J38" i="10"/>
  <c r="H38" i="10" s="1"/>
  <c r="E38" i="10" s="1"/>
  <c r="J37" i="10"/>
  <c r="H37" i="10" s="1"/>
  <c r="E37" i="10" s="1"/>
  <c r="J36" i="10"/>
  <c r="H36" i="10" s="1"/>
  <c r="E36" i="10" s="1"/>
  <c r="J35" i="10"/>
  <c r="H35" i="10" s="1"/>
  <c r="E35" i="10" s="1"/>
  <c r="J34" i="10"/>
  <c r="H34" i="10" s="1"/>
  <c r="E34" i="10" s="1"/>
  <c r="L33" i="10"/>
  <c r="J33" i="10" s="1"/>
  <c r="H33" i="10" s="1"/>
  <c r="E33" i="10" s="1"/>
  <c r="N32" i="10"/>
  <c r="L32" i="10"/>
  <c r="N31" i="10"/>
  <c r="J31" i="10" s="1"/>
  <c r="H31" i="10" s="1"/>
  <c r="E31" i="10" s="1"/>
  <c r="J30" i="10"/>
  <c r="H30" i="10" s="1"/>
  <c r="E30" i="10" s="1"/>
  <c r="J29" i="10"/>
  <c r="H29" i="10" s="1"/>
  <c r="E29" i="10" s="1"/>
  <c r="J28" i="10"/>
  <c r="H28" i="10" s="1"/>
  <c r="E28" i="10" s="1"/>
  <c r="J27" i="10"/>
  <c r="H27" i="10" s="1"/>
  <c r="E27" i="10" s="1"/>
  <c r="J26" i="10"/>
  <c r="H26" i="10" s="1"/>
  <c r="L25" i="10"/>
  <c r="J25" i="10" s="1"/>
  <c r="H25" i="10" s="1"/>
  <c r="E25" i="10" s="1"/>
  <c r="J24" i="10"/>
  <c r="H24" i="10" s="1"/>
  <c r="E24" i="10" s="1"/>
  <c r="N23" i="10"/>
  <c r="L23" i="10"/>
  <c r="J22" i="10"/>
  <c r="H22" i="10" s="1"/>
  <c r="E22" i="10" s="1"/>
  <c r="J21" i="10"/>
  <c r="H21" i="10" s="1"/>
  <c r="E21" i="10" s="1"/>
  <c r="L20" i="10"/>
  <c r="J20" i="10" s="1"/>
  <c r="H20" i="10" s="1"/>
  <c r="E20" i="10" s="1"/>
  <c r="J19" i="10"/>
  <c r="H19" i="10" s="1"/>
  <c r="E19" i="10" s="1"/>
  <c r="J18" i="10"/>
  <c r="H18" i="10" s="1"/>
  <c r="E18" i="10" s="1"/>
  <c r="J17" i="10"/>
  <c r="H17" i="10" s="1"/>
  <c r="E17" i="10" s="1"/>
  <c r="L16" i="10"/>
  <c r="J16" i="10" s="1"/>
  <c r="H16" i="10" s="1"/>
  <c r="E16" i="10" s="1"/>
  <c r="J15" i="10"/>
  <c r="H15" i="10" s="1"/>
  <c r="E15" i="10" s="1"/>
  <c r="H7" i="10"/>
  <c r="G7" i="10"/>
  <c r="F7" i="10"/>
  <c r="D4" i="10"/>
  <c r="H2" i="10"/>
  <c r="D2" i="10"/>
  <c r="L1136" i="9"/>
  <c r="L1135" i="9"/>
  <c r="N1127" i="9"/>
  <c r="A1127" i="9" a="1"/>
  <c r="A1127" i="9" s="1"/>
  <c r="N1126" i="9"/>
  <c r="A1126" i="9" a="1"/>
  <c r="A1126" i="9" s="1"/>
  <c r="J1126" i="9" s="1"/>
  <c r="L1125" i="9"/>
  <c r="A1125" i="9" a="1"/>
  <c r="A1125" i="9" s="1"/>
  <c r="L1124" i="9"/>
  <c r="A1124" i="9" a="1"/>
  <c r="A1124" i="9" s="1"/>
  <c r="A1123" i="9" a="1"/>
  <c r="A1123" i="9" s="1"/>
  <c r="I1117" i="9"/>
  <c r="A1117" i="9" a="1"/>
  <c r="A1117" i="9" s="1"/>
  <c r="I1116" i="9"/>
  <c r="A1116" i="9" a="1"/>
  <c r="A1116" i="9" s="1"/>
  <c r="K1116" i="9" s="1"/>
  <c r="N1110" i="9"/>
  <c r="L1110" i="9"/>
  <c r="J1110" i="9"/>
  <c r="C1110" i="9"/>
  <c r="K1109" i="9"/>
  <c r="A1108" i="9" a="1"/>
  <c r="A1108" i="9" s="1"/>
  <c r="A1107" i="9" a="1"/>
  <c r="A1107" i="9" s="1"/>
  <c r="A1106" i="9" a="1"/>
  <c r="A1106" i="9" s="1"/>
  <c r="N1100" i="9"/>
  <c r="A1100" i="9" a="1"/>
  <c r="A1100" i="9" s="1"/>
  <c r="K1100" i="9" s="1"/>
  <c r="N1099" i="9"/>
  <c r="A1099" i="9" a="1"/>
  <c r="A1099" i="9" s="1"/>
  <c r="K1099" i="9" s="1"/>
  <c r="L1098" i="9"/>
  <c r="A1098" i="9" a="1"/>
  <c r="A1098" i="9" s="1"/>
  <c r="N1082" i="9"/>
  <c r="M1082" i="9"/>
  <c r="L1082" i="9"/>
  <c r="E1079" i="9"/>
  <c r="E1077" i="9"/>
  <c r="N1075" i="9"/>
  <c r="E1075" i="9"/>
  <c r="L1054" i="9"/>
  <c r="L1053" i="9"/>
  <c r="N1045" i="9"/>
  <c r="A1045" i="9" a="1"/>
  <c r="A1045" i="9" s="1"/>
  <c r="N1044" i="9"/>
  <c r="A1044" i="9" a="1"/>
  <c r="A1044" i="9" s="1"/>
  <c r="L1043" i="9"/>
  <c r="A1043" i="9" a="1"/>
  <c r="A1043" i="9" s="1"/>
  <c r="L1042" i="9"/>
  <c r="A1042" i="9" a="1"/>
  <c r="A1042" i="9" s="1"/>
  <c r="A1041" i="9" a="1"/>
  <c r="A1041" i="9" s="1"/>
  <c r="I1035" i="9"/>
  <c r="A1035" i="9" a="1"/>
  <c r="A1035" i="9" s="1"/>
  <c r="K1035" i="9" s="1"/>
  <c r="I1034" i="9"/>
  <c r="A1034" i="9" a="1"/>
  <c r="A1034" i="9" s="1"/>
  <c r="K1034" i="9" s="1"/>
  <c r="N1028" i="9"/>
  <c r="L1028" i="9"/>
  <c r="J1028" i="9"/>
  <c r="C1028" i="9"/>
  <c r="N1027" i="9"/>
  <c r="L1027" i="9"/>
  <c r="J1027" i="9"/>
  <c r="C1027" i="9"/>
  <c r="A1026" i="9" a="1"/>
  <c r="A1026" i="9" s="1"/>
  <c r="A1025" i="9" a="1"/>
  <c r="A1025" i="9" s="1"/>
  <c r="J1025" i="9" s="1"/>
  <c r="A1024" i="9" a="1"/>
  <c r="A1024" i="9" s="1"/>
  <c r="N1018" i="9"/>
  <c r="A1018" i="9" a="1"/>
  <c r="A1018" i="9" s="1"/>
  <c r="K1018" i="9" s="1"/>
  <c r="N1017" i="9"/>
  <c r="A1017" i="9" a="1"/>
  <c r="A1017" i="9" s="1"/>
  <c r="K1017" i="9" s="1"/>
  <c r="L1016" i="9"/>
  <c r="A1016" i="9" a="1"/>
  <c r="A1016" i="9" s="1"/>
  <c r="N1000" i="9"/>
  <c r="M1000" i="9"/>
  <c r="L1000" i="9"/>
  <c r="E997" i="9"/>
  <c r="E995" i="9"/>
  <c r="N993" i="9"/>
  <c r="E993" i="9"/>
  <c r="L972" i="9"/>
  <c r="L971" i="9"/>
  <c r="L963" i="9"/>
  <c r="A963" i="9" a="1"/>
  <c r="A963" i="9" s="1"/>
  <c r="A962" i="9" a="1"/>
  <c r="A962" i="9" s="1"/>
  <c r="L961" i="9"/>
  <c r="A961" i="9" a="1"/>
  <c r="A961" i="9" s="1"/>
  <c r="L960" i="9"/>
  <c r="L962" i="9" s="1"/>
  <c r="A960" i="9" a="1"/>
  <c r="A960" i="9" s="1"/>
  <c r="A959" i="9" a="1"/>
  <c r="A959" i="9" s="1"/>
  <c r="I953" i="9"/>
  <c r="A953" i="9" a="1"/>
  <c r="A953" i="9" s="1"/>
  <c r="I952" i="9"/>
  <c r="A952" i="9" a="1"/>
  <c r="A952" i="9" s="1"/>
  <c r="K952" i="9" s="1"/>
  <c r="K946" i="9"/>
  <c r="A945" i="9" a="1"/>
  <c r="A945" i="9" s="1"/>
  <c r="A944" i="9" a="1"/>
  <c r="A944" i="9" s="1"/>
  <c r="A943" i="9" a="1"/>
  <c r="A943" i="9" s="1"/>
  <c r="A942" i="9" a="1"/>
  <c r="A942" i="9" s="1"/>
  <c r="J942" i="9" s="1"/>
  <c r="N936" i="9"/>
  <c r="A936" i="9" a="1"/>
  <c r="A936" i="9" s="1"/>
  <c r="K936" i="9" s="1"/>
  <c r="N935" i="9"/>
  <c r="A935" i="9" a="1"/>
  <c r="A935" i="9" s="1"/>
  <c r="K935" i="9" s="1"/>
  <c r="L934" i="9"/>
  <c r="A934" i="9" a="1"/>
  <c r="A934" i="9" s="1"/>
  <c r="N918" i="9"/>
  <c r="M918" i="9"/>
  <c r="L918" i="9"/>
  <c r="E915" i="9"/>
  <c r="E913" i="9"/>
  <c r="N911" i="9"/>
  <c r="E911" i="9"/>
  <c r="L890" i="9"/>
  <c r="L889" i="9"/>
  <c r="L881" i="9"/>
  <c r="A881" i="9" a="1"/>
  <c r="A881" i="9" s="1"/>
  <c r="A880" i="9" a="1"/>
  <c r="A880" i="9" s="1"/>
  <c r="L879" i="9"/>
  <c r="A879" i="9" a="1"/>
  <c r="A879" i="9" s="1"/>
  <c r="L878" i="9"/>
  <c r="L880" i="9" s="1"/>
  <c r="A878" i="9" a="1"/>
  <c r="A878" i="9" s="1"/>
  <c r="A877" i="9" a="1"/>
  <c r="A877" i="9" s="1"/>
  <c r="I871" i="9"/>
  <c r="A871" i="9" a="1"/>
  <c r="A871" i="9" s="1"/>
  <c r="K871" i="9" s="1"/>
  <c r="I870" i="9"/>
  <c r="A870" i="9" a="1"/>
  <c r="A870" i="9" s="1"/>
  <c r="K870" i="9" s="1"/>
  <c r="K864" i="9"/>
  <c r="A863" i="9" a="1"/>
  <c r="A863" i="9" s="1"/>
  <c r="J863" i="9" s="1"/>
  <c r="A862" i="9" a="1"/>
  <c r="A862" i="9" s="1"/>
  <c r="J862" i="9" s="1"/>
  <c r="A861" i="9" a="1"/>
  <c r="A861" i="9" s="1"/>
  <c r="A860" i="9" a="1"/>
  <c r="A860" i="9" s="1"/>
  <c r="N854" i="9"/>
  <c r="A854" i="9" a="1"/>
  <c r="A854" i="9" s="1"/>
  <c r="K854" i="9" s="1"/>
  <c r="N853" i="9"/>
  <c r="A853" i="9" a="1"/>
  <c r="A853" i="9" s="1"/>
  <c r="K853" i="9" s="1"/>
  <c r="L852" i="9"/>
  <c r="A852" i="9" a="1"/>
  <c r="A852" i="9" s="1"/>
  <c r="N836" i="9"/>
  <c r="M836" i="9"/>
  <c r="L836" i="9"/>
  <c r="E833" i="9"/>
  <c r="E831" i="9"/>
  <c r="N829" i="9"/>
  <c r="E829" i="9"/>
  <c r="L808" i="9"/>
  <c r="L807" i="9"/>
  <c r="N799" i="9"/>
  <c r="A799" i="9" a="1"/>
  <c r="A799" i="9" s="1"/>
  <c r="N798" i="9"/>
  <c r="A798" i="9" a="1"/>
  <c r="A798" i="9" s="1"/>
  <c r="L797" i="9"/>
  <c r="A797" i="9" a="1"/>
  <c r="A797" i="9" s="1"/>
  <c r="L796" i="9"/>
  <c r="A796" i="9" a="1"/>
  <c r="A796" i="9" s="1"/>
  <c r="A795" i="9" a="1"/>
  <c r="A795" i="9" s="1"/>
  <c r="I789" i="9"/>
  <c r="A789" i="9" a="1"/>
  <c r="A789" i="9" s="1"/>
  <c r="I788" i="9"/>
  <c r="A788" i="9" a="1"/>
  <c r="A788" i="9" s="1"/>
  <c r="N782" i="9"/>
  <c r="A782" i="9" a="1"/>
  <c r="A782" i="9" s="1"/>
  <c r="J782" i="9" s="1"/>
  <c r="K781" i="9"/>
  <c r="A780" i="9" a="1"/>
  <c r="A780" i="9" s="1"/>
  <c r="J780" i="9" s="1"/>
  <c r="A779" i="9" a="1"/>
  <c r="A779" i="9" s="1"/>
  <c r="A778" i="9" a="1"/>
  <c r="A778" i="9" s="1"/>
  <c r="N772" i="9"/>
  <c r="A772" i="9" a="1"/>
  <c r="A772" i="9" s="1"/>
  <c r="K772" i="9" s="1"/>
  <c r="N771" i="9"/>
  <c r="A771" i="9" a="1"/>
  <c r="A771" i="9" s="1"/>
  <c r="K771" i="9" s="1"/>
  <c r="L770" i="9"/>
  <c r="A770" i="9" a="1"/>
  <c r="A770" i="9" s="1"/>
  <c r="N754" i="9"/>
  <c r="M754" i="9"/>
  <c r="L754" i="9"/>
  <c r="E751" i="9"/>
  <c r="E749" i="9"/>
  <c r="N747" i="9"/>
  <c r="E747" i="9"/>
  <c r="L726" i="9"/>
  <c r="L725" i="9"/>
  <c r="N717" i="9"/>
  <c r="A717" i="9" a="1"/>
  <c r="A717" i="9" s="1"/>
  <c r="K717" i="9" s="1"/>
  <c r="N716" i="9"/>
  <c r="A716" i="9" a="1"/>
  <c r="A716" i="9" s="1"/>
  <c r="J716" i="9" s="1"/>
  <c r="L715" i="9"/>
  <c r="A715" i="9" a="1"/>
  <c r="A715" i="9" s="1"/>
  <c r="L714" i="9"/>
  <c r="A714" i="9" a="1"/>
  <c r="A714" i="9" s="1"/>
  <c r="A713" i="9" a="1"/>
  <c r="A713" i="9" s="1"/>
  <c r="I707" i="9"/>
  <c r="A707" i="9" a="1"/>
  <c r="A707" i="9" s="1"/>
  <c r="I706" i="9"/>
  <c r="A706" i="9" a="1"/>
  <c r="A706" i="9" s="1"/>
  <c r="N700" i="9"/>
  <c r="L700" i="9"/>
  <c r="J700" i="9"/>
  <c r="K699" i="9"/>
  <c r="A698" i="9" a="1"/>
  <c r="A698" i="9" s="1"/>
  <c r="A697" i="9" a="1"/>
  <c r="A697" i="9" s="1"/>
  <c r="J697" i="9" s="1"/>
  <c r="A696" i="9" a="1"/>
  <c r="A696" i="9" s="1"/>
  <c r="J696" i="9" s="1"/>
  <c r="N690" i="9"/>
  <c r="A690" i="9" a="1"/>
  <c r="A690" i="9" s="1"/>
  <c r="K690" i="9" s="1"/>
  <c r="N689" i="9"/>
  <c r="A689" i="9" a="1"/>
  <c r="A689" i="9" s="1"/>
  <c r="K689" i="9" s="1"/>
  <c r="L688" i="9"/>
  <c r="A688" i="9" a="1"/>
  <c r="A688" i="9" s="1"/>
  <c r="N672" i="9"/>
  <c r="M672" i="9"/>
  <c r="L672" i="9"/>
  <c r="E669" i="9"/>
  <c r="E667" i="9"/>
  <c r="N665" i="9"/>
  <c r="E665" i="9"/>
  <c r="L644" i="9"/>
  <c r="L643" i="9"/>
  <c r="L635" i="9"/>
  <c r="A635" i="9" a="1"/>
  <c r="A635" i="9" s="1"/>
  <c r="A634" i="9" a="1"/>
  <c r="A634" i="9" s="1"/>
  <c r="L633" i="9"/>
  <c r="A633" i="9" a="1"/>
  <c r="A633" i="9" s="1"/>
  <c r="L632" i="9"/>
  <c r="L634" i="9" s="1"/>
  <c r="A632" i="9" a="1"/>
  <c r="A632" i="9" s="1"/>
  <c r="A631" i="9" a="1"/>
  <c r="A631" i="9" s="1"/>
  <c r="I625" i="9"/>
  <c r="A625" i="9" a="1"/>
  <c r="A625" i="9" s="1"/>
  <c r="I624" i="9"/>
  <c r="A624" i="9" a="1"/>
  <c r="A624" i="9" s="1"/>
  <c r="N618" i="9"/>
  <c r="L618" i="9"/>
  <c r="J618" i="9"/>
  <c r="C618" i="9"/>
  <c r="A617" i="9" a="1"/>
  <c r="A617" i="9" s="1"/>
  <c r="J617" i="9" s="1"/>
  <c r="A615" i="9" a="1"/>
  <c r="A615" i="9" s="1"/>
  <c r="J615" i="9" s="1"/>
  <c r="A614" i="9" a="1"/>
  <c r="A614" i="9" s="1"/>
  <c r="N608" i="9"/>
  <c r="A608" i="9" a="1"/>
  <c r="A608" i="9" s="1"/>
  <c r="K608" i="9" s="1"/>
  <c r="N607" i="9"/>
  <c r="A607" i="9" a="1"/>
  <c r="A607" i="9" s="1"/>
  <c r="K607" i="9" s="1"/>
  <c r="L606" i="9"/>
  <c r="A606" i="9" a="1"/>
  <c r="A606" i="9" s="1"/>
  <c r="N590" i="9"/>
  <c r="M590" i="9"/>
  <c r="L590" i="9"/>
  <c r="E587" i="9"/>
  <c r="E585" i="9"/>
  <c r="N583" i="9"/>
  <c r="E583" i="9"/>
  <c r="L562" i="9"/>
  <c r="L561" i="9"/>
  <c r="L553" i="9"/>
  <c r="A553" i="9" a="1"/>
  <c r="A553" i="9" s="1"/>
  <c r="A552" i="9" a="1"/>
  <c r="A552" i="9" s="1"/>
  <c r="L551" i="9"/>
  <c r="A551" i="9" a="1"/>
  <c r="A551" i="9" s="1"/>
  <c r="L550" i="9"/>
  <c r="L552" i="9" s="1"/>
  <c r="A550" i="9" a="1"/>
  <c r="A550" i="9" s="1"/>
  <c r="A549" i="9" a="1"/>
  <c r="A549" i="9" s="1"/>
  <c r="I543" i="9"/>
  <c r="A543" i="9" a="1"/>
  <c r="A543" i="9" s="1"/>
  <c r="I542" i="9"/>
  <c r="A542" i="9" a="1"/>
  <c r="A542" i="9" s="1"/>
  <c r="K542" i="9" s="1"/>
  <c r="N536" i="9"/>
  <c r="A536" i="9" a="1"/>
  <c r="A536" i="9" s="1"/>
  <c r="L536" i="9" s="1"/>
  <c r="A535" i="9" a="1"/>
  <c r="A535" i="9" s="1"/>
  <c r="A533" i="9" a="1"/>
  <c r="A533" i="9" s="1"/>
  <c r="A532" i="9" a="1"/>
  <c r="A532" i="9" s="1"/>
  <c r="N526" i="9"/>
  <c r="A526" i="9" a="1"/>
  <c r="A526" i="9" s="1"/>
  <c r="K526" i="9" s="1"/>
  <c r="N525" i="9"/>
  <c r="A525" i="9" a="1"/>
  <c r="A525" i="9" s="1"/>
  <c r="K525" i="9" s="1"/>
  <c r="L524" i="9"/>
  <c r="A524" i="9" a="1"/>
  <c r="A524" i="9" s="1"/>
  <c r="N508" i="9"/>
  <c r="M508" i="9"/>
  <c r="L508" i="9"/>
  <c r="E505" i="9"/>
  <c r="E503" i="9"/>
  <c r="N501" i="9"/>
  <c r="E501" i="9"/>
  <c r="L478" i="9"/>
  <c r="L477" i="9"/>
  <c r="L469" i="9"/>
  <c r="A469" i="9" a="1"/>
  <c r="A469" i="9" s="1"/>
  <c r="A468" i="9" a="1"/>
  <c r="A468" i="9" s="1"/>
  <c r="L467" i="9"/>
  <c r="A467" i="9" a="1"/>
  <c r="A467" i="9" s="1"/>
  <c r="L466" i="9"/>
  <c r="L468" i="9" s="1"/>
  <c r="A466" i="9" a="1"/>
  <c r="A466" i="9" s="1"/>
  <c r="A465" i="9" a="1"/>
  <c r="A465" i="9" s="1"/>
  <c r="I459" i="9"/>
  <c r="A459" i="9" a="1"/>
  <c r="A459" i="9" s="1"/>
  <c r="K459" i="9" s="1"/>
  <c r="I458" i="9"/>
  <c r="A458" i="9" a="1"/>
  <c r="A458" i="9" s="1"/>
  <c r="N452" i="9"/>
  <c r="L452" i="9"/>
  <c r="J452" i="9"/>
  <c r="C452" i="9"/>
  <c r="A451" i="9" a="1"/>
  <c r="A451" i="9" s="1"/>
  <c r="A450" i="9" a="1"/>
  <c r="A450" i="9" s="1"/>
  <c r="J450" i="9" s="1"/>
  <c r="A449" i="9" a="1"/>
  <c r="A449" i="9" s="1"/>
  <c r="J449" i="9" s="1"/>
  <c r="A448" i="9" a="1"/>
  <c r="A448" i="9" s="1"/>
  <c r="N442" i="9"/>
  <c r="A442" i="9" a="1"/>
  <c r="A442" i="9" s="1"/>
  <c r="K442" i="9" s="1"/>
  <c r="N441" i="9"/>
  <c r="A441" i="9" a="1"/>
  <c r="A441" i="9" s="1"/>
  <c r="K441" i="9" s="1"/>
  <c r="L440" i="9"/>
  <c r="A440" i="9" a="1"/>
  <c r="A440" i="9" s="1"/>
  <c r="N424" i="9"/>
  <c r="M424" i="9"/>
  <c r="L424" i="9"/>
  <c r="E421" i="9"/>
  <c r="E419" i="9"/>
  <c r="N417" i="9"/>
  <c r="E417" i="9"/>
  <c r="L396" i="9"/>
  <c r="L395" i="9"/>
  <c r="L387" i="9"/>
  <c r="A387" i="9" a="1"/>
  <c r="A387" i="9" s="1"/>
  <c r="A386" i="9" a="1"/>
  <c r="A386" i="9" s="1"/>
  <c r="L385" i="9"/>
  <c r="A385" i="9" a="1"/>
  <c r="A385" i="9" s="1"/>
  <c r="L384" i="9"/>
  <c r="L386" i="9" s="1"/>
  <c r="A384" i="9" a="1"/>
  <c r="A384" i="9" s="1"/>
  <c r="A383" i="9" a="1"/>
  <c r="A383" i="9" s="1"/>
  <c r="I377" i="9"/>
  <c r="A377" i="9" a="1"/>
  <c r="A377" i="9" s="1"/>
  <c r="I376" i="9"/>
  <c r="A376" i="9" a="1"/>
  <c r="A376" i="9" s="1"/>
  <c r="N370" i="9"/>
  <c r="L370" i="9"/>
  <c r="J370" i="9"/>
  <c r="C370" i="9"/>
  <c r="A369" i="9" a="1"/>
  <c r="A369" i="9" s="1"/>
  <c r="J369" i="9" s="1"/>
  <c r="A368" i="9" a="1"/>
  <c r="A368" i="9" s="1"/>
  <c r="A367" i="9" a="1"/>
  <c r="A367" i="9" s="1"/>
  <c r="A366" i="9" a="1"/>
  <c r="A366" i="9" s="1"/>
  <c r="N360" i="9"/>
  <c r="A360" i="9" a="1"/>
  <c r="A360" i="9" s="1"/>
  <c r="K360" i="9" s="1"/>
  <c r="N359" i="9"/>
  <c r="A359" i="9" a="1"/>
  <c r="A359" i="9" s="1"/>
  <c r="K359" i="9" s="1"/>
  <c r="L358" i="9"/>
  <c r="A358" i="9" a="1"/>
  <c r="A358" i="9" s="1"/>
  <c r="N342" i="9"/>
  <c r="M342" i="9"/>
  <c r="L342" i="9"/>
  <c r="E339" i="9"/>
  <c r="E337" i="9"/>
  <c r="N335" i="9"/>
  <c r="E335" i="9"/>
  <c r="L314" i="9"/>
  <c r="L313" i="9"/>
  <c r="L305" i="9"/>
  <c r="A305" i="9" a="1"/>
  <c r="A305" i="9" s="1"/>
  <c r="A304" i="9" a="1"/>
  <c r="A304" i="9" s="1"/>
  <c r="L303" i="9"/>
  <c r="A303" i="9" a="1"/>
  <c r="A303" i="9" s="1"/>
  <c r="L302" i="9"/>
  <c r="L304" i="9" s="1"/>
  <c r="A302" i="9" a="1"/>
  <c r="A302" i="9" s="1"/>
  <c r="A301" i="9" a="1"/>
  <c r="A301" i="9" s="1"/>
  <c r="I295" i="9"/>
  <c r="A295" i="9" a="1"/>
  <c r="A295" i="9" s="1"/>
  <c r="K295" i="9" s="1"/>
  <c r="I294" i="9"/>
  <c r="A294" i="9" a="1"/>
  <c r="A294" i="9" s="1"/>
  <c r="N288" i="9"/>
  <c r="L288" i="9"/>
  <c r="J288" i="9"/>
  <c r="C288" i="9"/>
  <c r="A287" i="9" a="1"/>
  <c r="A287" i="9" s="1"/>
  <c r="A285" i="9" a="1"/>
  <c r="A285" i="9" s="1"/>
  <c r="A284" i="9" a="1"/>
  <c r="A284" i="9" s="1"/>
  <c r="N278" i="9"/>
  <c r="A278" i="9" a="1"/>
  <c r="A278" i="9" s="1"/>
  <c r="K278" i="9" s="1"/>
  <c r="N277" i="9"/>
  <c r="A277" i="9" a="1"/>
  <c r="A277" i="9" s="1"/>
  <c r="K277" i="9" s="1"/>
  <c r="L276" i="9"/>
  <c r="A276" i="9" a="1"/>
  <c r="A276" i="9" s="1"/>
  <c r="N260" i="9"/>
  <c r="M260" i="9"/>
  <c r="L260" i="9"/>
  <c r="E257" i="9"/>
  <c r="E255" i="9"/>
  <c r="N253" i="9"/>
  <c r="E253" i="9"/>
  <c r="L230" i="9"/>
  <c r="L229" i="9"/>
  <c r="L221" i="9"/>
  <c r="A221" i="9" a="1"/>
  <c r="A221" i="9" s="1"/>
  <c r="A220" i="9" a="1"/>
  <c r="A220" i="9" s="1"/>
  <c r="L219" i="9"/>
  <c r="A219" i="9" a="1"/>
  <c r="A219" i="9" s="1"/>
  <c r="L218" i="9"/>
  <c r="A218" i="9" a="1"/>
  <c r="A218" i="9" s="1"/>
  <c r="A217" i="9" a="1"/>
  <c r="A217" i="9" s="1"/>
  <c r="I211" i="9"/>
  <c r="A211" i="9" a="1"/>
  <c r="A211" i="9" s="1"/>
  <c r="I210" i="9"/>
  <c r="A210" i="9" a="1"/>
  <c r="A210" i="9" s="1"/>
  <c r="N204" i="9"/>
  <c r="L204" i="9"/>
  <c r="J204" i="9"/>
  <c r="C204" i="9"/>
  <c r="A203" i="9" a="1"/>
  <c r="A203" i="9" s="1"/>
  <c r="J203" i="9" s="1"/>
  <c r="A202" i="9" a="1"/>
  <c r="A202" i="9" s="1"/>
  <c r="J202" i="9" s="1"/>
  <c r="A201" i="9" a="1"/>
  <c r="A201" i="9" s="1"/>
  <c r="A200" i="9" a="1"/>
  <c r="A200" i="9" s="1"/>
  <c r="N194" i="9"/>
  <c r="A194" i="9" a="1"/>
  <c r="A194" i="9" s="1"/>
  <c r="K194" i="9" s="1"/>
  <c r="N193" i="9"/>
  <c r="A193" i="9" a="1"/>
  <c r="A193" i="9" s="1"/>
  <c r="K193" i="9" s="1"/>
  <c r="L192" i="9"/>
  <c r="A192" i="9" a="1"/>
  <c r="A192" i="9" s="1"/>
  <c r="N176" i="9"/>
  <c r="M176" i="9"/>
  <c r="L176" i="9"/>
  <c r="E173" i="9"/>
  <c r="E171" i="9"/>
  <c r="N169" i="9"/>
  <c r="E169" i="9"/>
  <c r="L148" i="9"/>
  <c r="L147" i="9"/>
  <c r="N139" i="9"/>
  <c r="A139" i="9" a="1"/>
  <c r="A139" i="9" s="1"/>
  <c r="N138" i="9"/>
  <c r="A138" i="9" a="1"/>
  <c r="A138" i="9" s="1"/>
  <c r="L137" i="9"/>
  <c r="A137" i="9" a="1"/>
  <c r="A137" i="9" s="1"/>
  <c r="L136" i="9"/>
  <c r="A136" i="9" a="1"/>
  <c r="A136" i="9" s="1"/>
  <c r="A135" i="9" a="1"/>
  <c r="A135" i="9" s="1"/>
  <c r="I129" i="9"/>
  <c r="A129" i="9" a="1"/>
  <c r="A129" i="9" s="1"/>
  <c r="K129" i="9" s="1"/>
  <c r="I128" i="9"/>
  <c r="A128" i="9" a="1"/>
  <c r="A128" i="9" s="1"/>
  <c r="N122" i="9"/>
  <c r="L122" i="9"/>
  <c r="J122" i="9"/>
  <c r="N121" i="9"/>
  <c r="L121" i="9"/>
  <c r="J121" i="9"/>
  <c r="A120" i="9" a="1"/>
  <c r="A120" i="9" s="1"/>
  <c r="A119" i="9" a="1"/>
  <c r="A119" i="9" s="1"/>
  <c r="A118" i="9" a="1"/>
  <c r="A118" i="9" s="1"/>
  <c r="N112" i="9"/>
  <c r="A112" i="9" a="1"/>
  <c r="A112" i="9" s="1"/>
  <c r="K112" i="9" s="1"/>
  <c r="N111" i="9"/>
  <c r="A111" i="9" a="1"/>
  <c r="A111" i="9" s="1"/>
  <c r="K111" i="9" s="1"/>
  <c r="L110" i="9"/>
  <c r="A110" i="9" a="1"/>
  <c r="A110" i="9" s="1"/>
  <c r="N94" i="9"/>
  <c r="M94" i="9"/>
  <c r="L94" i="9"/>
  <c r="E91" i="9"/>
  <c r="E89" i="9"/>
  <c r="N87" i="9"/>
  <c r="E87" i="9"/>
  <c r="L66" i="9"/>
  <c r="L65" i="9"/>
  <c r="N57" i="9"/>
  <c r="A57" i="9" a="1"/>
  <c r="A57" i="9" s="1"/>
  <c r="N56" i="9"/>
  <c r="A56" i="9" a="1"/>
  <c r="A56" i="9" s="1"/>
  <c r="L55" i="9"/>
  <c r="A55" i="9" a="1"/>
  <c r="A55" i="9" s="1"/>
  <c r="L54" i="9"/>
  <c r="A54" i="9" a="1"/>
  <c r="A54" i="9" s="1"/>
  <c r="A53" i="9" a="1"/>
  <c r="A53" i="9" s="1"/>
  <c r="I47" i="9"/>
  <c r="A47" i="9" a="1"/>
  <c r="A47" i="9" s="1"/>
  <c r="I46" i="9"/>
  <c r="A46" i="9" a="1"/>
  <c r="A46" i="9" s="1"/>
  <c r="N40" i="9"/>
  <c r="A40" i="9" a="1"/>
  <c r="A40" i="9" s="1"/>
  <c r="J40" i="9" s="1"/>
  <c r="N39" i="9"/>
  <c r="A39" i="9" a="1"/>
  <c r="A39" i="9" s="1"/>
  <c r="J39" i="9" s="1"/>
  <c r="A38" i="9" a="1"/>
  <c r="A38" i="9" s="1"/>
  <c r="P37" i="9"/>
  <c r="A37" i="9" a="1"/>
  <c r="A37" i="9" s="1"/>
  <c r="A36" i="9" a="1"/>
  <c r="A36" i="9" s="1"/>
  <c r="J36" i="9" s="1"/>
  <c r="N30" i="9"/>
  <c r="A30" i="9" a="1"/>
  <c r="A30" i="9" s="1"/>
  <c r="K30" i="9" s="1"/>
  <c r="N29" i="9"/>
  <c r="A29" i="9" a="1"/>
  <c r="A29" i="9" s="1"/>
  <c r="K29" i="9" s="1"/>
  <c r="L28" i="9"/>
  <c r="A28" i="9" a="1"/>
  <c r="A28" i="9" s="1"/>
  <c r="N12" i="9"/>
  <c r="M12" i="9"/>
  <c r="L12" i="9"/>
  <c r="E9" i="9"/>
  <c r="E7" i="9"/>
  <c r="N5" i="9"/>
  <c r="E5" i="9"/>
  <c r="I90" i="8"/>
  <c r="I89" i="8"/>
  <c r="I88" i="8"/>
  <c r="I87" i="8"/>
  <c r="I86" i="8"/>
  <c r="I85" i="8"/>
  <c r="I83" i="8"/>
  <c r="I82" i="8"/>
  <c r="I80" i="8"/>
  <c r="I79" i="8"/>
  <c r="I78" i="8"/>
  <c r="I77" i="8"/>
  <c r="I76" i="8"/>
  <c r="I75" i="8"/>
  <c r="I74" i="8"/>
  <c r="I73" i="8"/>
  <c r="I72" i="8"/>
  <c r="I71" i="8"/>
  <c r="I70" i="8"/>
  <c r="I69" i="8"/>
  <c r="I68" i="8"/>
  <c r="I67" i="8"/>
  <c r="I66" i="8"/>
  <c r="I65" i="8"/>
  <c r="I64" i="8"/>
  <c r="I63" i="8"/>
  <c r="I62" i="8"/>
  <c r="I61" i="8"/>
  <c r="I60" i="8"/>
  <c r="I58" i="8"/>
  <c r="I57" i="8"/>
  <c r="I56" i="8"/>
  <c r="I55" i="8"/>
  <c r="I54" i="8"/>
  <c r="I53" i="8"/>
  <c r="I52" i="8"/>
  <c r="I51" i="8"/>
  <c r="I49" i="8"/>
  <c r="I48" i="8"/>
  <c r="I47" i="8"/>
  <c r="I46" i="8"/>
  <c r="I44" i="8"/>
  <c r="I42" i="8"/>
  <c r="I41" i="8"/>
  <c r="I39" i="8"/>
  <c r="I38" i="8"/>
  <c r="I36" i="8"/>
  <c r="I35" i="8"/>
  <c r="I34" i="8"/>
  <c r="I33" i="8"/>
  <c r="N1209" i="12" s="1"/>
  <c r="I31" i="8"/>
  <c r="N1124" i="12" s="1"/>
  <c r="I29" i="8"/>
  <c r="N1039" i="12" s="1"/>
  <c r="I28" i="8"/>
  <c r="N954" i="12" s="1"/>
  <c r="I26" i="8"/>
  <c r="N869" i="12" s="1"/>
  <c r="I24" i="8"/>
  <c r="I23" i="8"/>
  <c r="I22" i="8"/>
  <c r="N614" i="12" s="1"/>
  <c r="I21" i="8"/>
  <c r="N529" i="12" s="1"/>
  <c r="I20" i="8"/>
  <c r="N444" i="12" s="1"/>
  <c r="I19" i="8"/>
  <c r="N359" i="12" s="1"/>
  <c r="I18" i="8"/>
  <c r="N274" i="12" s="1"/>
  <c r="K16" i="8"/>
  <c r="I16" i="8"/>
  <c r="N189" i="12" s="1"/>
  <c r="I15" i="8"/>
  <c r="N104" i="12" s="1"/>
  <c r="I14" i="8"/>
  <c r="N18" i="12" s="1"/>
  <c r="K8" i="8"/>
  <c r="J8" i="8"/>
  <c r="I8" i="8"/>
  <c r="E5" i="8"/>
  <c r="K2" i="8"/>
  <c r="E2" i="8"/>
  <c r="H37" i="7"/>
  <c r="G37" i="7"/>
  <c r="D36" i="7"/>
  <c r="H34" i="7"/>
  <c r="G34" i="7"/>
  <c r="D33" i="7"/>
  <c r="H31" i="7"/>
  <c r="G31" i="7"/>
  <c r="H30" i="7"/>
  <c r="G30" i="7"/>
  <c r="D29" i="7"/>
  <c r="J28" i="7"/>
  <c r="I28" i="7"/>
  <c r="H28" i="7"/>
  <c r="G28" i="7"/>
  <c r="H27" i="7"/>
  <c r="G27" i="7"/>
  <c r="D26" i="7"/>
  <c r="H22" i="7"/>
  <c r="G22" i="7"/>
  <c r="H21" i="7"/>
  <c r="G21" i="7"/>
  <c r="H20" i="7"/>
  <c r="G20" i="7"/>
  <c r="H19" i="7"/>
  <c r="G19" i="7"/>
  <c r="H18" i="7"/>
  <c r="G18" i="7"/>
  <c r="D17" i="7"/>
  <c r="H14" i="7"/>
  <c r="G14" i="7"/>
  <c r="H13" i="7"/>
  <c r="G13" i="7"/>
  <c r="D12" i="7"/>
  <c r="C7" i="7"/>
  <c r="H47" i="6"/>
  <c r="H46" i="6"/>
  <c r="F31" i="6"/>
  <c r="H31" i="6" s="1"/>
  <c r="J31" i="6" s="1"/>
  <c r="H30" i="6"/>
  <c r="J30" i="6" s="1"/>
  <c r="J28" i="6"/>
  <c r="G27" i="6"/>
  <c r="H27" i="6" s="1"/>
  <c r="J27" i="6" s="1"/>
  <c r="G26" i="6"/>
  <c r="H26" i="6" s="1"/>
  <c r="H24" i="6"/>
  <c r="J24" i="6" s="1"/>
  <c r="G23" i="6"/>
  <c r="H23" i="6" s="1"/>
  <c r="G21" i="6"/>
  <c r="H21" i="6" s="1"/>
  <c r="J21" i="6" s="1"/>
  <c r="G17" i="6"/>
  <c r="G19" i="6" s="1"/>
  <c r="G20" i="6" s="1"/>
  <c r="H20" i="6" s="1"/>
  <c r="J20" i="6" s="1"/>
  <c r="G15" i="6"/>
  <c r="H15" i="6" s="1"/>
  <c r="J15" i="6" s="1"/>
  <c r="H14" i="6"/>
  <c r="H8" i="6"/>
  <c r="G8" i="6"/>
  <c r="F8" i="6"/>
  <c r="D4" i="6"/>
  <c r="H2" i="6"/>
  <c r="D2" i="6"/>
  <c r="Q146" i="5"/>
  <c r="H41" i="5"/>
  <c r="G40" i="5"/>
  <c r="G38" i="5"/>
  <c r="G37" i="5"/>
  <c r="G36" i="5"/>
  <c r="G35" i="5"/>
  <c r="G34" i="5"/>
  <c r="H23" i="5"/>
  <c r="H22" i="5"/>
  <c r="H40" i="5" s="1"/>
  <c r="H21" i="5"/>
  <c r="H20" i="5"/>
  <c r="G19" i="5"/>
  <c r="H19" i="5" s="1"/>
  <c r="H18" i="5"/>
  <c r="H37" i="5" s="1"/>
  <c r="H17" i="5"/>
  <c r="H34" i="5" s="1"/>
  <c r="G16" i="5"/>
  <c r="H16" i="5" s="1"/>
  <c r="H30" i="5" s="1"/>
  <c r="G15" i="5"/>
  <c r="G33" i="5" s="1"/>
  <c r="G14" i="5"/>
  <c r="H14" i="5" s="1"/>
  <c r="H31" i="5" s="1"/>
  <c r="G13" i="5"/>
  <c r="H13" i="5" s="1"/>
  <c r="H32" i="5" s="1"/>
  <c r="H8" i="5"/>
  <c r="G8" i="5"/>
  <c r="F8" i="5"/>
  <c r="D4" i="5"/>
  <c r="H2" i="5"/>
  <c r="D2" i="5"/>
  <c r="E600" i="4"/>
  <c r="E599" i="4"/>
  <c r="E598" i="4"/>
  <c r="E597" i="4"/>
  <c r="E596" i="4"/>
  <c r="E595" i="4"/>
  <c r="E594" i="4"/>
  <c r="E593" i="4"/>
  <c r="E592" i="4"/>
  <c r="E591" i="4"/>
  <c r="E590" i="4"/>
  <c r="E589" i="4"/>
  <c r="E588" i="4"/>
  <c r="E587" i="4"/>
  <c r="E586" i="4"/>
  <c r="E585" i="4"/>
  <c r="E584" i="4"/>
  <c r="E583" i="4"/>
  <c r="E582" i="4"/>
  <c r="E581" i="4"/>
  <c r="E580" i="4"/>
  <c r="E579" i="4"/>
  <c r="E578" i="4"/>
  <c r="E577" i="4"/>
  <c r="E576" i="4"/>
  <c r="E575" i="4"/>
  <c r="E574" i="4"/>
  <c r="E573" i="4"/>
  <c r="E572" i="4"/>
  <c r="E571" i="4"/>
  <c r="E570" i="4"/>
  <c r="E569" i="4"/>
  <c r="E568" i="4"/>
  <c r="E567" i="4"/>
  <c r="E566" i="4"/>
  <c r="E565" i="4"/>
  <c r="E564" i="4"/>
  <c r="E563" i="4"/>
  <c r="E562" i="4"/>
  <c r="E561" i="4"/>
  <c r="E560" i="4"/>
  <c r="E559" i="4"/>
  <c r="E558" i="4"/>
  <c r="E557" i="4"/>
  <c r="E556" i="4"/>
  <c r="E555" i="4"/>
  <c r="E554" i="4"/>
  <c r="E553" i="4"/>
  <c r="E552" i="4"/>
  <c r="E551" i="4"/>
  <c r="E550" i="4"/>
  <c r="E549" i="4"/>
  <c r="E548" i="4"/>
  <c r="E547" i="4"/>
  <c r="E546" i="4"/>
  <c r="E545" i="4"/>
  <c r="E544" i="4"/>
  <c r="E543" i="4"/>
  <c r="E542" i="4"/>
  <c r="E541" i="4"/>
  <c r="E540" i="4"/>
  <c r="E539" i="4"/>
  <c r="E538" i="4"/>
  <c r="E537" i="4"/>
  <c r="E536" i="4"/>
  <c r="E535" i="4"/>
  <c r="E534" i="4"/>
  <c r="E533" i="4"/>
  <c r="E532" i="4"/>
  <c r="E531" i="4"/>
  <c r="E530" i="4"/>
  <c r="E529" i="4"/>
  <c r="E528" i="4"/>
  <c r="E527" i="4"/>
  <c r="E526" i="4"/>
  <c r="E525" i="4"/>
  <c r="E524" i="4"/>
  <c r="E523" i="4"/>
  <c r="E522" i="4"/>
  <c r="E521" i="4"/>
  <c r="E520" i="4"/>
  <c r="E519" i="4"/>
  <c r="E518" i="4"/>
  <c r="E517" i="4"/>
  <c r="E516" i="4"/>
  <c r="E515" i="4"/>
  <c r="E514" i="4"/>
  <c r="E513" i="4"/>
  <c r="E512" i="4"/>
  <c r="E511" i="4"/>
  <c r="E510" i="4"/>
  <c r="E509" i="4"/>
  <c r="E508" i="4"/>
  <c r="E507" i="4"/>
  <c r="E506" i="4"/>
  <c r="E505" i="4"/>
  <c r="E504" i="4"/>
  <c r="E503" i="4"/>
  <c r="E502" i="4"/>
  <c r="E501" i="4"/>
  <c r="E500" i="4"/>
  <c r="E499" i="4"/>
  <c r="E498" i="4"/>
  <c r="E497" i="4"/>
  <c r="E496" i="4"/>
  <c r="E495" i="4"/>
  <c r="E494" i="4"/>
  <c r="E493" i="4"/>
  <c r="E492" i="4"/>
  <c r="E491" i="4"/>
  <c r="E490" i="4"/>
  <c r="E489" i="4"/>
  <c r="E488" i="4"/>
  <c r="E487" i="4"/>
  <c r="E486" i="4"/>
  <c r="E485" i="4"/>
  <c r="E484" i="4"/>
  <c r="E483" i="4"/>
  <c r="E482" i="4"/>
  <c r="E481" i="4"/>
  <c r="E480" i="4"/>
  <c r="E478" i="4"/>
  <c r="E477" i="4"/>
  <c r="E476" i="4"/>
  <c r="E475" i="4"/>
  <c r="E474" i="4"/>
  <c r="H473" i="4"/>
  <c r="E473" i="4" s="1"/>
  <c r="E472" i="4"/>
  <c r="E471" i="4"/>
  <c r="E470" i="4"/>
  <c r="E469" i="4"/>
  <c r="H468" i="4"/>
  <c r="E468" i="4" s="1"/>
  <c r="H467" i="4"/>
  <c r="H479" i="4" s="1"/>
  <c r="E479" i="4" s="1"/>
  <c r="H466" i="4"/>
  <c r="E466" i="4" s="1"/>
  <c r="H465" i="4"/>
  <c r="E465" i="4" s="1"/>
  <c r="E464" i="4"/>
  <c r="E463" i="4"/>
  <c r="H462" i="4"/>
  <c r="E462" i="4" s="1"/>
  <c r="E461" i="4"/>
  <c r="H460" i="4"/>
  <c r="E460" i="4" s="1"/>
  <c r="H459" i="4"/>
  <c r="E459" i="4" s="1"/>
  <c r="E458" i="4"/>
  <c r="H457" i="4"/>
  <c r="E457" i="4" s="1"/>
  <c r="H307" i="4"/>
  <c r="E307" i="4" s="1"/>
  <c r="F307" i="4"/>
  <c r="D307" i="4"/>
  <c r="B307" i="4"/>
  <c r="H306" i="4"/>
  <c r="E306" i="4" s="1"/>
  <c r="F306" i="4"/>
  <c r="D306" i="4"/>
  <c r="B306" i="4"/>
  <c r="H305" i="4"/>
  <c r="E305" i="4" s="1"/>
  <c r="F305" i="4"/>
  <c r="D305" i="4"/>
  <c r="B305" i="4"/>
  <c r="H304" i="4"/>
  <c r="E304" i="4" s="1"/>
  <c r="F304" i="4"/>
  <c r="D304" i="4"/>
  <c r="B304" i="4"/>
  <c r="H303" i="4"/>
  <c r="E303" i="4" s="1"/>
  <c r="F303" i="4"/>
  <c r="D303" i="4"/>
  <c r="B303" i="4"/>
  <c r="H302" i="4"/>
  <c r="E302" i="4" s="1"/>
  <c r="F302" i="4"/>
  <c r="D302" i="4"/>
  <c r="B302" i="4"/>
  <c r="H301" i="4"/>
  <c r="E301" i="4" s="1"/>
  <c r="F301" i="4"/>
  <c r="D301" i="4"/>
  <c r="B301" i="4"/>
  <c r="H300" i="4"/>
  <c r="E300" i="4" s="1"/>
  <c r="F300" i="4"/>
  <c r="D300" i="4"/>
  <c r="B300" i="4"/>
  <c r="H299" i="4"/>
  <c r="E299" i="4" s="1"/>
  <c r="F299" i="4"/>
  <c r="D299" i="4"/>
  <c r="B299" i="4"/>
  <c r="E296" i="4"/>
  <c r="E295" i="4"/>
  <c r="E294" i="4"/>
  <c r="E293" i="4"/>
  <c r="E292" i="4"/>
  <c r="E288" i="4"/>
  <c r="E287" i="4"/>
  <c r="E286" i="4"/>
  <c r="E285" i="4"/>
  <c r="E284" i="4"/>
  <c r="E283" i="4"/>
  <c r="E282" i="4"/>
  <c r="E281" i="4"/>
  <c r="E280" i="4"/>
  <c r="E279" i="4"/>
  <c r="E278" i="4"/>
  <c r="E277" i="4"/>
  <c r="E276" i="4"/>
  <c r="E275" i="4"/>
  <c r="E274" i="4"/>
  <c r="E273" i="4"/>
  <c r="E272" i="4"/>
  <c r="E271" i="4"/>
  <c r="E270" i="4"/>
  <c r="E269" i="4"/>
  <c r="E268" i="4"/>
  <c r="E267" i="4"/>
  <c r="E266" i="4"/>
  <c r="E265" i="4"/>
  <c r="E264" i="4"/>
  <c r="E263" i="4"/>
  <c r="E262" i="4"/>
  <c r="E261" i="4"/>
  <c r="E260" i="4"/>
  <c r="E259" i="4"/>
  <c r="E258" i="4"/>
  <c r="E257" i="4"/>
  <c r="E256" i="4"/>
  <c r="E255" i="4"/>
  <c r="E254" i="4"/>
  <c r="E253" i="4"/>
  <c r="E252" i="4"/>
  <c r="E251" i="4"/>
  <c r="E250" i="4"/>
  <c r="E249" i="4"/>
  <c r="E248" i="4"/>
  <c r="E247" i="4"/>
  <c r="E246" i="4"/>
  <c r="E245" i="4"/>
  <c r="E244" i="4"/>
  <c r="E243" i="4"/>
  <c r="E242" i="4"/>
  <c r="E241" i="4"/>
  <c r="E240" i="4"/>
  <c r="E239" i="4"/>
  <c r="E238" i="4"/>
  <c r="E237" i="4"/>
  <c r="E236" i="4"/>
  <c r="E235" i="4"/>
  <c r="E234" i="4"/>
  <c r="E233" i="4"/>
  <c r="E232" i="4"/>
  <c r="E231" i="4"/>
  <c r="E230" i="4"/>
  <c r="E229" i="4"/>
  <c r="H223" i="4"/>
  <c r="E223" i="4" s="1"/>
  <c r="H45" i="4"/>
  <c r="E45" i="4" s="1"/>
  <c r="E44" i="4"/>
  <c r="J43" i="4"/>
  <c r="E43" i="4"/>
  <c r="J42" i="4"/>
  <c r="J41" i="4"/>
  <c r="J40" i="4"/>
  <c r="E40" i="4"/>
  <c r="J39" i="4"/>
  <c r="H39" i="4"/>
  <c r="J38" i="4"/>
  <c r="E38" i="4"/>
  <c r="J37" i="4"/>
  <c r="E37" i="4"/>
  <c r="J36" i="4"/>
  <c r="E36" i="4"/>
  <c r="J35" i="4"/>
  <c r="E35" i="4"/>
  <c r="J34" i="4"/>
  <c r="E34" i="4"/>
  <c r="J33" i="4"/>
  <c r="E33" i="4"/>
  <c r="J32" i="4"/>
  <c r="E32" i="4"/>
  <c r="J31" i="4"/>
  <c r="E31" i="4"/>
  <c r="J30" i="4"/>
  <c r="E30" i="4"/>
  <c r="J29" i="4"/>
  <c r="J28" i="4"/>
  <c r="E28" i="4"/>
  <c r="J27" i="4"/>
  <c r="E27" i="4"/>
  <c r="J26" i="4"/>
  <c r="E26" i="4"/>
  <c r="J25" i="4"/>
  <c r="H25" i="4"/>
  <c r="E25" i="4" s="1"/>
  <c r="E24" i="4"/>
  <c r="H23" i="4"/>
  <c r="J22" i="4"/>
  <c r="H21" i="4"/>
  <c r="E21" i="4" s="1"/>
  <c r="J20" i="4"/>
  <c r="E20" i="4"/>
  <c r="H19" i="4"/>
  <c r="J19" i="4" s="1"/>
  <c r="H18" i="4"/>
  <c r="E18" i="4" s="1"/>
  <c r="J17" i="4"/>
  <c r="E17" i="4"/>
  <c r="H16" i="4"/>
  <c r="E16" i="4" s="1"/>
  <c r="H15" i="4"/>
  <c r="E15" i="4" s="1"/>
  <c r="E14" i="4"/>
  <c r="H13" i="4"/>
  <c r="E13" i="4" s="1"/>
  <c r="H8" i="4"/>
  <c r="G8" i="4"/>
  <c r="F8" i="4"/>
  <c r="D4" i="4"/>
  <c r="H2" i="4"/>
  <c r="D2" i="4"/>
  <c r="F36" i="3"/>
  <c r="F37" i="3" s="1"/>
  <c r="L71" i="3" s="1"/>
  <c r="M31" i="3"/>
  <c r="R70" i="3" s="1"/>
  <c r="E31" i="3"/>
  <c r="N68" i="3" s="1"/>
  <c r="I30" i="3"/>
  <c r="I31" i="3" s="1"/>
  <c r="H87" i="3" s="1"/>
  <c r="Q19" i="3"/>
  <c r="K19" i="3"/>
  <c r="E19" i="3"/>
  <c r="J14" i="3"/>
  <c r="J13" i="3"/>
  <c r="E20" i="3" s="1"/>
  <c r="S7" i="3"/>
  <c r="R7" i="3"/>
  <c r="Q7" i="3"/>
  <c r="E4" i="3"/>
  <c r="E2" i="3"/>
  <c r="I19" i="2"/>
  <c r="D19" i="2"/>
  <c r="D18" i="2"/>
  <c r="C3" i="2"/>
  <c r="E22" i="1"/>
  <c r="E16" i="1"/>
  <c r="A4024" i="12" l="1" a="1"/>
  <c r="A4024" i="12" s="1"/>
  <c r="L4024" i="12" s="1"/>
  <c r="N4024" i="12" s="1"/>
  <c r="A2588" i="12" a="1"/>
  <c r="A2588" i="12" s="1"/>
  <c r="J2588" i="12" s="1"/>
  <c r="A2589" i="12" a="1"/>
  <c r="A2589" i="12" s="1"/>
  <c r="A2420" i="12" a="1"/>
  <c r="A2420" i="12" s="1"/>
  <c r="J2420" i="12" s="1"/>
  <c r="A2334" i="12" a="1"/>
  <c r="A2334" i="12" s="1"/>
  <c r="J2334" i="12" s="1"/>
  <c r="A2673" i="12" a="1"/>
  <c r="A2673" i="12" s="1"/>
  <c r="L2673" i="12" s="1"/>
  <c r="N2673" i="12" s="1"/>
  <c r="A2675" i="12" a="1"/>
  <c r="A2675" i="12" s="1"/>
  <c r="J2675" i="12" s="1"/>
  <c r="A286" i="9" a="1"/>
  <c r="A286" i="9" s="1"/>
  <c r="L286" i="9" s="1"/>
  <c r="N286" i="9" s="1"/>
  <c r="A2330" i="12" a="1"/>
  <c r="A2330" i="12" s="1"/>
  <c r="A5132" i="12" a="1"/>
  <c r="A5132" i="12" s="1"/>
  <c r="L5132" i="12" s="1"/>
  <c r="N5132" i="12" s="1"/>
  <c r="A5302" i="12" a="1"/>
  <c r="A5302" i="12" s="1"/>
  <c r="J5302" i="12" s="1"/>
  <c r="A3943" i="12" a="1"/>
  <c r="A3943" i="12" s="1"/>
  <c r="L3943" i="12" s="1"/>
  <c r="N3943" i="12" s="1"/>
  <c r="A534" i="9" a="1"/>
  <c r="A534" i="9" s="1"/>
  <c r="J534" i="9" s="1"/>
  <c r="A616" i="9" a="1"/>
  <c r="A616" i="9" s="1"/>
  <c r="L616" i="9" s="1"/>
  <c r="N616" i="9" s="1"/>
  <c r="W69" i="16"/>
  <c r="W31" i="16"/>
  <c r="J415" i="10"/>
  <c r="H415" i="10" s="1"/>
  <c r="E415" i="10" s="1"/>
  <c r="I27" i="7"/>
  <c r="W46" i="16"/>
  <c r="W65" i="16"/>
  <c r="W30" i="16"/>
  <c r="W59" i="16"/>
  <c r="J137" i="10"/>
  <c r="H137" i="10" s="1"/>
  <c r="E137" i="10" s="1"/>
  <c r="W48" i="16"/>
  <c r="I34" i="7"/>
  <c r="J356" i="10"/>
  <c r="H356" i="10" s="1"/>
  <c r="E356" i="10" s="1"/>
  <c r="W34" i="16"/>
  <c r="J144" i="10"/>
  <c r="H144" i="10" s="1"/>
  <c r="E144" i="10" s="1"/>
  <c r="L459" i="9"/>
  <c r="R53" i="3"/>
  <c r="N280" i="12"/>
  <c r="W49" i="16"/>
  <c r="G21" i="3"/>
  <c r="M63" i="3" s="1"/>
  <c r="J32" i="10"/>
  <c r="H32" i="10" s="1"/>
  <c r="E32" i="10" s="1"/>
  <c r="E41" i="4"/>
  <c r="W54" i="16"/>
  <c r="W36" i="16"/>
  <c r="L53" i="3"/>
  <c r="W41" i="16"/>
  <c r="W60" i="16"/>
  <c r="K606" i="9"/>
  <c r="N606" i="9" s="1"/>
  <c r="W45" i="16"/>
  <c r="W64" i="16"/>
  <c r="J45" i="10"/>
  <c r="H45" i="10" s="1"/>
  <c r="E45" i="10" s="1"/>
  <c r="W47" i="16"/>
  <c r="I18" i="7"/>
  <c r="K358" i="9"/>
  <c r="N358" i="9" s="1"/>
  <c r="K934" i="9"/>
  <c r="N934" i="9" s="1"/>
  <c r="W33" i="16"/>
  <c r="E221" i="10"/>
  <c r="W37" i="16"/>
  <c r="W39" i="16"/>
  <c r="W57" i="16"/>
  <c r="W58" i="16"/>
  <c r="W43" i="16"/>
  <c r="W62" i="16"/>
  <c r="W25" i="16"/>
  <c r="W28" i="16"/>
  <c r="W66" i="16"/>
  <c r="I37" i="7"/>
  <c r="W67" i="16"/>
  <c r="K440" i="9"/>
  <c r="N440" i="9" s="1"/>
  <c r="I20" i="7"/>
  <c r="I19" i="7"/>
  <c r="W68" i="16"/>
  <c r="Q20" i="3"/>
  <c r="S21" i="3" s="1"/>
  <c r="I98" i="3" s="1"/>
  <c r="K524" i="9"/>
  <c r="N524" i="9" s="1"/>
  <c r="P53" i="3"/>
  <c r="I21" i="7"/>
  <c r="W52" i="16"/>
  <c r="L377" i="9"/>
  <c r="R19" i="3"/>
  <c r="K20" i="3"/>
  <c r="M21" i="3" s="1"/>
  <c r="M46" i="3" s="1"/>
  <c r="N1719" i="12"/>
  <c r="I47" i="7"/>
  <c r="N1804" i="12"/>
  <c r="I48" i="7"/>
  <c r="N1549" i="12"/>
  <c r="I43" i="7"/>
  <c r="N1634" i="12"/>
  <c r="I44" i="7"/>
  <c r="N3752" i="12"/>
  <c r="I74" i="7"/>
  <c r="N5114" i="12"/>
  <c r="I90" i="7"/>
  <c r="W50" i="16"/>
  <c r="N4008" i="12"/>
  <c r="I77" i="7"/>
  <c r="L376" i="9"/>
  <c r="N2314" i="12"/>
  <c r="I60" i="7"/>
  <c r="N4093" i="12"/>
  <c r="I78" i="7"/>
  <c r="N3243" i="12"/>
  <c r="I108" i="7"/>
  <c r="L1116" i="9"/>
  <c r="L295" i="9"/>
  <c r="L367" i="9"/>
  <c r="N367" i="9" s="1"/>
  <c r="J23" i="10"/>
  <c r="H23" i="10" s="1"/>
  <c r="E23" i="10" s="1"/>
  <c r="K1250" i="12"/>
  <c r="W40" i="16"/>
  <c r="W55" i="16"/>
  <c r="N3837" i="12"/>
  <c r="I75" i="7"/>
  <c r="N3074" i="12"/>
  <c r="I94" i="7"/>
  <c r="N2398" i="12"/>
  <c r="I61" i="7"/>
  <c r="N4178" i="12"/>
  <c r="I79" i="7"/>
  <c r="N3327" i="12"/>
  <c r="I109" i="7"/>
  <c r="H50" i="3"/>
  <c r="H15" i="5"/>
  <c r="H33" i="5" s="1"/>
  <c r="L3104" i="12" s="1"/>
  <c r="N3104" i="12" s="1"/>
  <c r="G16" i="6"/>
  <c r="H16" i="6" s="1"/>
  <c r="J16" i="6" s="1"/>
  <c r="N2482" i="12"/>
  <c r="I62" i="7"/>
  <c r="N4263" i="12"/>
  <c r="I80" i="7"/>
  <c r="N5199" i="12"/>
  <c r="I110" i="7"/>
  <c r="L50" i="3"/>
  <c r="J18" i="4"/>
  <c r="W24" i="16"/>
  <c r="J50" i="3"/>
  <c r="K192" i="9"/>
  <c r="N192" i="9" s="1"/>
  <c r="N50" i="3"/>
  <c r="E19" i="4"/>
  <c r="I22" i="7"/>
  <c r="N2566" i="12"/>
  <c r="I63" i="7"/>
  <c r="N4348" i="12"/>
  <c r="I81" i="7"/>
  <c r="N5284" i="12"/>
  <c r="I111" i="7"/>
  <c r="W42" i="16"/>
  <c r="N2990" i="12"/>
  <c r="I93" i="7"/>
  <c r="N2230" i="12"/>
  <c r="I57" i="7"/>
  <c r="N699" i="12"/>
  <c r="I23" i="7"/>
  <c r="W27" i="16"/>
  <c r="N3411" i="12"/>
  <c r="I70" i="7"/>
  <c r="P50" i="3"/>
  <c r="A699" i="9" a="1"/>
  <c r="A699" i="9" s="1"/>
  <c r="J699" i="9" s="1"/>
  <c r="N4685" i="12"/>
  <c r="I85" i="7"/>
  <c r="W63" i="16"/>
  <c r="N2654" i="12"/>
  <c r="I64" i="7"/>
  <c r="K770" i="9"/>
  <c r="N770" i="9" s="1"/>
  <c r="N4516" i="12"/>
  <c r="I83" i="7"/>
  <c r="N2822" i="12"/>
  <c r="I66" i="7"/>
  <c r="K1126" i="9"/>
  <c r="A5215" i="12" a="1"/>
  <c r="A5215" i="12" s="1"/>
  <c r="J5215" i="12" s="1"/>
  <c r="N2906" i="12"/>
  <c r="I67" i="7"/>
  <c r="K1098" i="9"/>
  <c r="N1098" i="9" s="1"/>
  <c r="R68" i="3"/>
  <c r="H86" i="3"/>
  <c r="N3159" i="12"/>
  <c r="I107" i="7"/>
  <c r="K1016" i="9"/>
  <c r="N1016" i="9" s="1"/>
  <c r="N2738" i="12"/>
  <c r="I65" i="7"/>
  <c r="L68" i="3"/>
  <c r="G30" i="5"/>
  <c r="P68" i="3"/>
  <c r="N784" i="12"/>
  <c r="I24" i="7"/>
  <c r="P70" i="3"/>
  <c r="L706" i="9"/>
  <c r="N3495" i="12"/>
  <c r="I71" i="7"/>
  <c r="I13" i="7"/>
  <c r="L707" i="9"/>
  <c r="A781" i="9" a="1"/>
  <c r="A781" i="9" s="1"/>
  <c r="J781" i="9" s="1"/>
  <c r="N4432" i="12"/>
  <c r="I82" i="7"/>
  <c r="J21" i="4"/>
  <c r="K276" i="9"/>
  <c r="N276" i="9" s="1"/>
  <c r="H88" i="3"/>
  <c r="H36" i="5"/>
  <c r="N1294" i="12"/>
  <c r="I38" i="7"/>
  <c r="N3579" i="12"/>
  <c r="I72" i="7"/>
  <c r="N4941" i="12"/>
  <c r="I88" i="7"/>
  <c r="A5385" i="12" a="1"/>
  <c r="A5385" i="12" s="1"/>
  <c r="J5385" i="12" s="1"/>
  <c r="N1974" i="12"/>
  <c r="I54" i="7"/>
  <c r="N2057" i="12"/>
  <c r="I55" i="7"/>
  <c r="N5369" i="12"/>
  <c r="I112" i="7"/>
  <c r="K4475" i="12"/>
  <c r="G31" i="5"/>
  <c r="J707" i="9" s="1"/>
  <c r="K852" i="9"/>
  <c r="N852" i="9" s="1"/>
  <c r="I31" i="7"/>
  <c r="N1379" i="12"/>
  <c r="I39" i="7"/>
  <c r="I15" i="7"/>
  <c r="K15" i="7" s="1"/>
  <c r="N3923" i="12"/>
  <c r="I76" i="7"/>
  <c r="W53" i="16"/>
  <c r="H68" i="3"/>
  <c r="N4601" i="12"/>
  <c r="I84" i="7"/>
  <c r="N4770" i="12"/>
  <c r="I86" i="7"/>
  <c r="I30" i="7"/>
  <c r="N4856" i="12"/>
  <c r="I87" i="7"/>
  <c r="J44" i="4"/>
  <c r="I14" i="7"/>
  <c r="N1464" i="12"/>
  <c r="I40" i="7"/>
  <c r="N3665" i="12"/>
  <c r="I73" i="7"/>
  <c r="N5026" i="12"/>
  <c r="I89" i="7"/>
  <c r="N1889" i="12"/>
  <c r="I51" i="7"/>
  <c r="I56" i="7"/>
  <c r="N2141" i="12"/>
  <c r="W35" i="16"/>
  <c r="L2161" i="12"/>
  <c r="N2161" i="12" s="1"/>
  <c r="E287" i="10"/>
  <c r="L943" i="9"/>
  <c r="N943" i="9" s="1"/>
  <c r="A4532" i="12" a="1"/>
  <c r="A4532" i="12" s="1"/>
  <c r="J4532" i="12" s="1"/>
  <c r="A5135" i="12" a="1"/>
  <c r="A5135" i="12" s="1"/>
  <c r="L5135" i="12" s="1"/>
  <c r="N5135" i="12" s="1"/>
  <c r="A864" i="9" a="1"/>
  <c r="A864" i="9" s="1"/>
  <c r="L864" i="9" s="1"/>
  <c r="N864" i="9" s="1"/>
  <c r="L285" i="9"/>
  <c r="N285" i="9" s="1"/>
  <c r="J359" i="10"/>
  <c r="H359" i="10" s="1"/>
  <c r="E359" i="10" s="1"/>
  <c r="L1107" i="9"/>
  <c r="N1107" i="9" s="1"/>
  <c r="E213" i="10"/>
  <c r="L2160" i="12"/>
  <c r="N2160" i="12" s="1"/>
  <c r="A4448" i="12" a="1"/>
  <c r="A4448" i="12" s="1"/>
  <c r="L4448" i="12" s="1"/>
  <c r="N4448" i="12" s="1"/>
  <c r="A5387" i="12" a="1"/>
  <c r="A5387" i="12" s="1"/>
  <c r="L5387" i="12" s="1"/>
  <c r="N5387" i="12" s="1"/>
  <c r="A4617" i="12" a="1"/>
  <c r="A4617" i="12" s="1"/>
  <c r="J4617" i="12" s="1"/>
  <c r="L4875" i="12"/>
  <c r="N4875" i="12" s="1"/>
  <c r="L119" i="9"/>
  <c r="N119" i="9" s="1"/>
  <c r="J145" i="10"/>
  <c r="H145" i="10" s="1"/>
  <c r="E145" i="10" s="1"/>
  <c r="A5048" i="12" a="1"/>
  <c r="A5048" i="12" s="1"/>
  <c r="J5048" i="12" s="1"/>
  <c r="A5051" i="12" a="1"/>
  <c r="A5051" i="12" s="1"/>
  <c r="L5051" i="12" s="1"/>
  <c r="N5051" i="12" s="1"/>
  <c r="A4364" i="12" a="1"/>
  <c r="A4364" i="12" s="1"/>
  <c r="A5050" i="12" a="1"/>
  <c r="A5050" i="12" s="1"/>
  <c r="L5050" i="12" s="1"/>
  <c r="N5050" i="12" s="1"/>
  <c r="A4786" i="12" a="1"/>
  <c r="A4786" i="12" s="1"/>
  <c r="J4786" i="12" s="1"/>
  <c r="A4957" i="12" a="1"/>
  <c r="A4957" i="12" s="1"/>
  <c r="J4957" i="12" s="1"/>
  <c r="A5300" i="12" a="1"/>
  <c r="A5300" i="12" s="1"/>
  <c r="J5300" i="12" s="1"/>
  <c r="A5049" i="12" a="1"/>
  <c r="A5049" i="12" s="1"/>
  <c r="L5049" i="12" s="1"/>
  <c r="N5049" i="12" s="1"/>
  <c r="J254" i="10"/>
  <c r="H254" i="10" s="1"/>
  <c r="E254" i="10" s="1"/>
  <c r="A4788" i="12" a="1"/>
  <c r="A4788" i="12" s="1"/>
  <c r="J4788" i="12" s="1"/>
  <c r="E222" i="10"/>
  <c r="L2158" i="12"/>
  <c r="N2158" i="12" s="1"/>
  <c r="A4109" i="12" a="1"/>
  <c r="A4109" i="12" s="1"/>
  <c r="J4109" i="12" s="1"/>
  <c r="J47" i="12"/>
  <c r="N4635" i="12"/>
  <c r="N4975" i="12"/>
  <c r="N4212" i="12"/>
  <c r="L305" i="12"/>
  <c r="J305" i="12"/>
  <c r="K3700" i="12"/>
  <c r="K2098" i="12"/>
  <c r="N2098" i="12" s="1"/>
  <c r="I1337" i="12"/>
  <c r="J2525" i="12"/>
  <c r="N1328" i="12"/>
  <c r="K1337" i="12"/>
  <c r="L3699" i="12"/>
  <c r="J4475" i="12"/>
  <c r="J2345" i="12"/>
  <c r="L2511" i="12"/>
  <c r="J983" i="12"/>
  <c r="K4714" i="12"/>
  <c r="J2768" i="12"/>
  <c r="K5327" i="12"/>
  <c r="L983" i="12"/>
  <c r="N2008" i="12"/>
  <c r="L2263" i="12"/>
  <c r="I3451" i="12"/>
  <c r="J816" i="12"/>
  <c r="J910" i="12"/>
  <c r="J645" i="12"/>
  <c r="K816" i="12"/>
  <c r="I910" i="12"/>
  <c r="I4304" i="12"/>
  <c r="L5229" i="12"/>
  <c r="L2768" i="12"/>
  <c r="L3869" i="12"/>
  <c r="K4545" i="12"/>
  <c r="J2087" i="12"/>
  <c r="L2087" i="12"/>
  <c r="K2780" i="12"/>
  <c r="I2780" i="12"/>
  <c r="L1836" i="12"/>
  <c r="J1836" i="12"/>
  <c r="J1920" i="12"/>
  <c r="L1920" i="12"/>
  <c r="J1326" i="12"/>
  <c r="L1326" i="12"/>
  <c r="J3707" i="12"/>
  <c r="K3707" i="12"/>
  <c r="I3707" i="12"/>
  <c r="N223" i="12"/>
  <c r="K559" i="12"/>
  <c r="K3356" i="12"/>
  <c r="K2016" i="12"/>
  <c r="N3361" i="12"/>
  <c r="J3954" i="12"/>
  <c r="J2004" i="12"/>
  <c r="K2357" i="12"/>
  <c r="K3441" i="12"/>
  <c r="J1752" i="12"/>
  <c r="K2344" i="12"/>
  <c r="L646" i="12"/>
  <c r="J898" i="12"/>
  <c r="K1752" i="12"/>
  <c r="I3033" i="12"/>
  <c r="J5230" i="12"/>
  <c r="I3709" i="12"/>
  <c r="L2004" i="12"/>
  <c r="J2017" i="12"/>
  <c r="J2344" i="12"/>
  <c r="L4803" i="12"/>
  <c r="K646" i="12"/>
  <c r="K2017" i="12"/>
  <c r="J2937" i="12"/>
  <c r="I4899" i="12"/>
  <c r="K2851" i="12"/>
  <c r="N3701" i="12"/>
  <c r="J1324" i="12"/>
  <c r="L2937" i="12"/>
  <c r="N5148" i="12"/>
  <c r="N2264" i="12"/>
  <c r="N2603" i="12"/>
  <c r="L2771" i="12"/>
  <c r="N4550" i="12"/>
  <c r="N988" i="12"/>
  <c r="J3022" i="12"/>
  <c r="J3527" i="12"/>
  <c r="L3868" i="12"/>
  <c r="L5062" i="12"/>
  <c r="N450" i="12"/>
  <c r="L3022" i="12"/>
  <c r="J5145" i="12"/>
  <c r="N5233" i="12"/>
  <c r="N4042" i="12"/>
  <c r="K4135" i="12"/>
  <c r="J3709" i="12"/>
  <c r="J2263" i="12"/>
  <c r="I2525" i="12"/>
  <c r="N3193" i="12"/>
  <c r="K3869" i="12"/>
  <c r="N4804" i="12"/>
  <c r="K4887" i="12"/>
  <c r="K1664" i="12"/>
  <c r="J1677" i="12"/>
  <c r="N2516" i="12"/>
  <c r="N3615" i="12"/>
  <c r="L4800" i="12"/>
  <c r="N733" i="12"/>
  <c r="K305" i="12"/>
  <c r="J559" i="12"/>
  <c r="J4304" i="12"/>
  <c r="K986" i="12"/>
  <c r="J986" i="12"/>
  <c r="L986" i="12"/>
  <c r="K1327" i="12"/>
  <c r="L1327" i="12"/>
  <c r="J1327" i="12"/>
  <c r="L1410" i="12"/>
  <c r="K1410" i="12"/>
  <c r="J1410" i="12"/>
  <c r="K1507" i="12"/>
  <c r="I1507" i="12"/>
  <c r="J4377" i="12"/>
  <c r="L4377" i="12"/>
  <c r="L1582" i="12"/>
  <c r="J1582" i="12"/>
  <c r="L3698" i="12"/>
  <c r="K3698" i="12"/>
  <c r="J3698" i="12"/>
  <c r="L4378" i="12"/>
  <c r="K4378" i="12"/>
  <c r="J4378" i="12"/>
  <c r="K2865" i="12"/>
  <c r="I2865" i="12"/>
  <c r="J2865" i="12"/>
  <c r="J2935" i="12"/>
  <c r="L2935" i="12"/>
  <c r="K2935" i="12"/>
  <c r="K3614" i="12"/>
  <c r="L3614" i="12"/>
  <c r="L4292" i="12"/>
  <c r="K4292" i="12"/>
  <c r="J4292" i="12"/>
  <c r="J2697" i="12"/>
  <c r="K2697" i="12"/>
  <c r="I2697" i="12"/>
  <c r="L3358" i="12"/>
  <c r="J3358" i="12"/>
  <c r="K3697" i="12"/>
  <c r="L3697" i="12"/>
  <c r="J995" i="12"/>
  <c r="K995" i="12"/>
  <c r="I232" i="12"/>
  <c r="J232" i="12"/>
  <c r="L3360" i="12"/>
  <c r="J3360" i="12"/>
  <c r="K1165" i="12"/>
  <c r="I1165" i="12"/>
  <c r="J1165" i="12"/>
  <c r="K5242" i="12"/>
  <c r="J5242" i="12"/>
  <c r="I5242" i="12"/>
  <c r="L5315" i="12"/>
  <c r="K5315" i="12"/>
  <c r="J5315" i="12"/>
  <c r="I1336" i="12"/>
  <c r="K1336" i="12"/>
  <c r="J1336" i="12"/>
  <c r="L1239" i="12"/>
  <c r="K1239" i="12"/>
  <c r="J1239" i="12"/>
  <c r="J4037" i="12"/>
  <c r="K4037" i="12"/>
  <c r="L4037" i="12"/>
  <c r="L2938" i="12"/>
  <c r="J2938" i="12"/>
  <c r="K2938" i="12"/>
  <c r="K4296" i="12"/>
  <c r="L4296" i="12"/>
  <c r="L2088" i="12"/>
  <c r="K2088" i="12"/>
  <c r="J4210" i="12"/>
  <c r="L4210" i="12"/>
  <c r="K4210" i="12"/>
  <c r="J4812" i="12"/>
  <c r="I4812" i="12"/>
  <c r="K4812" i="12"/>
  <c r="K5157" i="12"/>
  <c r="J5157" i="12"/>
  <c r="I5157" i="12"/>
  <c r="J474" i="12"/>
  <c r="L474" i="12"/>
  <c r="K474" i="12"/>
  <c r="K1408" i="12"/>
  <c r="L1408" i="12"/>
  <c r="J1408" i="12"/>
  <c r="K1080" i="12"/>
  <c r="I1080" i="12"/>
  <c r="J1080" i="12"/>
  <c r="I2273" i="12"/>
  <c r="J2273" i="12"/>
  <c r="K2273" i="12"/>
  <c r="K2936" i="12"/>
  <c r="L2936" i="12"/>
  <c r="J2936" i="12"/>
  <c r="J304" i="12"/>
  <c r="K304" i="12"/>
  <c r="L304" i="12"/>
  <c r="K1505" i="12"/>
  <c r="J1505" i="12"/>
  <c r="I1505" i="12"/>
  <c r="L4039" i="12"/>
  <c r="J4039" i="12"/>
  <c r="K4813" i="12"/>
  <c r="J4813" i="12"/>
  <c r="I4813" i="12"/>
  <c r="J4136" i="12"/>
  <c r="K4136" i="12"/>
  <c r="I4136" i="12"/>
  <c r="L475" i="12"/>
  <c r="K475" i="12"/>
  <c r="J475" i="12"/>
  <c r="K4462" i="12"/>
  <c r="L4462" i="12"/>
  <c r="I2099" i="12"/>
  <c r="K2099" i="12"/>
  <c r="J2099" i="12"/>
  <c r="L1748" i="12"/>
  <c r="K1748" i="12"/>
  <c r="J1748" i="12"/>
  <c r="L3274" i="12"/>
  <c r="J3274" i="12"/>
  <c r="L4463" i="12"/>
  <c r="K4463" i="12"/>
  <c r="J4463" i="12"/>
  <c r="J4727" i="12"/>
  <c r="I4727" i="12"/>
  <c r="K4727" i="12"/>
  <c r="I572" i="12"/>
  <c r="N2348" i="12"/>
  <c r="J4211" i="12"/>
  <c r="N4466" i="12"/>
  <c r="K645" i="12"/>
  <c r="J657" i="12"/>
  <c r="N1583" i="12"/>
  <c r="N1753" i="12"/>
  <c r="K732" i="12"/>
  <c r="L1493" i="12"/>
  <c r="I2357" i="12"/>
  <c r="J3107" i="12"/>
  <c r="N3277" i="12"/>
  <c r="K3442" i="12"/>
  <c r="I3621" i="12"/>
  <c r="K4211" i="12"/>
  <c r="J4716" i="12"/>
  <c r="K4811" i="12"/>
  <c r="K4973" i="12"/>
  <c r="N2940" i="12"/>
  <c r="K3107" i="12"/>
  <c r="J3621" i="12"/>
  <c r="K4125" i="12"/>
  <c r="L4716" i="12"/>
  <c r="I5327" i="12"/>
  <c r="N308" i="12"/>
  <c r="K1072" i="12"/>
  <c r="K1324" i="12"/>
  <c r="K1836" i="12"/>
  <c r="K2345" i="12"/>
  <c r="N2432" i="12"/>
  <c r="J2511" i="12"/>
  <c r="J2780" i="12"/>
  <c r="K3033" i="12"/>
  <c r="L3189" i="12"/>
  <c r="J3202" i="12"/>
  <c r="L4125" i="12"/>
  <c r="J4800" i="12"/>
  <c r="N5120" i="12"/>
  <c r="N5403" i="12"/>
  <c r="L3783" i="12"/>
  <c r="K1154" i="12"/>
  <c r="J1420" i="12"/>
  <c r="N1725" i="12"/>
  <c r="K1751" i="12"/>
  <c r="N1923" i="12"/>
  <c r="K1930" i="12"/>
  <c r="N1930" i="12" s="1"/>
  <c r="K2683" i="12"/>
  <c r="K2770" i="12"/>
  <c r="I3285" i="12"/>
  <c r="K3612" i="12"/>
  <c r="N3871" i="12"/>
  <c r="L3953" i="12"/>
  <c r="I4642" i="12"/>
  <c r="J4801" i="12"/>
  <c r="N4890" i="12"/>
  <c r="K3537" i="12"/>
  <c r="N393" i="12"/>
  <c r="L562" i="12"/>
  <c r="N563" i="12"/>
  <c r="N2688" i="12"/>
  <c r="J3285" i="12"/>
  <c r="I4049" i="12"/>
  <c r="K3783" i="12"/>
  <c r="K133" i="12"/>
  <c r="K657" i="12"/>
  <c r="L985" i="12"/>
  <c r="N138" i="12"/>
  <c r="L1154" i="12"/>
  <c r="I1506" i="12"/>
  <c r="L2770" i="12"/>
  <c r="I3370" i="12"/>
  <c r="L3612" i="12"/>
  <c r="I3708" i="12"/>
  <c r="N3957" i="12"/>
  <c r="I4473" i="12"/>
  <c r="K4801" i="12"/>
  <c r="K5143" i="12"/>
  <c r="L476" i="12"/>
  <c r="I740" i="12"/>
  <c r="K1068" i="12"/>
  <c r="N1158" i="12"/>
  <c r="J1250" i="12"/>
  <c r="J1506" i="12"/>
  <c r="J2430" i="12"/>
  <c r="J2600" i="12"/>
  <c r="N3529" i="12"/>
  <c r="J3708" i="12"/>
  <c r="K3880" i="12"/>
  <c r="K4038" i="12"/>
  <c r="K4049" i="12"/>
  <c r="K4219" i="12"/>
  <c r="K4630" i="12"/>
  <c r="J740" i="12"/>
  <c r="K1326" i="12"/>
  <c r="I1677" i="12"/>
  <c r="K1920" i="12"/>
  <c r="K2430" i="12"/>
  <c r="L2600" i="12"/>
  <c r="K2948" i="12"/>
  <c r="K3868" i="12"/>
  <c r="L4038" i="12"/>
  <c r="J1762" i="12"/>
  <c r="K2346" i="12"/>
  <c r="J2599" i="12"/>
  <c r="N2091" i="12"/>
  <c r="L218" i="12"/>
  <c r="J477" i="12"/>
  <c r="N1243" i="12"/>
  <c r="L2851" i="12"/>
  <c r="I2864" i="12"/>
  <c r="L3527" i="12"/>
  <c r="N4127" i="12"/>
  <c r="J4899" i="12"/>
  <c r="I826" i="12"/>
  <c r="L3444" i="12"/>
  <c r="J4126" i="12"/>
  <c r="J1069" i="12"/>
  <c r="K1497" i="12"/>
  <c r="J2864" i="12"/>
  <c r="I3286" i="12"/>
  <c r="N3786" i="12"/>
  <c r="J4134" i="12"/>
  <c r="I4220" i="12"/>
  <c r="J4887" i="12"/>
  <c r="J985" i="12"/>
  <c r="K3953" i="12"/>
  <c r="N3445" i="12"/>
  <c r="K1663" i="12"/>
  <c r="K1762" i="12"/>
  <c r="I1930" i="12"/>
  <c r="N4297" i="12"/>
  <c r="K218" i="12"/>
  <c r="N903" i="12"/>
  <c r="K1069" i="12"/>
  <c r="K4134" i="12"/>
  <c r="J4220" i="12"/>
  <c r="K306" i="12"/>
  <c r="L1579" i="12"/>
  <c r="N3024" i="12"/>
  <c r="N4719" i="12"/>
  <c r="I1420" i="12"/>
  <c r="L1497" i="12"/>
  <c r="N52" i="12"/>
  <c r="N478" i="12"/>
  <c r="K817" i="12"/>
  <c r="I1591" i="12"/>
  <c r="N2772" i="12"/>
  <c r="K3528" i="12"/>
  <c r="L4632" i="12"/>
  <c r="L1325" i="12"/>
  <c r="L817" i="12"/>
  <c r="J1591" i="12"/>
  <c r="I2098" i="12"/>
  <c r="J3700" i="12"/>
  <c r="I4135" i="12"/>
  <c r="N4382" i="12"/>
  <c r="K5062" i="12"/>
  <c r="N5318" i="12"/>
  <c r="K5326" i="12"/>
  <c r="N5034" i="12"/>
  <c r="L4876" i="12"/>
  <c r="N4876" i="12" s="1"/>
  <c r="N4778" i="12"/>
  <c r="N4693" i="12"/>
  <c r="N4692" i="12"/>
  <c r="N4439" i="12"/>
  <c r="N4356" i="12"/>
  <c r="N4355" i="12"/>
  <c r="N4354" i="12"/>
  <c r="A4025" i="12" a="1"/>
  <c r="A4025" i="12" s="1"/>
  <c r="J4025" i="12" s="1"/>
  <c r="A3944" i="12" a="1"/>
  <c r="A3944" i="12" s="1"/>
  <c r="L3944" i="12" s="1"/>
  <c r="N3944" i="12" s="1"/>
  <c r="A4026" i="12" a="1"/>
  <c r="A4026" i="12" s="1"/>
  <c r="J4026" i="12" s="1"/>
  <c r="L200" i="9"/>
  <c r="N200" i="9" s="1"/>
  <c r="A4027" i="12" a="1"/>
  <c r="A4027" i="12" s="1"/>
  <c r="L4027" i="12" s="1"/>
  <c r="N4027" i="12" s="1"/>
  <c r="A4279" i="12" a="1"/>
  <c r="A4279" i="12" s="1"/>
  <c r="L4279" i="12" s="1"/>
  <c r="N4279" i="12" s="1"/>
  <c r="A4194" i="12" a="1"/>
  <c r="A4194" i="12" s="1"/>
  <c r="J4194" i="12" s="1"/>
  <c r="A3603" i="12" a="1"/>
  <c r="A3603" i="12" s="1"/>
  <c r="L3603" i="12" s="1"/>
  <c r="N3603" i="12" s="1"/>
  <c r="A4195" i="12" a="1"/>
  <c r="A4195" i="12" s="1"/>
  <c r="L4195" i="12" s="1"/>
  <c r="N4195" i="12" s="1"/>
  <c r="A3602" i="12" a="1"/>
  <c r="A3602" i="12" s="1"/>
  <c r="L3602" i="12" s="1"/>
  <c r="N3602" i="12" s="1"/>
  <c r="A4110" i="12" a="1"/>
  <c r="A4110" i="12" s="1"/>
  <c r="L4110" i="12" s="1"/>
  <c r="N4110" i="12" s="1"/>
  <c r="A4111" i="12" a="1"/>
  <c r="A4111" i="12" s="1"/>
  <c r="L4111" i="12" s="1"/>
  <c r="N4111" i="12" s="1"/>
  <c r="A4112" i="12" a="1"/>
  <c r="A4112" i="12" s="1"/>
  <c r="J4112" i="12" s="1"/>
  <c r="A3939" i="12" a="1"/>
  <c r="A3939" i="12" s="1"/>
  <c r="J3939" i="12" s="1"/>
  <c r="A3940" i="12" a="1"/>
  <c r="A3940" i="12" s="1"/>
  <c r="J3940" i="12" s="1"/>
  <c r="L532" i="9"/>
  <c r="N532" i="9" s="1"/>
  <c r="A3941" i="12" a="1"/>
  <c r="A3941" i="12" s="1"/>
  <c r="L3941" i="12" s="1"/>
  <c r="N3941" i="12" s="1"/>
  <c r="A3942" i="12" a="1"/>
  <c r="A3942" i="12" s="1"/>
  <c r="L3942" i="12" s="1"/>
  <c r="N3942" i="12" s="1"/>
  <c r="L551" i="12"/>
  <c r="J1653" i="12"/>
  <c r="L208" i="12"/>
  <c r="N208" i="12" s="1"/>
  <c r="J636" i="12"/>
  <c r="L1909" i="12"/>
  <c r="N1909" i="12" s="1"/>
  <c r="L1232" i="12"/>
  <c r="L1402" i="12"/>
  <c r="J1402" i="12"/>
  <c r="L1825" i="12"/>
  <c r="J1825" i="12"/>
  <c r="J3090" i="12"/>
  <c r="L3090" i="12"/>
  <c r="N3090" i="12" s="1"/>
  <c r="N3098" i="12" s="1"/>
  <c r="L801" i="12"/>
  <c r="J801" i="12"/>
  <c r="J3515" i="12"/>
  <c r="L4538" i="12"/>
  <c r="L39" i="9"/>
  <c r="J2844" i="12"/>
  <c r="J2251" i="12"/>
  <c r="J3432" i="12"/>
  <c r="J4960" i="12"/>
  <c r="J532" i="9"/>
  <c r="L2504" i="12"/>
  <c r="J632" i="12"/>
  <c r="L3095" i="12"/>
  <c r="J1656" i="12"/>
  <c r="L450" i="9"/>
  <c r="N450" i="9" s="1"/>
  <c r="J1060" i="12"/>
  <c r="L800" i="12"/>
  <c r="L887" i="12"/>
  <c r="J3350" i="12"/>
  <c r="J1739" i="12"/>
  <c r="L3430" i="12"/>
  <c r="J3430" i="12"/>
  <c r="J4197" i="12"/>
  <c r="L4197" i="12"/>
  <c r="J3687" i="12"/>
  <c r="L3687" i="12"/>
  <c r="L3180" i="12"/>
  <c r="J3180" i="12"/>
  <c r="L3260" i="12"/>
  <c r="J3260" i="12"/>
  <c r="L3431" i="12"/>
  <c r="J3431" i="12"/>
  <c r="L3681" i="12"/>
  <c r="N3681" i="12" s="1"/>
  <c r="J3681" i="12"/>
  <c r="J125" i="12"/>
  <c r="L125" i="12"/>
  <c r="J5052" i="12"/>
  <c r="L5052" i="12"/>
  <c r="J3182" i="12"/>
  <c r="L3182" i="12"/>
  <c r="J779" i="9"/>
  <c r="L779" i="9"/>
  <c r="N779" i="9" s="1"/>
  <c r="L4621" i="12"/>
  <c r="J4621" i="12"/>
  <c r="L533" i="9"/>
  <c r="N533" i="9" s="1"/>
  <c r="J533" i="9"/>
  <c r="L1024" i="9"/>
  <c r="N1024" i="9" s="1"/>
  <c r="J1024" i="9"/>
  <c r="J1401" i="12"/>
  <c r="L1401" i="12"/>
  <c r="J4704" i="12"/>
  <c r="L4704" i="12"/>
  <c r="L3427" i="12"/>
  <c r="J3427" i="12"/>
  <c r="L1910" i="12"/>
  <c r="J1910" i="12"/>
  <c r="L2415" i="12"/>
  <c r="N2415" i="12" s="1"/>
  <c r="J1107" i="9"/>
  <c r="J2841" i="12"/>
  <c r="L3093" i="12"/>
  <c r="L3178" i="12"/>
  <c r="J536" i="9"/>
  <c r="L1487" i="12"/>
  <c r="J1906" i="12"/>
  <c r="L5044" i="12"/>
  <c r="N5044" i="12" s="1"/>
  <c r="L3009" i="12"/>
  <c r="N3009" i="12" s="1"/>
  <c r="J212" i="12"/>
  <c r="J804" i="12"/>
  <c r="J977" i="12"/>
  <c r="L1912" i="12"/>
  <c r="L2079" i="12"/>
  <c r="J2760" i="12"/>
  <c r="L3429" i="12"/>
  <c r="L5219" i="12"/>
  <c r="J200" i="9"/>
  <c r="L942" i="9"/>
  <c r="N942" i="9" s="1"/>
  <c r="J550" i="12"/>
  <c r="J1399" i="12"/>
  <c r="L2253" i="12"/>
  <c r="J4537" i="12"/>
  <c r="J4624" i="12"/>
  <c r="J4964" i="12"/>
  <c r="J1481" i="12"/>
  <c r="J2842" i="12"/>
  <c r="J3179" i="12"/>
  <c r="J3347" i="12"/>
  <c r="L3514" i="12"/>
  <c r="L40" i="9"/>
  <c r="J3264" i="12"/>
  <c r="L5045" i="12"/>
  <c r="N5045" i="12" s="1"/>
  <c r="J1315" i="12"/>
  <c r="L3345" i="12"/>
  <c r="N3345" i="12" s="1"/>
  <c r="L1565" i="12"/>
  <c r="N1565" i="12" s="1"/>
  <c r="L3013" i="12"/>
  <c r="L4619" i="12"/>
  <c r="L4703" i="12"/>
  <c r="L3346" i="12"/>
  <c r="N3346" i="12" s="1"/>
  <c r="L202" i="9"/>
  <c r="N202" i="9" s="1"/>
  <c r="L3176" i="12"/>
  <c r="N3176" i="12" s="1"/>
  <c r="J891" i="12"/>
  <c r="J1908" i="12"/>
  <c r="L2505" i="12"/>
  <c r="J1826" i="12"/>
  <c r="L36" i="9"/>
  <c r="N36" i="9" s="1"/>
  <c r="J2843" i="12"/>
  <c r="J3348" i="12"/>
  <c r="J1486" i="12"/>
  <c r="L782" i="9"/>
  <c r="J1740" i="12"/>
  <c r="J973" i="12"/>
  <c r="J1058" i="12"/>
  <c r="L4196" i="12"/>
  <c r="N4196" i="12" s="1"/>
  <c r="J3769" i="12"/>
  <c r="L4029" i="12"/>
  <c r="L4454" i="12"/>
  <c r="J5304" i="12"/>
  <c r="J2502" i="12"/>
  <c r="J119" i="9"/>
  <c r="L2075" i="12"/>
  <c r="N2075" i="12" s="1"/>
  <c r="J4198" i="12"/>
  <c r="L862" i="9"/>
  <c r="N862" i="9" s="1"/>
  <c r="J549" i="12"/>
  <c r="L615" i="9"/>
  <c r="N615" i="9" s="1"/>
  <c r="L38" i="12"/>
  <c r="L377" i="12"/>
  <c r="L203" i="9"/>
  <c r="N203" i="9" s="1"/>
  <c r="L2416" i="12"/>
  <c r="N2416" i="12" s="1"/>
  <c r="J2252" i="12"/>
  <c r="L3434" i="12"/>
  <c r="J3773" i="12"/>
  <c r="J4534" i="12"/>
  <c r="J2845" i="12"/>
  <c r="L4450" i="12"/>
  <c r="L2246" i="12"/>
  <c r="N2246" i="12" s="1"/>
  <c r="J464" i="12"/>
  <c r="J2677" i="12"/>
  <c r="J4115" i="12"/>
  <c r="L3945" i="12"/>
  <c r="N3945" i="12" s="1"/>
  <c r="J3945" i="12"/>
  <c r="N893" i="12"/>
  <c r="N298" i="12"/>
  <c r="J23" i="6"/>
  <c r="H22" i="6"/>
  <c r="J22" i="6" s="1"/>
  <c r="K56" i="9"/>
  <c r="J56" i="9"/>
  <c r="I56" i="9"/>
  <c r="L129" i="9"/>
  <c r="L458" i="9"/>
  <c r="K458" i="9"/>
  <c r="J1127" i="9"/>
  <c r="K1127" i="9"/>
  <c r="I1127" i="9"/>
  <c r="L860" i="9"/>
  <c r="N860" i="9" s="1"/>
  <c r="J860" i="9"/>
  <c r="J23" i="4"/>
  <c r="E23" i="4"/>
  <c r="J26" i="6"/>
  <c r="H25" i="6"/>
  <c r="J25" i="6" s="1"/>
  <c r="L46" i="9"/>
  <c r="K46" i="9"/>
  <c r="K57" i="9"/>
  <c r="J57" i="9"/>
  <c r="I57" i="9"/>
  <c r="L220" i="9"/>
  <c r="L287" i="9"/>
  <c r="N287" i="9" s="1"/>
  <c r="J287" i="9"/>
  <c r="L861" i="9"/>
  <c r="N861" i="9" s="1"/>
  <c r="J861" i="9"/>
  <c r="J118" i="9"/>
  <c r="L118" i="9"/>
  <c r="N118" i="9" s="1"/>
  <c r="L624" i="9"/>
  <c r="K624" i="9"/>
  <c r="G32" i="5"/>
  <c r="J128" i="9" s="1"/>
  <c r="J698" i="9"/>
  <c r="L698" i="9"/>
  <c r="N698" i="9" s="1"/>
  <c r="R51" i="3"/>
  <c r="N51" i="3"/>
  <c r="L51" i="3"/>
  <c r="R69" i="3"/>
  <c r="J51" i="3"/>
  <c r="N69" i="3"/>
  <c r="L69" i="3"/>
  <c r="Q26" i="3"/>
  <c r="N53" i="3"/>
  <c r="R71" i="3"/>
  <c r="J53" i="3"/>
  <c r="P71" i="3"/>
  <c r="H53" i="3"/>
  <c r="N71" i="3"/>
  <c r="J71" i="3"/>
  <c r="H89" i="3"/>
  <c r="H71" i="3"/>
  <c r="H51" i="3"/>
  <c r="F32" i="6"/>
  <c r="L625" i="9"/>
  <c r="K625" i="9"/>
  <c r="E467" i="4"/>
  <c r="L294" i="9"/>
  <c r="K294" i="9"/>
  <c r="N70" i="3"/>
  <c r="J70" i="3"/>
  <c r="H70" i="3"/>
  <c r="R52" i="3"/>
  <c r="N52" i="3"/>
  <c r="L52" i="3"/>
  <c r="L2838" i="12"/>
  <c r="N2838" i="12" s="1"/>
  <c r="E26" i="10"/>
  <c r="L863" i="9"/>
  <c r="N863" i="9" s="1"/>
  <c r="L120" i="9"/>
  <c r="N120" i="9" s="1"/>
  <c r="J120" i="9"/>
  <c r="J535" i="9"/>
  <c r="L535" i="9"/>
  <c r="N535" i="9" s="1"/>
  <c r="H69" i="3"/>
  <c r="J1106" i="9"/>
  <c r="L1106" i="9"/>
  <c r="N1106" i="9" s="1"/>
  <c r="P51" i="3"/>
  <c r="L37" i="9"/>
  <c r="N37" i="9" s="1"/>
  <c r="J37" i="9"/>
  <c r="L778" i="9"/>
  <c r="N778" i="9" s="1"/>
  <c r="J778" i="9"/>
  <c r="K1045" i="9"/>
  <c r="J1045" i="9"/>
  <c r="I1045" i="9"/>
  <c r="J14" i="6"/>
  <c r="H52" i="3"/>
  <c r="J69" i="3"/>
  <c r="H19" i="6"/>
  <c r="K138" i="9"/>
  <c r="I138" i="9"/>
  <c r="J138" i="9"/>
  <c r="J366" i="9"/>
  <c r="L366" i="9"/>
  <c r="N366" i="9" s="1"/>
  <c r="L1225" i="12"/>
  <c r="N1225" i="12" s="1"/>
  <c r="E69" i="10"/>
  <c r="J52" i="3"/>
  <c r="P69" i="3"/>
  <c r="J367" i="9"/>
  <c r="L451" i="9"/>
  <c r="N451" i="9" s="1"/>
  <c r="J451" i="9"/>
  <c r="J614" i="9"/>
  <c r="L614" i="9"/>
  <c r="N614" i="9" s="1"/>
  <c r="L944" i="9"/>
  <c r="N944" i="9" s="1"/>
  <c r="J944" i="9"/>
  <c r="P52" i="3"/>
  <c r="L211" i="9"/>
  <c r="K211" i="9"/>
  <c r="H35" i="5"/>
  <c r="H38" i="5"/>
  <c r="L70" i="3"/>
  <c r="J284" i="9"/>
  <c r="L284" i="9"/>
  <c r="N284" i="9" s="1"/>
  <c r="J798" i="9"/>
  <c r="I798" i="9"/>
  <c r="K798" i="9"/>
  <c r="L945" i="9"/>
  <c r="N945" i="9" s="1"/>
  <c r="J945" i="9"/>
  <c r="L542" i="9"/>
  <c r="L617" i="9"/>
  <c r="N617" i="9" s="1"/>
  <c r="L1025" i="9"/>
  <c r="N1025" i="9" s="1"/>
  <c r="L448" i="9"/>
  <c r="N448" i="9" s="1"/>
  <c r="J448" i="9"/>
  <c r="K543" i="9"/>
  <c r="L780" i="9"/>
  <c r="N780" i="9" s="1"/>
  <c r="L3343" i="12"/>
  <c r="N3343" i="12" s="1"/>
  <c r="E92" i="10"/>
  <c r="J285" i="9"/>
  <c r="I717" i="9"/>
  <c r="L870" i="9"/>
  <c r="J943" i="9"/>
  <c r="O39" i="11"/>
  <c r="O41" i="11" s="1"/>
  <c r="J139" i="9"/>
  <c r="I139" i="9"/>
  <c r="K28" i="9"/>
  <c r="N28" i="9" s="1"/>
  <c r="L38" i="9"/>
  <c r="N38" i="9" s="1"/>
  <c r="K47" i="9"/>
  <c r="K110" i="9"/>
  <c r="N110" i="9" s="1"/>
  <c r="K139" i="9"/>
  <c r="K377" i="9"/>
  <c r="L543" i="9"/>
  <c r="L696" i="9"/>
  <c r="N696" i="9" s="1"/>
  <c r="K707" i="9"/>
  <c r="J717" i="9"/>
  <c r="K953" i="9"/>
  <c r="E353" i="10"/>
  <c r="L1566" i="12"/>
  <c r="N1566" i="12" s="1"/>
  <c r="J1566" i="12"/>
  <c r="R50" i="3"/>
  <c r="H17" i="6"/>
  <c r="J17" i="6" s="1"/>
  <c r="J38" i="9"/>
  <c r="L47" i="9"/>
  <c r="L449" i="9"/>
  <c r="N449" i="9" s="1"/>
  <c r="L697" i="9"/>
  <c r="N697" i="9" s="1"/>
  <c r="L953" i="9"/>
  <c r="L2755" i="12"/>
  <c r="N2755" i="12" s="1"/>
  <c r="E354" i="10"/>
  <c r="L368" i="9"/>
  <c r="N368" i="9" s="1"/>
  <c r="J368" i="9"/>
  <c r="L1117" i="9"/>
  <c r="K1117" i="9"/>
  <c r="A5386" i="12" a="1"/>
  <c r="A5386" i="12" s="1"/>
  <c r="A4787" i="12" a="1"/>
  <c r="A4787" i="12" s="1"/>
  <c r="A4958" i="12" a="1"/>
  <c r="A4958" i="12" s="1"/>
  <c r="A5131" i="12" a="1"/>
  <c r="A5131" i="12" s="1"/>
  <c r="A4365" i="12" a="1"/>
  <c r="A4365" i="12" s="1"/>
  <c r="A5301" i="12" a="1"/>
  <c r="A5301" i="12" s="1"/>
  <c r="A4702" i="12" a="1"/>
  <c r="A4702" i="12" s="1"/>
  <c r="A5043" i="12" a="1"/>
  <c r="A5043" i="12" s="1"/>
  <c r="A5216" i="12" a="1"/>
  <c r="A5216" i="12" s="1"/>
  <c r="A4449" i="12" a="1"/>
  <c r="A4449" i="12" s="1"/>
  <c r="A4618" i="12" a="1"/>
  <c r="A4618" i="12" s="1"/>
  <c r="A3599" i="12" a="1"/>
  <c r="A3599" i="12" s="1"/>
  <c r="A3595" i="12" a="1"/>
  <c r="A3595" i="12" s="1"/>
  <c r="A3768" i="12" a="1"/>
  <c r="A3768" i="12" s="1"/>
  <c r="A3598" i="12" a="1"/>
  <c r="A3598" i="12" s="1"/>
  <c r="A3854" i="12" a="1"/>
  <c r="A3854" i="12" s="1"/>
  <c r="A4280" i="12" a="1"/>
  <c r="A4280" i="12" s="1"/>
  <c r="A3601" i="12" a="1"/>
  <c r="A3601" i="12" s="1"/>
  <c r="A3853" i="12" a="1"/>
  <c r="A3853" i="12" s="1"/>
  <c r="A3600" i="12" a="1"/>
  <c r="A3600" i="12" s="1"/>
  <c r="A4533" i="12" a="1"/>
  <c r="A4533" i="12" s="1"/>
  <c r="A4873" i="12" a="1"/>
  <c r="A4873" i="12" s="1"/>
  <c r="A3596" i="12" a="1"/>
  <c r="A3596" i="12" s="1"/>
  <c r="A2584" i="12" a="1"/>
  <c r="A2584" i="12" s="1"/>
  <c r="A2672" i="12" a="1"/>
  <c r="A2672" i="12" s="1"/>
  <c r="A2500" i="12" a="1"/>
  <c r="A2500" i="12" s="1"/>
  <c r="A2924" i="12" a="1"/>
  <c r="A2924" i="12" s="1"/>
  <c r="A2754" i="12" a="1"/>
  <c r="A2754" i="12" s="1"/>
  <c r="A1572" i="12" a="1"/>
  <c r="A1572" i="12" s="1"/>
  <c r="A2583" i="12" a="1"/>
  <c r="A2583" i="12" s="1"/>
  <c r="A2923" i="12" a="1"/>
  <c r="A2923" i="12" s="1"/>
  <c r="A2417" i="12" a="1"/>
  <c r="A2417" i="12" s="1"/>
  <c r="A2587" i="12" a="1"/>
  <c r="A2587" i="12" s="1"/>
  <c r="A2499" i="12" a="1"/>
  <c r="A2499" i="12" s="1"/>
  <c r="A2758" i="12" a="1"/>
  <c r="A2758" i="12" s="1"/>
  <c r="A2922" i="12" a="1"/>
  <c r="A2922" i="12" s="1"/>
  <c r="A3597" i="12" a="1"/>
  <c r="A3597" i="12" s="1"/>
  <c r="A2670" i="12" a="1"/>
  <c r="A2670" i="12" s="1"/>
  <c r="A2674" i="12" a="1"/>
  <c r="A2674" i="12" s="1"/>
  <c r="A1992" i="12" a="1"/>
  <c r="A1992" i="12" s="1"/>
  <c r="A2756" i="12" a="1"/>
  <c r="A2756" i="12" s="1"/>
  <c r="A2586" i="12" a="1"/>
  <c r="A2586" i="12" s="1"/>
  <c r="A1994" i="12" a="1"/>
  <c r="A1994" i="12" s="1"/>
  <c r="A2333" i="12" a="1"/>
  <c r="A2333" i="12" s="1"/>
  <c r="A1227" i="12" a="1"/>
  <c r="A1227" i="12" s="1"/>
  <c r="A2501" i="12" a="1"/>
  <c r="A2501" i="12" s="1"/>
  <c r="A1993" i="12" a="1"/>
  <c r="A1993" i="12" s="1"/>
  <c r="A2498" i="12" a="1"/>
  <c r="A2498" i="12" s="1"/>
  <c r="A716" i="12" a="1"/>
  <c r="A716" i="12" s="1"/>
  <c r="A2582" i="12" a="1"/>
  <c r="A2582" i="12" s="1"/>
  <c r="A1995" i="12" a="1"/>
  <c r="A1995" i="12" s="1"/>
  <c r="A1056" i="12" a="1"/>
  <c r="A1056" i="12" s="1"/>
  <c r="A630" i="12" a="1"/>
  <c r="A630" i="12" s="1"/>
  <c r="A970" i="12" a="1"/>
  <c r="A970" i="12" s="1"/>
  <c r="A1228" i="12" a="1"/>
  <c r="A1228" i="12" s="1"/>
  <c r="A715" i="12" a="1"/>
  <c r="A715" i="12" s="1"/>
  <c r="A1990" i="12" a="1"/>
  <c r="A1990" i="12" s="1"/>
  <c r="A463" i="12" a="1"/>
  <c r="A463" i="12" s="1"/>
  <c r="A460" i="12" a="1"/>
  <c r="A460" i="12" s="1"/>
  <c r="A1226" i="12" a="1"/>
  <c r="A1226" i="12" s="1"/>
  <c r="A461" i="12" a="1"/>
  <c r="A461" i="12" s="1"/>
  <c r="A1109" i="9" a="1"/>
  <c r="A1109" i="9" s="1"/>
  <c r="J68" i="3"/>
  <c r="E75" i="10"/>
  <c r="J146" i="12"/>
  <c r="I146" i="12"/>
  <c r="K128" i="9"/>
  <c r="L210" i="9"/>
  <c r="L788" i="9"/>
  <c r="L871" i="9"/>
  <c r="K146" i="12"/>
  <c r="L303" i="12"/>
  <c r="K303" i="12"/>
  <c r="J303" i="12"/>
  <c r="J400" i="12"/>
  <c r="I400" i="12"/>
  <c r="K400" i="12"/>
  <c r="K688" i="9"/>
  <c r="N688" i="9" s="1"/>
  <c r="A946" i="9" a="1"/>
  <c r="A946" i="9" s="1"/>
  <c r="L1108" i="9"/>
  <c r="N1108" i="9" s="1"/>
  <c r="J1108" i="9"/>
  <c r="L369" i="9"/>
  <c r="N369" i="9" s="1"/>
  <c r="L128" i="9"/>
  <c r="K210" i="9"/>
  <c r="K788" i="9"/>
  <c r="K789" i="9"/>
  <c r="L789" i="9"/>
  <c r="L952" i="9"/>
  <c r="J1044" i="9"/>
  <c r="I1044" i="9"/>
  <c r="L201" i="9"/>
  <c r="N201" i="9" s="1"/>
  <c r="J201" i="9"/>
  <c r="L1034" i="9"/>
  <c r="K1044" i="9"/>
  <c r="L1568" i="12"/>
  <c r="N1568" i="12" s="1"/>
  <c r="E78" i="10"/>
  <c r="K706" i="9"/>
  <c r="I716" i="9"/>
  <c r="K716" i="9"/>
  <c r="K799" i="9"/>
  <c r="J799" i="9"/>
  <c r="K376" i="9"/>
  <c r="I799" i="9"/>
  <c r="J728" i="12"/>
  <c r="K728" i="12"/>
  <c r="L728" i="12"/>
  <c r="L134" i="12"/>
  <c r="J134" i="12"/>
  <c r="K134" i="12"/>
  <c r="L2074" i="12"/>
  <c r="N2074" i="12" s="1"/>
  <c r="L2247" i="12"/>
  <c r="N2247" i="12" s="1"/>
  <c r="L291" i="12"/>
  <c r="J291" i="12"/>
  <c r="L1146" i="12"/>
  <c r="J1146" i="12"/>
  <c r="L1026" i="9"/>
  <c r="N1026" i="9" s="1"/>
  <c r="L1035" i="9"/>
  <c r="J122" i="12"/>
  <c r="L122" i="12"/>
  <c r="N122" i="12" s="1"/>
  <c r="K401" i="12"/>
  <c r="J401" i="12"/>
  <c r="I401" i="12"/>
  <c r="J1026" i="9"/>
  <c r="I1126" i="9"/>
  <c r="K231" i="12"/>
  <c r="J231" i="12"/>
  <c r="I231" i="12"/>
  <c r="K644" i="12"/>
  <c r="L644" i="12"/>
  <c r="J644" i="12"/>
  <c r="L631" i="12"/>
  <c r="N631" i="12" s="1"/>
  <c r="J631" i="12"/>
  <c r="L1480" i="12"/>
  <c r="N1480" i="12" s="1"/>
  <c r="N1488" i="12" s="1"/>
  <c r="J136" i="10"/>
  <c r="H136" i="10" s="1"/>
  <c r="E136" i="10" s="1"/>
  <c r="L219" i="12"/>
  <c r="J219" i="12"/>
  <c r="L987" i="12"/>
  <c r="J987" i="12"/>
  <c r="K987" i="12"/>
  <c r="E88" i="10"/>
  <c r="J412" i="10"/>
  <c r="H412" i="10" s="1"/>
  <c r="E412" i="10" s="1"/>
  <c r="E352" i="10"/>
  <c r="L207" i="12"/>
  <c r="N207" i="12" s="1"/>
  <c r="J207" i="12"/>
  <c r="J36" i="12"/>
  <c r="J379" i="12"/>
  <c r="L379" i="12"/>
  <c r="J546" i="12"/>
  <c r="L546" i="12"/>
  <c r="L806" i="12"/>
  <c r="J806" i="12"/>
  <c r="L1310" i="12"/>
  <c r="N1310" i="12" s="1"/>
  <c r="J1310" i="12"/>
  <c r="J486" i="12"/>
  <c r="K486" i="12"/>
  <c r="I486" i="12"/>
  <c r="L37" i="12"/>
  <c r="J37" i="12"/>
  <c r="L48" i="12"/>
  <c r="K145" i="12"/>
  <c r="J145" i="12"/>
  <c r="L205" i="12"/>
  <c r="N205" i="12" s="1"/>
  <c r="J485" i="12"/>
  <c r="K485" i="12"/>
  <c r="K902" i="12"/>
  <c r="J902" i="12"/>
  <c r="I997" i="12"/>
  <c r="K997" i="12"/>
  <c r="J997" i="12"/>
  <c r="I1167" i="12"/>
  <c r="J1167" i="12"/>
  <c r="J1397" i="12"/>
  <c r="L1397" i="12"/>
  <c r="K60" i="12"/>
  <c r="I60" i="12"/>
  <c r="K230" i="12"/>
  <c r="J230" i="12"/>
  <c r="L290" i="12"/>
  <c r="J290" i="12"/>
  <c r="K307" i="12"/>
  <c r="J307" i="12"/>
  <c r="L462" i="12"/>
  <c r="L643" i="12"/>
  <c r="K643" i="12"/>
  <c r="J643" i="12"/>
  <c r="L805" i="12"/>
  <c r="J805" i="12"/>
  <c r="L1061" i="12"/>
  <c r="J1061" i="12"/>
  <c r="L1145" i="12"/>
  <c r="J1145" i="12"/>
  <c r="L49" i="12"/>
  <c r="J49" i="12"/>
  <c r="L121" i="12"/>
  <c r="N121" i="12" s="1"/>
  <c r="L133" i="12"/>
  <c r="I230" i="12"/>
  <c r="L307" i="12"/>
  <c r="L389" i="12"/>
  <c r="J389" i="12"/>
  <c r="L1231" i="12"/>
  <c r="J1231" i="12"/>
  <c r="L1398" i="12"/>
  <c r="J1398" i="12"/>
  <c r="K1931" i="12"/>
  <c r="J1931" i="12"/>
  <c r="K50" i="12"/>
  <c r="J50" i="12"/>
  <c r="K61" i="12"/>
  <c r="J61" i="12"/>
  <c r="K655" i="12"/>
  <c r="J655" i="12"/>
  <c r="I655" i="12"/>
  <c r="L1570" i="12"/>
  <c r="N1570" i="12" s="1"/>
  <c r="J1570" i="12"/>
  <c r="L39" i="12"/>
  <c r="J39" i="12"/>
  <c r="L123" i="12"/>
  <c r="N123" i="12" s="1"/>
  <c r="J123" i="12"/>
  <c r="K147" i="12"/>
  <c r="J147" i="12"/>
  <c r="I147" i="12"/>
  <c r="J220" i="12"/>
  <c r="L220" i="12"/>
  <c r="K220" i="12"/>
  <c r="L292" i="12"/>
  <c r="J292" i="12"/>
  <c r="K390" i="12"/>
  <c r="L390" i="12"/>
  <c r="J390" i="12"/>
  <c r="K402" i="12"/>
  <c r="J402" i="12"/>
  <c r="I402" i="12"/>
  <c r="J552" i="12"/>
  <c r="L552" i="12"/>
  <c r="K135" i="12"/>
  <c r="J135" i="12"/>
  <c r="L135" i="12"/>
  <c r="L209" i="12"/>
  <c r="N808" i="12"/>
  <c r="L1238" i="12"/>
  <c r="J1238" i="12"/>
  <c r="K1238" i="12"/>
  <c r="J1657" i="12"/>
  <c r="L1657" i="12"/>
  <c r="L124" i="12"/>
  <c r="J124" i="12"/>
  <c r="K391" i="12"/>
  <c r="J391" i="12"/>
  <c r="J465" i="12"/>
  <c r="L558" i="12"/>
  <c r="K558" i="12"/>
  <c r="J558" i="12"/>
  <c r="J972" i="12"/>
  <c r="L972" i="12"/>
  <c r="L1650" i="12"/>
  <c r="N1650" i="12" s="1"/>
  <c r="J1650" i="12"/>
  <c r="L40" i="12"/>
  <c r="J40" i="12"/>
  <c r="L51" i="12"/>
  <c r="K51" i="12"/>
  <c r="J51" i="12"/>
  <c r="L221" i="12"/>
  <c r="K221" i="12"/>
  <c r="J221" i="12"/>
  <c r="L293" i="12"/>
  <c r="J293" i="12"/>
  <c r="L391" i="12"/>
  <c r="J633" i="12"/>
  <c r="L718" i="12"/>
  <c r="L813" i="12"/>
  <c r="K813" i="12"/>
  <c r="J813" i="12"/>
  <c r="L892" i="12"/>
  <c r="K1251" i="12"/>
  <c r="J1251" i="12"/>
  <c r="I1251" i="12"/>
  <c r="N1300" i="12"/>
  <c r="L136" i="12"/>
  <c r="K136" i="12"/>
  <c r="J136" i="12"/>
  <c r="J210" i="12"/>
  <c r="J315" i="12"/>
  <c r="K315" i="12"/>
  <c r="J380" i="12"/>
  <c r="L466" i="12"/>
  <c r="J466" i="12"/>
  <c r="K476" i="12"/>
  <c r="J547" i="12"/>
  <c r="N648" i="12"/>
  <c r="L730" i="12"/>
  <c r="K730" i="12"/>
  <c r="J730" i="12"/>
  <c r="L886" i="12"/>
  <c r="J886" i="12"/>
  <c r="L1140" i="12"/>
  <c r="N1140" i="12" s="1"/>
  <c r="N1148" i="12" s="1"/>
  <c r="K222" i="12"/>
  <c r="J222" i="12"/>
  <c r="L634" i="12"/>
  <c r="J634" i="12"/>
  <c r="K814" i="12"/>
  <c r="J814" i="12"/>
  <c r="I1252" i="12"/>
  <c r="K1252" i="12"/>
  <c r="L1494" i="12"/>
  <c r="K1494" i="12"/>
  <c r="L1652" i="12"/>
  <c r="J1652" i="12"/>
  <c r="L41" i="12"/>
  <c r="J41" i="12"/>
  <c r="J294" i="12"/>
  <c r="L381" i="12"/>
  <c r="J381" i="12"/>
  <c r="J392" i="12"/>
  <c r="J719" i="12"/>
  <c r="I825" i="12"/>
  <c r="J825" i="12"/>
  <c r="K825" i="12"/>
  <c r="J1252" i="12"/>
  <c r="L1314" i="12"/>
  <c r="N1314" i="12" s="1"/>
  <c r="J1494" i="12"/>
  <c r="L137" i="12"/>
  <c r="J137" i="12"/>
  <c r="J211" i="12"/>
  <c r="L222" i="12"/>
  <c r="K316" i="12"/>
  <c r="J316" i="12"/>
  <c r="J375" i="12"/>
  <c r="L375" i="12"/>
  <c r="L392" i="12"/>
  <c r="L635" i="12"/>
  <c r="J635" i="12"/>
  <c r="J731" i="12"/>
  <c r="L802" i="12"/>
  <c r="J802" i="12"/>
  <c r="L814" i="12"/>
  <c r="I911" i="12"/>
  <c r="K911" i="12"/>
  <c r="L974" i="12"/>
  <c r="J974" i="12"/>
  <c r="L1483" i="12"/>
  <c r="J1483" i="12"/>
  <c r="I316" i="12"/>
  <c r="L560" i="12"/>
  <c r="K560" i="12"/>
  <c r="K571" i="12"/>
  <c r="J571" i="12"/>
  <c r="K731" i="12"/>
  <c r="N818" i="12"/>
  <c r="L899" i="12"/>
  <c r="K899" i="12"/>
  <c r="J899" i="12"/>
  <c r="J911" i="12"/>
  <c r="J1070" i="12"/>
  <c r="L1070" i="12"/>
  <c r="K1070" i="12"/>
  <c r="L1240" i="12"/>
  <c r="J1240" i="12"/>
  <c r="K1240" i="12"/>
  <c r="K1411" i="12"/>
  <c r="J1411" i="12"/>
  <c r="L1411" i="12"/>
  <c r="K1495" i="12"/>
  <c r="L1495" i="12"/>
  <c r="J1495" i="12"/>
  <c r="L35" i="12"/>
  <c r="N35" i="12" s="1"/>
  <c r="J35" i="12"/>
  <c r="N383" i="12"/>
  <c r="L473" i="12"/>
  <c r="K473" i="12"/>
  <c r="K742" i="12"/>
  <c r="J742" i="12"/>
  <c r="I742" i="12"/>
  <c r="J803" i="12"/>
  <c r="L803" i="12"/>
  <c r="L1059" i="12"/>
  <c r="J1059" i="12"/>
  <c r="J1484" i="12"/>
  <c r="L1484" i="12"/>
  <c r="L47" i="12"/>
  <c r="L126" i="12"/>
  <c r="J295" i="12"/>
  <c r="L376" i="12"/>
  <c r="J376" i="12"/>
  <c r="J473" i="12"/>
  <c r="J560" i="12"/>
  <c r="L647" i="12"/>
  <c r="K647" i="12"/>
  <c r="J647" i="12"/>
  <c r="J826" i="12"/>
  <c r="J888" i="12"/>
  <c r="L888" i="12"/>
  <c r="J900" i="12"/>
  <c r="L900" i="12"/>
  <c r="K900" i="12"/>
  <c r="L1071" i="12"/>
  <c r="J1071" i="12"/>
  <c r="K1071" i="12"/>
  <c r="K1082" i="12"/>
  <c r="I1082" i="12"/>
  <c r="J721" i="12"/>
  <c r="L721" i="12"/>
  <c r="K1155" i="12"/>
  <c r="L1155" i="12"/>
  <c r="J1155" i="12"/>
  <c r="L1412" i="12"/>
  <c r="K1412" i="12"/>
  <c r="J1412" i="12"/>
  <c r="K24" i="12"/>
  <c r="N24" i="12" s="1"/>
  <c r="K59" i="12"/>
  <c r="J59" i="12"/>
  <c r="I59" i="12"/>
  <c r="L120" i="12"/>
  <c r="N120" i="12" s="1"/>
  <c r="J120" i="12"/>
  <c r="L127" i="12"/>
  <c r="J127" i="12"/>
  <c r="I144" i="12"/>
  <c r="K144" i="12"/>
  <c r="J144" i="12"/>
  <c r="L296" i="12"/>
  <c r="J296" i="12"/>
  <c r="K388" i="12"/>
  <c r="J388" i="12"/>
  <c r="L637" i="12"/>
  <c r="J637" i="12"/>
  <c r="I827" i="12"/>
  <c r="K827" i="12"/>
  <c r="J827" i="12"/>
  <c r="J901" i="12"/>
  <c r="L901" i="12"/>
  <c r="K901" i="12"/>
  <c r="J996" i="12"/>
  <c r="K996" i="12"/>
  <c r="I996" i="12"/>
  <c r="J1242" i="12"/>
  <c r="L1242" i="12"/>
  <c r="J1396" i="12"/>
  <c r="J2007" i="12"/>
  <c r="L2007" i="12"/>
  <c r="K2007" i="12"/>
  <c r="K48" i="12"/>
  <c r="L306" i="12"/>
  <c r="J1144" i="12"/>
  <c r="L1144" i="12"/>
  <c r="K1242" i="12"/>
  <c r="K487" i="12"/>
  <c r="L561" i="12"/>
  <c r="K232" i="12"/>
  <c r="L1046" i="12"/>
  <c r="N1046" i="12" s="1"/>
  <c r="J1143" i="12"/>
  <c r="L1157" i="12"/>
  <c r="K1157" i="12"/>
  <c r="J1157" i="12"/>
  <c r="I1166" i="12"/>
  <c r="J1230" i="12"/>
  <c r="L1313" i="12"/>
  <c r="N1313" i="12" s="1"/>
  <c r="J1313" i="12"/>
  <c r="J1737" i="12"/>
  <c r="L1737" i="12"/>
  <c r="N1737" i="12" s="1"/>
  <c r="J297" i="12"/>
  <c r="I317" i="12"/>
  <c r="J467" i="12"/>
  <c r="I570" i="12"/>
  <c r="J656" i="12"/>
  <c r="L717" i="12"/>
  <c r="L976" i="12"/>
  <c r="J1057" i="12"/>
  <c r="K1166" i="12"/>
  <c r="J1323" i="12"/>
  <c r="L1400" i="12"/>
  <c r="J1400" i="12"/>
  <c r="L2249" i="12"/>
  <c r="N2249" i="12" s="1"/>
  <c r="J2249" i="12"/>
  <c r="J317" i="12"/>
  <c r="J382" i="12"/>
  <c r="J570" i="12"/>
  <c r="K656" i="12"/>
  <c r="L1068" i="12"/>
  <c r="J1153" i="12"/>
  <c r="J1241" i="12"/>
  <c r="K1323" i="12"/>
  <c r="J1482" i="12"/>
  <c r="J378" i="12"/>
  <c r="J545" i="12"/>
  <c r="J562" i="12"/>
  <c r="J722" i="12"/>
  <c r="I995" i="12"/>
  <c r="N1073" i="12"/>
  <c r="L1153" i="12"/>
  <c r="K1241" i="12"/>
  <c r="L2077" i="12"/>
  <c r="N2077" i="12" s="1"/>
  <c r="J2077" i="12"/>
  <c r="K2100" i="12"/>
  <c r="J2100" i="12"/>
  <c r="J2414" i="12"/>
  <c r="L2343" i="12"/>
  <c r="K2343" i="12"/>
  <c r="J2343" i="12"/>
  <c r="N553" i="12"/>
  <c r="J1395" i="12"/>
  <c r="L1395" i="12"/>
  <c r="N1395" i="12" s="1"/>
  <c r="N1403" i="12" s="1"/>
  <c r="J1749" i="12"/>
  <c r="L1749" i="12"/>
  <c r="K1749" i="12"/>
  <c r="L2078" i="12"/>
  <c r="J2078" i="12"/>
  <c r="J1507" i="12"/>
  <c r="L1750" i="12"/>
  <c r="K1750" i="12"/>
  <c r="I2612" i="12"/>
  <c r="K2612" i="12"/>
  <c r="J2612" i="12"/>
  <c r="J1421" i="12"/>
  <c r="K1421" i="12"/>
  <c r="I1421" i="12"/>
  <c r="L1567" i="12"/>
  <c r="N1567" i="12" s="1"/>
  <c r="J1567" i="12"/>
  <c r="L1581" i="12"/>
  <c r="K1581" i="12"/>
  <c r="J1761" i="12"/>
  <c r="I1761" i="12"/>
  <c r="K1932" i="12"/>
  <c r="J1932" i="12"/>
  <c r="I1932" i="12"/>
  <c r="L1996" i="12"/>
  <c r="J1996" i="12"/>
  <c r="L477" i="12"/>
  <c r="J732" i="12"/>
  <c r="L898" i="12"/>
  <c r="L1141" i="12"/>
  <c r="J1141" i="12"/>
  <c r="J1325" i="12"/>
  <c r="J1485" i="12"/>
  <c r="K1592" i="12"/>
  <c r="J1592" i="12"/>
  <c r="K1761" i="12"/>
  <c r="K1845" i="12"/>
  <c r="I1845" i="12"/>
  <c r="L1911" i="12"/>
  <c r="J1911" i="12"/>
  <c r="L1997" i="12"/>
  <c r="J1997" i="12"/>
  <c r="J2514" i="12"/>
  <c r="L2514" i="12"/>
  <c r="K2514" i="12"/>
  <c r="L1569" i="12"/>
  <c r="N1569" i="12" s="1"/>
  <c r="J1569" i="12"/>
  <c r="J1675" i="12"/>
  <c r="I1675" i="12"/>
  <c r="K1675" i="12"/>
  <c r="K572" i="12"/>
  <c r="J889" i="12"/>
  <c r="K912" i="12"/>
  <c r="J912" i="12"/>
  <c r="L1311" i="12"/>
  <c r="N1311" i="12" s="1"/>
  <c r="J1316" i="12"/>
  <c r="K1335" i="12"/>
  <c r="I1335" i="12"/>
  <c r="J1422" i="12"/>
  <c r="L1741" i="12"/>
  <c r="L1834" i="12"/>
  <c r="K1834" i="12"/>
  <c r="J1834" i="12"/>
  <c r="K1922" i="12"/>
  <c r="J1922" i="12"/>
  <c r="L1922" i="12"/>
  <c r="J720" i="12"/>
  <c r="J729" i="12"/>
  <c r="J815" i="12"/>
  <c r="K984" i="12"/>
  <c r="K1422" i="12"/>
  <c r="J1480" i="12"/>
  <c r="J3094" i="12"/>
  <c r="L3094" i="12"/>
  <c r="K729" i="12"/>
  <c r="K815" i="12"/>
  <c r="L984" i="12"/>
  <c r="L1317" i="12"/>
  <c r="J1317" i="12"/>
  <c r="K1676" i="12"/>
  <c r="J1676" i="12"/>
  <c r="I1676" i="12"/>
  <c r="L1735" i="12"/>
  <c r="N1735" i="12" s="1"/>
  <c r="J1735" i="12"/>
  <c r="L2259" i="12"/>
  <c r="J2259" i="12"/>
  <c r="K2259" i="12"/>
  <c r="I741" i="12"/>
  <c r="J885" i="12"/>
  <c r="J1142" i="12"/>
  <c r="J1147" i="12"/>
  <c r="J1229" i="12"/>
  <c r="L1654" i="12"/>
  <c r="J1654" i="12"/>
  <c r="J1823" i="12"/>
  <c r="J1835" i="12"/>
  <c r="L1835" i="12"/>
  <c r="K1835" i="12"/>
  <c r="K1847" i="12"/>
  <c r="J1847" i="12"/>
  <c r="I1847" i="12"/>
  <c r="J462" i="12"/>
  <c r="I487" i="12"/>
  <c r="J561" i="12"/>
  <c r="J741" i="12"/>
  <c r="J890" i="12"/>
  <c r="J975" i="12"/>
  <c r="J1062" i="12"/>
  <c r="J1156" i="12"/>
  <c r="N1413" i="12"/>
  <c r="L1571" i="12"/>
  <c r="N1571" i="12" s="1"/>
  <c r="J1571" i="12"/>
  <c r="K1665" i="12"/>
  <c r="J2428" i="12"/>
  <c r="L2428" i="12"/>
  <c r="K2428" i="12"/>
  <c r="L548" i="12"/>
  <c r="L807" i="12"/>
  <c r="L971" i="12"/>
  <c r="N971" i="12" s="1"/>
  <c r="J1072" i="12"/>
  <c r="K1156" i="12"/>
  <c r="L1312" i="12"/>
  <c r="N1312" i="12" s="1"/>
  <c r="K1409" i="12"/>
  <c r="J1409" i="12"/>
  <c r="L1665" i="12"/>
  <c r="L1736" i="12"/>
  <c r="N1736" i="12" s="1"/>
  <c r="J1736" i="12"/>
  <c r="L1824" i="12"/>
  <c r="J1824" i="12"/>
  <c r="L1918" i="12"/>
  <c r="K1918" i="12"/>
  <c r="J1918" i="12"/>
  <c r="K2087" i="12"/>
  <c r="L2260" i="12"/>
  <c r="K2260" i="12"/>
  <c r="J2260" i="12"/>
  <c r="L1738" i="12"/>
  <c r="J1738" i="12"/>
  <c r="L1822" i="12"/>
  <c r="J1822" i="12"/>
  <c r="K2440" i="12"/>
  <c r="J2440" i="12"/>
  <c r="I2440" i="12"/>
  <c r="L1580" i="12"/>
  <c r="K1580" i="12"/>
  <c r="J1580" i="12"/>
  <c r="K1590" i="12"/>
  <c r="J1590" i="12"/>
  <c r="K1833" i="12"/>
  <c r="L1833" i="12"/>
  <c r="J1833" i="12"/>
  <c r="L1919" i="12"/>
  <c r="K1919" i="12"/>
  <c r="J2337" i="12"/>
  <c r="L2337" i="12"/>
  <c r="J2427" i="12"/>
  <c r="L2427" i="12"/>
  <c r="K2427" i="12"/>
  <c r="K2488" i="12"/>
  <c r="N2488" i="12" s="1"/>
  <c r="N1498" i="12"/>
  <c r="J2695" i="12"/>
  <c r="I2695" i="12"/>
  <c r="K2695" i="12"/>
  <c r="L2429" i="12"/>
  <c r="K2429" i="12"/>
  <c r="J2429" i="12"/>
  <c r="J2925" i="12"/>
  <c r="L2925" i="12"/>
  <c r="J2271" i="12"/>
  <c r="K2271" i="12"/>
  <c r="N2271" i="12" s="1"/>
  <c r="I2271" i="12"/>
  <c r="K2601" i="12"/>
  <c r="L2601" i="12"/>
  <c r="K1555" i="12"/>
  <c r="N1555" i="12" s="1"/>
  <c r="N1668" i="12"/>
  <c r="L2003" i="12"/>
  <c r="J2003" i="12"/>
  <c r="J2601" i="12"/>
  <c r="L2926" i="12"/>
  <c r="J2926" i="12"/>
  <c r="J1666" i="12"/>
  <c r="L1666" i="12"/>
  <c r="J1760" i="12"/>
  <c r="I1760" i="12"/>
  <c r="K1846" i="12"/>
  <c r="J1846" i="12"/>
  <c r="I1846" i="12"/>
  <c r="L2089" i="12"/>
  <c r="K2089" i="12"/>
  <c r="L2248" i="12"/>
  <c r="N2248" i="12" s="1"/>
  <c r="J2248" i="12"/>
  <c r="L2332" i="12"/>
  <c r="N2332" i="12" s="1"/>
  <c r="L2585" i="12"/>
  <c r="N2585" i="12" s="1"/>
  <c r="L1496" i="12"/>
  <c r="J1496" i="12"/>
  <c r="L1578" i="12"/>
  <c r="J1578" i="12"/>
  <c r="K1667" i="12"/>
  <c r="J1667" i="12"/>
  <c r="L1667" i="12"/>
  <c r="L2073" i="12"/>
  <c r="N2073" i="12" s="1"/>
  <c r="J2073" i="12"/>
  <c r="K2090" i="12"/>
  <c r="L2090" i="12"/>
  <c r="J2090" i="12"/>
  <c r="L2431" i="12"/>
  <c r="K2431" i="12"/>
  <c r="J2431" i="12"/>
  <c r="J2761" i="12"/>
  <c r="L2761" i="12"/>
  <c r="L2852" i="12"/>
  <c r="K2852" i="12"/>
  <c r="J2852" i="12"/>
  <c r="L1820" i="12"/>
  <c r="N1820" i="12" s="1"/>
  <c r="N1828" i="12" s="1"/>
  <c r="L2250" i="12"/>
  <c r="N2250" i="12" s="1"/>
  <c r="L2418" i="12"/>
  <c r="N2418" i="12" s="1"/>
  <c r="J2418" i="12"/>
  <c r="L2080" i="12"/>
  <c r="L2419" i="12"/>
  <c r="N2419" i="12" s="1"/>
  <c r="J2419" i="12"/>
  <c r="K2572" i="12"/>
  <c r="N2572" i="12" s="1"/>
  <c r="L2262" i="12"/>
  <c r="K2262" i="12"/>
  <c r="J2262" i="12"/>
  <c r="L2671" i="12"/>
  <c r="N2671" i="12" s="1"/>
  <c r="J2671" i="12"/>
  <c r="L1837" i="12"/>
  <c r="K1837" i="12"/>
  <c r="J1837" i="12"/>
  <c r="L2005" i="12"/>
  <c r="K2005" i="12"/>
  <c r="J2005" i="12"/>
  <c r="L1055" i="12"/>
  <c r="N1055" i="12" s="1"/>
  <c r="K1081" i="12"/>
  <c r="I1081" i="12"/>
  <c r="J1579" i="12"/>
  <c r="J1821" i="12"/>
  <c r="J1907" i="12"/>
  <c r="J1493" i="12"/>
  <c r="J1663" i="12"/>
  <c r="J1827" i="12"/>
  <c r="K2006" i="12"/>
  <c r="J2006" i="12"/>
  <c r="L2336" i="12"/>
  <c r="J2336" i="12"/>
  <c r="K2439" i="12"/>
  <c r="J2439" i="12"/>
  <c r="I2439" i="12"/>
  <c r="I2610" i="12"/>
  <c r="J2610" i="12"/>
  <c r="K3117" i="12"/>
  <c r="J3117" i="12"/>
  <c r="K2086" i="12"/>
  <c r="J2086" i="12"/>
  <c r="K3535" i="12"/>
  <c r="J3535" i="12"/>
  <c r="I3535" i="12"/>
  <c r="L5398" i="12"/>
  <c r="K5398" i="12"/>
  <c r="J5398" i="12"/>
  <c r="K2272" i="12"/>
  <c r="J2272" i="12"/>
  <c r="I2272" i="12"/>
  <c r="L2515" i="12"/>
  <c r="K2515" i="12"/>
  <c r="J2515" i="12"/>
  <c r="J2585" i="12"/>
  <c r="L3019" i="12"/>
  <c r="J3019" i="12"/>
  <c r="K4050" i="12"/>
  <c r="J4050" i="12"/>
  <c r="I4050" i="12"/>
  <c r="J2016" i="12"/>
  <c r="L2076" i="12"/>
  <c r="N2076" i="12" s="1"/>
  <c r="L2086" i="12"/>
  <c r="J2441" i="12"/>
  <c r="I2441" i="12"/>
  <c r="J2683" i="12"/>
  <c r="I2779" i="12"/>
  <c r="J2779" i="12"/>
  <c r="N3435" i="12"/>
  <c r="K3524" i="12"/>
  <c r="L3524" i="12"/>
  <c r="L4040" i="12"/>
  <c r="K4040" i="12"/>
  <c r="J4040" i="12"/>
  <c r="L2335" i="12"/>
  <c r="N2335" i="12" s="1"/>
  <c r="J2335" i="12"/>
  <c r="K2611" i="12"/>
  <c r="J2611" i="12"/>
  <c r="I2611" i="12"/>
  <c r="L2684" i="12"/>
  <c r="J2684" i="12"/>
  <c r="K2779" i="12"/>
  <c r="L3020" i="12"/>
  <c r="K3020" i="12"/>
  <c r="J3020" i="12"/>
  <c r="L3511" i="12"/>
  <c r="J3511" i="12"/>
  <c r="L3007" i="12"/>
  <c r="N3007" i="12" s="1"/>
  <c r="L3525" i="12"/>
  <c r="K3525" i="12"/>
  <c r="L3008" i="12"/>
  <c r="N3008" i="12" s="1"/>
  <c r="J3008" i="12"/>
  <c r="L3191" i="12"/>
  <c r="K3191" i="12"/>
  <c r="J3191" i="12"/>
  <c r="K2853" i="12"/>
  <c r="J2853" i="12"/>
  <c r="L2853" i="12"/>
  <c r="J2947" i="12"/>
  <c r="I2947" i="12"/>
  <c r="K2947" i="12"/>
  <c r="L3526" i="12"/>
  <c r="J3526" i="12"/>
  <c r="K3526" i="12"/>
  <c r="K1921" i="12"/>
  <c r="J1921" i="12"/>
  <c r="L2927" i="12"/>
  <c r="J2927" i="12"/>
  <c r="L3103" i="12"/>
  <c r="N3103" i="12" s="1"/>
  <c r="K3103" i="12"/>
  <c r="L3192" i="12"/>
  <c r="K3192" i="12"/>
  <c r="J3192" i="12"/>
  <c r="L3782" i="12"/>
  <c r="J3782" i="12"/>
  <c r="K3782" i="12"/>
  <c r="L3857" i="12"/>
  <c r="J3857" i="12"/>
  <c r="L1742" i="12"/>
  <c r="J1742" i="12"/>
  <c r="L2331" i="12"/>
  <c r="N2331" i="12" s="1"/>
  <c r="J2331" i="12"/>
  <c r="J2355" i="12"/>
  <c r="I2355" i="12"/>
  <c r="L2512" i="12"/>
  <c r="K2512" i="12"/>
  <c r="J2512" i="12"/>
  <c r="J2602" i="12"/>
  <c r="L2602" i="12"/>
  <c r="K2602" i="12"/>
  <c r="L2757" i="12"/>
  <c r="N2757" i="12" s="1"/>
  <c r="L3175" i="12"/>
  <c r="N3175" i="12" s="1"/>
  <c r="K2355" i="12"/>
  <c r="J2592" i="12"/>
  <c r="J2757" i="12"/>
  <c r="K3104" i="12"/>
  <c r="K3794" i="12"/>
  <c r="I3794" i="12"/>
  <c r="J3794" i="12"/>
  <c r="L1655" i="12"/>
  <c r="J1655" i="12"/>
  <c r="J1664" i="12"/>
  <c r="J1751" i="12"/>
  <c r="N1838" i="12"/>
  <c r="L1991" i="12"/>
  <c r="N1991" i="12" s="1"/>
  <c r="J2088" i="12"/>
  <c r="J2346" i="12"/>
  <c r="J2513" i="12"/>
  <c r="L2513" i="12"/>
  <c r="K2523" i="12"/>
  <c r="J2523" i="12"/>
  <c r="I2523" i="12"/>
  <c r="J2686" i="12"/>
  <c r="L2686" i="12"/>
  <c r="L2839" i="12"/>
  <c r="N2839" i="12" s="1"/>
  <c r="J2948" i="12"/>
  <c r="L3181" i="12"/>
  <c r="J3181" i="12"/>
  <c r="I3282" i="12"/>
  <c r="L2855" i="12"/>
  <c r="K2855" i="12"/>
  <c r="J2855" i="12"/>
  <c r="K3105" i="12"/>
  <c r="J3105" i="12"/>
  <c r="L3105" i="12"/>
  <c r="L3266" i="12"/>
  <c r="J3266" i="12"/>
  <c r="K1582" i="12"/>
  <c r="L1651" i="12"/>
  <c r="N1651" i="12" s="1"/>
  <c r="J1651" i="12"/>
  <c r="K2261" i="12"/>
  <c r="J2261" i="12"/>
  <c r="J2332" i="12"/>
  <c r="I2356" i="12"/>
  <c r="J2524" i="12"/>
  <c r="I2524" i="12"/>
  <c r="K2598" i="12"/>
  <c r="J2598" i="12"/>
  <c r="L2840" i="12"/>
  <c r="N2840" i="12" s="1"/>
  <c r="J2840" i="12"/>
  <c r="L3011" i="12"/>
  <c r="N3011" i="12" s="1"/>
  <c r="L3610" i="12"/>
  <c r="K3610" i="12"/>
  <c r="L2261" i="12"/>
  <c r="J2356" i="12"/>
  <c r="K2524" i="12"/>
  <c r="K2687" i="12"/>
  <c r="J2687" i="12"/>
  <c r="K2949" i="12"/>
  <c r="J2949" i="12"/>
  <c r="I2949" i="12"/>
  <c r="K3023" i="12"/>
  <c r="J3023" i="12"/>
  <c r="I3454" i="12"/>
  <c r="K3454" i="12"/>
  <c r="J3454" i="12"/>
  <c r="K2347" i="12"/>
  <c r="J2347" i="12"/>
  <c r="L2503" i="12"/>
  <c r="J2503" i="12"/>
  <c r="L2598" i="12"/>
  <c r="L3259" i="12"/>
  <c r="N3259" i="12" s="1"/>
  <c r="N3267" i="12" s="1"/>
  <c r="J3259" i="12"/>
  <c r="L3265" i="12"/>
  <c r="J3265" i="12"/>
  <c r="K3276" i="12"/>
  <c r="L3276" i="12"/>
  <c r="J3276" i="12"/>
  <c r="K3452" i="12"/>
  <c r="J3452" i="12"/>
  <c r="I3452" i="12"/>
  <c r="N3519" i="12"/>
  <c r="K3781" i="12"/>
  <c r="J3781" i="12"/>
  <c r="L3781" i="12"/>
  <c r="K2696" i="12"/>
  <c r="I2696" i="12"/>
  <c r="L2767" i="12"/>
  <c r="K2767" i="12"/>
  <c r="J3453" i="12"/>
  <c r="K3453" i="12"/>
  <c r="I3453" i="12"/>
  <c r="J3856" i="12"/>
  <c r="L3856" i="12"/>
  <c r="L4114" i="12"/>
  <c r="J4114" i="12"/>
  <c r="K2771" i="12"/>
  <c r="L3010" i="12"/>
  <c r="N3010" i="12" s="1"/>
  <c r="I3202" i="12"/>
  <c r="L3357" i="12"/>
  <c r="K3357" i="12"/>
  <c r="K3622" i="12"/>
  <c r="I3622" i="12"/>
  <c r="J4030" i="12"/>
  <c r="L4030" i="12"/>
  <c r="L3272" i="12"/>
  <c r="K3272" i="12"/>
  <c r="J3622" i="12"/>
  <c r="L3770" i="12"/>
  <c r="J3770" i="12"/>
  <c r="L4031" i="12"/>
  <c r="J4031" i="12"/>
  <c r="J4281" i="12"/>
  <c r="L4281" i="12"/>
  <c r="N4281" i="12" s="1"/>
  <c r="J3011" i="12"/>
  <c r="L3261" i="12"/>
  <c r="J3261" i="12"/>
  <c r="L3443" i="12"/>
  <c r="K3443" i="12"/>
  <c r="J3443" i="12"/>
  <c r="L4294" i="12"/>
  <c r="K4294" i="12"/>
  <c r="J4294" i="12"/>
  <c r="K4381" i="12"/>
  <c r="J4381" i="12"/>
  <c r="L4381" i="12"/>
  <c r="L3177" i="12"/>
  <c r="N3177" i="12" s="1"/>
  <c r="J3177" i="12"/>
  <c r="J3538" i="12"/>
  <c r="K3538" i="12"/>
  <c r="I3538" i="12"/>
  <c r="L3771" i="12"/>
  <c r="J3771" i="12"/>
  <c r="L4370" i="12"/>
  <c r="J4370" i="12"/>
  <c r="L5146" i="12"/>
  <c r="K5146" i="12"/>
  <c r="J5146" i="12"/>
  <c r="J2928" i="12"/>
  <c r="L3006" i="12"/>
  <c r="N3006" i="12" s="1"/>
  <c r="K3273" i="12"/>
  <c r="L3613" i="12"/>
  <c r="K3613" i="12"/>
  <c r="J3613" i="12"/>
  <c r="K2854" i="12"/>
  <c r="I2863" i="12"/>
  <c r="K3021" i="12"/>
  <c r="J3021" i="12"/>
  <c r="J3106" i="12"/>
  <c r="J3284" i="12"/>
  <c r="I3284" i="12"/>
  <c r="L3433" i="12"/>
  <c r="J3433" i="12"/>
  <c r="J3690" i="12"/>
  <c r="L3690" i="12"/>
  <c r="L3772" i="12"/>
  <c r="J3772" i="12"/>
  <c r="I2781" i="12"/>
  <c r="L2854" i="12"/>
  <c r="J2863" i="12"/>
  <c r="K3106" i="12"/>
  <c r="K3284" i="12"/>
  <c r="J3359" i="12"/>
  <c r="L3428" i="12"/>
  <c r="J3428" i="12"/>
  <c r="J3710" i="12"/>
  <c r="I3710" i="12"/>
  <c r="L3946" i="12"/>
  <c r="J3946" i="12"/>
  <c r="K4122" i="12"/>
  <c r="L4122" i="12"/>
  <c r="J4122" i="12"/>
  <c r="L5217" i="12"/>
  <c r="J5217" i="12"/>
  <c r="J2421" i="12"/>
  <c r="K2599" i="12"/>
  <c r="L2759" i="12"/>
  <c r="N2759" i="12" s="1"/>
  <c r="K2781" i="12"/>
  <c r="J3007" i="12"/>
  <c r="J3012" i="12"/>
  <c r="L3021" i="12"/>
  <c r="J3091" i="12"/>
  <c r="L3096" i="12"/>
  <c r="L3188" i="12"/>
  <c r="L3359" i="12"/>
  <c r="K3710" i="12"/>
  <c r="K4634" i="12"/>
  <c r="L4634" i="12"/>
  <c r="J4634" i="12"/>
  <c r="L2676" i="12"/>
  <c r="N2676" i="12" s="1"/>
  <c r="K2685" i="12"/>
  <c r="J2769" i="12"/>
  <c r="J2929" i="12"/>
  <c r="L3263" i="12"/>
  <c r="J3263" i="12"/>
  <c r="J3516" i="12"/>
  <c r="K3785" i="12"/>
  <c r="L3785" i="12"/>
  <c r="J3785" i="12"/>
  <c r="L2685" i="12"/>
  <c r="K2769" i="12"/>
  <c r="L3684" i="12"/>
  <c r="J3684" i="12"/>
  <c r="L4200" i="12"/>
  <c r="J4200" i="12"/>
  <c r="J3097" i="12"/>
  <c r="L3517" i="12"/>
  <c r="J3517" i="12"/>
  <c r="K3866" i="12"/>
  <c r="L3866" i="12"/>
  <c r="J4285" i="12"/>
  <c r="L4285" i="12"/>
  <c r="L3092" i="12"/>
  <c r="K3275" i="12"/>
  <c r="J3275" i="12"/>
  <c r="L3774" i="12"/>
  <c r="J3774" i="12"/>
  <c r="J3866" i="12"/>
  <c r="I4303" i="12"/>
  <c r="K2939" i="12"/>
  <c r="J2939" i="12"/>
  <c r="L3344" i="12"/>
  <c r="N3344" i="12" s="1"/>
  <c r="J3344" i="12"/>
  <c r="J3518" i="12"/>
  <c r="L3518" i="12"/>
  <c r="L4201" i="12"/>
  <c r="J4201" i="12"/>
  <c r="L4701" i="12"/>
  <c r="N4701" i="12" s="1"/>
  <c r="J4701" i="12"/>
  <c r="N2856" i="12"/>
  <c r="L3190" i="12"/>
  <c r="J3190" i="12"/>
  <c r="L3867" i="12"/>
  <c r="K3867" i="12"/>
  <c r="J3867" i="12"/>
  <c r="L4369" i="12"/>
  <c r="J4369" i="12"/>
  <c r="L4380" i="12"/>
  <c r="K4380" i="12"/>
  <c r="J4380" i="12"/>
  <c r="N4524" i="12"/>
  <c r="N4523" i="12"/>
  <c r="L5144" i="12"/>
  <c r="K5144" i="12"/>
  <c r="J5144" i="12"/>
  <c r="L3855" i="12"/>
  <c r="J3855" i="12"/>
  <c r="L4199" i="12"/>
  <c r="K4984" i="12"/>
  <c r="J4984" i="12"/>
  <c r="I4984" i="12"/>
  <c r="I3963" i="12"/>
  <c r="L4885" i="12"/>
  <c r="K4885" i="12"/>
  <c r="J4885" i="12"/>
  <c r="L5221" i="12"/>
  <c r="J5221" i="12"/>
  <c r="L3683" i="12"/>
  <c r="L4116" i="12"/>
  <c r="J4116" i="12"/>
  <c r="K4126" i="12"/>
  <c r="L4455" i="12"/>
  <c r="J4455" i="12"/>
  <c r="L4886" i="12"/>
  <c r="K4886" i="12"/>
  <c r="J4886" i="12"/>
  <c r="J3442" i="12"/>
  <c r="K3699" i="12"/>
  <c r="K3964" i="12"/>
  <c r="J3964" i="12"/>
  <c r="I3964" i="12"/>
  <c r="J4371" i="12"/>
  <c r="L4371" i="12"/>
  <c r="L5399" i="12"/>
  <c r="K5399" i="12"/>
  <c r="J5399" i="12"/>
  <c r="K3274" i="12"/>
  <c r="K3286" i="12"/>
  <c r="K3360" i="12"/>
  <c r="J3451" i="12"/>
  <c r="L3604" i="12"/>
  <c r="I3877" i="12"/>
  <c r="K3954" i="12"/>
  <c r="J4041" i="12"/>
  <c r="J4221" i="12"/>
  <c r="I4221" i="12"/>
  <c r="J4293" i="12"/>
  <c r="L4293" i="12"/>
  <c r="K4293" i="12"/>
  <c r="L4461" i="12"/>
  <c r="K4461" i="12"/>
  <c r="J4461" i="12"/>
  <c r="L4874" i="12"/>
  <c r="N4874" i="12" s="1"/>
  <c r="J4874" i="12"/>
  <c r="J3512" i="12"/>
  <c r="I3536" i="12"/>
  <c r="K3623" i="12"/>
  <c r="J3623" i="12"/>
  <c r="J3965" i="12"/>
  <c r="L4041" i="12"/>
  <c r="K4221" i="12"/>
  <c r="I4388" i="12"/>
  <c r="J4539" i="12"/>
  <c r="L4539" i="12"/>
  <c r="K4557" i="12"/>
  <c r="J4557" i="12"/>
  <c r="L4620" i="12"/>
  <c r="J4620" i="12"/>
  <c r="K3536" i="12"/>
  <c r="J3614" i="12"/>
  <c r="K3965" i="12"/>
  <c r="L4207" i="12"/>
  <c r="K4207" i="12"/>
  <c r="J4207" i="12"/>
  <c r="J4282" i="12"/>
  <c r="L4282" i="12"/>
  <c r="K4377" i="12"/>
  <c r="L4715" i="12"/>
  <c r="K4715" i="12"/>
  <c r="L3955" i="12"/>
  <c r="K3955" i="12"/>
  <c r="K4643" i="12"/>
  <c r="J4643" i="12"/>
  <c r="J4715" i="12"/>
  <c r="J4963" i="12"/>
  <c r="L4963" i="12"/>
  <c r="K5229" i="12"/>
  <c r="L5305" i="12"/>
  <c r="J5305" i="12"/>
  <c r="L5317" i="12"/>
  <c r="K5317" i="12"/>
  <c r="J5317" i="12"/>
  <c r="J3624" i="12"/>
  <c r="I3624" i="12"/>
  <c r="L3696" i="12"/>
  <c r="K3696" i="12"/>
  <c r="K3878" i="12"/>
  <c r="J3878" i="12"/>
  <c r="L4123" i="12"/>
  <c r="K4123" i="12"/>
  <c r="J4123" i="12"/>
  <c r="I4133" i="12"/>
  <c r="L4283" i="12"/>
  <c r="J4283" i="12"/>
  <c r="K4558" i="12"/>
  <c r="I4558" i="12"/>
  <c r="J3513" i="12"/>
  <c r="J3955" i="12"/>
  <c r="K4208" i="12"/>
  <c r="J4366" i="12"/>
  <c r="J4558" i="12"/>
  <c r="I4643" i="12"/>
  <c r="J3262" i="12"/>
  <c r="J3537" i="12"/>
  <c r="K3624" i="12"/>
  <c r="J3685" i="12"/>
  <c r="L3784" i="12"/>
  <c r="J3784" i="12"/>
  <c r="I3793" i="12"/>
  <c r="J3858" i="12"/>
  <c r="I3878" i="12"/>
  <c r="I3966" i="12"/>
  <c r="L4113" i="12"/>
  <c r="L4208" i="12"/>
  <c r="J4284" i="12"/>
  <c r="L4284" i="12"/>
  <c r="L4295" i="12"/>
  <c r="K4295" i="12"/>
  <c r="J4295" i="12"/>
  <c r="J4305" i="12"/>
  <c r="I4305" i="12"/>
  <c r="N4608" i="12"/>
  <c r="K3793" i="12"/>
  <c r="L3956" i="12"/>
  <c r="K3956" i="12"/>
  <c r="J3956" i="12"/>
  <c r="K3966" i="12"/>
  <c r="L4124" i="12"/>
  <c r="K4124" i="12"/>
  <c r="J4124" i="12"/>
  <c r="I4218" i="12"/>
  <c r="K4218" i="12"/>
  <c r="J4218" i="12"/>
  <c r="K4390" i="12"/>
  <c r="J4390" i="12"/>
  <c r="I4390" i="12"/>
  <c r="J4474" i="12"/>
  <c r="K4474" i="12"/>
  <c r="I4474" i="12"/>
  <c r="K4644" i="12"/>
  <c r="J4644" i="12"/>
  <c r="I4644" i="12"/>
  <c r="K5155" i="12"/>
  <c r="J5155" i="12"/>
  <c r="I5155" i="12"/>
  <c r="K3370" i="12"/>
  <c r="J3444" i="12"/>
  <c r="L3528" i="12"/>
  <c r="L3611" i="12"/>
  <c r="L3686" i="12"/>
  <c r="J3686" i="12"/>
  <c r="L3859" i="12"/>
  <c r="J3859" i="12"/>
  <c r="K3879" i="12"/>
  <c r="J3879" i="12"/>
  <c r="I3879" i="12"/>
  <c r="K4209" i="12"/>
  <c r="J4209" i="12"/>
  <c r="L4367" i="12"/>
  <c r="N4609" i="12"/>
  <c r="L4705" i="12"/>
  <c r="J4705" i="12"/>
  <c r="L4802" i="12"/>
  <c r="K4802" i="12"/>
  <c r="J4802" i="12"/>
  <c r="L4547" i="12"/>
  <c r="K4547" i="12"/>
  <c r="J4547" i="12"/>
  <c r="K3358" i="12"/>
  <c r="L3952" i="12"/>
  <c r="K3952" i="12"/>
  <c r="J3952" i="12"/>
  <c r="L4028" i="12"/>
  <c r="J4028" i="12"/>
  <c r="K4306" i="12"/>
  <c r="J4306" i="12"/>
  <c r="L4368" i="12"/>
  <c r="J4368" i="12"/>
  <c r="K4728" i="12"/>
  <c r="I4728" i="12"/>
  <c r="J4728" i="12"/>
  <c r="L4791" i="12"/>
  <c r="L3349" i="12"/>
  <c r="L3440" i="12"/>
  <c r="J3775" i="12"/>
  <c r="L3860" i="12"/>
  <c r="J3880" i="12"/>
  <c r="I4306" i="12"/>
  <c r="L4379" i="12"/>
  <c r="K4379" i="12"/>
  <c r="J4379" i="12"/>
  <c r="L4464" i="12"/>
  <c r="K4464" i="12"/>
  <c r="J4464" i="12"/>
  <c r="J4548" i="12"/>
  <c r="L4548" i="12"/>
  <c r="L3682" i="12"/>
  <c r="N3682" i="12" s="1"/>
  <c r="J3682" i="12"/>
  <c r="L3870" i="12"/>
  <c r="K3870" i="12"/>
  <c r="J4286" i="12"/>
  <c r="L4286" i="12"/>
  <c r="J4959" i="12"/>
  <c r="L4959" i="12"/>
  <c r="J4389" i="12"/>
  <c r="I4389" i="12"/>
  <c r="L4633" i="12"/>
  <c r="J4633" i="12"/>
  <c r="L4872" i="12"/>
  <c r="N4872" i="12" s="1"/>
  <c r="K5061" i="12"/>
  <c r="J5061" i="12"/>
  <c r="L5061" i="12"/>
  <c r="K5240" i="12"/>
  <c r="J5240" i="12"/>
  <c r="I5240" i="12"/>
  <c r="K5411" i="12"/>
  <c r="J5411" i="12"/>
  <c r="I5411" i="12"/>
  <c r="K4633" i="12"/>
  <c r="K4642" i="12"/>
  <c r="L4714" i="12"/>
  <c r="L4790" i="12"/>
  <c r="J4790" i="12"/>
  <c r="L5047" i="12"/>
  <c r="N5047" i="12" s="1"/>
  <c r="L5137" i="12"/>
  <c r="J5137" i="12"/>
  <c r="K5228" i="12"/>
  <c r="J5228" i="12"/>
  <c r="L5228" i="12"/>
  <c r="N5376" i="12"/>
  <c r="N5377" i="12"/>
  <c r="L5392" i="12"/>
  <c r="J5392" i="12"/>
  <c r="L4974" i="12"/>
  <c r="K4974" i="12"/>
  <c r="J4974" i="12"/>
  <c r="K5241" i="12"/>
  <c r="J5241" i="12"/>
  <c r="I5241" i="12"/>
  <c r="K5412" i="12"/>
  <c r="J5412" i="12"/>
  <c r="I5412" i="12"/>
  <c r="K4897" i="12"/>
  <c r="J4897" i="12"/>
  <c r="J5042" i="12"/>
  <c r="L5042" i="12"/>
  <c r="N5042" i="12" s="1"/>
  <c r="L5316" i="12"/>
  <c r="J5316" i="12"/>
  <c r="L4451" i="12"/>
  <c r="J4451" i="12"/>
  <c r="J4726" i="12"/>
  <c r="I4726" i="12"/>
  <c r="I4981" i="12"/>
  <c r="I5069" i="12"/>
  <c r="L5130" i="12"/>
  <c r="N5130" i="12" s="1"/>
  <c r="J5130" i="12"/>
  <c r="I5156" i="12"/>
  <c r="J5156" i="12"/>
  <c r="N5292" i="12"/>
  <c r="N5291" i="12"/>
  <c r="L4549" i="12"/>
  <c r="K4549" i="12"/>
  <c r="L4630" i="12"/>
  <c r="L4706" i="12"/>
  <c r="J4706" i="12"/>
  <c r="L4792" i="12"/>
  <c r="K4803" i="12"/>
  <c r="N4864" i="12"/>
  <c r="N4863" i="12"/>
  <c r="L4970" i="12"/>
  <c r="K4970" i="12"/>
  <c r="J4970" i="12"/>
  <c r="K5156" i="12"/>
  <c r="K4039" i="12"/>
  <c r="K4473" i="12"/>
  <c r="L4793" i="12"/>
  <c r="J4793" i="12"/>
  <c r="K4982" i="12"/>
  <c r="J4982" i="12"/>
  <c r="I4982" i="12"/>
  <c r="I4051" i="12"/>
  <c r="I4391" i="12"/>
  <c r="L4707" i="12"/>
  <c r="J4707" i="12"/>
  <c r="L4717" i="12"/>
  <c r="J4717" i="12"/>
  <c r="K4971" i="12"/>
  <c r="L5058" i="12"/>
  <c r="J5058" i="12"/>
  <c r="J5070" i="12"/>
  <c r="L5133" i="12"/>
  <c r="N5133" i="12" s="1"/>
  <c r="J5133" i="12"/>
  <c r="L5231" i="12"/>
  <c r="K5231" i="12"/>
  <c r="J5231" i="12"/>
  <c r="I3795" i="12"/>
  <c r="J4051" i="12"/>
  <c r="J4391" i="12"/>
  <c r="J4452" i="12"/>
  <c r="J4465" i="12"/>
  <c r="L4535" i="12"/>
  <c r="J4545" i="12"/>
  <c r="K4559" i="12"/>
  <c r="I4559" i="12"/>
  <c r="J4631" i="12"/>
  <c r="K4717" i="12"/>
  <c r="J4876" i="12"/>
  <c r="N4949" i="12"/>
  <c r="N4948" i="12"/>
  <c r="L4971" i="12"/>
  <c r="K4983" i="12"/>
  <c r="J4983" i="12"/>
  <c r="K5058" i="12"/>
  <c r="K5070" i="12"/>
  <c r="J3795" i="12"/>
  <c r="L4465" i="12"/>
  <c r="L4631" i="12"/>
  <c r="I4641" i="12"/>
  <c r="N5063" i="12"/>
  <c r="L5220" i="12"/>
  <c r="J5220" i="12"/>
  <c r="L5232" i="12"/>
  <c r="K5232" i="12"/>
  <c r="J5232" i="12"/>
  <c r="L5388" i="12"/>
  <c r="J5388" i="12"/>
  <c r="L5402" i="12"/>
  <c r="K5402" i="12"/>
  <c r="J5402" i="12"/>
  <c r="K4718" i="12"/>
  <c r="J4718" i="12"/>
  <c r="L4799" i="12"/>
  <c r="K4799" i="12"/>
  <c r="J4799" i="12"/>
  <c r="L4888" i="12"/>
  <c r="J4888" i="12"/>
  <c r="K4972" i="12"/>
  <c r="J4972" i="12"/>
  <c r="L5059" i="12"/>
  <c r="K5059" i="12"/>
  <c r="K5071" i="12"/>
  <c r="J5071" i="12"/>
  <c r="I5071" i="12"/>
  <c r="L5134" i="12"/>
  <c r="N5134" i="12" s="1"/>
  <c r="J5134" i="12"/>
  <c r="K4546" i="12"/>
  <c r="J4546" i="12"/>
  <c r="J4708" i="12"/>
  <c r="J4877" i="12"/>
  <c r="L4961" i="12"/>
  <c r="J4961" i="12"/>
  <c r="J5059" i="12"/>
  <c r="N5122" i="12"/>
  <c r="N5121" i="12"/>
  <c r="K5325" i="12"/>
  <c r="J5325" i="12"/>
  <c r="I5325" i="12"/>
  <c r="L5389" i="12"/>
  <c r="J5389" i="12"/>
  <c r="I4219" i="12"/>
  <c r="J4296" i="12"/>
  <c r="J4462" i="12"/>
  <c r="J4536" i="12"/>
  <c r="J4622" i="12"/>
  <c r="L4718" i="12"/>
  <c r="K4888" i="12"/>
  <c r="L4972" i="12"/>
  <c r="N5033" i="12"/>
  <c r="K5072" i="12"/>
  <c r="J5072" i="12"/>
  <c r="I5072" i="12"/>
  <c r="I5409" i="12"/>
  <c r="J4453" i="12"/>
  <c r="L4546" i="12"/>
  <c r="J4632" i="12"/>
  <c r="N4777" i="12"/>
  <c r="L4878" i="12"/>
  <c r="J4878" i="12"/>
  <c r="L4962" i="12"/>
  <c r="J4962" i="12"/>
  <c r="L5313" i="12"/>
  <c r="K5313" i="12"/>
  <c r="J5313" i="12"/>
  <c r="L5390" i="12"/>
  <c r="J5390" i="12"/>
  <c r="L4789" i="12"/>
  <c r="J4789" i="12"/>
  <c r="L4889" i="12"/>
  <c r="K4889" i="12"/>
  <c r="J5046" i="12"/>
  <c r="L5046" i="12"/>
  <c r="N5046" i="12" s="1"/>
  <c r="L5147" i="12"/>
  <c r="K5147" i="12"/>
  <c r="J5147" i="12"/>
  <c r="I5239" i="12"/>
  <c r="K5410" i="12"/>
  <c r="J5410" i="12"/>
  <c r="I5410" i="12"/>
  <c r="L4623" i="12"/>
  <c r="J4811" i="12"/>
  <c r="J4889" i="12"/>
  <c r="L5136" i="12"/>
  <c r="J5136" i="12"/>
  <c r="L5314" i="12"/>
  <c r="K5314" i="12"/>
  <c r="J5314" i="12"/>
  <c r="L5391" i="12"/>
  <c r="J5391" i="12"/>
  <c r="N5206" i="12"/>
  <c r="J5303" i="12"/>
  <c r="J5307" i="12"/>
  <c r="K5145" i="12"/>
  <c r="N5290" i="12"/>
  <c r="N4947" i="12"/>
  <c r="J5400" i="12"/>
  <c r="J4973" i="12"/>
  <c r="J5143" i="12"/>
  <c r="K5400" i="12"/>
  <c r="K5230" i="12"/>
  <c r="I4898" i="12"/>
  <c r="J5060" i="12"/>
  <c r="J5218" i="12"/>
  <c r="J5222" i="12"/>
  <c r="J4898" i="12"/>
  <c r="K5060" i="12"/>
  <c r="N5375" i="12"/>
  <c r="J5401" i="12"/>
  <c r="K5401" i="12"/>
  <c r="J4875" i="12"/>
  <c r="J4879" i="12"/>
  <c r="J5306" i="12"/>
  <c r="I5326" i="12"/>
  <c r="L2588" i="12" l="1"/>
  <c r="N2588" i="12" s="1"/>
  <c r="L534" i="9"/>
  <c r="N534" i="9" s="1"/>
  <c r="L2420" i="12"/>
  <c r="N2420" i="12" s="1"/>
  <c r="J286" i="9"/>
  <c r="N3691" i="12"/>
  <c r="L2334" i="12"/>
  <c r="N2334" i="12" s="1"/>
  <c r="N3351" i="12"/>
  <c r="L2675" i="12"/>
  <c r="N2675" i="12" s="1"/>
  <c r="J4024" i="12"/>
  <c r="J2673" i="12"/>
  <c r="J2589" i="12"/>
  <c r="L2589" i="12"/>
  <c r="N2589" i="12" s="1"/>
  <c r="J616" i="9"/>
  <c r="L5302" i="12"/>
  <c r="N5302" i="12" s="1"/>
  <c r="J3943" i="12"/>
  <c r="J2330" i="12"/>
  <c r="J5132" i="12"/>
  <c r="L34" i="12"/>
  <c r="N34" i="12" s="1"/>
  <c r="L5385" i="12"/>
  <c r="N5385" i="12" s="1"/>
  <c r="L206" i="12"/>
  <c r="N206" i="12" s="1"/>
  <c r="N213" i="12" s="1"/>
  <c r="I61" i="3"/>
  <c r="S44" i="3"/>
  <c r="S131" i="3"/>
  <c r="I115" i="3"/>
  <c r="I116" i="3"/>
  <c r="I4471" i="12" s="1"/>
  <c r="S127" i="3"/>
  <c r="M61" i="3"/>
  <c r="S130" i="3"/>
  <c r="S139" i="3"/>
  <c r="S132" i="3"/>
  <c r="L36" i="12"/>
  <c r="N36" i="12" s="1"/>
  <c r="I109" i="3"/>
  <c r="I57" i="12" s="1"/>
  <c r="O65" i="3"/>
  <c r="S134" i="3"/>
  <c r="S61" i="3"/>
  <c r="S64" i="3"/>
  <c r="Q64" i="3"/>
  <c r="M44" i="3"/>
  <c r="S137" i="3"/>
  <c r="O44" i="3"/>
  <c r="I114" i="3"/>
  <c r="L5300" i="12"/>
  <c r="N5300" i="12" s="1"/>
  <c r="S63" i="3"/>
  <c r="Q44" i="3"/>
  <c r="I120" i="3"/>
  <c r="S138" i="3"/>
  <c r="I123" i="3"/>
  <c r="I82" i="3"/>
  <c r="I99" i="3"/>
  <c r="I797" i="9" s="1"/>
  <c r="I111" i="3"/>
  <c r="S128" i="3"/>
  <c r="O61" i="3"/>
  <c r="K44" i="3"/>
  <c r="S66" i="3"/>
  <c r="S65" i="3"/>
  <c r="I106" i="3"/>
  <c r="I118" i="3"/>
  <c r="S47" i="3"/>
  <c r="I64" i="3"/>
  <c r="S46" i="3"/>
  <c r="O47" i="3"/>
  <c r="O66" i="3"/>
  <c r="S48" i="3"/>
  <c r="S123" i="3"/>
  <c r="K62" i="3"/>
  <c r="I124" i="3"/>
  <c r="I104" i="3"/>
  <c r="I119" i="3"/>
  <c r="I4895" i="12" s="1"/>
  <c r="L4788" i="12"/>
  <c r="N4788" i="12" s="1"/>
  <c r="J377" i="9"/>
  <c r="N377" i="9" s="1"/>
  <c r="J789" i="9"/>
  <c r="N789" i="9" s="1"/>
  <c r="O48" i="3"/>
  <c r="I79" i="3"/>
  <c r="S140" i="3"/>
  <c r="I112" i="3"/>
  <c r="I122" i="3" s="1"/>
  <c r="I107" i="3"/>
  <c r="I1248" i="12" s="1"/>
  <c r="S141" i="3"/>
  <c r="I117" i="3"/>
  <c r="I5408" i="12" s="1"/>
  <c r="I44" i="3"/>
  <c r="I108" i="3"/>
  <c r="S133" i="3"/>
  <c r="I101" i="3"/>
  <c r="I963" i="9" s="1"/>
  <c r="J5135" i="12"/>
  <c r="J871" i="9"/>
  <c r="N871" i="9" s="1"/>
  <c r="X50" i="16"/>
  <c r="J4448" i="12"/>
  <c r="I103" i="3"/>
  <c r="I2181" i="12" s="1"/>
  <c r="Q45" i="3"/>
  <c r="M62" i="3"/>
  <c r="O45" i="3"/>
  <c r="M45" i="3"/>
  <c r="J295" i="9"/>
  <c r="N295" i="9" s="1"/>
  <c r="Q62" i="3"/>
  <c r="J952" i="9"/>
  <c r="N952" i="9" s="1"/>
  <c r="L699" i="9"/>
  <c r="N699" i="9" s="1"/>
  <c r="N701" i="9" s="1"/>
  <c r="I110" i="3"/>
  <c r="J47" i="9"/>
  <c r="N47" i="9" s="1"/>
  <c r="L781" i="9"/>
  <c r="N781" i="9" s="1"/>
  <c r="N783" i="9" s="1"/>
  <c r="J706" i="9"/>
  <c r="N706" i="9" s="1"/>
  <c r="J542" i="9"/>
  <c r="N542" i="9" s="1"/>
  <c r="J129" i="9"/>
  <c r="N129" i="9" s="1"/>
  <c r="J5387" i="12"/>
  <c r="I2182" i="12"/>
  <c r="I2522" i="12"/>
  <c r="I2778" i="12"/>
  <c r="I399" i="12"/>
  <c r="I1504" i="12"/>
  <c r="I229" i="12"/>
  <c r="I314" i="12"/>
  <c r="I1929" i="12"/>
  <c r="I2438" i="12"/>
  <c r="I3368" i="12"/>
  <c r="I2015" i="12"/>
  <c r="I2946" i="12"/>
  <c r="I3113" i="12"/>
  <c r="I739" i="12"/>
  <c r="I466" i="9"/>
  <c r="I143" i="12"/>
  <c r="I1334" i="12"/>
  <c r="I796" i="9"/>
  <c r="I2270" i="12"/>
  <c r="I54" i="9"/>
  <c r="I1079" i="12"/>
  <c r="I384" i="9"/>
  <c r="I654" i="12"/>
  <c r="I4810" i="12"/>
  <c r="I2097" i="12"/>
  <c r="I878" i="9"/>
  <c r="I484" i="12"/>
  <c r="S45" i="3"/>
  <c r="N128" i="9"/>
  <c r="J376" i="9"/>
  <c r="N376" i="9" s="1"/>
  <c r="J870" i="9"/>
  <c r="N870" i="9" s="1"/>
  <c r="O46" i="3"/>
  <c r="I100" i="3"/>
  <c r="I468" i="9" s="1"/>
  <c r="S124" i="3"/>
  <c r="I102" i="3"/>
  <c r="I2437" i="12" s="1"/>
  <c r="S125" i="3"/>
  <c r="S129" i="3"/>
  <c r="W70" i="16"/>
  <c r="W72" i="16" s="1"/>
  <c r="I45" i="3"/>
  <c r="S62" i="3"/>
  <c r="X69" i="16"/>
  <c r="I80" i="3"/>
  <c r="K45" i="3"/>
  <c r="S122" i="3"/>
  <c r="I105" i="3"/>
  <c r="I131" i="3" s="1"/>
  <c r="S135" i="3"/>
  <c r="K61" i="3"/>
  <c r="S126" i="3"/>
  <c r="I62" i="3"/>
  <c r="Q61" i="3"/>
  <c r="S136" i="3"/>
  <c r="N707" i="9"/>
  <c r="L4957" i="12"/>
  <c r="N4957" i="12" s="1"/>
  <c r="X31" i="16"/>
  <c r="I2354" i="12"/>
  <c r="L5215" i="12"/>
  <c r="N5215" i="12" s="1"/>
  <c r="I1844" i="12"/>
  <c r="J953" i="9"/>
  <c r="N953" i="9" s="1"/>
  <c r="I1164" i="12"/>
  <c r="I569" i="12"/>
  <c r="I1589" i="12"/>
  <c r="I960" i="9"/>
  <c r="J1035" i="9"/>
  <c r="N1035" i="9" s="1"/>
  <c r="J1117" i="9"/>
  <c r="N1117" i="9" s="1"/>
  <c r="L4786" i="12"/>
  <c r="N4786" i="12" s="1"/>
  <c r="I3198" i="12"/>
  <c r="I824" i="12"/>
  <c r="J788" i="9"/>
  <c r="N788" i="9" s="1"/>
  <c r="I632" i="9"/>
  <c r="J211" i="9"/>
  <c r="N211" i="9" s="1"/>
  <c r="J294" i="9"/>
  <c r="N294" i="9" s="1"/>
  <c r="J624" i="9"/>
  <c r="N624" i="9" s="1"/>
  <c r="I714" i="9"/>
  <c r="I2862" i="12"/>
  <c r="I1419" i="12"/>
  <c r="J210" i="9"/>
  <c r="N210" i="9" s="1"/>
  <c r="J864" i="9"/>
  <c r="J459" i="9"/>
  <c r="N459" i="9" s="1"/>
  <c r="J625" i="9"/>
  <c r="N625" i="9" s="1"/>
  <c r="J543" i="9"/>
  <c r="N543" i="9" s="1"/>
  <c r="L5048" i="12"/>
  <c r="N5048" i="12" s="1"/>
  <c r="J3944" i="12"/>
  <c r="J5049" i="12"/>
  <c r="L4532" i="12"/>
  <c r="N4532" i="12" s="1"/>
  <c r="J5050" i="12"/>
  <c r="L4617" i="12"/>
  <c r="N4617" i="12" s="1"/>
  <c r="N4364" i="12"/>
  <c r="J5051" i="12"/>
  <c r="N2165" i="12"/>
  <c r="L4109" i="12"/>
  <c r="N4109" i="12" s="1"/>
  <c r="L3939" i="12"/>
  <c r="N3939" i="12" s="1"/>
  <c r="J4027" i="12"/>
  <c r="L4026" i="12"/>
  <c r="N4026" i="12" s="1"/>
  <c r="L4112" i="12"/>
  <c r="N4112" i="12" s="1"/>
  <c r="J4110" i="12"/>
  <c r="L3940" i="12"/>
  <c r="N3940" i="12" s="1"/>
  <c r="J3602" i="12"/>
  <c r="J3603" i="12"/>
  <c r="J4279" i="12"/>
  <c r="L4025" i="12"/>
  <c r="N4025" i="12" s="1"/>
  <c r="J4195" i="12"/>
  <c r="J4111" i="12"/>
  <c r="L4194" i="12"/>
  <c r="N4194" i="12" s="1"/>
  <c r="N4202" i="12" s="1"/>
  <c r="J3941" i="12"/>
  <c r="J3942" i="12"/>
  <c r="N537" i="9"/>
  <c r="N205" i="9"/>
  <c r="N1029" i="9"/>
  <c r="N2254" i="12"/>
  <c r="N3014" i="12"/>
  <c r="N1318" i="12"/>
  <c r="N41" i="9"/>
  <c r="J2333" i="12"/>
  <c r="L2333" i="12"/>
  <c r="N2333" i="12" s="1"/>
  <c r="L2584" i="12"/>
  <c r="N2584" i="12" s="1"/>
  <c r="J2584" i="12"/>
  <c r="L5131" i="12"/>
  <c r="N5131" i="12" s="1"/>
  <c r="N5138" i="12" s="1"/>
  <c r="J5131" i="12"/>
  <c r="I4556" i="12"/>
  <c r="I4048" i="12"/>
  <c r="I5154" i="12"/>
  <c r="I4725" i="12"/>
  <c r="I4896" i="12"/>
  <c r="I3031" i="12"/>
  <c r="I2694" i="12"/>
  <c r="I4472" i="12"/>
  <c r="I2609" i="12"/>
  <c r="I1674" i="12"/>
  <c r="I1759" i="12"/>
  <c r="I994" i="12"/>
  <c r="I909" i="12"/>
  <c r="I1124" i="9"/>
  <c r="I138" i="3"/>
  <c r="I550" i="9"/>
  <c r="J1994" i="12"/>
  <c r="L3596" i="12"/>
  <c r="N3596" i="12" s="1"/>
  <c r="J3596" i="12"/>
  <c r="L4958" i="12"/>
  <c r="N4958" i="12" s="1"/>
  <c r="J4958" i="12"/>
  <c r="N2846" i="12"/>
  <c r="N1743" i="12"/>
  <c r="N128" i="12"/>
  <c r="J1109" i="9"/>
  <c r="L1109" i="9"/>
  <c r="N1109" i="9" s="1"/>
  <c r="N1111" i="9" s="1"/>
  <c r="J2586" i="12"/>
  <c r="L2586" i="12"/>
  <c r="N2586" i="12" s="1"/>
  <c r="L4873" i="12"/>
  <c r="N4873" i="12" s="1"/>
  <c r="N4880" i="12" s="1"/>
  <c r="J4873" i="12"/>
  <c r="J4787" i="12"/>
  <c r="L4787" i="12"/>
  <c r="N4787" i="12" s="1"/>
  <c r="N453" i="9"/>
  <c r="H13" i="6"/>
  <c r="J13" i="6" s="1"/>
  <c r="L461" i="12"/>
  <c r="N461" i="12" s="1"/>
  <c r="J461" i="12"/>
  <c r="J2756" i="12"/>
  <c r="L2756" i="12"/>
  <c r="N2756" i="12" s="1"/>
  <c r="L4533" i="12"/>
  <c r="N4533" i="12" s="1"/>
  <c r="J4533" i="12"/>
  <c r="L5386" i="12"/>
  <c r="N5386" i="12" s="1"/>
  <c r="J5386" i="12"/>
  <c r="I136" i="9"/>
  <c r="J1034" i="9"/>
  <c r="N1034" i="9" s="1"/>
  <c r="J46" i="9"/>
  <c r="N46" i="9" s="1"/>
  <c r="L1226" i="12"/>
  <c r="N1226" i="12" s="1"/>
  <c r="J1226" i="12"/>
  <c r="J1992" i="12"/>
  <c r="J3600" i="12"/>
  <c r="L3600" i="12"/>
  <c r="N3600" i="12" s="1"/>
  <c r="N619" i="9"/>
  <c r="L3853" i="12"/>
  <c r="N3853" i="12" s="1"/>
  <c r="J3853" i="12"/>
  <c r="N462" i="12"/>
  <c r="L463" i="12"/>
  <c r="N463" i="12" s="1"/>
  <c r="J463" i="12"/>
  <c r="J2670" i="12"/>
  <c r="L2670" i="12"/>
  <c r="N2670" i="12" s="1"/>
  <c r="J3601" i="12"/>
  <c r="L3601" i="12"/>
  <c r="N3601" i="12" s="1"/>
  <c r="K144" i="3"/>
  <c r="L144" i="3" s="1"/>
  <c r="M144" i="3" s="1"/>
  <c r="K120" i="3"/>
  <c r="K115" i="3"/>
  <c r="L115" i="3" s="1"/>
  <c r="M115" i="3" s="1"/>
  <c r="K110" i="3"/>
  <c r="K105" i="3"/>
  <c r="K100" i="3"/>
  <c r="K163" i="3"/>
  <c r="K158" i="3"/>
  <c r="K153" i="3"/>
  <c r="K143" i="3"/>
  <c r="L143" i="3" s="1"/>
  <c r="M143" i="3" s="1"/>
  <c r="K138" i="3"/>
  <c r="K129" i="3"/>
  <c r="K119" i="3"/>
  <c r="K114" i="3"/>
  <c r="K109" i="3"/>
  <c r="J57" i="12" s="1"/>
  <c r="K104" i="3"/>
  <c r="K99" i="3"/>
  <c r="K133" i="3"/>
  <c r="L133" i="3" s="1"/>
  <c r="M133" i="3" s="1"/>
  <c r="K142" i="3"/>
  <c r="L142" i="3" s="1"/>
  <c r="M142" i="3" s="1"/>
  <c r="K124" i="3"/>
  <c r="K137" i="3"/>
  <c r="L137" i="3" s="1"/>
  <c r="M137" i="3" s="1"/>
  <c r="K128" i="3"/>
  <c r="K118" i="3"/>
  <c r="K113" i="3"/>
  <c r="K108" i="3"/>
  <c r="K103" i="3"/>
  <c r="J2181" i="12" s="1"/>
  <c r="K98" i="3"/>
  <c r="J2182" i="12" s="1"/>
  <c r="K132" i="3"/>
  <c r="L132" i="3" s="1"/>
  <c r="M132" i="3" s="1"/>
  <c r="K136" i="3"/>
  <c r="L136" i="3" s="1"/>
  <c r="M136" i="3" s="1"/>
  <c r="K117" i="3"/>
  <c r="K112" i="3"/>
  <c r="K107" i="3"/>
  <c r="J1248" i="12" s="1"/>
  <c r="K102" i="3"/>
  <c r="J2180" i="12" s="1"/>
  <c r="K131" i="3"/>
  <c r="K127" i="3"/>
  <c r="K155" i="3"/>
  <c r="K146" i="3"/>
  <c r="K140" i="3"/>
  <c r="L140" i="3" s="1"/>
  <c r="M140" i="3" s="1"/>
  <c r="K160" i="3"/>
  <c r="K116" i="3"/>
  <c r="K154" i="3"/>
  <c r="K164" i="3"/>
  <c r="K152" i="3"/>
  <c r="K135" i="3"/>
  <c r="K126" i="3"/>
  <c r="K159" i="3"/>
  <c r="K162" i="3"/>
  <c r="K147" i="3"/>
  <c r="K145" i="3"/>
  <c r="L145" i="3" s="1"/>
  <c r="M145" i="3" s="1"/>
  <c r="K125" i="3"/>
  <c r="L125" i="3" s="1"/>
  <c r="M125" i="3" s="1"/>
  <c r="K101" i="3"/>
  <c r="K122" i="3"/>
  <c r="K161" i="3"/>
  <c r="K134" i="3"/>
  <c r="L134" i="3" s="1"/>
  <c r="M134" i="3" s="1"/>
  <c r="K111" i="3"/>
  <c r="K123" i="3"/>
  <c r="K106" i="3"/>
  <c r="K141" i="3"/>
  <c r="L141" i="3" s="1"/>
  <c r="M141" i="3" s="1"/>
  <c r="K157" i="3"/>
  <c r="K156" i="3"/>
  <c r="K139" i="3"/>
  <c r="K130" i="3"/>
  <c r="L460" i="12"/>
  <c r="N460" i="12" s="1"/>
  <c r="J460" i="12"/>
  <c r="J1990" i="12"/>
  <c r="J3597" i="12"/>
  <c r="L3597" i="12"/>
  <c r="N3597" i="12" s="1"/>
  <c r="J4280" i="12"/>
  <c r="L4280" i="12"/>
  <c r="N4280" i="12" s="1"/>
  <c r="N4287" i="12" s="1"/>
  <c r="I218" i="9"/>
  <c r="J2674" i="12"/>
  <c r="L2674" i="12"/>
  <c r="N2674" i="12" s="1"/>
  <c r="L715" i="12"/>
  <c r="N715" i="12" s="1"/>
  <c r="J715" i="12"/>
  <c r="J2922" i="12"/>
  <c r="L3854" i="12"/>
  <c r="N3854" i="12" s="1"/>
  <c r="J3854" i="12"/>
  <c r="L2758" i="12"/>
  <c r="N2758" i="12" s="1"/>
  <c r="J2758" i="12"/>
  <c r="N2081" i="12"/>
  <c r="L970" i="12"/>
  <c r="N970" i="12" s="1"/>
  <c r="N978" i="12" s="1"/>
  <c r="J970" i="12"/>
  <c r="L2499" i="12"/>
  <c r="N2499" i="12" s="1"/>
  <c r="J2499" i="12"/>
  <c r="L3768" i="12"/>
  <c r="N3768" i="12" s="1"/>
  <c r="N3776" i="12" s="1"/>
  <c r="J3768" i="12"/>
  <c r="N371" i="9"/>
  <c r="J1228" i="12"/>
  <c r="L1228" i="12"/>
  <c r="N1228" i="12" s="1"/>
  <c r="N1658" i="12"/>
  <c r="L630" i="12"/>
  <c r="N630" i="12" s="1"/>
  <c r="N638" i="12" s="1"/>
  <c r="J630" i="12"/>
  <c r="L2587" i="12"/>
  <c r="N2587" i="12" s="1"/>
  <c r="J2587" i="12"/>
  <c r="J3595" i="12"/>
  <c r="L3595" i="12"/>
  <c r="N3595" i="12" s="1"/>
  <c r="J458" i="9"/>
  <c r="N458" i="9" s="1"/>
  <c r="J3598" i="12"/>
  <c r="L3598" i="12"/>
  <c r="N3598" i="12" s="1"/>
  <c r="L1056" i="12"/>
  <c r="N1056" i="12" s="1"/>
  <c r="N1063" i="12" s="1"/>
  <c r="J1056" i="12"/>
  <c r="L2417" i="12"/>
  <c r="N2417" i="12" s="1"/>
  <c r="J2417" i="12"/>
  <c r="L3599" i="12"/>
  <c r="N3599" i="12" s="1"/>
  <c r="J3599" i="12"/>
  <c r="F33" i="6"/>
  <c r="H32" i="6"/>
  <c r="J1995" i="12"/>
  <c r="L2923" i="12"/>
  <c r="N2923" i="12" s="1"/>
  <c r="J2923" i="12"/>
  <c r="L4618" i="12"/>
  <c r="N4618" i="12" s="1"/>
  <c r="J4618" i="12"/>
  <c r="I1042" i="9"/>
  <c r="N3183" i="12"/>
  <c r="L2582" i="12"/>
  <c r="N2582" i="12" s="1"/>
  <c r="J2582" i="12"/>
  <c r="L2583" i="12"/>
  <c r="N2583" i="12" s="1"/>
  <c r="J2583" i="12"/>
  <c r="L4449" i="12"/>
  <c r="N4449" i="12" s="1"/>
  <c r="N4456" i="12" s="1"/>
  <c r="J4449" i="12"/>
  <c r="J1116" i="9"/>
  <c r="N1116" i="9" s="1"/>
  <c r="I302" i="9"/>
  <c r="L946" i="9"/>
  <c r="N946" i="9" s="1"/>
  <c r="N947" i="9" s="1"/>
  <c r="J946" i="9"/>
  <c r="L716" i="12"/>
  <c r="N716" i="12" s="1"/>
  <c r="J716" i="12"/>
  <c r="J1572" i="12"/>
  <c r="L5216" i="12"/>
  <c r="N5216" i="12" s="1"/>
  <c r="J5216" i="12"/>
  <c r="L2498" i="12"/>
  <c r="N2498" i="12" s="1"/>
  <c r="J2498" i="12"/>
  <c r="L2754" i="12"/>
  <c r="N2754" i="12" s="1"/>
  <c r="J2754" i="12"/>
  <c r="J5043" i="12"/>
  <c r="L5043" i="12"/>
  <c r="N5043" i="12" s="1"/>
  <c r="J1993" i="12"/>
  <c r="L2924" i="12"/>
  <c r="N2924" i="12" s="1"/>
  <c r="J2924" i="12"/>
  <c r="J4702" i="12"/>
  <c r="L4702" i="12"/>
  <c r="N4702" i="12" s="1"/>
  <c r="N4709" i="12" s="1"/>
  <c r="J2501" i="12"/>
  <c r="L2501" i="12"/>
  <c r="N2501" i="12" s="1"/>
  <c r="J2500" i="12"/>
  <c r="L2500" i="12"/>
  <c r="N2500" i="12" s="1"/>
  <c r="L5301" i="12"/>
  <c r="N5301" i="12" s="1"/>
  <c r="J5301" i="12"/>
  <c r="N289" i="9"/>
  <c r="J19" i="6"/>
  <c r="H18" i="6"/>
  <c r="J18" i="6" s="1"/>
  <c r="N123" i="9"/>
  <c r="N865" i="9"/>
  <c r="N3108" i="12"/>
  <c r="J1227" i="12"/>
  <c r="L1227" i="12"/>
  <c r="N1227" i="12" s="1"/>
  <c r="J2672" i="12"/>
  <c r="L2672" i="12"/>
  <c r="N2672" i="12" s="1"/>
  <c r="L4365" i="12"/>
  <c r="N4365" i="12" s="1"/>
  <c r="J4365" i="12"/>
  <c r="N42" i="12" l="1"/>
  <c r="I4302" i="12"/>
  <c r="I3450" i="12"/>
  <c r="L116" i="3"/>
  <c r="I4132" i="12"/>
  <c r="I3534" i="12"/>
  <c r="I3962" i="12"/>
  <c r="I4047" i="12"/>
  <c r="I3706" i="12"/>
  <c r="I3876" i="12"/>
  <c r="I4217" i="12"/>
  <c r="I4387" i="12"/>
  <c r="M49" i="3"/>
  <c r="M52" i="3" s="1"/>
  <c r="N5393" i="12"/>
  <c r="I4555" i="12"/>
  <c r="I5323" i="12"/>
  <c r="N5308" i="12"/>
  <c r="I4640" i="12"/>
  <c r="I5153" i="12"/>
  <c r="I879" i="9"/>
  <c r="I3114" i="12"/>
  <c r="I127" i="3"/>
  <c r="L127" i="3" s="1"/>
  <c r="M127" i="3" s="1"/>
  <c r="M67" i="3"/>
  <c r="M69" i="3" s="1"/>
  <c r="I633" i="9"/>
  <c r="I55" i="9"/>
  <c r="I130" i="3"/>
  <c r="L130" i="3" s="1"/>
  <c r="M130" i="3" s="1"/>
  <c r="I961" i="9"/>
  <c r="I219" i="9"/>
  <c r="I3791" i="12"/>
  <c r="I715" i="9"/>
  <c r="I1125" i="9"/>
  <c r="I551" i="9"/>
  <c r="I1043" i="9"/>
  <c r="O67" i="3"/>
  <c r="O69" i="3" s="1"/>
  <c r="Q49" i="3"/>
  <c r="Q51" i="3" s="1"/>
  <c r="K49" i="3"/>
  <c r="K53" i="3" s="1"/>
  <c r="L114" i="3"/>
  <c r="M114" i="3" s="1"/>
  <c r="I385" i="9"/>
  <c r="I3032" i="12"/>
  <c r="S67" i="3"/>
  <c r="S69" i="3" s="1"/>
  <c r="L104" i="3"/>
  <c r="M104" i="3" s="1"/>
  <c r="I467" i="9"/>
  <c r="L120" i="3"/>
  <c r="M120" i="3" s="1"/>
  <c r="I3366" i="12"/>
  <c r="I303" i="9"/>
  <c r="L118" i="3"/>
  <c r="M118" i="3" s="1"/>
  <c r="N130" i="9"/>
  <c r="L106" i="3"/>
  <c r="M106" i="3" s="1"/>
  <c r="L123" i="3"/>
  <c r="M123" i="3" s="1"/>
  <c r="L111" i="3"/>
  <c r="M111" i="3" s="1"/>
  <c r="I137" i="9"/>
  <c r="I3199" i="12"/>
  <c r="I53" i="9"/>
  <c r="L99" i="3"/>
  <c r="K3114" i="12" s="1"/>
  <c r="N3114" i="12" s="1"/>
  <c r="I67" i="3"/>
  <c r="I70" i="3" s="1"/>
  <c r="I383" i="9"/>
  <c r="I3369" i="12"/>
  <c r="I553" i="9"/>
  <c r="I881" i="9"/>
  <c r="I305" i="9"/>
  <c r="L119" i="3"/>
  <c r="M119" i="3" s="1"/>
  <c r="L101" i="3"/>
  <c r="M101" i="3" s="1"/>
  <c r="I221" i="9"/>
  <c r="N378" i="9"/>
  <c r="S49" i="3"/>
  <c r="S52" i="3" s="1"/>
  <c r="I3367" i="12"/>
  <c r="I2014" i="12"/>
  <c r="I3116" i="12"/>
  <c r="K67" i="3"/>
  <c r="K70" i="3" s="1"/>
  <c r="I1163" i="12"/>
  <c r="I85" i="3"/>
  <c r="I89" i="3" s="1"/>
  <c r="I483" i="12"/>
  <c r="L117" i="3"/>
  <c r="M117" i="3" s="1"/>
  <c r="I653" i="12"/>
  <c r="I49" i="3"/>
  <c r="I52" i="3" s="1"/>
  <c r="I2608" i="12"/>
  <c r="I2269" i="12"/>
  <c r="L112" i="3"/>
  <c r="K4980" i="12" s="1"/>
  <c r="N4980" i="12" s="1"/>
  <c r="I217" i="9"/>
  <c r="I635" i="9"/>
  <c r="I387" i="9"/>
  <c r="I5324" i="12"/>
  <c r="I4980" i="12"/>
  <c r="I5238" i="12"/>
  <c r="I3620" i="12"/>
  <c r="I5068" i="12"/>
  <c r="I469" i="9"/>
  <c r="I1928" i="12"/>
  <c r="L108" i="3"/>
  <c r="M108" i="3" s="1"/>
  <c r="I993" i="12"/>
  <c r="Q67" i="3"/>
  <c r="I162" i="3" s="1"/>
  <c r="L162" i="3" s="1"/>
  <c r="M162" i="3" s="1"/>
  <c r="L105" i="3"/>
  <c r="M105" i="3" s="1"/>
  <c r="I3030" i="12"/>
  <c r="O49" i="3"/>
  <c r="O53" i="3" s="1"/>
  <c r="I795" i="9"/>
  <c r="N212" i="9"/>
  <c r="N708" i="9"/>
  <c r="I634" i="9"/>
  <c r="L100" i="3"/>
  <c r="M100" i="3" s="1"/>
  <c r="I220" i="9"/>
  <c r="N544" i="9"/>
  <c r="N626" i="9"/>
  <c r="N5223" i="12"/>
  <c r="J3791" i="12"/>
  <c r="N4965" i="12"/>
  <c r="X70" i="16"/>
  <c r="N790" i="9"/>
  <c r="I113" i="3"/>
  <c r="L113" i="3" s="1"/>
  <c r="M113" i="3" s="1"/>
  <c r="I1333" i="12"/>
  <c r="I228" i="12"/>
  <c r="I1758" i="12"/>
  <c r="I304" i="9"/>
  <c r="I908" i="12"/>
  <c r="I128" i="3"/>
  <c r="L128" i="3" s="1"/>
  <c r="M128" i="3" s="1"/>
  <c r="I58" i="12"/>
  <c r="L103" i="3"/>
  <c r="K2181" i="12" s="1"/>
  <c r="N2181" i="12" s="1"/>
  <c r="I2861" i="12"/>
  <c r="I129" i="3"/>
  <c r="L129" i="3" s="1"/>
  <c r="M129" i="3" s="1"/>
  <c r="I1588" i="12"/>
  <c r="N296" i="9"/>
  <c r="N872" i="9"/>
  <c r="N954" i="9"/>
  <c r="N48" i="9"/>
  <c r="L109" i="3"/>
  <c r="K57" i="12" s="1"/>
  <c r="N57" i="12" s="1"/>
  <c r="I1123" i="9"/>
  <c r="I549" i="9"/>
  <c r="I2353" i="12"/>
  <c r="I3201" i="12"/>
  <c r="I1673" i="12"/>
  <c r="I398" i="12"/>
  <c r="I3029" i="12"/>
  <c r="I2945" i="12"/>
  <c r="I2777" i="12"/>
  <c r="I823" i="12"/>
  <c r="I2521" i="12"/>
  <c r="I631" i="9"/>
  <c r="I568" i="12"/>
  <c r="I2693" i="12"/>
  <c r="I738" i="12"/>
  <c r="I3115" i="12"/>
  <c r="I1078" i="12"/>
  <c r="I1503" i="12"/>
  <c r="I877" i="9"/>
  <c r="I1249" i="12"/>
  <c r="I1843" i="12"/>
  <c r="I465" i="9"/>
  <c r="I4724" i="12"/>
  <c r="I1041" i="9"/>
  <c r="I2013" i="12"/>
  <c r="I301" i="9"/>
  <c r="I2096" i="12"/>
  <c r="I4809" i="12"/>
  <c r="I135" i="9"/>
  <c r="I713" i="9"/>
  <c r="I1418" i="12"/>
  <c r="I313" i="12"/>
  <c r="I2180" i="12"/>
  <c r="I3200" i="12"/>
  <c r="I552" i="9"/>
  <c r="I386" i="9"/>
  <c r="I880" i="9"/>
  <c r="I962" i="9"/>
  <c r="I959" i="9"/>
  <c r="N1036" i="9"/>
  <c r="N4540" i="12"/>
  <c r="L107" i="3"/>
  <c r="M107" i="3" s="1"/>
  <c r="N4794" i="12"/>
  <c r="N1118" i="9"/>
  <c r="L122" i="3"/>
  <c r="M122" i="3" s="1"/>
  <c r="N5053" i="12"/>
  <c r="N460" i="9"/>
  <c r="L102" i="3"/>
  <c r="K2180" i="12" s="1"/>
  <c r="N2180" i="12" s="1"/>
  <c r="L124" i="3"/>
  <c r="M124" i="3" s="1"/>
  <c r="N4372" i="12"/>
  <c r="N4625" i="12"/>
  <c r="N4117" i="12"/>
  <c r="N3947" i="12"/>
  <c r="N4032" i="12"/>
  <c r="N723" i="12"/>
  <c r="N2593" i="12"/>
  <c r="N1233" i="12"/>
  <c r="N3605" i="12"/>
  <c r="K3534" i="12"/>
  <c r="N3534" i="12" s="1"/>
  <c r="N3539" i="12" s="1"/>
  <c r="K3450" i="12"/>
  <c r="N3450" i="12" s="1"/>
  <c r="N3455" i="12" s="1"/>
  <c r="M116" i="3"/>
  <c r="L131" i="3"/>
  <c r="M131" i="3" s="1"/>
  <c r="I135" i="3"/>
  <c r="L135" i="3" s="1"/>
  <c r="M135" i="3" s="1"/>
  <c r="N3861" i="12"/>
  <c r="N468" i="12"/>
  <c r="J3283" i="12"/>
  <c r="L147" i="3"/>
  <c r="J4048" i="12"/>
  <c r="J4472" i="12"/>
  <c r="J3031" i="12"/>
  <c r="J2694" i="12"/>
  <c r="J3963" i="12"/>
  <c r="J2270" i="12"/>
  <c r="J2097" i="12"/>
  <c r="J2609" i="12"/>
  <c r="J550" i="9"/>
  <c r="J1042" i="9"/>
  <c r="J302" i="9"/>
  <c r="J3113" i="12"/>
  <c r="J3877" i="12"/>
  <c r="J878" i="9"/>
  <c r="J1589" i="12"/>
  <c r="J2015" i="12"/>
  <c r="J2522" i="12"/>
  <c r="J1674" i="12"/>
  <c r="J4303" i="12"/>
  <c r="J4641" i="12"/>
  <c r="J1334" i="12"/>
  <c r="J399" i="12"/>
  <c r="J1929" i="12"/>
  <c r="J466" i="9"/>
  <c r="J1504" i="12"/>
  <c r="J3368" i="12"/>
  <c r="J4133" i="12"/>
  <c r="J5239" i="12"/>
  <c r="J569" i="12"/>
  <c r="J4725" i="12"/>
  <c r="J960" i="9"/>
  <c r="J4896" i="12"/>
  <c r="J1844" i="12"/>
  <c r="J1759" i="12"/>
  <c r="J909" i="12"/>
  <c r="J2778" i="12"/>
  <c r="J3198" i="12"/>
  <c r="J4388" i="12"/>
  <c r="J824" i="12"/>
  <c r="J314" i="12"/>
  <c r="J229" i="12"/>
  <c r="J994" i="12"/>
  <c r="J5154" i="12"/>
  <c r="J5409" i="12"/>
  <c r="J1164" i="12"/>
  <c r="J632" i="9"/>
  <c r="J654" i="12"/>
  <c r="J2438" i="12"/>
  <c r="J218" i="9"/>
  <c r="J384" i="9"/>
  <c r="J2354" i="12"/>
  <c r="J136" i="9"/>
  <c r="J4981" i="12"/>
  <c r="J5324" i="12"/>
  <c r="J54" i="9"/>
  <c r="J2946" i="12"/>
  <c r="J4556" i="12"/>
  <c r="J5069" i="12"/>
  <c r="J4810" i="12"/>
  <c r="J714" i="9"/>
  <c r="J2862" i="12"/>
  <c r="J796" i="9"/>
  <c r="J1124" i="9"/>
  <c r="J1079" i="12"/>
  <c r="J739" i="12"/>
  <c r="J143" i="12"/>
  <c r="J1419" i="12"/>
  <c r="J484" i="12"/>
  <c r="J2014" i="12"/>
  <c r="J3116" i="12"/>
  <c r="J3367" i="12"/>
  <c r="J3030" i="12"/>
  <c r="J634" i="9"/>
  <c r="J220" i="9"/>
  <c r="J304" i="9"/>
  <c r="J386" i="9"/>
  <c r="J468" i="9"/>
  <c r="J962" i="9"/>
  <c r="J552" i="9"/>
  <c r="J3200" i="12"/>
  <c r="J880" i="9"/>
  <c r="J3792" i="12"/>
  <c r="L126" i="3"/>
  <c r="J58" i="12"/>
  <c r="L110" i="3"/>
  <c r="J32" i="6"/>
  <c r="N2762" i="12"/>
  <c r="H33" i="6"/>
  <c r="J33" i="6" s="1"/>
  <c r="F34" i="6"/>
  <c r="K3706" i="12"/>
  <c r="N3706" i="12" s="1"/>
  <c r="N3711" i="12" s="1"/>
  <c r="N2506" i="12"/>
  <c r="L98" i="3"/>
  <c r="K2182" i="12" s="1"/>
  <c r="N2182" i="12" s="1"/>
  <c r="K3791" i="12"/>
  <c r="N3791" i="12" s="1"/>
  <c r="J3534" i="12"/>
  <c r="J3450" i="12"/>
  <c r="L138" i="3"/>
  <c r="M138" i="3" s="1"/>
  <c r="I139" i="3"/>
  <c r="L139" i="3" s="1"/>
  <c r="M139" i="3" s="1"/>
  <c r="K4302" i="12"/>
  <c r="N4302" i="12" s="1"/>
  <c r="K3962" i="12"/>
  <c r="N3962" i="12" s="1"/>
  <c r="K4132" i="12"/>
  <c r="N4132" i="12" s="1"/>
  <c r="N4137" i="12" s="1"/>
  <c r="N4098" i="12" s="1"/>
  <c r="N4104" i="12" s="1"/>
  <c r="K4387" i="12"/>
  <c r="N4387" i="12" s="1"/>
  <c r="K4555" i="12"/>
  <c r="N4555" i="12" s="1"/>
  <c r="K5323" i="12"/>
  <c r="N5323" i="12" s="1"/>
  <c r="K3876" i="12"/>
  <c r="N3876" i="12" s="1"/>
  <c r="K4471" i="12"/>
  <c r="N4471" i="12" s="1"/>
  <c r="K4217" i="12"/>
  <c r="N4217" i="12" s="1"/>
  <c r="N4222" i="12" s="1"/>
  <c r="N4183" i="12" s="1"/>
  <c r="N4189" i="12" s="1"/>
  <c r="K4047" i="12"/>
  <c r="N4047" i="12" s="1"/>
  <c r="N4052" i="12" s="1"/>
  <c r="N4013" i="12" s="1"/>
  <c r="N4019" i="12" s="1"/>
  <c r="L146" i="3"/>
  <c r="J3282" i="12"/>
  <c r="J3114" i="12"/>
  <c r="J1043" i="9"/>
  <c r="J303" i="9"/>
  <c r="J467" i="9"/>
  <c r="J219" i="9"/>
  <c r="J551" i="9"/>
  <c r="J879" i="9"/>
  <c r="J3032" i="12"/>
  <c r="J961" i="9"/>
  <c r="J55" i="9"/>
  <c r="J1125" i="9"/>
  <c r="J3199" i="12"/>
  <c r="J137" i="9"/>
  <c r="J385" i="9"/>
  <c r="J797" i="9"/>
  <c r="J633" i="9"/>
  <c r="J715" i="9"/>
  <c r="J3369" i="12"/>
  <c r="N2678" i="12"/>
  <c r="J5238" i="12"/>
  <c r="J4809" i="12"/>
  <c r="J4302" i="12"/>
  <c r="J2608" i="12"/>
  <c r="J3115" i="12"/>
  <c r="J1418" i="12"/>
  <c r="J993" i="12"/>
  <c r="J908" i="12"/>
  <c r="J2013" i="12"/>
  <c r="J383" i="9"/>
  <c r="J53" i="9"/>
  <c r="J301" i="9"/>
  <c r="J217" i="9"/>
  <c r="J795" i="9"/>
  <c r="J1249" i="12"/>
  <c r="J2861" i="12"/>
  <c r="J465" i="9"/>
  <c r="J1503" i="12"/>
  <c r="J877" i="9"/>
  <c r="J4132" i="12"/>
  <c r="J549" i="9"/>
  <c r="J1843" i="12"/>
  <c r="J398" i="12"/>
  <c r="J5068" i="12"/>
  <c r="J1041" i="9"/>
  <c r="J2096" i="12"/>
  <c r="J135" i="9"/>
  <c r="J3201" i="12"/>
  <c r="J3029" i="12"/>
  <c r="J3876" i="12"/>
  <c r="J959" i="9"/>
  <c r="J1163" i="12"/>
  <c r="J1078" i="12"/>
  <c r="J3962" i="12"/>
  <c r="J313" i="12"/>
  <c r="J5323" i="12"/>
  <c r="J1333" i="12"/>
  <c r="J4387" i="12"/>
  <c r="J823" i="12"/>
  <c r="J228" i="12"/>
  <c r="J2693" i="12"/>
  <c r="J4555" i="12"/>
  <c r="J4980" i="12"/>
  <c r="J4895" i="12"/>
  <c r="J5408" i="12"/>
  <c r="J4640" i="12"/>
  <c r="J4724" i="12"/>
  <c r="J653" i="12"/>
  <c r="J2353" i="12"/>
  <c r="J2777" i="12"/>
  <c r="J713" i="9"/>
  <c r="J1123" i="9"/>
  <c r="J1928" i="12"/>
  <c r="J3366" i="12"/>
  <c r="J631" i="9"/>
  <c r="J1673" i="12"/>
  <c r="J1758" i="12"/>
  <c r="J2437" i="12"/>
  <c r="J2521" i="12"/>
  <c r="J5153" i="12"/>
  <c r="J738" i="12"/>
  <c r="J2269" i="12"/>
  <c r="J2945" i="12"/>
  <c r="J4047" i="12"/>
  <c r="J1588" i="12"/>
  <c r="J4471" i="12"/>
  <c r="J4217" i="12"/>
  <c r="J568" i="12"/>
  <c r="J483" i="12"/>
  <c r="J881" i="9"/>
  <c r="J305" i="9"/>
  <c r="J553" i="9"/>
  <c r="J469" i="9"/>
  <c r="J387" i="9"/>
  <c r="J635" i="9"/>
  <c r="J963" i="9"/>
  <c r="J221" i="9"/>
  <c r="J3620" i="12"/>
  <c r="J3706" i="12"/>
  <c r="M51" i="3" l="1"/>
  <c r="I154" i="3"/>
  <c r="L154" i="3" s="1"/>
  <c r="M154" i="3" s="1"/>
  <c r="I72" i="3"/>
  <c r="I160" i="3"/>
  <c r="L160" i="3" s="1"/>
  <c r="M160" i="3" s="1"/>
  <c r="M53" i="3"/>
  <c r="M50" i="3"/>
  <c r="M70" i="3"/>
  <c r="O71" i="3"/>
  <c r="I53" i="3"/>
  <c r="O70" i="3"/>
  <c r="M71" i="3"/>
  <c r="K468" i="9"/>
  <c r="N468" i="9" s="1"/>
  <c r="M68" i="3"/>
  <c r="Q53" i="3"/>
  <c r="Q50" i="3"/>
  <c r="S70" i="3"/>
  <c r="S68" i="3"/>
  <c r="I156" i="3"/>
  <c r="L156" i="3" s="1"/>
  <c r="M156" i="3" s="1"/>
  <c r="K51" i="3"/>
  <c r="O68" i="3"/>
  <c r="K52" i="3"/>
  <c r="I161" i="3"/>
  <c r="L161" i="3" s="1"/>
  <c r="M161" i="3" s="1"/>
  <c r="S51" i="3"/>
  <c r="S53" i="3"/>
  <c r="M112" i="3"/>
  <c r="K963" i="9"/>
  <c r="N963" i="9" s="1"/>
  <c r="K69" i="3"/>
  <c r="S71" i="3"/>
  <c r="K71" i="3"/>
  <c r="K305" i="9"/>
  <c r="N305" i="9" s="1"/>
  <c r="K68" i="3"/>
  <c r="K5068" i="12"/>
  <c r="N5068" i="12" s="1"/>
  <c r="K553" i="9"/>
  <c r="N553" i="9" s="1"/>
  <c r="K3620" i="12"/>
  <c r="N3620" i="12" s="1"/>
  <c r="N3625" i="12" s="1"/>
  <c r="N3584" i="12" s="1"/>
  <c r="N3590" i="12" s="1"/>
  <c r="N3627" i="12" s="1"/>
  <c r="K881" i="9"/>
  <c r="N881" i="9" s="1"/>
  <c r="K635" i="9"/>
  <c r="N635" i="9" s="1"/>
  <c r="I163" i="3"/>
  <c r="L163" i="3" s="1"/>
  <c r="M163" i="3" s="1"/>
  <c r="K5408" i="12"/>
  <c r="N5408" i="12" s="1"/>
  <c r="Q52" i="3"/>
  <c r="K387" i="9"/>
  <c r="N387" i="9" s="1"/>
  <c r="K50" i="3"/>
  <c r="I153" i="3"/>
  <c r="L153" i="3" s="1"/>
  <c r="M153" i="3" s="1"/>
  <c r="K221" i="9"/>
  <c r="N221" i="9" s="1"/>
  <c r="K469" i="9"/>
  <c r="N469" i="9" s="1"/>
  <c r="I68" i="3"/>
  <c r="K4895" i="12"/>
  <c r="N4895" i="12" s="1"/>
  <c r="K5238" i="12"/>
  <c r="N5238" i="12" s="1"/>
  <c r="K797" i="9"/>
  <c r="N797" i="9" s="1"/>
  <c r="K385" i="9"/>
  <c r="N385" i="9" s="1"/>
  <c r="K4640" i="12"/>
  <c r="N4640" i="12" s="1"/>
  <c r="K303" i="9"/>
  <c r="N303" i="9" s="1"/>
  <c r="K55" i="9"/>
  <c r="N55" i="9" s="1"/>
  <c r="K5153" i="12"/>
  <c r="N5153" i="12" s="1"/>
  <c r="K3199" i="12"/>
  <c r="N3199" i="12" s="1"/>
  <c r="K715" i="9"/>
  <c r="N715" i="9" s="1"/>
  <c r="M99" i="3"/>
  <c r="I158" i="3"/>
  <c r="L158" i="3" s="1"/>
  <c r="M158" i="3" s="1"/>
  <c r="K219" i="9"/>
  <c r="N219" i="9" s="1"/>
  <c r="Q69" i="3"/>
  <c r="I69" i="3"/>
  <c r="K3369" i="12"/>
  <c r="N3369" i="12" s="1"/>
  <c r="K137" i="9"/>
  <c r="N137" i="9" s="1"/>
  <c r="K1125" i="9"/>
  <c r="N1125" i="9" s="1"/>
  <c r="K1043" i="9"/>
  <c r="N1043" i="9" s="1"/>
  <c r="K220" i="9"/>
  <c r="N220" i="9" s="1"/>
  <c r="K3032" i="12"/>
  <c r="N3032" i="12" s="1"/>
  <c r="I87" i="3"/>
  <c r="K386" i="9"/>
  <c r="N386" i="9" s="1"/>
  <c r="I157" i="3"/>
  <c r="L157" i="3" s="1"/>
  <c r="M157" i="3" s="1"/>
  <c r="K551" i="9"/>
  <c r="N551" i="9" s="1"/>
  <c r="I86" i="3"/>
  <c r="K467" i="9"/>
  <c r="N467" i="9" s="1"/>
  <c r="I71" i="3"/>
  <c r="K3200" i="12"/>
  <c r="N3200" i="12" s="1"/>
  <c r="K879" i="9"/>
  <c r="N879" i="9" s="1"/>
  <c r="K552" i="9"/>
  <c r="N552" i="9" s="1"/>
  <c r="K961" i="9"/>
  <c r="N961" i="9" s="1"/>
  <c r="K633" i="9"/>
  <c r="N633" i="9" s="1"/>
  <c r="K880" i="9"/>
  <c r="N880" i="9" s="1"/>
  <c r="S50" i="3"/>
  <c r="I88" i="3"/>
  <c r="I90" i="3"/>
  <c r="I164" i="3"/>
  <c r="L164" i="3" s="1"/>
  <c r="M164" i="3" s="1"/>
  <c r="I159" i="3"/>
  <c r="L159" i="3" s="1"/>
  <c r="M159" i="3" s="1"/>
  <c r="I51" i="3"/>
  <c r="M109" i="3"/>
  <c r="Q71" i="3"/>
  <c r="O52" i="3"/>
  <c r="Q70" i="3"/>
  <c r="Q68" i="3"/>
  <c r="O51" i="3"/>
  <c r="I155" i="3"/>
  <c r="L155" i="3" s="1"/>
  <c r="M155" i="3" s="1"/>
  <c r="O50" i="3"/>
  <c r="I50" i="3"/>
  <c r="I54" i="3"/>
  <c r="I152" i="3"/>
  <c r="L152" i="3" s="1"/>
  <c r="M152" i="3" s="1"/>
  <c r="K962" i="9"/>
  <c r="N962" i="9" s="1"/>
  <c r="K304" i="9"/>
  <c r="N304" i="9" s="1"/>
  <c r="K634" i="9"/>
  <c r="N634" i="9" s="1"/>
  <c r="K3030" i="12"/>
  <c r="N3030" i="12" s="1"/>
  <c r="K2014" i="12"/>
  <c r="N2014" i="12" s="1"/>
  <c r="K3367" i="12"/>
  <c r="N3367" i="12" s="1"/>
  <c r="K228" i="12"/>
  <c r="N228" i="12" s="1"/>
  <c r="K2608" i="12"/>
  <c r="N2608" i="12" s="1"/>
  <c r="K3116" i="12"/>
  <c r="N3116" i="12" s="1"/>
  <c r="M103" i="3"/>
  <c r="K993" i="12"/>
  <c r="N993" i="12" s="1"/>
  <c r="K1248" i="12"/>
  <c r="N1248" i="12" s="1"/>
  <c r="K1418" i="12"/>
  <c r="N1418" i="12" s="1"/>
  <c r="K1928" i="12"/>
  <c r="N1928" i="12" s="1"/>
  <c r="K2945" i="12"/>
  <c r="N2945" i="12" s="1"/>
  <c r="K2693" i="12"/>
  <c r="N2693" i="12" s="1"/>
  <c r="K1123" i="9"/>
  <c r="N1123" i="9" s="1"/>
  <c r="K653" i="12"/>
  <c r="N653" i="12" s="1"/>
  <c r="K4724" i="12"/>
  <c r="N4724" i="12" s="1"/>
  <c r="K135" i="9"/>
  <c r="N135" i="9" s="1"/>
  <c r="K2437" i="12"/>
  <c r="N2437" i="12" s="1"/>
  <c r="K53" i="9"/>
  <c r="N53" i="9" s="1"/>
  <c r="K568" i="12"/>
  <c r="N568" i="12" s="1"/>
  <c r="K2861" i="12"/>
  <c r="N2861" i="12" s="1"/>
  <c r="K1333" i="12"/>
  <c r="N1333" i="12" s="1"/>
  <c r="K823" i="12"/>
  <c r="N823" i="12" s="1"/>
  <c r="K1249" i="12"/>
  <c r="N1249" i="12" s="1"/>
  <c r="K549" i="9"/>
  <c r="N549" i="9" s="1"/>
  <c r="K959" i="9"/>
  <c r="N959" i="9" s="1"/>
  <c r="K465" i="9"/>
  <c r="N465" i="9" s="1"/>
  <c r="K2013" i="12"/>
  <c r="N2013" i="12" s="1"/>
  <c r="K483" i="12"/>
  <c r="N483" i="12" s="1"/>
  <c r="M102" i="3"/>
  <c r="K877" i="9"/>
  <c r="N877" i="9" s="1"/>
  <c r="K2096" i="12"/>
  <c r="N2096" i="12" s="1"/>
  <c r="K313" i="12"/>
  <c r="N313" i="12" s="1"/>
  <c r="K383" i="9"/>
  <c r="N383" i="9" s="1"/>
  <c r="K738" i="12"/>
  <c r="N738" i="12" s="1"/>
  <c r="K2353" i="12"/>
  <c r="N2353" i="12" s="1"/>
  <c r="K301" i="9"/>
  <c r="N301" i="9" s="1"/>
  <c r="K3115" i="12"/>
  <c r="N3115" i="12" s="1"/>
  <c r="K908" i="12"/>
  <c r="N908" i="12" s="1"/>
  <c r="K1163" i="12"/>
  <c r="N1163" i="12" s="1"/>
  <c r="K4809" i="12"/>
  <c r="N4809" i="12" s="1"/>
  <c r="K2269" i="12"/>
  <c r="N2269" i="12" s="1"/>
  <c r="K3201" i="12"/>
  <c r="N3201" i="12" s="1"/>
  <c r="K1673" i="12"/>
  <c r="N1673" i="12" s="1"/>
  <c r="K3029" i="12"/>
  <c r="N3029" i="12" s="1"/>
  <c r="K2521" i="12"/>
  <c r="N2521" i="12" s="1"/>
  <c r="K398" i="12"/>
  <c r="N398" i="12" s="1"/>
  <c r="N2185" i="12"/>
  <c r="K2777" i="12"/>
  <c r="N2777" i="12" s="1"/>
  <c r="K1758" i="12"/>
  <c r="N1758" i="12" s="1"/>
  <c r="K1078" i="12"/>
  <c r="N1078" i="12" s="1"/>
  <c r="K217" i="9"/>
  <c r="N217" i="9" s="1"/>
  <c r="K1588" i="12"/>
  <c r="N1588" i="12" s="1"/>
  <c r="K1041" i="9"/>
  <c r="N1041" i="9" s="1"/>
  <c r="K795" i="9"/>
  <c r="N795" i="9" s="1"/>
  <c r="K3366" i="12"/>
  <c r="N3366" i="12" s="1"/>
  <c r="K631" i="9"/>
  <c r="N631" i="9" s="1"/>
  <c r="K1843" i="12"/>
  <c r="N1843" i="12" s="1"/>
  <c r="K1503" i="12"/>
  <c r="N1503" i="12" s="1"/>
  <c r="K713" i="9"/>
  <c r="N713" i="9" s="1"/>
  <c r="N4224" i="12"/>
  <c r="R4224" i="12" s="1"/>
  <c r="N4054" i="12"/>
  <c r="R4054" i="12" s="1"/>
  <c r="N4139" i="12"/>
  <c r="M110" i="3"/>
  <c r="K58" i="12"/>
  <c r="N58" i="12" s="1"/>
  <c r="N62" i="12" s="1"/>
  <c r="N3670" i="12"/>
  <c r="N3676" i="12" s="1"/>
  <c r="N3713" i="12" s="1"/>
  <c r="R3713" i="12" s="1"/>
  <c r="K3283" i="12"/>
  <c r="N3283" i="12" s="1"/>
  <c r="M147" i="3"/>
  <c r="K3792" i="12"/>
  <c r="N3792" i="12" s="1"/>
  <c r="N3796" i="12" s="1"/>
  <c r="M126" i="3"/>
  <c r="K4048" i="12"/>
  <c r="K5324" i="12"/>
  <c r="N5324" i="12" s="1"/>
  <c r="N5328" i="12" s="1"/>
  <c r="K4556" i="12"/>
  <c r="N4556" i="12" s="1"/>
  <c r="N4560" i="12" s="1"/>
  <c r="K4472" i="12"/>
  <c r="N4472" i="12" s="1"/>
  <c r="N4476" i="12" s="1"/>
  <c r="K4896" i="12"/>
  <c r="N4896" i="12" s="1"/>
  <c r="K3031" i="12"/>
  <c r="N3031" i="12" s="1"/>
  <c r="K4725" i="12"/>
  <c r="N4725" i="12" s="1"/>
  <c r="K2694" i="12"/>
  <c r="N2694" i="12" s="1"/>
  <c r="K2862" i="12"/>
  <c r="N2862" i="12" s="1"/>
  <c r="K2609" i="12"/>
  <c r="N2609" i="12" s="1"/>
  <c r="K1674" i="12"/>
  <c r="N1674" i="12" s="1"/>
  <c r="K739" i="12"/>
  <c r="N739" i="12" s="1"/>
  <c r="K314" i="12"/>
  <c r="N314" i="12" s="1"/>
  <c r="K909" i="12"/>
  <c r="N909" i="12" s="1"/>
  <c r="M98" i="3"/>
  <c r="K384" i="9"/>
  <c r="N384" i="9" s="1"/>
  <c r="K796" i="9"/>
  <c r="N796" i="9" s="1"/>
  <c r="K302" i="9"/>
  <c r="N302" i="9" s="1"/>
  <c r="K1124" i="9"/>
  <c r="N1124" i="9" s="1"/>
  <c r="K1589" i="12"/>
  <c r="N1589" i="12" s="1"/>
  <c r="K2015" i="12"/>
  <c r="N2015" i="12" s="1"/>
  <c r="K2522" i="12"/>
  <c r="N2522" i="12" s="1"/>
  <c r="K3368" i="12"/>
  <c r="N3368" i="12" s="1"/>
  <c r="K4133" i="12"/>
  <c r="K1079" i="12"/>
  <c r="N1079" i="12" s="1"/>
  <c r="K1334" i="12"/>
  <c r="N1334" i="12" s="1"/>
  <c r="K399" i="12"/>
  <c r="N399" i="12" s="1"/>
  <c r="K1929" i="12"/>
  <c r="N1929" i="12" s="1"/>
  <c r="K3198" i="12"/>
  <c r="N3198" i="12" s="1"/>
  <c r="K466" i="9"/>
  <c r="N466" i="9" s="1"/>
  <c r="K550" i="9"/>
  <c r="N550" i="9" s="1"/>
  <c r="K569" i="12"/>
  <c r="N569" i="12" s="1"/>
  <c r="K2946" i="12"/>
  <c r="N2946" i="12" s="1"/>
  <c r="K4303" i="12"/>
  <c r="N4303" i="12" s="1"/>
  <c r="N4307" i="12" s="1"/>
  <c r="K5239" i="12"/>
  <c r="N5239" i="12" s="1"/>
  <c r="K960" i="9"/>
  <c r="N960" i="9" s="1"/>
  <c r="K484" i="12"/>
  <c r="N484" i="12" s="1"/>
  <c r="K229" i="12"/>
  <c r="N229" i="12" s="1"/>
  <c r="K1042" i="9"/>
  <c r="N1042" i="9" s="1"/>
  <c r="K1844" i="12"/>
  <c r="N1844" i="12" s="1"/>
  <c r="K878" i="9"/>
  <c r="N878" i="9" s="1"/>
  <c r="K824" i="12"/>
  <c r="N824" i="12" s="1"/>
  <c r="K3963" i="12"/>
  <c r="N3963" i="12" s="1"/>
  <c r="N3967" i="12" s="1"/>
  <c r="K4981" i="12"/>
  <c r="N4981" i="12" s="1"/>
  <c r="N4985" i="12" s="1"/>
  <c r="K1419" i="12"/>
  <c r="N1419" i="12" s="1"/>
  <c r="K1504" i="12"/>
  <c r="N1504" i="12" s="1"/>
  <c r="K2778" i="12"/>
  <c r="N2778" i="12" s="1"/>
  <c r="K3877" i="12"/>
  <c r="N3877" i="12" s="1"/>
  <c r="N3881" i="12" s="1"/>
  <c r="K4388" i="12"/>
  <c r="N4388" i="12" s="1"/>
  <c r="N4392" i="12" s="1"/>
  <c r="K5409" i="12"/>
  <c r="N5409" i="12" s="1"/>
  <c r="K1759" i="12"/>
  <c r="N1759" i="12" s="1"/>
  <c r="K994" i="12"/>
  <c r="N994" i="12" s="1"/>
  <c r="K5154" i="12"/>
  <c r="N5154" i="12" s="1"/>
  <c r="K218" i="9"/>
  <c r="N218" i="9" s="1"/>
  <c r="K632" i="9"/>
  <c r="N632" i="9" s="1"/>
  <c r="K2354" i="12"/>
  <c r="N2354" i="12" s="1"/>
  <c r="K2097" i="12"/>
  <c r="N2097" i="12" s="1"/>
  <c r="K4641" i="12"/>
  <c r="N4641" i="12" s="1"/>
  <c r="K54" i="9"/>
  <c r="N54" i="9" s="1"/>
  <c r="K1164" i="12"/>
  <c r="N1164" i="12" s="1"/>
  <c r="K2270" i="12"/>
  <c r="N2270" i="12" s="1"/>
  <c r="K4810" i="12"/>
  <c r="N4810" i="12" s="1"/>
  <c r="K714" i="9"/>
  <c r="N714" i="9" s="1"/>
  <c r="K136" i="9"/>
  <c r="N136" i="9" s="1"/>
  <c r="K2438" i="12"/>
  <c r="N2438" i="12" s="1"/>
  <c r="K5069" i="12"/>
  <c r="N5069" i="12" s="1"/>
  <c r="K654" i="12"/>
  <c r="N654" i="12" s="1"/>
  <c r="K143" i="12"/>
  <c r="N143" i="12" s="1"/>
  <c r="N148" i="12" s="1"/>
  <c r="K3113" i="12"/>
  <c r="N3113" i="12" s="1"/>
  <c r="M146" i="3"/>
  <c r="K3282" i="12"/>
  <c r="N3282" i="12" s="1"/>
  <c r="F39" i="6"/>
  <c r="H34" i="6"/>
  <c r="J34" i="6" s="1"/>
  <c r="N3416" i="12"/>
  <c r="N3422" i="12" s="1"/>
  <c r="N3457" i="12" s="1"/>
  <c r="N3500" i="12"/>
  <c r="N3506" i="12" s="1"/>
  <c r="N3541" i="12" s="1"/>
  <c r="N3928" i="12" l="1"/>
  <c r="N3934" i="12" s="1"/>
  <c r="N3969" i="12"/>
  <c r="R3969" i="12" s="1"/>
  <c r="J68" i="8"/>
  <c r="R4139" i="12"/>
  <c r="J62" i="8"/>
  <c r="J72" i="7" s="1"/>
  <c r="K72" i="7" s="1"/>
  <c r="R3627" i="12"/>
  <c r="J61" i="8"/>
  <c r="J71" i="7" s="1"/>
  <c r="K71" i="7" s="1"/>
  <c r="R3541" i="12"/>
  <c r="J60" i="8"/>
  <c r="J70" i="7" s="1"/>
  <c r="K70" i="7" s="1"/>
  <c r="R3457" i="12"/>
  <c r="N5073" i="12"/>
  <c r="N5031" i="12" s="1"/>
  <c r="N5037" i="12" s="1"/>
  <c r="N5075" i="12" s="1"/>
  <c r="R5075" i="12" s="1"/>
  <c r="N4900" i="12"/>
  <c r="N4861" i="12" s="1"/>
  <c r="N4867" i="12" s="1"/>
  <c r="N4902" i="12" s="1"/>
  <c r="R4902" i="12" s="1"/>
  <c r="N4645" i="12"/>
  <c r="N4606" i="12" s="1"/>
  <c r="N4612" i="12" s="1"/>
  <c r="N4647" i="12" s="1"/>
  <c r="R4647" i="12" s="1"/>
  <c r="I91" i="3"/>
  <c r="I92" i="3" s="1"/>
  <c r="N5243" i="12"/>
  <c r="N5204" i="12" s="1"/>
  <c r="N5210" i="12" s="1"/>
  <c r="N5245" i="12" s="1"/>
  <c r="R5245" i="12" s="1"/>
  <c r="N5158" i="12"/>
  <c r="N5119" i="12" s="1"/>
  <c r="N5125" i="12" s="1"/>
  <c r="N5160" i="12" s="1"/>
  <c r="R5160" i="12" s="1"/>
  <c r="N5413" i="12"/>
  <c r="N5374" i="12" s="1"/>
  <c r="N5380" i="12" s="1"/>
  <c r="N5415" i="12" s="1"/>
  <c r="R5415" i="12" s="1"/>
  <c r="I73" i="3"/>
  <c r="K72" i="3" s="1"/>
  <c r="K73" i="3" s="1"/>
  <c r="Q72" i="3" s="1"/>
  <c r="Q73" i="3" s="1"/>
  <c r="Q74" i="3" s="1"/>
  <c r="I55" i="3"/>
  <c r="M54" i="3" s="1"/>
  <c r="M55" i="3" s="1"/>
  <c r="M56" i="3" s="1"/>
  <c r="N2782" i="12"/>
  <c r="N2743" i="12" s="1"/>
  <c r="N2749" i="12" s="1"/>
  <c r="N2784" i="12" s="1"/>
  <c r="N233" i="12"/>
  <c r="N194" i="12" s="1"/>
  <c r="N200" i="12" s="1"/>
  <c r="N235" i="12" s="1"/>
  <c r="N3034" i="12"/>
  <c r="N2995" i="12" s="1"/>
  <c r="N3001" i="12" s="1"/>
  <c r="N3036" i="12" s="1"/>
  <c r="N964" i="9"/>
  <c r="N933" i="9" s="1"/>
  <c r="N937" i="9" s="1"/>
  <c r="N966" i="9" s="1"/>
  <c r="N554" i="9"/>
  <c r="N523" i="9" s="1"/>
  <c r="N527" i="9" s="1"/>
  <c r="N556" i="9" s="1"/>
  <c r="N1423" i="12"/>
  <c r="N1384" i="12" s="1"/>
  <c r="N1390" i="12" s="1"/>
  <c r="N1425" i="12" s="1"/>
  <c r="N470" i="9"/>
  <c r="N439" i="9" s="1"/>
  <c r="N443" i="9" s="1"/>
  <c r="N472" i="9" s="1"/>
  <c r="N1678" i="12"/>
  <c r="N1639" i="12" s="1"/>
  <c r="N1645" i="12" s="1"/>
  <c r="N1680" i="12" s="1"/>
  <c r="N1253" i="12"/>
  <c r="N1214" i="12" s="1"/>
  <c r="N1220" i="12" s="1"/>
  <c r="N1255" i="12" s="1"/>
  <c r="N2613" i="12"/>
  <c r="N2571" i="12" s="1"/>
  <c r="N2577" i="12" s="1"/>
  <c r="N2615" i="12" s="1"/>
  <c r="N2698" i="12"/>
  <c r="N2659" i="12" s="1"/>
  <c r="N2665" i="12" s="1"/>
  <c r="N2700" i="12" s="1"/>
  <c r="N2018" i="12"/>
  <c r="N1979" i="12" s="1"/>
  <c r="N1985" i="12" s="1"/>
  <c r="N998" i="12"/>
  <c r="N959" i="12" s="1"/>
  <c r="N965" i="12" s="1"/>
  <c r="N1000" i="12" s="1"/>
  <c r="R1000" i="12" s="1"/>
  <c r="N1593" i="12"/>
  <c r="N1554" i="12" s="1"/>
  <c r="N1560" i="12" s="1"/>
  <c r="N1128" i="9"/>
  <c r="N1097" i="9" s="1"/>
  <c r="N1101" i="9" s="1"/>
  <c r="N1130" i="9" s="1"/>
  <c r="N1763" i="12"/>
  <c r="N1724" i="12" s="1"/>
  <c r="N1730" i="12" s="1"/>
  <c r="N1765" i="12" s="1"/>
  <c r="N2950" i="12"/>
  <c r="N2911" i="12" s="1"/>
  <c r="N2917" i="12" s="1"/>
  <c r="N4729" i="12"/>
  <c r="N4690" i="12" s="1"/>
  <c r="N4696" i="12" s="1"/>
  <c r="N4731" i="12" s="1"/>
  <c r="R4731" i="12" s="1"/>
  <c r="N222" i="9"/>
  <c r="N191" i="9" s="1"/>
  <c r="N195" i="9" s="1"/>
  <c r="N224" i="9" s="1"/>
  <c r="N2526" i="12"/>
  <c r="N2487" i="12" s="1"/>
  <c r="N2493" i="12" s="1"/>
  <c r="N2528" i="12" s="1"/>
  <c r="N2274" i="12"/>
  <c r="N2235" i="12" s="1"/>
  <c r="N2241" i="12" s="1"/>
  <c r="N2276" i="12" s="1"/>
  <c r="R2276" i="12" s="1"/>
  <c r="N58" i="9"/>
  <c r="N27" i="9" s="1"/>
  <c r="N31" i="9" s="1"/>
  <c r="N60" i="9" s="1"/>
  <c r="N1168" i="12"/>
  <c r="N1129" i="12" s="1"/>
  <c r="N1135" i="12" s="1"/>
  <c r="N1170" i="12" s="1"/>
  <c r="N1338" i="12"/>
  <c r="N1299" i="12" s="1"/>
  <c r="N1305" i="12" s="1"/>
  <c r="N1340" i="12" s="1"/>
  <c r="N4814" i="12"/>
  <c r="N4775" i="12" s="1"/>
  <c r="N4781" i="12" s="1"/>
  <c r="N4816" i="12" s="1"/>
  <c r="R4816" i="12" s="1"/>
  <c r="N1933" i="12"/>
  <c r="N1894" i="12" s="1"/>
  <c r="N1900" i="12" s="1"/>
  <c r="N2101" i="12"/>
  <c r="N2062" i="12" s="1"/>
  <c r="N2068" i="12" s="1"/>
  <c r="N2103" i="12" s="1"/>
  <c r="N658" i="12"/>
  <c r="N619" i="12" s="1"/>
  <c r="N625" i="12" s="1"/>
  <c r="N660" i="12" s="1"/>
  <c r="N2358" i="12"/>
  <c r="N2319" i="12" s="1"/>
  <c r="N2325" i="12" s="1"/>
  <c r="N306" i="9"/>
  <c r="N275" i="9" s="1"/>
  <c r="N279" i="9" s="1"/>
  <c r="N308" i="9" s="1"/>
  <c r="N388" i="9"/>
  <c r="N357" i="9" s="1"/>
  <c r="N361" i="9" s="1"/>
  <c r="N390" i="9" s="1"/>
  <c r="N743" i="12"/>
  <c r="N704" i="12" s="1"/>
  <c r="N710" i="12" s="1"/>
  <c r="N745" i="12" s="1"/>
  <c r="N800" i="9"/>
  <c r="N769" i="9" s="1"/>
  <c r="N773" i="9" s="1"/>
  <c r="N802" i="9" s="1"/>
  <c r="N828" i="12"/>
  <c r="N789" i="12" s="1"/>
  <c r="N795" i="12" s="1"/>
  <c r="N830" i="12" s="1"/>
  <c r="N3118" i="12"/>
  <c r="N3079" i="12" s="1"/>
  <c r="N3085" i="12" s="1"/>
  <c r="N3120" i="12" s="1"/>
  <c r="N2442" i="12"/>
  <c r="N2403" i="12" s="1"/>
  <c r="N2409" i="12" s="1"/>
  <c r="N913" i="12"/>
  <c r="N874" i="12" s="1"/>
  <c r="N880" i="12" s="1"/>
  <c r="N915" i="12" s="1"/>
  <c r="N318" i="12"/>
  <c r="N279" i="12" s="1"/>
  <c r="N285" i="12" s="1"/>
  <c r="N320" i="12" s="1"/>
  <c r="J18" i="8" s="1"/>
  <c r="N140" i="9"/>
  <c r="N109" i="9" s="1"/>
  <c r="N113" i="9" s="1"/>
  <c r="N142" i="9" s="1"/>
  <c r="N573" i="12"/>
  <c r="N534" i="12" s="1"/>
  <c r="N540" i="12" s="1"/>
  <c r="N575" i="12" s="1"/>
  <c r="N882" i="9"/>
  <c r="N851" i="9" s="1"/>
  <c r="N855" i="9" s="1"/>
  <c r="N2866" i="12"/>
  <c r="N2827" i="12" s="1"/>
  <c r="N2833" i="12" s="1"/>
  <c r="N2868" i="12" s="1"/>
  <c r="N488" i="12"/>
  <c r="N449" i="12" s="1"/>
  <c r="N455" i="12" s="1"/>
  <c r="N490" i="12" s="1"/>
  <c r="J69" i="8"/>
  <c r="N1046" i="9"/>
  <c r="N1015" i="9" s="1"/>
  <c r="N1019" i="9" s="1"/>
  <c r="N1048" i="9" s="1"/>
  <c r="J63" i="8"/>
  <c r="J66" i="8"/>
  <c r="H35" i="6"/>
  <c r="H37" i="6" s="1"/>
  <c r="H29" i="6" s="1"/>
  <c r="J29" i="6" s="1"/>
  <c r="N403" i="12"/>
  <c r="N364" i="12" s="1"/>
  <c r="N370" i="12" s="1"/>
  <c r="N405" i="12" s="1"/>
  <c r="J19" i="8" s="1"/>
  <c r="J67" i="8"/>
  <c r="N2146" i="12"/>
  <c r="N2152" i="12" s="1"/>
  <c r="N2187" i="12" s="1"/>
  <c r="R2187" i="12" s="1"/>
  <c r="N1848" i="12"/>
  <c r="N1809" i="12" s="1"/>
  <c r="N1815" i="12" s="1"/>
  <c r="N1850" i="12" s="1"/>
  <c r="N1508" i="12"/>
  <c r="N1469" i="12" s="1"/>
  <c r="N1475" i="12" s="1"/>
  <c r="N1510" i="12" s="1"/>
  <c r="N718" i="9"/>
  <c r="N687" i="9" s="1"/>
  <c r="N691" i="9" s="1"/>
  <c r="N720" i="9" s="1"/>
  <c r="N1083" i="12"/>
  <c r="N1044" i="12" s="1"/>
  <c r="N1050" i="12" s="1"/>
  <c r="N1085" i="12" s="1"/>
  <c r="J78" i="7"/>
  <c r="K78" i="7" s="1"/>
  <c r="K68" i="8"/>
  <c r="N3203" i="12"/>
  <c r="N3164" i="12" s="1"/>
  <c r="N3170" i="12" s="1"/>
  <c r="N3205" i="12" s="1"/>
  <c r="N636" i="9"/>
  <c r="N605" i="9" s="1"/>
  <c r="N609" i="9" s="1"/>
  <c r="N3371" i="12"/>
  <c r="N3332" i="12" s="1"/>
  <c r="N3338" i="12" s="1"/>
  <c r="N3373" i="12" s="1"/>
  <c r="N4231" i="12"/>
  <c r="N4230" i="12"/>
  <c r="N4229" i="12"/>
  <c r="N4060" i="12"/>
  <c r="N4061" i="12"/>
  <c r="N4059" i="12"/>
  <c r="N3975" i="12"/>
  <c r="N3976" i="12"/>
  <c r="N3974" i="12"/>
  <c r="N4146" i="12"/>
  <c r="N4144" i="12"/>
  <c r="N4145" i="12"/>
  <c r="N3842" i="12"/>
  <c r="N3848" i="12" s="1"/>
  <c r="N3883" i="12" s="1"/>
  <c r="R3883" i="12" s="1"/>
  <c r="N4946" i="12"/>
  <c r="N4952" i="12" s="1"/>
  <c r="N4987" i="12" s="1"/>
  <c r="R4987" i="12" s="1"/>
  <c r="N4437" i="12"/>
  <c r="N4443" i="12" s="1"/>
  <c r="N4478" i="12" s="1"/>
  <c r="R4478" i="12" s="1"/>
  <c r="N4268" i="12"/>
  <c r="N4274" i="12" s="1"/>
  <c r="N4309" i="12" s="1"/>
  <c r="R4309" i="12" s="1"/>
  <c r="N3547" i="12"/>
  <c r="N3546" i="12"/>
  <c r="N3548" i="12"/>
  <c r="N3632" i="12"/>
  <c r="N3633" i="12"/>
  <c r="N3634" i="12"/>
  <c r="N4521" i="12"/>
  <c r="N4527" i="12" s="1"/>
  <c r="N4562" i="12" s="1"/>
  <c r="R4562" i="12" s="1"/>
  <c r="N3287" i="12"/>
  <c r="N5289" i="12"/>
  <c r="N5295" i="12" s="1"/>
  <c r="N5330" i="12" s="1"/>
  <c r="R5330" i="12" s="1"/>
  <c r="N3757" i="12"/>
  <c r="N3763" i="12" s="1"/>
  <c r="N3798" i="12" s="1"/>
  <c r="R3798" i="12" s="1"/>
  <c r="N3463" i="12"/>
  <c r="N3462" i="12"/>
  <c r="N3464" i="12"/>
  <c r="N4353" i="12"/>
  <c r="N4359" i="12" s="1"/>
  <c r="N4394" i="12" s="1"/>
  <c r="R4394" i="12" s="1"/>
  <c r="N23" i="12"/>
  <c r="N29" i="12" s="1"/>
  <c r="N64" i="12" s="1"/>
  <c r="J14" i="8" s="1"/>
  <c r="N3719" i="12"/>
  <c r="N3718" i="12"/>
  <c r="N3720" i="12"/>
  <c r="F40" i="6"/>
  <c r="H39" i="6"/>
  <c r="N109" i="12"/>
  <c r="N115" i="12" s="1"/>
  <c r="N150" i="12" s="1"/>
  <c r="J15" i="8" s="1"/>
  <c r="K60" i="8" l="1"/>
  <c r="K61" i="8"/>
  <c r="K62" i="8"/>
  <c r="J87" i="8"/>
  <c r="J109" i="7" s="1"/>
  <c r="K109" i="7" s="1"/>
  <c r="R3373" i="12"/>
  <c r="J85" i="8"/>
  <c r="J107" i="7" s="1"/>
  <c r="K107" i="7" s="1"/>
  <c r="R3205" i="12"/>
  <c r="J83" i="8"/>
  <c r="J94" i="7" s="1"/>
  <c r="K94" i="7" s="1"/>
  <c r="R3120" i="12"/>
  <c r="J82" i="8"/>
  <c r="J93" i="7" s="1"/>
  <c r="K93" i="7" s="1"/>
  <c r="R3036" i="12"/>
  <c r="J57" i="8"/>
  <c r="J66" i="7" s="1"/>
  <c r="K66" i="7" s="1"/>
  <c r="R2868" i="12"/>
  <c r="J56" i="8"/>
  <c r="J65" i="7" s="1"/>
  <c r="K65" i="7" s="1"/>
  <c r="R2784" i="12"/>
  <c r="J55" i="8"/>
  <c r="K55" i="8" s="1"/>
  <c r="R2700" i="12"/>
  <c r="J54" i="8"/>
  <c r="K54" i="8" s="1"/>
  <c r="R2615" i="12"/>
  <c r="J53" i="8"/>
  <c r="J62" i="7" s="1"/>
  <c r="K62" i="7" s="1"/>
  <c r="R2528" i="12"/>
  <c r="J47" i="8"/>
  <c r="J55" i="7" s="1"/>
  <c r="K55" i="7" s="1"/>
  <c r="R2103" i="12"/>
  <c r="J42" i="8"/>
  <c r="J48" i="7" s="1"/>
  <c r="K48" i="7" s="1"/>
  <c r="R1850" i="12"/>
  <c r="J41" i="8"/>
  <c r="J47" i="7" s="1"/>
  <c r="K47" i="7" s="1"/>
  <c r="R1765" i="12"/>
  <c r="J39" i="8"/>
  <c r="J44" i="7" s="1"/>
  <c r="K44" i="7" s="1"/>
  <c r="R1680" i="12"/>
  <c r="J36" i="8"/>
  <c r="J40" i="7" s="1"/>
  <c r="K40" i="7" s="1"/>
  <c r="R1510" i="12"/>
  <c r="J35" i="8"/>
  <c r="J39" i="7" s="1"/>
  <c r="K39" i="7" s="1"/>
  <c r="R1425" i="12"/>
  <c r="J34" i="8"/>
  <c r="J38" i="7" s="1"/>
  <c r="K38" i="7" s="1"/>
  <c r="R1340" i="12"/>
  <c r="J33" i="8"/>
  <c r="J37" i="7" s="1"/>
  <c r="K37" i="7" s="1"/>
  <c r="R1255" i="12"/>
  <c r="J31" i="8"/>
  <c r="J34" i="7" s="1"/>
  <c r="K34" i="7" s="1"/>
  <c r="K35" i="7" s="1"/>
  <c r="R1170" i="12"/>
  <c r="J29" i="8"/>
  <c r="J31" i="7" s="1"/>
  <c r="K31" i="7" s="1"/>
  <c r="R1085" i="12"/>
  <c r="J28" i="8"/>
  <c r="K28" i="8" s="1"/>
  <c r="J26" i="8"/>
  <c r="J27" i="7" s="1"/>
  <c r="K27" i="7" s="1"/>
  <c r="K28" i="7" s="1"/>
  <c r="R915" i="12"/>
  <c r="J24" i="8"/>
  <c r="K24" i="8" s="1"/>
  <c r="R830" i="12"/>
  <c r="J23" i="8"/>
  <c r="J23" i="7" s="1"/>
  <c r="K23" i="7" s="1"/>
  <c r="R745" i="12"/>
  <c r="J22" i="8"/>
  <c r="J22" i="7" s="1"/>
  <c r="K22" i="7" s="1"/>
  <c r="R660" i="12"/>
  <c r="J21" i="8"/>
  <c r="K21" i="8" s="1"/>
  <c r="R575" i="12"/>
  <c r="J20" i="8"/>
  <c r="K20" i="8" s="1"/>
  <c r="R490" i="12"/>
  <c r="M72" i="3"/>
  <c r="M73" i="3" s="1"/>
  <c r="M74" i="3" s="1"/>
  <c r="I56" i="3"/>
  <c r="O72" i="3"/>
  <c r="O73" i="3" s="1"/>
  <c r="O74" i="3" s="1"/>
  <c r="I74" i="3"/>
  <c r="K54" i="3"/>
  <c r="K55" i="3" s="1"/>
  <c r="Q54" i="3" s="1"/>
  <c r="Q55" i="3" s="1"/>
  <c r="Q56" i="3" s="1"/>
  <c r="O54" i="3"/>
  <c r="O55" i="3" s="1"/>
  <c r="O56" i="3" s="1"/>
  <c r="K74" i="3"/>
  <c r="S54" i="3"/>
  <c r="S55" i="3" s="1"/>
  <c r="S56" i="3" s="1"/>
  <c r="K56" i="3"/>
  <c r="S72" i="3"/>
  <c r="S73" i="3" s="1"/>
  <c r="S74" i="3" s="1"/>
  <c r="N884" i="9"/>
  <c r="J650" i="10" s="1"/>
  <c r="H650" i="10" s="1"/>
  <c r="N638" i="9"/>
  <c r="N645" i="9" s="1"/>
  <c r="J48" i="8"/>
  <c r="K48" i="8" s="1"/>
  <c r="N2194" i="12"/>
  <c r="N2193" i="12"/>
  <c r="N2192" i="12"/>
  <c r="J72" i="8"/>
  <c r="J80" i="8"/>
  <c r="J78" i="8"/>
  <c r="J64" i="8"/>
  <c r="J79" i="8"/>
  <c r="J77" i="8"/>
  <c r="J70" i="8"/>
  <c r="J65" i="8"/>
  <c r="J77" i="7"/>
  <c r="K77" i="7" s="1"/>
  <c r="K67" i="8"/>
  <c r="J89" i="8"/>
  <c r="J76" i="8"/>
  <c r="J73" i="8"/>
  <c r="J88" i="8"/>
  <c r="J90" i="8"/>
  <c r="J76" i="7"/>
  <c r="K76" i="7" s="1"/>
  <c r="K66" i="8"/>
  <c r="J73" i="7"/>
  <c r="K73" i="7" s="1"/>
  <c r="K63" i="8"/>
  <c r="J71" i="8"/>
  <c r="J79" i="7"/>
  <c r="K79" i="7" s="1"/>
  <c r="K69" i="8"/>
  <c r="J74" i="8"/>
  <c r="J75" i="8"/>
  <c r="J49" i="8"/>
  <c r="J57" i="7" s="1"/>
  <c r="K57" i="7" s="1"/>
  <c r="J13" i="7"/>
  <c r="K13" i="7" s="1"/>
  <c r="R64" i="12"/>
  <c r="J19" i="7"/>
  <c r="K19" i="7" s="1"/>
  <c r="R405" i="12"/>
  <c r="J14" i="7"/>
  <c r="K14" i="7" s="1"/>
  <c r="R150" i="12"/>
  <c r="J18" i="7"/>
  <c r="K18" i="7" s="1"/>
  <c r="R320" i="12"/>
  <c r="N4062" i="12"/>
  <c r="N4064" i="12" s="1"/>
  <c r="N4232" i="12"/>
  <c r="N4234" i="12" s="1"/>
  <c r="N3977" i="12"/>
  <c r="N3979" i="12" s="1"/>
  <c r="N4147" i="12"/>
  <c r="N4149" i="12" s="1"/>
  <c r="N3721" i="12"/>
  <c r="N3723" i="12" s="1"/>
  <c r="J642" i="10"/>
  <c r="H642" i="10" s="1"/>
  <c r="N314" i="9"/>
  <c r="N315" i="9"/>
  <c r="N313" i="9"/>
  <c r="N1005" i="12"/>
  <c r="N1006" i="12"/>
  <c r="N1007" i="12"/>
  <c r="N3805" i="12"/>
  <c r="N3804" i="12"/>
  <c r="N3803" i="12"/>
  <c r="J643" i="10"/>
  <c r="H643" i="10" s="1"/>
  <c r="N395" i="9"/>
  <c r="N397" i="9"/>
  <c r="N396" i="9"/>
  <c r="N5167" i="12"/>
  <c r="N5166" i="12"/>
  <c r="N5165" i="12"/>
  <c r="N5422" i="12"/>
  <c r="N5421" i="12"/>
  <c r="N5420" i="12"/>
  <c r="N582" i="12"/>
  <c r="N581" i="12"/>
  <c r="N580" i="12"/>
  <c r="N1516" i="12"/>
  <c r="N1517" i="12"/>
  <c r="N1515" i="12"/>
  <c r="N69" i="12"/>
  <c r="N70" i="12"/>
  <c r="N71" i="12"/>
  <c r="N3127" i="12"/>
  <c r="N3126" i="12"/>
  <c r="N3125" i="12"/>
  <c r="N2706" i="12"/>
  <c r="N2705" i="12"/>
  <c r="N2707" i="12"/>
  <c r="N750" i="12"/>
  <c r="N752" i="12"/>
  <c r="N751" i="12"/>
  <c r="N4567" i="12"/>
  <c r="N4569" i="12"/>
  <c r="N4568" i="12"/>
  <c r="N156" i="12"/>
  <c r="N155" i="12"/>
  <c r="N157" i="12"/>
  <c r="N1856" i="12"/>
  <c r="N1857" i="12"/>
  <c r="N1855" i="12"/>
  <c r="N1685" i="12"/>
  <c r="N1687" i="12"/>
  <c r="N1686" i="12"/>
  <c r="N1177" i="12"/>
  <c r="N1176" i="12"/>
  <c r="N1175" i="12"/>
  <c r="N2283" i="12"/>
  <c r="N2281" i="12"/>
  <c r="N2282" i="12"/>
  <c r="J651" i="10"/>
  <c r="H651" i="10" s="1"/>
  <c r="N973" i="9"/>
  <c r="N971" i="9"/>
  <c r="N972" i="9"/>
  <c r="N1347" i="12"/>
  <c r="N1346" i="12"/>
  <c r="N1345" i="12"/>
  <c r="N410" i="12"/>
  <c r="N412" i="12"/>
  <c r="N411" i="12"/>
  <c r="N922" i="12"/>
  <c r="N921" i="12"/>
  <c r="N920" i="12"/>
  <c r="N4400" i="12"/>
  <c r="N4399" i="12"/>
  <c r="N4401" i="12"/>
  <c r="N4737" i="12"/>
  <c r="N4738" i="12"/>
  <c r="N4736" i="12"/>
  <c r="N2621" i="12"/>
  <c r="N2620" i="12"/>
  <c r="N2622" i="12"/>
  <c r="N1771" i="12"/>
  <c r="N1770" i="12"/>
  <c r="N1772" i="12"/>
  <c r="J645" i="10"/>
  <c r="H645" i="10" s="1"/>
  <c r="J97" i="10" s="1"/>
  <c r="H97" i="10" s="1"/>
  <c r="N563" i="9"/>
  <c r="N561" i="9"/>
  <c r="N562" i="9"/>
  <c r="N1431" i="12"/>
  <c r="N1430" i="12"/>
  <c r="N1432" i="12"/>
  <c r="N241" i="12"/>
  <c r="R235" i="12"/>
  <c r="N240" i="12"/>
  <c r="N242" i="12"/>
  <c r="J644" i="10"/>
  <c r="H644" i="10" s="1"/>
  <c r="L96" i="10" s="1"/>
  <c r="N479" i="9"/>
  <c r="N478" i="9"/>
  <c r="N477" i="9"/>
  <c r="N3890" i="12"/>
  <c r="N3888" i="12"/>
  <c r="N3889" i="12"/>
  <c r="F41" i="6"/>
  <c r="H41" i="6" s="1"/>
  <c r="J41" i="6" s="1"/>
  <c r="H40" i="6"/>
  <c r="J40" i="6" s="1"/>
  <c r="N4821" i="12"/>
  <c r="N4822" i="12"/>
  <c r="N4823" i="12"/>
  <c r="J638" i="10"/>
  <c r="H638" i="10" s="1"/>
  <c r="L102" i="10" s="1"/>
  <c r="N66" i="9"/>
  <c r="N67" i="9"/>
  <c r="N65" i="9"/>
  <c r="N835" i="12"/>
  <c r="N837" i="12"/>
  <c r="N836" i="12"/>
  <c r="N5080" i="12"/>
  <c r="N5081" i="12"/>
  <c r="N5082" i="12"/>
  <c r="N4652" i="12"/>
  <c r="N4653" i="12"/>
  <c r="N4654" i="12"/>
  <c r="N5337" i="12"/>
  <c r="N5336" i="12"/>
  <c r="N5335" i="12"/>
  <c r="N4316" i="12"/>
  <c r="N4315" i="12"/>
  <c r="N4314" i="12"/>
  <c r="N4994" i="12"/>
  <c r="N4993" i="12"/>
  <c r="N4992" i="12"/>
  <c r="N2533" i="12"/>
  <c r="N2535" i="12"/>
  <c r="N2534" i="12"/>
  <c r="N3248" i="12"/>
  <c r="N3254" i="12" s="1"/>
  <c r="N3289" i="12" s="1"/>
  <c r="J639" i="10"/>
  <c r="H639" i="10" s="1"/>
  <c r="J103" i="10" s="1"/>
  <c r="H103" i="10" s="1"/>
  <c r="N147" i="9"/>
  <c r="N148" i="9"/>
  <c r="N149" i="9"/>
  <c r="J39" i="6"/>
  <c r="J649" i="10"/>
  <c r="H649" i="10" s="1"/>
  <c r="N808" i="9"/>
  <c r="N809" i="9"/>
  <c r="N807" i="9"/>
  <c r="N497" i="12"/>
  <c r="N496" i="12"/>
  <c r="N495" i="12"/>
  <c r="N3378" i="12"/>
  <c r="N3379" i="12"/>
  <c r="N3380" i="12"/>
  <c r="N3465" i="12"/>
  <c r="N3467" i="12" s="1"/>
  <c r="N1091" i="12"/>
  <c r="N1090" i="12"/>
  <c r="N1092" i="12"/>
  <c r="N2875" i="12"/>
  <c r="N2873" i="12"/>
  <c r="N2874" i="12"/>
  <c r="N1260" i="12"/>
  <c r="N1262" i="12"/>
  <c r="N1261" i="12"/>
  <c r="N5251" i="12"/>
  <c r="N5250" i="12"/>
  <c r="N5252" i="12"/>
  <c r="N3042" i="12"/>
  <c r="N3041" i="12"/>
  <c r="N3043" i="12"/>
  <c r="N3549" i="12"/>
  <c r="N3551" i="12" s="1"/>
  <c r="N2789" i="12"/>
  <c r="N2791" i="12"/>
  <c r="N2790" i="12"/>
  <c r="N2110" i="12"/>
  <c r="N2109" i="12"/>
  <c r="N2108" i="12"/>
  <c r="J648" i="10"/>
  <c r="H648" i="10" s="1"/>
  <c r="L99" i="10" s="1"/>
  <c r="L100" i="10" s="1"/>
  <c r="J101" i="10" s="1"/>
  <c r="H101" i="10" s="1"/>
  <c r="E101" i="10" s="1"/>
  <c r="N725" i="9"/>
  <c r="N726" i="9"/>
  <c r="N727" i="9"/>
  <c r="J640" i="10"/>
  <c r="H640" i="10" s="1"/>
  <c r="N1053" i="9"/>
  <c r="N1055" i="9"/>
  <c r="N1054" i="9"/>
  <c r="J641" i="10"/>
  <c r="H641" i="10" s="1"/>
  <c r="N231" i="9"/>
  <c r="N229" i="9"/>
  <c r="N230" i="9"/>
  <c r="N3211" i="12"/>
  <c r="N3210" i="12"/>
  <c r="N3212" i="12"/>
  <c r="N665" i="12"/>
  <c r="N666" i="12"/>
  <c r="N667" i="12"/>
  <c r="J647" i="10"/>
  <c r="H647" i="10" s="1"/>
  <c r="N1137" i="9"/>
  <c r="N1135" i="9"/>
  <c r="N1136" i="9"/>
  <c r="N4909" i="12"/>
  <c r="N4907" i="12"/>
  <c r="N4908" i="12"/>
  <c r="N3635" i="12"/>
  <c r="N3637" i="12" s="1"/>
  <c r="N4484" i="12"/>
  <c r="N4485" i="12"/>
  <c r="N4483" i="12"/>
  <c r="N327" i="12"/>
  <c r="N326" i="12"/>
  <c r="N325" i="12"/>
  <c r="K85" i="8" l="1"/>
  <c r="K87" i="8"/>
  <c r="J86" i="8"/>
  <c r="K86" i="8" s="1"/>
  <c r="R3289" i="12"/>
  <c r="J64" i="7"/>
  <c r="K64" i="7" s="1"/>
  <c r="K83" i="8"/>
  <c r="K82" i="8"/>
  <c r="L98" i="10"/>
  <c r="J98" i="10" s="1"/>
  <c r="H98" i="10" s="1"/>
  <c r="E98" i="10" s="1"/>
  <c r="J109" i="10"/>
  <c r="H109" i="10" s="1"/>
  <c r="E109" i="10" s="1"/>
  <c r="K56" i="8"/>
  <c r="K57" i="8"/>
  <c r="E97" i="10"/>
  <c r="L1907" i="12"/>
  <c r="N1907" i="12" s="1"/>
  <c r="E103" i="10"/>
  <c r="L2414" i="12"/>
  <c r="N2414" i="12" s="1"/>
  <c r="N2422" i="12" s="1"/>
  <c r="N2444" i="12" s="1"/>
  <c r="L2330" i="12"/>
  <c r="N2330" i="12" s="1"/>
  <c r="N2338" i="12" s="1"/>
  <c r="N2360" i="12" s="1"/>
  <c r="J63" i="7"/>
  <c r="K63" i="7" s="1"/>
  <c r="K41" i="8"/>
  <c r="K53" i="8"/>
  <c r="K36" i="8"/>
  <c r="K47" i="8"/>
  <c r="L95" i="10"/>
  <c r="J102" i="10"/>
  <c r="H102" i="10" s="1"/>
  <c r="E102" i="10" s="1"/>
  <c r="J100" i="10"/>
  <c r="H100" i="10" s="1"/>
  <c r="E100" i="10" s="1"/>
  <c r="J96" i="10"/>
  <c r="H96" i="10" s="1"/>
  <c r="E96" i="10" s="1"/>
  <c r="K42" i="8"/>
  <c r="J99" i="10"/>
  <c r="H99" i="10" s="1"/>
  <c r="E99" i="10" s="1"/>
  <c r="K35" i="8"/>
  <c r="K33" i="8"/>
  <c r="K39" i="8"/>
  <c r="K49" i="7"/>
  <c r="K29" i="8"/>
  <c r="K31" i="8"/>
  <c r="J30" i="7"/>
  <c r="K30" i="7" s="1"/>
  <c r="K32" i="7" s="1"/>
  <c r="K41" i="7"/>
  <c r="K34" i="8"/>
  <c r="J24" i="7"/>
  <c r="K24" i="7" s="1"/>
  <c r="K23" i="8"/>
  <c r="K26" i="8"/>
  <c r="K22" i="8"/>
  <c r="J21" i="7"/>
  <c r="K21" i="7" s="1"/>
  <c r="J20" i="7"/>
  <c r="K20" i="7" s="1"/>
  <c r="N891" i="9"/>
  <c r="N890" i="9"/>
  <c r="N889" i="9"/>
  <c r="N892" i="9" s="1"/>
  <c r="N894" i="9" s="1"/>
  <c r="J646" i="10"/>
  <c r="H646" i="10" s="1"/>
  <c r="N643" i="9"/>
  <c r="N644" i="9"/>
  <c r="N2195" i="12"/>
  <c r="N2197" i="12" s="1"/>
  <c r="K95" i="7"/>
  <c r="J83" i="7"/>
  <c r="K83" i="7" s="1"/>
  <c r="K73" i="8"/>
  <c r="J86" i="7"/>
  <c r="K86" i="7" s="1"/>
  <c r="K76" i="8"/>
  <c r="J74" i="7"/>
  <c r="K74" i="7" s="1"/>
  <c r="K64" i="8"/>
  <c r="J89" i="7"/>
  <c r="K89" i="7" s="1"/>
  <c r="K79" i="8"/>
  <c r="J85" i="7"/>
  <c r="K85" i="7" s="1"/>
  <c r="K75" i="8"/>
  <c r="J88" i="7"/>
  <c r="K88" i="7" s="1"/>
  <c r="K78" i="8"/>
  <c r="J84" i="7"/>
  <c r="K84" i="7" s="1"/>
  <c r="K74" i="8"/>
  <c r="J111" i="7"/>
  <c r="K111" i="7" s="1"/>
  <c r="K89" i="8"/>
  <c r="J90" i="7"/>
  <c r="K90" i="7" s="1"/>
  <c r="K80" i="8"/>
  <c r="J75" i="7"/>
  <c r="K75" i="7" s="1"/>
  <c r="K65" i="8"/>
  <c r="J82" i="7"/>
  <c r="K82" i="7" s="1"/>
  <c r="K72" i="8"/>
  <c r="J81" i="7"/>
  <c r="K81" i="7" s="1"/>
  <c r="K71" i="8"/>
  <c r="J112" i="7"/>
  <c r="K112" i="7" s="1"/>
  <c r="K90" i="8"/>
  <c r="J110" i="7"/>
  <c r="K110" i="7" s="1"/>
  <c r="K88" i="8"/>
  <c r="J87" i="7"/>
  <c r="K87" i="7" s="1"/>
  <c r="K77" i="8"/>
  <c r="J80" i="7"/>
  <c r="K80" i="7" s="1"/>
  <c r="K70" i="8"/>
  <c r="J56" i="7"/>
  <c r="K56" i="7" s="1"/>
  <c r="K49" i="8"/>
  <c r="K16" i="7"/>
  <c r="N68" i="9"/>
  <c r="N70" i="9" s="1"/>
  <c r="N158" i="12"/>
  <c r="N160" i="12" s="1"/>
  <c r="K15" i="8" s="1"/>
  <c r="N3891" i="12"/>
  <c r="N3893" i="12" s="1"/>
  <c r="N974" i="9"/>
  <c r="N976" i="9" s="1"/>
  <c r="N923" i="12"/>
  <c r="N925" i="12" s="1"/>
  <c r="N4317" i="12"/>
  <c r="N4319" i="12" s="1"/>
  <c r="N4739" i="12"/>
  <c r="N4741" i="12" s="1"/>
  <c r="N3213" i="12"/>
  <c r="N3215" i="12" s="1"/>
  <c r="N1518" i="12"/>
  <c r="N1520" i="12" s="1"/>
  <c r="N1263" i="12"/>
  <c r="N1265" i="12" s="1"/>
  <c r="N1773" i="12"/>
  <c r="N1775" i="12" s="1"/>
  <c r="N413" i="12"/>
  <c r="N415" i="12" s="1"/>
  <c r="K19" i="8" s="1"/>
  <c r="N1688" i="12"/>
  <c r="N1690" i="12" s="1"/>
  <c r="N753" i="12"/>
  <c r="N755" i="12" s="1"/>
  <c r="N668" i="12"/>
  <c r="N670" i="12" s="1"/>
  <c r="N2111" i="12"/>
  <c r="N2113" i="12" s="1"/>
  <c r="N328" i="12"/>
  <c r="N330" i="12" s="1"/>
  <c r="K18" i="8" s="1"/>
  <c r="N810" i="9"/>
  <c r="N812" i="9" s="1"/>
  <c r="N5338" i="12"/>
  <c r="N5340" i="12" s="1"/>
  <c r="N398" i="9"/>
  <c r="N400" i="9" s="1"/>
  <c r="N4655" i="12"/>
  <c r="N4657" i="12" s="1"/>
  <c r="N4910" i="12"/>
  <c r="N4912" i="12" s="1"/>
  <c r="N1056" i="9"/>
  <c r="N1058" i="9" s="1"/>
  <c r="N838" i="12"/>
  <c r="N840" i="12" s="1"/>
  <c r="N2536" i="12"/>
  <c r="N2538" i="12" s="1"/>
  <c r="N3296" i="12"/>
  <c r="N3294" i="12"/>
  <c r="N3295" i="12"/>
  <c r="N243" i="12"/>
  <c r="N245" i="12" s="1"/>
  <c r="N5168" i="12"/>
  <c r="N5170" i="12" s="1"/>
  <c r="N4486" i="12"/>
  <c r="N4488" i="12" s="1"/>
  <c r="N2876" i="12"/>
  <c r="N2878" i="12" s="1"/>
  <c r="H38" i="6"/>
  <c r="N2284" i="12"/>
  <c r="N2286" i="12" s="1"/>
  <c r="N2792" i="12"/>
  <c r="N2794" i="12" s="1"/>
  <c r="N4402" i="12"/>
  <c r="N4404" i="12" s="1"/>
  <c r="N4570" i="12"/>
  <c r="N4572" i="12" s="1"/>
  <c r="N1433" i="12"/>
  <c r="N1435" i="12" s="1"/>
  <c r="N72" i="12"/>
  <c r="N74" i="12" s="1"/>
  <c r="K14" i="8" s="1"/>
  <c r="N1178" i="12"/>
  <c r="N1180" i="12" s="1"/>
  <c r="N1093" i="12"/>
  <c r="N1095" i="12" s="1"/>
  <c r="N1138" i="9"/>
  <c r="N1140" i="9" s="1"/>
  <c r="N4824" i="12"/>
  <c r="N4826" i="12" s="1"/>
  <c r="N3806" i="12"/>
  <c r="N3808" i="12" s="1"/>
  <c r="N150" i="9"/>
  <c r="N152" i="9" s="1"/>
  <c r="N5083" i="12"/>
  <c r="N5085" i="12" s="1"/>
  <c r="N564" i="9"/>
  <c r="N566" i="9" s="1"/>
  <c r="N3044" i="12"/>
  <c r="N3046" i="12" s="1"/>
  <c r="N3381" i="12"/>
  <c r="N3383" i="12" s="1"/>
  <c r="N4995" i="12"/>
  <c r="N4997" i="12" s="1"/>
  <c r="N480" i="9"/>
  <c r="N482" i="9" s="1"/>
  <c r="N1348" i="12"/>
  <c r="N1350" i="12" s="1"/>
  <c r="N1858" i="12"/>
  <c r="N1860" i="12" s="1"/>
  <c r="N1008" i="12"/>
  <c r="N1010" i="12" s="1"/>
  <c r="N232" i="9"/>
  <c r="N234" i="9" s="1"/>
  <c r="N498" i="12"/>
  <c r="N500" i="12" s="1"/>
  <c r="N728" i="9"/>
  <c r="N730" i="9" s="1"/>
  <c r="N5253" i="12"/>
  <c r="N5255" i="12" s="1"/>
  <c r="N2708" i="12"/>
  <c r="N2710" i="12" s="1"/>
  <c r="N583" i="12"/>
  <c r="N585" i="12" s="1"/>
  <c r="N316" i="9"/>
  <c r="N318" i="9" s="1"/>
  <c r="L1994" i="12"/>
  <c r="N1994" i="12" s="1"/>
  <c r="N2623" i="12"/>
  <c r="N2625" i="12" s="1"/>
  <c r="N3128" i="12"/>
  <c r="N3130" i="12" s="1"/>
  <c r="N5423" i="12"/>
  <c r="N5425" i="12" s="1"/>
  <c r="J108" i="7" l="1"/>
  <c r="K108" i="7" s="1"/>
  <c r="K113" i="7" s="1"/>
  <c r="K115" i="7" s="1"/>
  <c r="K116" i="7" s="1"/>
  <c r="K117" i="7" s="1"/>
  <c r="L1990" i="12"/>
  <c r="N1990" i="12" s="1"/>
  <c r="J95" i="10"/>
  <c r="H95" i="10" s="1"/>
  <c r="E95" i="10" s="1"/>
  <c r="L108" i="10"/>
  <c r="J108" i="10" s="1"/>
  <c r="H108" i="10" s="1"/>
  <c r="E108" i="10" s="1"/>
  <c r="J51" i="8"/>
  <c r="R2360" i="12"/>
  <c r="N2367" i="12"/>
  <c r="N2365" i="12"/>
  <c r="N2366" i="12"/>
  <c r="R2444" i="12"/>
  <c r="N2451" i="12"/>
  <c r="J52" i="8"/>
  <c r="N2449" i="12"/>
  <c r="N2450" i="12"/>
  <c r="L1995" i="12"/>
  <c r="N1995" i="12" s="1"/>
  <c r="L1993" i="12"/>
  <c r="N1993" i="12" s="1"/>
  <c r="L1992" i="12"/>
  <c r="N1992" i="12" s="1"/>
  <c r="L1905" i="12"/>
  <c r="N1905" i="12" s="1"/>
  <c r="N1913" i="12" s="1"/>
  <c r="N1935" i="12" s="1"/>
  <c r="J44" i="8" s="1"/>
  <c r="K25" i="7"/>
  <c r="N646" i="9"/>
  <c r="N648" i="9" s="1"/>
  <c r="K91" i="7"/>
  <c r="N3297" i="12"/>
  <c r="N3299" i="12" s="1"/>
  <c r="J38" i="6"/>
  <c r="H42" i="6"/>
  <c r="L1572" i="12" l="1"/>
  <c r="N1572" i="12" s="1"/>
  <c r="N1573" i="12" s="1"/>
  <c r="N1595" i="12" s="1"/>
  <c r="J38" i="8" s="1"/>
  <c r="K38" i="8" s="1"/>
  <c r="L2922" i="12"/>
  <c r="N2922" i="12" s="1"/>
  <c r="N2930" i="12" s="1"/>
  <c r="N2952" i="12" s="1"/>
  <c r="J58" i="8" s="1"/>
  <c r="N2452" i="12"/>
  <c r="N2454" i="12" s="1"/>
  <c r="J61" i="7"/>
  <c r="K61" i="7" s="1"/>
  <c r="K52" i="8"/>
  <c r="N2368" i="12"/>
  <c r="N2370" i="12" s="1"/>
  <c r="J60" i="7"/>
  <c r="K60" i="7" s="1"/>
  <c r="K51" i="8"/>
  <c r="N1998" i="12"/>
  <c r="N2020" i="12" s="1"/>
  <c r="N2026" i="12" s="1"/>
  <c r="N1940" i="12"/>
  <c r="N1941" i="12"/>
  <c r="N1942" i="12"/>
  <c r="A9" i="15"/>
  <c r="R1935" i="12"/>
  <c r="J51" i="7"/>
  <c r="K51" i="7" s="1"/>
  <c r="K52" i="7" s="1"/>
  <c r="K44" i="8"/>
  <c r="G45" i="6"/>
  <c r="G48" i="6" s="1"/>
  <c r="J42" i="6"/>
  <c r="H45" i="6"/>
  <c r="H48" i="6" s="1"/>
  <c r="J43" i="7" l="1"/>
  <c r="K43" i="7" s="1"/>
  <c r="K45" i="7" s="1"/>
  <c r="N1602" i="12"/>
  <c r="R1595" i="12"/>
  <c r="N1600" i="12"/>
  <c r="N1603" i="12" s="1"/>
  <c r="N1605" i="12" s="1"/>
  <c r="N1601" i="12"/>
  <c r="N2959" i="12"/>
  <c r="N2958" i="12"/>
  <c r="R2952" i="12"/>
  <c r="N2957" i="12"/>
  <c r="J67" i="7"/>
  <c r="K67" i="7" s="1"/>
  <c r="K68" i="7" s="1"/>
  <c r="K58" i="8"/>
  <c r="R2020" i="12"/>
  <c r="N2025" i="12"/>
  <c r="N2027" i="12"/>
  <c r="J46" i="8"/>
  <c r="N1943" i="12"/>
  <c r="N1945" i="12" s="1"/>
  <c r="N2028" i="12" l="1"/>
  <c r="N2030" i="12" s="1"/>
  <c r="N2960" i="12"/>
  <c r="N2962" i="12" s="1"/>
  <c r="J54" i="7"/>
  <c r="K54" i="7" s="1"/>
  <c r="K58" i="7" s="1"/>
  <c r="K97" i="7" s="1"/>
  <c r="K99" i="7" s="1"/>
  <c r="K46" i="8"/>
  <c r="K98" i="7" l="1"/>
  <c r="K100" i="7"/>
  <c r="K101" i="7" s="1"/>
  <c r="K102" i="7" l="1"/>
  <c r="K11" i="7" s="1"/>
  <c r="K119"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tc={5f79f5da-ba4a-4138-82f8-415e670ec3e0}</author>
    <author>tc={170363a4-0e63-4ef2-8732-f4571af85d79}</author>
    <author>tc={a37e117b-a594-4551-a4d9-37991054a042}</author>
    <author>tc={c52646a8-2a17-4872-a237-b0dc8a975db3}</author>
    <author>tc={faea042b-ba5b-4310-b488-4384229f5f2e}</author>
  </authors>
  <commentList>
    <comment ref="M119" authorId="0" shapeId="0" xr:uid="{5F79F5DA-BA4A-4138-82F8-415E670EC3E0}">
      <text>
        <t>[Comentario encadenado]
Su versión de Excel le permite leer este comentario encadenado; sin embargo, las ediciones que se apliquen se quitarán si el archivo se abre en una versión más reciente de Excel. Más información: https://go.microsoft.com/fwlink/?linkid=870924
Comentario:
    FALTA COTIZACIÓN FORMAL, SOLO CHAT CON CESAR</t>
      </text>
    </comment>
    <comment ref="K120" authorId="1" shapeId="0" xr:uid="{170363A4-0E63-4EF2-8732-F4571AF85D79}">
      <text>
        <t>[Comentario encadenado]
Su versión de Excel le permite leer este comentario encadenado; sin embargo, las ediciones que se apliquen se quitarán si el archivo se abre en una versión más reciente de Excel. Más información: https://go.microsoft.com/fwlink/?linkid=870924
Comentario:
    FALTA COTIZACIÓN FORMAL, SOLO CHAT CON CESAR</t>
      </text>
    </comment>
    <comment ref="K121" authorId="2" shapeId="0" xr:uid="{A37E117B-A594-4551-A4D9-37991054A042}">
      <text>
        <t>[Comentario encadenado]
Su versión de Excel le permite leer este comentario encadenado; sin embargo, las ediciones que se apliquen se quitarán si el archivo se abre en una versión más reciente de Excel. Más información: https://go.microsoft.com/fwlink/?linkid=870924
Comentario:
    FALTA COTIZACIÓN FORMAL, SOLO CHAT CON CESAR</t>
      </text>
    </comment>
    <comment ref="K123" authorId="3" shapeId="0" xr:uid="{C52646A8-2A17-4872-A237-B0DC8A975DB3}">
      <text>
        <t>[Comentario encadenado]
Su versión de Excel le permite leer este comentario encadenado; sin embargo, las ediciones que se apliquen se quitarán si el archivo se abre en una versión más reciente de Excel. Más información: https://go.microsoft.com/fwlink/?linkid=870924
Comentario:
    FALTA COTIZACIÓN FORMAL, SOLO CHAT CON CESAR</t>
      </text>
    </comment>
    <comment ref="K132" authorId="4" shapeId="0" xr:uid="{FAEA042B-BA5B-4310-B488-4384229F5F2E}">
      <text>
        <t>[Comentario encadenado]
Su versión de Excel le permite leer este comentario encadenado; sin embargo, las ediciones que se apliquen se quitarán si el archivo se abre en una versión más reciente de Excel. Más información: https://go.microsoft.com/fwlink/?linkid=870924
Comentario:
    FALTA COTIZACIÓN FORMAL, SOLO CHAT CON CESAR</t>
      </text>
    </comment>
  </commentList>
</comments>
</file>

<file path=xl/sharedStrings.xml><?xml version="1.0" encoding="utf-8"?>
<sst xmlns="http://schemas.openxmlformats.org/spreadsheetml/2006/main" count="13272" uniqueCount="2633">
  <si>
    <t>CONTROL DOCUMENTO</t>
  </si>
  <si>
    <t>VERSIÓN</t>
  </si>
  <si>
    <t>FECHA</t>
  </si>
  <si>
    <t>DD</t>
  </si>
  <si>
    <t>MM</t>
  </si>
  <si>
    <t>AAAA</t>
  </si>
  <si>
    <t>ENTIDAD:</t>
  </si>
  <si>
    <t>CONSEJO SUPERIOR  DE  JUDICATURA– DIRECCIÓN  EJECUTIVA  SECCIONAL  DE ADMINISTRACIÓN JUDICIAL DE BUCARAMANGA</t>
  </si>
  <si>
    <t>TIPO DE CONTRATO:</t>
  </si>
  <si>
    <t>SELECCIÓN ABREVIADA DE OBRA PÚBLICA DE INFRAESTRUCTURA SOCIAL</t>
  </si>
  <si>
    <t>OBJETO:</t>
  </si>
  <si>
    <t>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t>
  </si>
  <si>
    <t>N° CONTRATO:</t>
  </si>
  <si>
    <t xml:space="preserve">BGA - 030 - 2026 </t>
  </si>
  <si>
    <t>UBICACIÓN DEL PROYECTO:</t>
  </si>
  <si>
    <t>CONFINES, SANTANDER</t>
  </si>
  <si>
    <t>COSTOS INDIRECTOS (A.I.U)</t>
  </si>
  <si>
    <t>DESCRIPCIÓN</t>
  </si>
  <si>
    <t>[%]</t>
  </si>
  <si>
    <t>ADMINISTRACION</t>
  </si>
  <si>
    <t xml:space="preserve">IMPREVISTOS </t>
  </si>
  <si>
    <t>UTILIDAD</t>
  </si>
  <si>
    <t>COSTOS INDIRECTOS (A) SUMINISTROS</t>
  </si>
  <si>
    <t>ADMINISTRACION SUMINISTROS / PGIO</t>
  </si>
  <si>
    <t>DURACIÓN [MESES]</t>
  </si>
  <si>
    <t>CONSULTOR:</t>
  </si>
  <si>
    <t>SASERCO SAS</t>
  </si>
  <si>
    <t>Versión:</t>
  </si>
  <si>
    <t>Fecha:</t>
  </si>
  <si>
    <t>PÁGINA</t>
  </si>
  <si>
    <t>DE</t>
  </si>
  <si>
    <t>ANALISIS DE PRECIOS DE MANO DE OBRA</t>
  </si>
  <si>
    <t>1.</t>
  </si>
  <si>
    <t>SALARIOS DE MANO DE OBRA</t>
  </si>
  <si>
    <t>Por Ley:</t>
  </si>
  <si>
    <t>Auxilio Transporte mensual</t>
  </si>
  <si>
    <t>Aux. Transp. Diario</t>
  </si>
  <si>
    <t>Año Salario Minimo</t>
  </si>
  <si>
    <t>Salario Minimo Mensual</t>
  </si>
  <si>
    <t>Salario Min. Diario</t>
  </si>
  <si>
    <t>2.</t>
  </si>
  <si>
    <t>JORNALES DIARIOS DE MANO DE OBRA</t>
  </si>
  <si>
    <t>MAESTRO - CARPINTERO - ENCARGADO - ORNAMENTADOR - TOPÓGRAFO [DÍA]</t>
  </si>
  <si>
    <t>OFICIAL DE CONSTRUCCIÓN - ESTUCADOR - SOLDADOR - CADENERO [DÍA]</t>
  </si>
  <si>
    <t>AYUDANTE DE OBRA [DÍA]</t>
  </si>
  <si>
    <t>Salario (3 SMMLV)</t>
  </si>
  <si>
    <t>Salario (2 SMMLV)</t>
  </si>
  <si>
    <t>Salario (1 SMMLV)</t>
  </si>
  <si>
    <t>Aux. Transporte</t>
  </si>
  <si>
    <t>Jornal Total</t>
  </si>
  <si>
    <t>3.</t>
  </si>
  <si>
    <t>CÁLCULO DE PRESTACIONES</t>
  </si>
  <si>
    <t>Prestaciones Legales</t>
  </si>
  <si>
    <t>Aportes Patronales</t>
  </si>
  <si>
    <t>Otros Aportes</t>
  </si>
  <si>
    <t>Valor Total prestaciones</t>
  </si>
  <si>
    <t xml:space="preserve">Cesantias por Ley </t>
  </si>
  <si>
    <t>Caja de Compensacion</t>
  </si>
  <si>
    <t>Dotación</t>
  </si>
  <si>
    <t>Intereses Sobre Cesantias</t>
  </si>
  <si>
    <t>SENA</t>
  </si>
  <si>
    <t>Implementos Seguridad</t>
  </si>
  <si>
    <t>Primas Anuales</t>
  </si>
  <si>
    <t>ICBF</t>
  </si>
  <si>
    <t>FIC</t>
  </si>
  <si>
    <t>Vacaciones</t>
  </si>
  <si>
    <t>Salud, Pensión, ARP</t>
  </si>
  <si>
    <t>Subtotal</t>
  </si>
  <si>
    <t>4.</t>
  </si>
  <si>
    <t>CÁLCULO DE DESCANSOS REMUNERADOS</t>
  </si>
  <si>
    <t>Tiempo pagado y no laborado</t>
  </si>
  <si>
    <t>Mayor valor prestacional por tiempo</t>
  </si>
  <si>
    <t>TOTAL DESCANSOS REMUNERADOS</t>
  </si>
  <si>
    <t>5.</t>
  </si>
  <si>
    <t>CÁLCULO DE VALORES DE CUADRILLAS</t>
  </si>
  <si>
    <t>BASES DEL CÁLCULO</t>
  </si>
  <si>
    <t>CUADRILLA AA [Albañilería]</t>
  </si>
  <si>
    <t>CUADRILLA BB [Instalaciones varias]</t>
  </si>
  <si>
    <t>CUADRILLA CC 
[Pinturas]</t>
  </si>
  <si>
    <t>CUADRILLA DD 
[Carpintería Madera]</t>
  </si>
  <si>
    <t>CUADRILLA EE 
[Cableado Estructurado]</t>
  </si>
  <si>
    <t>CUADRILLA FF
[Eléctricas]</t>
  </si>
  <si>
    <t>1 OFICIAL + 1 AYUDANTE</t>
  </si>
  <si>
    <t>1 OFICIAL + 1 ESTUCADOR + 1 AYUDANTE</t>
  </si>
  <si>
    <t>1 CARPINTERO + 1 AYUDANTE</t>
  </si>
  <si>
    <t>2 OFICIALES</t>
  </si>
  <si>
    <t>1 ENCARGADO (30%) + 1 OFICIAL + 1 AYUDANTE</t>
  </si>
  <si>
    <t>CANT.</t>
  </si>
  <si>
    <t>VR. PARCIAL</t>
  </si>
  <si>
    <t>Ayudante</t>
  </si>
  <si>
    <t>Oficial</t>
  </si>
  <si>
    <t>Estucador</t>
  </si>
  <si>
    <t>Encargado de obra eléctrica (30%)</t>
  </si>
  <si>
    <t>Carpintero</t>
  </si>
  <si>
    <t>Jornal total diario base</t>
  </si>
  <si>
    <t>Prestaciones sociales</t>
  </si>
  <si>
    <t>Descansos remunerados</t>
  </si>
  <si>
    <t>Incremento variables</t>
  </si>
  <si>
    <t>TOTAL CUADRILLA [DIA]</t>
  </si>
  <si>
    <t>TOTAL CUADRILLA [HH]
HORA-HOMBRE</t>
  </si>
  <si>
    <t>CUADRILLA FF1
[Eléctricas especializadas]</t>
  </si>
  <si>
    <t>CUADRILLA GG 
[Drywall]</t>
  </si>
  <si>
    <t>CUADRILLA HH 
[Metálicas]</t>
  </si>
  <si>
    <t>CUADRILLA II 
[Topografía]</t>
  </si>
  <si>
    <t>CUADRILLA JJ 
[Red contra incendio]</t>
  </si>
  <si>
    <t>CUADRILLA KK
[Aseo]</t>
  </si>
  <si>
    <t>1 ENCARGADO (60%) + 2 OFICIALES + 1 AYUDANTE</t>
  </si>
  <si>
    <t>2 OFICIALES + 1 AYUDANTE</t>
  </si>
  <si>
    <t>1 OFICIAL + 1 AYUDANTE + 1 SOLDADOR</t>
  </si>
  <si>
    <t>1 TOPO+ 1 CADENERO + 1 AYUDANTE</t>
  </si>
  <si>
    <t>1 ENCARGADO + 2 OFICIALES + 1 AYUDANTE</t>
  </si>
  <si>
    <t>2 AYUDANTES</t>
  </si>
  <si>
    <t>Soldador</t>
  </si>
  <si>
    <t>Encargado de obra eléctrica (60%)</t>
  </si>
  <si>
    <t>Topógrafo</t>
  </si>
  <si>
    <t>Cadenero</t>
  </si>
  <si>
    <t>CUADRILLA LL
[Eléctricas especializadas]</t>
  </si>
  <si>
    <t>CUADRILLA MM
[Eléctricas especializadas]</t>
  </si>
  <si>
    <t>CUADRILLA NN
[Eléctricas especializadas]</t>
  </si>
  <si>
    <t>6 AYUDANTES</t>
  </si>
  <si>
    <t>6.</t>
  </si>
  <si>
    <t>LISTADO INDIVIDUAL DE PERSONAL [DÍA]</t>
  </si>
  <si>
    <t>COD.</t>
  </si>
  <si>
    <t>U.M</t>
  </si>
  <si>
    <t>VR. DÍA</t>
  </si>
  <si>
    <t>DEDICACIÓN (%)</t>
  </si>
  <si>
    <t>(%)</t>
  </si>
  <si>
    <t>VR. JORNAL</t>
  </si>
  <si>
    <t>HH</t>
  </si>
  <si>
    <t>M.O-01</t>
  </si>
  <si>
    <t>AYUDANTE 1</t>
  </si>
  <si>
    <t>JRN</t>
  </si>
  <si>
    <t>M.O-02</t>
  </si>
  <si>
    <t>AYUDANTE 2</t>
  </si>
  <si>
    <t>M.O-03</t>
  </si>
  <si>
    <t>AYUDANTE 3</t>
  </si>
  <si>
    <t>M.O-04</t>
  </si>
  <si>
    <t>AYUDANTE 4</t>
  </si>
  <si>
    <t>M.O-05</t>
  </si>
  <si>
    <t>OFICIAL</t>
  </si>
  <si>
    <t>M.O-06</t>
  </si>
  <si>
    <t>OFICIAL 2</t>
  </si>
  <si>
    <t>M.O-07</t>
  </si>
  <si>
    <t>ESTUCADOR</t>
  </si>
  <si>
    <t>M.O-08</t>
  </si>
  <si>
    <t>SOLDADOR</t>
  </si>
  <si>
    <t>M.O-09</t>
  </si>
  <si>
    <t>ORNAMENTADOR</t>
  </si>
  <si>
    <t>M.O-10</t>
  </si>
  <si>
    <t>CARPINTERO</t>
  </si>
  <si>
    <t>M.O-11</t>
  </si>
  <si>
    <t>M.O-12</t>
  </si>
  <si>
    <t>TOPÓGRAFO</t>
  </si>
  <si>
    <t>M.O-13</t>
  </si>
  <si>
    <t>CADENERO 1</t>
  </si>
  <si>
    <t>M.O-14</t>
  </si>
  <si>
    <t xml:space="preserve">CADENERO 2 </t>
  </si>
  <si>
    <t>M.O-15</t>
  </si>
  <si>
    <t>INGENIERO HIDRÁULICO Y/O SANITARIO</t>
  </si>
  <si>
    <t>M.O-16</t>
  </si>
  <si>
    <t>PLOMERO</t>
  </si>
  <si>
    <t>M.O-17</t>
  </si>
  <si>
    <t>AUXILIAR DE TRANSITO 1</t>
  </si>
  <si>
    <t>M.O-18</t>
  </si>
  <si>
    <t>AUXILIAR DE TRANSITO 2</t>
  </si>
  <si>
    <t>M.O-19</t>
  </si>
  <si>
    <t>AUXILIAR DE TRANSITO 3</t>
  </si>
  <si>
    <t>M.O-20</t>
  </si>
  <si>
    <t>INGENIERO ESPECIALISTA EN VIAS</t>
  </si>
  <si>
    <t>M.O-21</t>
  </si>
  <si>
    <t>INGENIERO AMBIENTAL</t>
  </si>
  <si>
    <t>M.O-22</t>
  </si>
  <si>
    <t>PROFESIONAL SOCIAL</t>
  </si>
  <si>
    <t>M.O-23</t>
  </si>
  <si>
    <t>TECNICO HSEQ</t>
  </si>
  <si>
    <t>MO001</t>
  </si>
  <si>
    <t>INGENIERO ELECTRICISTA</t>
  </si>
  <si>
    <t>Ingeniero electricista</t>
  </si>
  <si>
    <t>MO002</t>
  </si>
  <si>
    <t xml:space="preserve">SUPERVISOR ELECTRICISTA </t>
  </si>
  <si>
    <t xml:space="preserve">Supervisor electricista </t>
  </si>
  <si>
    <t>MO003</t>
  </si>
  <si>
    <t>OFICIAL ELÉCTRICO</t>
  </si>
  <si>
    <t>Oficial eléctrico</t>
  </si>
  <si>
    <t>MO004</t>
  </si>
  <si>
    <t>LINIERO</t>
  </si>
  <si>
    <t>Liniero</t>
  </si>
  <si>
    <t>MO005</t>
  </si>
  <si>
    <t>AYUDANTE ELÉCTRICO</t>
  </si>
  <si>
    <t>Ayudante eléctrico</t>
  </si>
  <si>
    <t>MO006</t>
  </si>
  <si>
    <t>MO007</t>
  </si>
  <si>
    <t>CADENERO</t>
  </si>
  <si>
    <t>MO008</t>
  </si>
  <si>
    <t>OFICIAL DE CONSTRUCCIÓN</t>
  </si>
  <si>
    <t>Oficial de construcción</t>
  </si>
  <si>
    <t>MO009</t>
  </si>
  <si>
    <t>OBRERO</t>
  </si>
  <si>
    <t>Obrero</t>
  </si>
  <si>
    <t>MO010</t>
  </si>
  <si>
    <t>Ornamentador</t>
  </si>
  <si>
    <t>MO011</t>
  </si>
  <si>
    <t>ASESOR DE TRÁNSITO</t>
  </si>
  <si>
    <t>Asesor de tránsito</t>
  </si>
  <si>
    <t>MO012</t>
  </si>
  <si>
    <t xml:space="preserve">INSPECTOR RECORREDOR </t>
  </si>
  <si>
    <t xml:space="preserve">Inspector recorredor </t>
  </si>
  <si>
    <t>MO013</t>
  </si>
  <si>
    <t>CONTROLADOR DE TRÁFICO</t>
  </si>
  <si>
    <t>Controlador de tráfico</t>
  </si>
  <si>
    <t>MO014</t>
  </si>
  <si>
    <t>SOLDADOR CERTIFICADO</t>
  </si>
  <si>
    <t>Soldador Certificado</t>
  </si>
  <si>
    <t>MO015</t>
  </si>
  <si>
    <t>AYUDANTE ORNAMENTACIÓN</t>
  </si>
  <si>
    <t>Ayudante Ornamentación</t>
  </si>
  <si>
    <t>MO016</t>
  </si>
  <si>
    <t>Plomero</t>
  </si>
  <si>
    <t>MO017</t>
  </si>
  <si>
    <t>AYUDANTE PLOMERO</t>
  </si>
  <si>
    <t>Ayudante Plomero</t>
  </si>
  <si>
    <t>MO018</t>
  </si>
  <si>
    <t>AUXILIAR DE ORNAMENTACIÓN</t>
  </si>
  <si>
    <t>Auxiliar de Ornamentación</t>
  </si>
  <si>
    <t>MO019</t>
  </si>
  <si>
    <t>PODADOR (TALADOR)</t>
  </si>
  <si>
    <t>Podador (Talador)</t>
  </si>
  <si>
    <t>MO020</t>
  </si>
  <si>
    <t>INGENIERO FORESTAL</t>
  </si>
  <si>
    <t>Ingeniero Forestal</t>
  </si>
  <si>
    <t>MO021</t>
  </si>
  <si>
    <t>MO022</t>
  </si>
  <si>
    <t>MO023</t>
  </si>
  <si>
    <t>MO024</t>
  </si>
  <si>
    <t>MO025</t>
  </si>
  <si>
    <t>ESP. ESTRUCTURAS</t>
  </si>
  <si>
    <t>MO026</t>
  </si>
  <si>
    <t>PATOLOGO</t>
  </si>
  <si>
    <t>7.</t>
  </si>
  <si>
    <t>LISTADO DE CUADRILLAS DE OBRA [DÍA]</t>
  </si>
  <si>
    <t>DESCRIPCION</t>
  </si>
  <si>
    <t>HC</t>
  </si>
  <si>
    <t>CUADRILLA AA [1 OF + 1 AYU] [Albañilería]</t>
  </si>
  <si>
    <t>DÍA</t>
  </si>
  <si>
    <t>CUADRILLA CC [1 OF + EST + 1 AYU] [Pinturas]</t>
  </si>
  <si>
    <t>CUADRILLA DD [1 CARP + 1 AYU] [Carpintería Madera]</t>
  </si>
  <si>
    <t>CUADRILLA EE [2 OF] [Cableado Estructurado]</t>
  </si>
  <si>
    <t>CUADRILLA FF1 [1 ENC (60%) + 2 OF + 1 AYU] [Eléctricas especializadas]</t>
  </si>
  <si>
    <t>CUADRILLA GG [2 OF + 1 AYU] [Drywall]</t>
  </si>
  <si>
    <t>CUADRILLA HH [1 OF + 1 AYU + 1 SOLD] [Metálicas]</t>
  </si>
  <si>
    <t>CUADRILLA II [1 TOP + 1 CAD + 1 AYU] [Topografía]</t>
  </si>
  <si>
    <t>M.O-24</t>
  </si>
  <si>
    <t>CUADRILLA JJ [1 ENC (60%) + 2 OF + 1 AYU] [Red contra incendio]</t>
  </si>
  <si>
    <t>M.O-25</t>
  </si>
  <si>
    <t>CUADRILLA KK [2 OF] [Aseo]</t>
  </si>
  <si>
    <t>M.O-26</t>
  </si>
  <si>
    <t>CUADRILLA ll [6 OBREROS] [Eléctricas]</t>
  </si>
  <si>
    <t>Elaboró:</t>
  </si>
  <si>
    <t>MP:</t>
  </si>
  <si>
    <t>LISTADO DE PRECIOS DE EQUIPOS</t>
  </si>
  <si>
    <t>CÓD.</t>
  </si>
  <si>
    <t>ID.</t>
  </si>
  <si>
    <t>DESCRIPCIÓN ÍTEM</t>
  </si>
  <si>
    <t>PRECIO SIN IVA</t>
  </si>
  <si>
    <t>U.M.</t>
  </si>
  <si>
    <t>REFERENCIA</t>
  </si>
  <si>
    <t>PRECIO IVA INC.</t>
  </si>
  <si>
    <t>TIPO EQU</t>
  </si>
  <si>
    <t>PRECIO</t>
  </si>
  <si>
    <t>EQ-01</t>
  </si>
  <si>
    <t>-</t>
  </si>
  <si>
    <t>MEZCLADORA DE CONCRETO 1 BULTO</t>
  </si>
  <si>
    <t>HR</t>
  </si>
  <si>
    <t>CIVIL</t>
  </si>
  <si>
    <t>GARCIA VEGA</t>
  </si>
  <si>
    <t>EQ-02</t>
  </si>
  <si>
    <t xml:space="preserve">EQUIPOS DE TOPOGRAFIA </t>
  </si>
  <si>
    <t>JORGE</t>
  </si>
  <si>
    <t>EQ-03</t>
  </si>
  <si>
    <t xml:space="preserve">RETROEXCAVADORA </t>
  </si>
  <si>
    <t>GALAN</t>
  </si>
  <si>
    <t>EQ-04</t>
  </si>
  <si>
    <t>EQUIPO DEMOLEDOR HEXAGONAL</t>
  </si>
  <si>
    <t>EQ-05</t>
  </si>
  <si>
    <t>CORTADORA DE PAVIMENTO</t>
  </si>
  <si>
    <t>EQ-06</t>
  </si>
  <si>
    <t>COMPRESOR DE 70 A 120 HP, CON MARTILLO</t>
  </si>
  <si>
    <t>EQ-07</t>
  </si>
  <si>
    <t>MINICARGADOR</t>
  </si>
  <si>
    <t>EQ-08</t>
  </si>
  <si>
    <t>ENTIBADO METÁLICO PROF. 0.0-2.50M, INCLUYE ACCESORIOS PARA INSTALACIÓN</t>
  </si>
  <si>
    <t>KRINGS</t>
  </si>
  <si>
    <t>EQ-09</t>
  </si>
  <si>
    <t>ENTIBADO METÁLICO PROF. 2.5-6.00M, INCLUYE ACCESORIOS PARA INSTALACIÓN</t>
  </si>
  <si>
    <t>EQ-11</t>
  </si>
  <si>
    <t>RETROEXCAVADORA SOBRE ORUGAS DE PROF. EXCAVACIÓN MÍNIMA DE 6,0 M</t>
  </si>
  <si>
    <t>INVIAS 2022-2</t>
  </si>
  <si>
    <t>EQ-12</t>
  </si>
  <si>
    <t>COMPACTADOR MANUAL TIPO SALTARÍN</t>
  </si>
  <si>
    <t>EQ-13</t>
  </si>
  <si>
    <t>VIBRADOR DE CONCRETO ELÉCTRICO</t>
  </si>
  <si>
    <t>EQ-14</t>
  </si>
  <si>
    <t>FORMALETA METALICA</t>
  </si>
  <si>
    <t>M2</t>
  </si>
  <si>
    <t>EQ-15</t>
  </si>
  <si>
    <t>ANDAMIO METALICO TUBULAR</t>
  </si>
  <si>
    <t>DIA</t>
  </si>
  <si>
    <t>EQ-16</t>
  </si>
  <si>
    <t>GUADAÑADORA CILINDRAJE 38-58 CM3</t>
  </si>
  <si>
    <t>EQ-17</t>
  </si>
  <si>
    <t>EQ-18</t>
  </si>
  <si>
    <t>EQUIPO DE OXICORTE (OXIGENO-ACETILENO)</t>
  </si>
  <si>
    <t>EQ-19</t>
  </si>
  <si>
    <t>EQUIPO DE SOLDADURA</t>
  </si>
  <si>
    <t>EQ-20</t>
  </si>
  <si>
    <t>PULIDORA MANUAL ELECTRICA</t>
  </si>
  <si>
    <t>EQ-21</t>
  </si>
  <si>
    <t>EQUIPO DE PINTURA (COMPRESOR)</t>
  </si>
  <si>
    <t>EQ-22</t>
  </si>
  <si>
    <t>PISTOLA PARA APLICAR ADHESIVO EPÓXICO</t>
  </si>
  <si>
    <t>EQ-23</t>
  </si>
  <si>
    <t xml:space="preserve">TALADRO </t>
  </si>
  <si>
    <t>EQ-24</t>
  </si>
  <si>
    <t>MOTOSIERRA</t>
  </si>
  <si>
    <t>EQ-25</t>
  </si>
  <si>
    <t>EQ-26</t>
  </si>
  <si>
    <t>EQ-27</t>
  </si>
  <si>
    <t>MOTOBOMBA DE IMPULSIÓN PARA CONCRETO</t>
  </si>
  <si>
    <t>EQ-28</t>
  </si>
  <si>
    <t>ALLANADORA MECANICA 5HP</t>
  </si>
  <si>
    <t>EQ-29</t>
  </si>
  <si>
    <t>EQUIPO DE IZAJE</t>
  </si>
  <si>
    <t>EQ-30</t>
  </si>
  <si>
    <t>EQ-31</t>
  </si>
  <si>
    <t>PLANTA ELÉCTRICA 3000 WATTS -4000 WATTS</t>
  </si>
  <si>
    <t>EQ-32</t>
  </si>
  <si>
    <t>ENTIBADO METÁLICO, INCLUYE PERFILES Y ACCESORIOS PARA INSTALACIÓN</t>
  </si>
  <si>
    <t>EQ-33</t>
  </si>
  <si>
    <t>CORTADORA MANUAL DE PORCELANATO HIT 1600 PLUS RUBI</t>
  </si>
  <si>
    <t>EQ-34</t>
  </si>
  <si>
    <t>POLIPASTO 5 TON</t>
  </si>
  <si>
    <t>MEQ-02</t>
  </si>
  <si>
    <t>CERCHA METALICA DE 3MTS</t>
  </si>
  <si>
    <t>MEQ-03</t>
  </si>
  <si>
    <t>CRUCETA ANDAMIO</t>
  </si>
  <si>
    <t>MEQ-04</t>
  </si>
  <si>
    <t>MEQ-05</t>
  </si>
  <si>
    <t>ROTOMARTILLO</t>
  </si>
  <si>
    <t>MEQ-06</t>
  </si>
  <si>
    <t>MEQ-07</t>
  </si>
  <si>
    <t>MEQ-08</t>
  </si>
  <si>
    <t>MEQ-09</t>
  </si>
  <si>
    <t>TABLERO O PLAQUETA DE 1.4MT X O.7MT</t>
  </si>
  <si>
    <t>MEQ-10</t>
  </si>
  <si>
    <t>TABLONES 3 MTS</t>
  </si>
  <si>
    <t>MEQ-11</t>
  </si>
  <si>
    <t>PARAL CORRIENTE 3 M</t>
  </si>
  <si>
    <t>MEQ-12</t>
  </si>
  <si>
    <t>PARAL CORRIENTE 4 M</t>
  </si>
  <si>
    <t>MEQ-13</t>
  </si>
  <si>
    <t>VIBRADOR DE CONCRETO A GASOLINA</t>
  </si>
  <si>
    <t>MEQ-14</t>
  </si>
  <si>
    <t>MEQ-15</t>
  </si>
  <si>
    <t>COMPRESOR DE DOS MARTILLOS</t>
  </si>
  <si>
    <t>MEQ-16</t>
  </si>
  <si>
    <t>MEZCLADORA DE CONCRETO 1/2 BULTO</t>
  </si>
  <si>
    <t>MEQ-17</t>
  </si>
  <si>
    <t>FORMALETA PARA ENTREPISO (INCLUYE TABLEROS, BANDAS,PARALES Y CERCHAS)</t>
  </si>
  <si>
    <t>MEQ-18</t>
  </si>
  <si>
    <t>COMPRESOR (BARRIDO Y SOPLADO)</t>
  </si>
  <si>
    <t>MEQ-19</t>
  </si>
  <si>
    <t>TALADRO PERCUTOR TIPO HILTI</t>
  </si>
  <si>
    <t>MEQ-20</t>
  </si>
  <si>
    <t>MEQ-21</t>
  </si>
  <si>
    <t>MEQ-22</t>
  </si>
  <si>
    <t>MEQ-23</t>
  </si>
  <si>
    <t>PARALES METALICOS</t>
  </si>
  <si>
    <t>MEQ-24</t>
  </si>
  <si>
    <t>PULIDORA PISO 2 EJES</t>
  </si>
  <si>
    <t>MEQ-25</t>
  </si>
  <si>
    <t>MEQ-26</t>
  </si>
  <si>
    <t>MEQ-27</t>
  </si>
  <si>
    <t>MEQ-28</t>
  </si>
  <si>
    <t>EQUIPO DE ACABADO SUPERFICIAL PAVIMENTO RIGIDO</t>
  </si>
  <si>
    <t>MEQ-29</t>
  </si>
  <si>
    <t>REGLA VIBRATORIA</t>
  </si>
  <si>
    <t>MEQ-30</t>
  </si>
  <si>
    <t>CORTADORA DE CONCRETO</t>
  </si>
  <si>
    <t>MEQ-31</t>
  </si>
  <si>
    <t>HIDROLAVADORA ELÉCTRICA</t>
  </si>
  <si>
    <t>MEQ-32</t>
  </si>
  <si>
    <t>TRONZADORA DE METAL</t>
  </si>
  <si>
    <t>MEQ-33</t>
  </si>
  <si>
    <t>VEHÍCULO DELINEADOR</t>
  </si>
  <si>
    <t>MEQ-34</t>
  </si>
  <si>
    <t>EQUIPO DE PINTURA (COMPRESOR), PRESIÓN MÁXIMA DE TRABAJO 3300 PSI.</t>
  </si>
  <si>
    <t>MEQ-35</t>
  </si>
  <si>
    <t>MOTONIVELADORA</t>
  </si>
  <si>
    <t>MEQ-36</t>
  </si>
  <si>
    <t>MEQ-37</t>
  </si>
  <si>
    <t>VIBROCOMPACTADOR APISONADOR MANUAL TIPO SALTARIN</t>
  </si>
  <si>
    <t>MEQ-38</t>
  </si>
  <si>
    <t>VIBROCOMPACTADOR MANUAL TIPO RANA</t>
  </si>
  <si>
    <t>MEQ-39</t>
  </si>
  <si>
    <t>TERMINADORA DE ASFALTO</t>
  </si>
  <si>
    <t>MEQ-40</t>
  </si>
  <si>
    <t>COMPACTADOR NEUMÁTICO</t>
  </si>
  <si>
    <t>MEQ-41</t>
  </si>
  <si>
    <t>CARROTANQUE DE AGUA(1000 GALONES)</t>
  </si>
  <si>
    <t>MEQ-42</t>
  </si>
  <si>
    <t>MEQ-43</t>
  </si>
  <si>
    <t>ANDAMIAJE PARA APLICAR LA CARGA (EQUIPO SUSTITUTO DE LA TARA)</t>
  </si>
  <si>
    <t>U</t>
  </si>
  <si>
    <t>MEQ-44</t>
  </si>
  <si>
    <t>ASPERSOR MANUAL DE 20 LITROS</t>
  </si>
  <si>
    <t>H</t>
  </si>
  <si>
    <t>MEQ-45</t>
  </si>
  <si>
    <t>ASTILLADORA DE MADERA PARA TRITURAR, POTENCIA APROXIMADA 75 HP</t>
  </si>
  <si>
    <t>MEQ-46</t>
  </si>
  <si>
    <t>MOTOBOMBA DE CONCRETO</t>
  </si>
  <si>
    <t>MEQ-47</t>
  </si>
  <si>
    <t>BARREDORA DE SUCCIÓN, ALMACENAMIENTO APROXIMADO 6 M3</t>
  </si>
  <si>
    <t>MEQ-48</t>
  </si>
  <si>
    <t>BOMBA DE CONCRETO, PRODUCCIÓN: 30 M3/H- 50 M3/H</t>
  </si>
  <si>
    <t>MEQ-49</t>
  </si>
  <si>
    <t>BOMBA DE INYECCIÓN DE LECHADA</t>
  </si>
  <si>
    <t>MEQ-50</t>
  </si>
  <si>
    <t>BOMBA ELÉCTRICA PARA ACCIONAR LA CELDA ESPECIAL DE CARGA</t>
  </si>
  <si>
    <t>MEQ-51</t>
  </si>
  <si>
    <t>BOMBA PARA GATO DE TENSIONAMIENTO (FUERZA MÁXIMA 300 TONELADAS)</t>
  </si>
  <si>
    <t>MEQ-52</t>
  </si>
  <si>
    <t>BULDOZER POTENCIA AL VOLANTE DE 305 HP, MOTOR DE 2100 RPM, LONGITUD DE HOJA 6,39M</t>
  </si>
  <si>
    <t>MEQ-53</t>
  </si>
  <si>
    <t>BULDOZER, POTENCIA AL VOLANTE DE 140 HP, MOTOR DE 2200 RPM, LONGITUD DE HOJA 4,80M</t>
  </si>
  <si>
    <t>MEQ-54</t>
  </si>
  <si>
    <t>BULDOZER, POTENCIA AL VOLANTE DE 80 HP, MOTOR DE 2400 RPM, LONGITUD DE HOJA 3,99M</t>
  </si>
  <si>
    <t>MEQ-55</t>
  </si>
  <si>
    <t>CALDERA PARA PINTURA TERMOPLÁSTICA (NTC 4744-2)</t>
  </si>
  <si>
    <t>MEQ-56</t>
  </si>
  <si>
    <t>CAMABAJA CAPACIDAD DE 30-40 TONELADAS</t>
  </si>
  <si>
    <t>MEQ-57</t>
  </si>
  <si>
    <t>CAMIÓN 350 (F-350, CHEYENNE 350 O SIMILARES)</t>
  </si>
  <si>
    <t>MEQ-58</t>
  </si>
  <si>
    <t>CAMIÓN CON CAPACIDAD DE 5 TON O SUPERIOR</t>
  </si>
  <si>
    <t>MEQ-59</t>
  </si>
  <si>
    <t xml:space="preserve">CAMIÓN DE SLURRY, VOLUMEN DE DEPÓSITO DE EMULSIÓN 4M3 A 6 M3, ANCHO APROXIMADO 7 M </t>
  </si>
  <si>
    <t>MEQ-60</t>
  </si>
  <si>
    <t>CAMIÓN GRÚA CAPACIDAD 5 TONELADAS</t>
  </si>
  <si>
    <t>MEQ-61</t>
  </si>
  <si>
    <t>CAMIÓN MIXER</t>
  </si>
  <si>
    <t>MEQ-62</t>
  </si>
  <si>
    <t>CAMIONETA DE ESTACAS 4X4</t>
  </si>
  <si>
    <t>MEQ-63</t>
  </si>
  <si>
    <t>CAMISA METÁLICA PARA PILOTE CALIBRE 36 D=1.20M - RECUPERABLE (KG)</t>
  </si>
  <si>
    <t>KG</t>
  </si>
  <si>
    <t>MEQ-64</t>
  </si>
  <si>
    <t>CAMISA METÁLICA PARA PILOTE CALIBRE 36 D=1M - RECUPERABLE (M)</t>
  </si>
  <si>
    <t>MEQ-65</t>
  </si>
  <si>
    <t>CARGADOR: POTENCIA EN EL VOLANTE 110 HP, CLASIFICACIÓN DE RPM DEL MOTOR 2300</t>
  </si>
  <si>
    <t>MEQ-66</t>
  </si>
  <si>
    <t>CARGADOR: POTENCIA EN EL VOLANTE 125 HP, CLASIFICACIÓN DE RPM DEL MOTOR 2300</t>
  </si>
  <si>
    <t>MEQ-67</t>
  </si>
  <si>
    <t>CARROTANQUE IRRIGADOR DE ASFALTO, 1000 GALONES DE CAPACIDAD</t>
  </si>
  <si>
    <t>MEQ-68</t>
  </si>
  <si>
    <t>CIZALLA MANUAL DE 90 CM</t>
  </si>
  <si>
    <t>MEQ-69</t>
  </si>
  <si>
    <t>COMPACTADOR DE RODILLO POTENCIA: 80HP, PESO: 7 TON</t>
  </si>
  <si>
    <t>MEQ-70</t>
  </si>
  <si>
    <t>COMPACTADOR DE RODILLO POTENCIA: 99 HP, PESO: 8 TONELADAS</t>
  </si>
  <si>
    <t>MEQ-71</t>
  </si>
  <si>
    <t>COMPACTADOR DE RODILLO, POTENCIA 105 HP, PESO DE 6 TONELADAS</t>
  </si>
  <si>
    <t>MEQ-72</t>
  </si>
  <si>
    <t>COMPACTADOR MANUAL (SALTARÍN) PESO DE OPERACIÓN (KG.) 52, FUERZA DE IMPACTO POR GOLPE (KN) 12</t>
  </si>
  <si>
    <t>MEQ-73</t>
  </si>
  <si>
    <t>COMPACTADOR MANUAL DE RODILLO</t>
  </si>
  <si>
    <t>MEQ-74</t>
  </si>
  <si>
    <t>COMPACTADOR MANUAL VIBRATORIO (CANGURO) (APISONADORES), POTENCIA APROXIMADA 5 HP</t>
  </si>
  <si>
    <t>MEQ-75</t>
  </si>
  <si>
    <t>COMPACTADOR MANUAL VIBRATORIO (RANA) CON MOTOR DE 6 HP</t>
  </si>
  <si>
    <t>MEQ-76</t>
  </si>
  <si>
    <t>COMPACTADOR NEUMÁTICO DE POTENCIA 70 HP, PESO DE 13 TON</t>
  </si>
  <si>
    <t>MEQ-77</t>
  </si>
  <si>
    <t>COMPACTADOR NEUMÁTICO PESO 3,5 TON</t>
  </si>
  <si>
    <t>MEQ-78</t>
  </si>
  <si>
    <t>COMPACTADOR VIBRATORIO POTENCIA APROXIMADA DE 15 KW</t>
  </si>
  <si>
    <t>MEQ-79</t>
  </si>
  <si>
    <t>MEQ-80</t>
  </si>
  <si>
    <t>COMPRESOR PARA PENETRAR ROCA</t>
  </si>
  <si>
    <t>MEQ-81</t>
  </si>
  <si>
    <t>COMPRESOR PORTÁTIL DE 70 A 120 HP, CON MARTILLO</t>
  </si>
  <si>
    <t>MEQ-82</t>
  </si>
  <si>
    <t xml:space="preserve">CORTADORA DE ADOQUINES </t>
  </si>
  <si>
    <t>MEQ-83</t>
  </si>
  <si>
    <t>CORTADORA DE PAVIMENTO, PROFUNDIDAD DE CORTE: 16- 19 CM. CAPACIDAD DE DISCO: DESDE 12" HASTA 20" DE DIÁMETRO</t>
  </si>
  <si>
    <t>MEQ-84</t>
  </si>
  <si>
    <t>DERRETIDORA DE ASFALTO (CRAFCO O SIMILAR)</t>
  </si>
  <si>
    <t>MEQ-85</t>
  </si>
  <si>
    <t>DIFERENCIAL DE 2 TONELADAS</t>
  </si>
  <si>
    <t>MEQ-86</t>
  </si>
  <si>
    <t>DIFERENCIAL DE 3 TONELADAS</t>
  </si>
  <si>
    <t>MEQ-87</t>
  </si>
  <si>
    <t>EQUIPO AUTOPROPULSADO PARA APLICACIÓN DE PINTURA TERMOPLÁSTICA (NTC 4744-2)</t>
  </si>
  <si>
    <t>MEQ-88</t>
  </si>
  <si>
    <t>EQUIPO DE ACARREO INTERNO</t>
  </si>
  <si>
    <t>MEQ-89</t>
  </si>
  <si>
    <t>MEQ-90</t>
  </si>
  <si>
    <t>EQUIPO DE MEDICIÓN (DEFORMÍMETROS ELÉCTRICOS, MECÁNICOS, CELDAS DE CARGA, ETC.) PARA PRUEBA DE CARGA</t>
  </si>
  <si>
    <t>MEQ-91</t>
  </si>
  <si>
    <t>EQUIPO DE OXICORTE Y SOLDADURA, CAPACIDAD DE CORTE 6"-14"</t>
  </si>
  <si>
    <t>MEQ-92</t>
  </si>
  <si>
    <t>EQUIPO DE PERFORACIÓN (TRACKDRILL), POTENCIA APROXIMADA 40 HP, 2100 GOLPES / MINUTO</t>
  </si>
  <si>
    <t>MEQ-93</t>
  </si>
  <si>
    <t>EQUIPO DE PINTURA (COMPRESOR). PRESIÓN MÁXIMA DE TRABAJO 7 HP</t>
  </si>
  <si>
    <t>MEQ-94</t>
  </si>
  <si>
    <t>EQUIPO DE RAYOS X Y/O ULTRASONIDO INDUSTRIAL</t>
  </si>
  <si>
    <t>MEQ-95</t>
  </si>
  <si>
    <t>EQUIPO DE SANDBLASTING Y PINTURA, COMPRESORA 250CFM A 100 PSI, PULMÓN DE 70 GAL (250 L) PARA 160 PSI</t>
  </si>
  <si>
    <t>MEQ-96</t>
  </si>
  <si>
    <t>EQUIPO DE SOLDADURA 250 AMP</t>
  </si>
  <si>
    <t>MEQ-97</t>
  </si>
  <si>
    <t>EQUIPO DE SOLDADURA 400 AMP</t>
  </si>
  <si>
    <t>MEQ-98</t>
  </si>
  <si>
    <t>EQUIPO DE SOLDADURA 600 AMP</t>
  </si>
  <si>
    <t>MEQ-99</t>
  </si>
  <si>
    <t>EQUIPO DE TOPOGRAFÍA TEODOLITO ELECTRÓNICO CON ABERTURA DE ANTEOJO DE 42- 45 MM. AUMENTO DEL ANTEOJO: 30X.DISTANCIA MÍNIMA DE ENFOQUE: 1 - 1.5 M. PRECISIÓN: 5´´</t>
  </si>
  <si>
    <t>MEQ-100</t>
  </si>
  <si>
    <t>ESPARCIDOR DE GRAVILLA, ANCHO DE ESPARCIMIENTO 3 - 7.5 M</t>
  </si>
  <si>
    <t>MEQ-101</t>
  </si>
  <si>
    <t>ESTACIÓN TOTAL CON PRECISIÓN ANGULAR DE 6". PRECISIÓN LINEAL 2 MM ± 2 PPM</t>
  </si>
  <si>
    <t>MEQ-102</t>
  </si>
  <si>
    <t>FORMALETA METÁLICA PARA BARANDA DE CONCRETO (M)</t>
  </si>
  <si>
    <t>MEQ-103</t>
  </si>
  <si>
    <t>FORMALETA METÁLICA PARA CONCRETO (M2)</t>
  </si>
  <si>
    <t>MEQ-104</t>
  </si>
  <si>
    <t>FORMALETA METÁLICA PARA DEFENSA DE CONCRETO (M)</t>
  </si>
  <si>
    <t>MEQ-105</t>
  </si>
  <si>
    <t>FORMALETA METÁLICA PARA FABRICACIÓN DE PANELES DE CONCRETO (M2)</t>
  </si>
  <si>
    <t>MEQ-106</t>
  </si>
  <si>
    <t>FORMALETA METÁLICA PARA PAVIMENTO EN CONCRETO HIDRÁULICO (M)</t>
  </si>
  <si>
    <t>MEQ-107</t>
  </si>
  <si>
    <t>FORMALETA METÁLICA PARA PILOTES DE CONCRETO PREFABRICADO IN SITU (M)</t>
  </si>
  <si>
    <t>MEQ-108</t>
  </si>
  <si>
    <t>FORMALETA PARA CAMISA DE PILOTE</t>
  </si>
  <si>
    <t>MEQ-109</t>
  </si>
  <si>
    <t>FORMALETA, PLATINA Y ACCESORIOS (GLO)</t>
  </si>
  <si>
    <t>MEQ-110</t>
  </si>
  <si>
    <t>FORMALETA, PLATINA Y ACCESORIOS (M)</t>
  </si>
  <si>
    <t>GLO</t>
  </si>
  <si>
    <t>MEQ-111</t>
  </si>
  <si>
    <t>FRESADORA DE PAVIMENTO, ANCHO DE TRABAJO 1.3 M A 1.5 M, POTENCIA APROXIMADA 430 HP, PROFUNDIDAD DE CORTE 30 CM</t>
  </si>
  <si>
    <t>M</t>
  </si>
  <si>
    <t>MEQ-112</t>
  </si>
  <si>
    <t>FRESADORA DE PAVIMENTO, ANCHO DE TRABAJO 2 M, CON TAMBOR ESPECIAL DE PUNTAS DE ACERO DE ALTA DUREZA, PROFUNDIDAD DE CORTE MENOR A 2.5 CM PARA MICROFRESADO (W2000 O SIMILARES)</t>
  </si>
  <si>
    <t>MEQ-113</t>
  </si>
  <si>
    <t>FRESADORA DE PAVIMENTO, ANCHO DE TRABAJO 2 M, POTENCIA APROXIMADA 580 HP, PROFUNDIDAD DE CORTE 30 CM</t>
  </si>
  <si>
    <t>MEQ-114</t>
  </si>
  <si>
    <t>GATO PARA TENSIONAMIENTO, FUERZA MAX 300 TONELADAS</t>
  </si>
  <si>
    <t>MEQ-115</t>
  </si>
  <si>
    <t>GRÚA CAPACIDAD 10 TONELADAS</t>
  </si>
  <si>
    <t>MEQ-116</t>
  </si>
  <si>
    <t>GRÚA CAPACIDAD 15 TONELADAS</t>
  </si>
  <si>
    <t>MEQ-117</t>
  </si>
  <si>
    <t>GRÚA TELESCÓPICA CAPACIDAD 50 TONELADAS</t>
  </si>
  <si>
    <t>MEQ-118</t>
  </si>
  <si>
    <t>GRÚA TORRE CAPACIDAD 1 TONELADA EN LA PUNTA</t>
  </si>
  <si>
    <t>MEQ-119</t>
  </si>
  <si>
    <t>MEQ-120</t>
  </si>
  <si>
    <t>LANZA DE AIRE COMPRIMIDO CALIENTE, VELOCIDAD DE DESCARGUE 1000 M/S, TEMPERATURA DEL AIRE A PRESIÓN 1000 °C</t>
  </si>
  <si>
    <t>MEQ-121</t>
  </si>
  <si>
    <t>MANÓMETRO CABLE DE ACERO PARA BAJAR LA CELDA</t>
  </si>
  <si>
    <t>MEQ-122</t>
  </si>
  <si>
    <t>MÁQUINA ESTABILIZADORA CON CÁMARA DE TAMBOR ROTATORIO DE PASO SENCILLO</t>
  </si>
  <si>
    <t>MEQ-123</t>
  </si>
  <si>
    <t>MÁQUINA HIDROSEMBRADORA 1000 - 4000 LITROS</t>
  </si>
  <si>
    <t>MEQ-124</t>
  </si>
  <si>
    <t>MÁQUINA TÉRMICA PARA APLICACIÓN DE ADHESIVO PARA TACHA</t>
  </si>
  <si>
    <t>MEQ-125</t>
  </si>
  <si>
    <t>MEZCLADORA DE CONCRETO TIPO TROMPO</t>
  </si>
  <si>
    <t>MEQ-126</t>
  </si>
  <si>
    <t>MINIRETROEXCAVADORA SOBRE NEUMÁTICOS DE 37,5 KW</t>
  </si>
  <si>
    <t>MEQ-127</t>
  </si>
  <si>
    <t>MONTACARGAS CAPACIDAD 2-10 TONELADAS</t>
  </si>
  <si>
    <t>MEQ-128</t>
  </si>
  <si>
    <t>MOTOBOMBA 3 PULGADAS</t>
  </si>
  <si>
    <t>MEQ-129</t>
  </si>
  <si>
    <t>MOTOBOMBA 4 PULGADAS</t>
  </si>
  <si>
    <t>MEQ-130</t>
  </si>
  <si>
    <t xml:space="preserve">MOTOBOMBA 6 PULGADAS </t>
  </si>
  <si>
    <t>MEQ-131</t>
  </si>
  <si>
    <t>MOTONIVELADORA POTENCIA 215 HP, ANCHO DE CUCHILLA 4,27 M, PESO 18 TON</t>
  </si>
  <si>
    <t>MEQ-132</t>
  </si>
  <si>
    <t>MOTONIVELADORA, POTENCIA 140 HP, ANCHO DE CUCHILLA 3,66 M, PESO 11 TON</t>
  </si>
  <si>
    <t>MEQ-133</t>
  </si>
  <si>
    <t>MOTOSIERRA, 4.5 HP - 7.1 HP, LONGITUD DE ESPADA 45-90 CM</t>
  </si>
  <si>
    <t>MEQ-134</t>
  </si>
  <si>
    <t>MOTOSOLDADOR, 300 AMPERIOS</t>
  </si>
  <si>
    <t>MEQ-135</t>
  </si>
  <si>
    <t>PALA AUXILIAR DE PILOTEADORA</t>
  </si>
  <si>
    <t>MEQ-136</t>
  </si>
  <si>
    <t>PALA GRÚA (DRAGALINA) POTENCIA DEL MOTOR APROXIMADA 320 KW - 390 KW, CAPACIDAD DE CARGA APROXIMADA 70 -100 TONELADAS</t>
  </si>
  <si>
    <t>MEQ-137</t>
  </si>
  <si>
    <t>PARALES-TACO METÁLICO O PUNTAL (ESCAMAS EN CONCRETO)</t>
  </si>
  <si>
    <t>MEQ-138</t>
  </si>
  <si>
    <t>PILOTEADORA POTENCIA MÍNIMA DE 250KW, FUERZA ELEVADORA 200KN</t>
  </si>
  <si>
    <t>MEQ-139</t>
  </si>
  <si>
    <t>PLANTA DE ASFALTO EN CALIENTE CONTINUA DE 120 TONELADAS DE CAPACIDAD</t>
  </si>
  <si>
    <t>MEQ-140</t>
  </si>
  <si>
    <t>PLANTA DE ASFALTO EN CALIENTE MÓVIL DISCONTINUA DE 60 TONELADAS DE CAPACIDAD</t>
  </si>
  <si>
    <t>MEQ-141</t>
  </si>
  <si>
    <t>PLANTA DE ASFALTO EN FRÍO DE 60 TONELADAS/HORA DE CAPACIDAD</t>
  </si>
  <si>
    <t>MEQ-142</t>
  </si>
  <si>
    <t>PLANTA DOSIFICADORA (MEZCLADORA) DE CONCRETO</t>
  </si>
  <si>
    <t>MEQ-143</t>
  </si>
  <si>
    <t>MEQ-144</t>
  </si>
  <si>
    <t>PLANTA PARA MEZCLA DE ASFALTO EN FRIO DE 160 TONELADAS/HORA DE CAPACIDAD</t>
  </si>
  <si>
    <t>MEQ-145</t>
  </si>
  <si>
    <t>PLANTA TRITURADORA</t>
  </si>
  <si>
    <t>MEQ-146</t>
  </si>
  <si>
    <t>PUENTE GRÚA</t>
  </si>
  <si>
    <t>MEQ-147</t>
  </si>
  <si>
    <t>PULIDORA (8500 REV)</t>
  </si>
  <si>
    <t>MEQ-148</t>
  </si>
  <si>
    <t>PULVIMIXER POTENCIA APROXIMADA 500 HP</t>
  </si>
  <si>
    <t>MEQ-149</t>
  </si>
  <si>
    <t xml:space="preserve">RECICLADORA DE PAVIMENTO POTENCIA APROXIMADA 430 HP </t>
  </si>
  <si>
    <t>MEQ-150</t>
  </si>
  <si>
    <t>REGLA VIBRATORIA DE CONCRETO, DE LONGITUD DE 3 A 5 M, POTENCIA DE 6 A 9 HP</t>
  </si>
  <si>
    <t>MEQ-151</t>
  </si>
  <si>
    <t>RETROCARGADOR, PALA DE 1,1 M3 DE CAPACIDAD, PROFUNDIDAD DE EXCAVACIÓN DE 4.400 MM Y UNA ALTURA DE 5.680 MM</t>
  </si>
  <si>
    <t>MEQ-152</t>
  </si>
  <si>
    <t>RETROEXCAVADORA DE PIVOTE CENTRAL Y DESPLAZAMIENTO LATERAL DE MÍNIMO 60 KW DE POTENCIA</t>
  </si>
  <si>
    <t>MEQ-153</t>
  </si>
  <si>
    <t>RETROEXCAVADORA SOBRE LLANTAS, MOTOR 62HP, PROFUNDIDAD DE EXCAVACIÓN DE 5.41 METROS</t>
  </si>
  <si>
    <t>MEQ-154</t>
  </si>
  <si>
    <t>RETROEXCAVADORA SOBRE NEUMÁTICOS DE 85 KW, EQUIPADA CON DESCABEZADOR HIDRÁULICO PARA PILOTES</t>
  </si>
  <si>
    <t>MEQ-155</t>
  </si>
  <si>
    <t>RETROEXCAVADORA SOBRE ORUGA, POTENCIA 158 KW, BALDE DE 1.5 M3</t>
  </si>
  <si>
    <t>MEQ-156</t>
  </si>
  <si>
    <t>RETROEXCAVADORA SOBRE ORUGAS DE PROFUNDIDAD DE EXCAVACIÓN MÍNIMA DE 6,0 M</t>
  </si>
  <si>
    <t>MEQ-157</t>
  </si>
  <si>
    <t>RETROEXCAVADORA, POTENCIA EN EL VOLANTE 78 HP 2200 RPM</t>
  </si>
  <si>
    <t>MEQ-158</t>
  </si>
  <si>
    <t>RUTEADORA PARA ASFALTO, POTENCIA MÍNIMA 15 KW</t>
  </si>
  <si>
    <t>MEQ-159</t>
  </si>
  <si>
    <t>SENSOR DE IMPACTO PARA PRUEBA DE INTEGRIDAD SOBRE PILOTES TIPO</t>
  </si>
  <si>
    <t>MEQ-160</t>
  </si>
  <si>
    <t>SHUTTLE BUGGY</t>
  </si>
  <si>
    <t>MEQ-161</t>
  </si>
  <si>
    <t>SILO PARA ALMACENAMIENTO DE CONCRETO, CAPACIDAD 10 M3</t>
  </si>
  <si>
    <t>MEQ-162</t>
  </si>
  <si>
    <t>TALADRO DE 1/2", PULIDORA, LIJADORA Y CIRCULAR</t>
  </si>
  <si>
    <t>MEQ-163</t>
  </si>
  <si>
    <t>TALADRO INDUSTRIAL (COLUMNA, DE ÁRBOL O SIMILARES)</t>
  </si>
  <si>
    <t>MEQ-164</t>
  </si>
  <si>
    <t>TARA (RECEBO, AGUA, ETC.)</t>
  </si>
  <si>
    <t>MEQ-165</t>
  </si>
  <si>
    <t>TERMINADORA DE ASFALTO (FINISHER), POTENCIA 130 HP, PESO 15 TON.</t>
  </si>
  <si>
    <t>MEQ-166</t>
  </si>
  <si>
    <t>TERMINADORA DE ASFALTO (FINISHER), POTENCIA EN EL VOLANTE 174 HP, R=20M3/H, VELOCIDAD DE DESPLAZAMIENTO 114 M/MIN</t>
  </si>
  <si>
    <t>MEQ-167</t>
  </si>
  <si>
    <t>VEHÍCULO DELINEADOR PARA APLICACIÓN DE PINTURA CON MÍNIMO 2 BOQUILLAS (NTC 4744-2)</t>
  </si>
  <si>
    <t>MEQ-168</t>
  </si>
  <si>
    <t>VIBRADOR DE CONCRETO, POTENCIA APROXIMADA DE 3 HP, MANGUERAS DE 4 A 6 METROS</t>
  </si>
  <si>
    <t>MEQ-169</t>
  </si>
  <si>
    <t>VIBROCOMPACTADOR, POTENCIA 153 HP, PESO 10 TON</t>
  </si>
  <si>
    <t>MEQ-170</t>
  </si>
  <si>
    <t>VIBROCOMPACTADOR, TIPO BENITÌN, DE PESO 700 KG A 1.5 TONELADAS</t>
  </si>
  <si>
    <t>MEQ-171</t>
  </si>
  <si>
    <t>VOLQUETA 15 M3</t>
  </si>
  <si>
    <t>MEQ-172</t>
  </si>
  <si>
    <t>VOLQUETA 6 M3</t>
  </si>
  <si>
    <t>MEQ-173</t>
  </si>
  <si>
    <t>VOLQUETA 7 M3</t>
  </si>
  <si>
    <t>MEQ-174</t>
  </si>
  <si>
    <t>MEQ-175</t>
  </si>
  <si>
    <t>SOPLETE DE GAS</t>
  </si>
  <si>
    <t>HE001</t>
  </si>
  <si>
    <t>HERRAMIENTAS MENORES</t>
  </si>
  <si>
    <t>Gl</t>
  </si>
  <si>
    <t>ELECTRICOS</t>
  </si>
  <si>
    <t>HE002</t>
  </si>
  <si>
    <t>EQUIPO DE SEGURIDAD</t>
  </si>
  <si>
    <t>HE003</t>
  </si>
  <si>
    <t>EQUIPO DE TOPOGRAFÍA</t>
  </si>
  <si>
    <t>HE004</t>
  </si>
  <si>
    <t>CAMPERO</t>
  </si>
  <si>
    <t>Dia</t>
  </si>
  <si>
    <t>HE005</t>
  </si>
  <si>
    <t>CAMIONETA PICK-UP EQUIPADA</t>
  </si>
  <si>
    <t>HE006</t>
  </si>
  <si>
    <t xml:space="preserve">CAMION </t>
  </si>
  <si>
    <t>HE007</t>
  </si>
  <si>
    <t>VOLQUETA</t>
  </si>
  <si>
    <t>Viaje</t>
  </si>
  <si>
    <t>HE008</t>
  </si>
  <si>
    <t>GRÚA CANASTA HIDRÁULICA</t>
  </si>
  <si>
    <t>HE009</t>
  </si>
  <si>
    <t>VIBROCOMPACTADOR</t>
  </si>
  <si>
    <t>HE010</t>
  </si>
  <si>
    <t>COMPRESOR UN MARTILLO</t>
  </si>
  <si>
    <t>HE011</t>
  </si>
  <si>
    <t>CORTADORA</t>
  </si>
  <si>
    <t>HE013</t>
  </si>
  <si>
    <t>MARTILLO DEMOLEDOR ELÉCTRICO</t>
  </si>
  <si>
    <t>HE549</t>
  </si>
  <si>
    <t>FORMALETA METALICA PARA BOVEDA</t>
  </si>
  <si>
    <t>Global</t>
  </si>
  <si>
    <t>HE550</t>
  </si>
  <si>
    <t>HE014</t>
  </si>
  <si>
    <t>CORTADORA DE PAVIMENTO (TARIFA POR METRO PRF CORTE 160MM)</t>
  </si>
  <si>
    <t>ML</t>
  </si>
  <si>
    <t>HE015</t>
  </si>
  <si>
    <t>VIBRO COMPACTADOR MIXTO 10 TON</t>
  </si>
  <si>
    <t>Hr</t>
  </si>
  <si>
    <t>HE016</t>
  </si>
  <si>
    <t>MINI CARGADOR</t>
  </si>
  <si>
    <t>EQU.031</t>
  </si>
  <si>
    <t>COMPACTADOR APISONADOR</t>
  </si>
  <si>
    <t>HE5501</t>
  </si>
  <si>
    <t>CINTA Y JALONES</t>
  </si>
  <si>
    <t>HE0141</t>
  </si>
  <si>
    <t>ESTACION DE TOPOGRAFIA</t>
  </si>
  <si>
    <t>HE0151</t>
  </si>
  <si>
    <t>DISPOSICION FINAL</t>
  </si>
  <si>
    <t>HE0161</t>
  </si>
  <si>
    <t>COMPRESOR PORTATIL DIESEL CON DOS MARTILLOS</t>
  </si>
  <si>
    <t>HE0171</t>
  </si>
  <si>
    <t>MOTOCIERRA</t>
  </si>
  <si>
    <t>hora</t>
  </si>
  <si>
    <t>HE0181</t>
  </si>
  <si>
    <t>PULIDORA MANUAL</t>
  </si>
  <si>
    <t>HE0191</t>
  </si>
  <si>
    <t>COMPACTADOR MANUAL -RANA-</t>
  </si>
  <si>
    <t>HE0201</t>
  </si>
  <si>
    <t>CILINDRO COMPACTADOR</t>
  </si>
  <si>
    <t>HE0211</t>
  </si>
  <si>
    <t>SECCION DE ANDAMIOS CERTIFICADOS</t>
  </si>
  <si>
    <t>HE0221</t>
  </si>
  <si>
    <t>VIBRADOR ELECTRICO</t>
  </si>
  <si>
    <t>HE0231</t>
  </si>
  <si>
    <t>FORMALETA PARA CONCRETO</t>
  </si>
  <si>
    <t>M3</t>
  </si>
  <si>
    <t>HE0241</t>
  </si>
  <si>
    <t>MEZCLADORA DIESEL 1BULTO</t>
  </si>
  <si>
    <t>Hora</t>
  </si>
  <si>
    <t>HE0251</t>
  </si>
  <si>
    <t>CARGADOR: POTENCIA EN EL VOLANTE 125HP</t>
  </si>
  <si>
    <t>HE0261</t>
  </si>
  <si>
    <t>COMPACTADOR DE NEUMATICO POTENCIA 70 HP</t>
  </si>
  <si>
    <t>HE0271</t>
  </si>
  <si>
    <t>COMPACTDOR DE RODILLO POTENCIA 99 HP</t>
  </si>
  <si>
    <t>HE0281</t>
  </si>
  <si>
    <t>PLANTA DE ASFALTO EN CALIENTE</t>
  </si>
  <si>
    <t>HE0291</t>
  </si>
  <si>
    <t>HE0301</t>
  </si>
  <si>
    <t>RETROEXCAVADORA E200 SOBREORUGA</t>
  </si>
  <si>
    <t>HE0311</t>
  </si>
  <si>
    <t>HE0321</t>
  </si>
  <si>
    <t>m3/km</t>
  </si>
  <si>
    <t>HE0331</t>
  </si>
  <si>
    <t>TRANSPORTE MATERIALES GRANULARES DE RIO</t>
  </si>
  <si>
    <t>HE0341</t>
  </si>
  <si>
    <t>TRANSPORTE DE MEZCLA DENSA EN CALIENTE</t>
  </si>
  <si>
    <t>HE0351</t>
  </si>
  <si>
    <t>CARRO DELINEADOR</t>
  </si>
  <si>
    <t>HE0361</t>
  </si>
  <si>
    <t>MOTO SOLDADOR DIESEL</t>
  </si>
  <si>
    <t>HE0371</t>
  </si>
  <si>
    <t>ANDAMIO CERTIFICADO CON BARANDA DE PROTECCIÓN</t>
  </si>
  <si>
    <t>HE0372</t>
  </si>
  <si>
    <t>RODILLO VIBRANTE TÁNDEM AUTOPROPULSADO ANCHO DE TRABAJO 1M</t>
  </si>
  <si>
    <t>HE0373</t>
  </si>
  <si>
    <t>EQUIPO DE PINTURA, INCLUYE COMPRESOR, MANGUERA Y PISTOLA</t>
  </si>
  <si>
    <t>HE0374</t>
  </si>
  <si>
    <t>RETROCARGADOR</t>
  </si>
  <si>
    <t>HE0375</t>
  </si>
  <si>
    <t>TARIFA ESCOMBRERA Y DISPOSICION FINAL</t>
  </si>
  <si>
    <t>m3</t>
  </si>
  <si>
    <t>HE0376</t>
  </si>
  <si>
    <t>FORMALETA PARA BANCAS</t>
  </si>
  <si>
    <t>HE0377</t>
  </si>
  <si>
    <t>EQUIPO ELECTRICO DE SOLDADURA</t>
  </si>
  <si>
    <t>dia</t>
  </si>
  <si>
    <t>HE0378</t>
  </si>
  <si>
    <t>ACARREO VOLQUETA O SIMILAR CON CAPACIDAD DE 6 M3 O 9600KG. DISTANCIAS MENORES A 15KM</t>
  </si>
  <si>
    <t>HE0379</t>
  </si>
  <si>
    <t>TRANSPORTE MATERIAL SELECCIONADO DE PRESTAMO</t>
  </si>
  <si>
    <t>HE0380</t>
  </si>
  <si>
    <t>EQUIPO DE OXICORTE CON ACETILENO Y OXIGENO</t>
  </si>
  <si>
    <t>HE0381</t>
  </si>
  <si>
    <t>HE0382</t>
  </si>
  <si>
    <t>PULIDORA PARA ALLANAR PISO DE CONCRETO</t>
  </si>
  <si>
    <t>HE0383</t>
  </si>
  <si>
    <t>VIBRO COMPACTADOR MIXTO 2,6 TON</t>
  </si>
  <si>
    <t>HE0384</t>
  </si>
  <si>
    <t>TRONZADORA</t>
  </si>
  <si>
    <t>HE0385</t>
  </si>
  <si>
    <t>MOTOSIERR ESPADA 60 CN</t>
  </si>
  <si>
    <t>HE0386</t>
  </si>
  <si>
    <t>MOTOSIERRA ESPADA 90 CM</t>
  </si>
  <si>
    <t>HE0387</t>
  </si>
  <si>
    <t>FORMALETA PARA CONCRETO CIRCULAR</t>
  </si>
  <si>
    <t>HE0388</t>
  </si>
  <si>
    <t>TALADRO</t>
  </si>
  <si>
    <t/>
  </si>
  <si>
    <t>EQU.003</t>
  </si>
  <si>
    <t>PULIDORA DE MANO</t>
  </si>
  <si>
    <t>Día</t>
  </si>
  <si>
    <t>EQU.018</t>
  </si>
  <si>
    <t>VIBRADOR  ELÉCTRICO DE CONCRETO</t>
  </si>
  <si>
    <t>EQU.017</t>
  </si>
  <si>
    <t>MEZCLADORA DIÉSEL (1 BULTO)</t>
  </si>
  <si>
    <t>EQU.019</t>
  </si>
  <si>
    <t>HERRAMIENTA MENOR</t>
  </si>
  <si>
    <t>Gb</t>
  </si>
  <si>
    <t>EQU.021</t>
  </si>
  <si>
    <t>MEQ-01</t>
  </si>
  <si>
    <t>LISTADO DE PRECIOS DE TRANSPORTES</t>
  </si>
  <si>
    <t>DISTANCIAS</t>
  </si>
  <si>
    <t>REF.</t>
  </si>
  <si>
    <t>DISTANCIA o CANT</t>
  </si>
  <si>
    <t xml:space="preserve">PRECIO </t>
  </si>
  <si>
    <t>D-01</t>
  </si>
  <si>
    <t>DISTANCIA A CANTERA (SOCORRO - CONFINES)</t>
  </si>
  <si>
    <t>M3-KM</t>
  </si>
  <si>
    <t>D-02</t>
  </si>
  <si>
    <t>DISTANCIA A PROVEEDOR MATERIALES (SOCORRO - CONFINES)</t>
  </si>
  <si>
    <t>Cantera 1: GRISELA ESTHER HERNANDEZ ROZO</t>
  </si>
  <si>
    <t>km</t>
  </si>
  <si>
    <t>D-03</t>
  </si>
  <si>
    <t>DISTANCIA A ESCOMBRERA AUTORIZADA</t>
  </si>
  <si>
    <t>D-04</t>
  </si>
  <si>
    <t>DISTANCIA A PROVEEDOR ACERO (SOCORRO - CONFINES)</t>
  </si>
  <si>
    <t>KG-KM</t>
  </si>
  <si>
    <t>D-05</t>
  </si>
  <si>
    <t>DERECHOS DE DISPOSICIÓN DE MATERIALES Y/O EXPLOTACIÓN (SOCORRO)</t>
  </si>
  <si>
    <t>D-06</t>
  </si>
  <si>
    <t>TRASIEGO INTERNO DE MATERIALES DISTANCIAS MENORES A 100 METROS</t>
  </si>
  <si>
    <t>M3-M</t>
  </si>
  <si>
    <t>D-07</t>
  </si>
  <si>
    <t>D-08</t>
  </si>
  <si>
    <t>DISTANCIA A PROVEEDOR ELECTRICO</t>
  </si>
  <si>
    <t>FLETE</t>
  </si>
  <si>
    <t>D-09</t>
  </si>
  <si>
    <t xml:space="preserve">DISTANCIA A PROVEEDOR ENTIBADO </t>
  </si>
  <si>
    <t>T-KM</t>
  </si>
  <si>
    <t>D-10</t>
  </si>
  <si>
    <t>TRANSPORTE EN VOLQUETA DE MATERIAL</t>
  </si>
  <si>
    <t>D-11</t>
  </si>
  <si>
    <t>DISTANCIA RURAL</t>
  </si>
  <si>
    <t>KM</t>
  </si>
  <si>
    <t>MODIFICAR</t>
  </si>
  <si>
    <t>FECHA PRECIOS:</t>
  </si>
  <si>
    <t>OBRA CIVIL</t>
  </si>
  <si>
    <t>T-01</t>
  </si>
  <si>
    <t>TRANSPORTE DE MATERIALES ACERO</t>
  </si>
  <si>
    <t>T-02</t>
  </si>
  <si>
    <t>TRANSPORTE DE MATERIALES</t>
  </si>
  <si>
    <t>T-03</t>
  </si>
  <si>
    <t>TRANSPORTE DE AGREGADOS</t>
  </si>
  <si>
    <t>T-04</t>
  </si>
  <si>
    <t>TRANSPORTE DE MATERIAL SOBRANTE</t>
  </si>
  <si>
    <t>T-05</t>
  </si>
  <si>
    <t>DERECHOS DE DISPOSICIÓN DE MATERIALES Y/O EXPLOTACIÓN</t>
  </si>
  <si>
    <t>T-06</t>
  </si>
  <si>
    <t>TRANSPORTE DE MATERIALES KG</t>
  </si>
  <si>
    <t>T-07</t>
  </si>
  <si>
    <t>TRANSPORTE DE TUBERÍA Y ACCESORIOS</t>
  </si>
  <si>
    <t>T-08</t>
  </si>
  <si>
    <t>T-09</t>
  </si>
  <si>
    <t>TRASIEGO INTERNO DE MATERIALES DISTANCIAS MENORES A 100 METROS (KG)</t>
  </si>
  <si>
    <t>KG-M</t>
  </si>
  <si>
    <t>T-10</t>
  </si>
  <si>
    <t>FLETE NACIONAL ASEGURADO</t>
  </si>
  <si>
    <t>TON</t>
  </si>
  <si>
    <t>Cantera 1: ASOARENEROS SANPAV</t>
  </si>
  <si>
    <t>Km</t>
  </si>
  <si>
    <t>T-11</t>
  </si>
  <si>
    <t>TRANSPORTE DE MATERIAL SOBRANTE, RCE Y/O PRESTAMOS</t>
  </si>
  <si>
    <t>T-12</t>
  </si>
  <si>
    <t>TRANSPORTE DE ENTIBADO METÁLICO</t>
  </si>
  <si>
    <t>T-13</t>
  </si>
  <si>
    <t xml:space="preserve">TRANSPORTE MATERIAL ELÉCTRICO APARATOS Y TORNILLERIA </t>
  </si>
  <si>
    <t>T-14</t>
  </si>
  <si>
    <t>TRANSPORTE MATERIAL ELÉCTRICO CABLEADO PARA COMETIDAS</t>
  </si>
  <si>
    <t>T-15</t>
  </si>
  <si>
    <t>TRANSPORTE MATERIAL ELÉCTRICO CABLEADO PARA CABLEADO</t>
  </si>
  <si>
    <t>T-16</t>
  </si>
  <si>
    <t xml:space="preserve">TRANSPORTE MATERIAL TABLEROS Y GABINETES PRICIPALES </t>
  </si>
  <si>
    <t>T-17</t>
  </si>
  <si>
    <t>TRANSPORTE MATERIAL TABLEROS ENCHUFABLES</t>
  </si>
  <si>
    <t>T-18</t>
  </si>
  <si>
    <t xml:space="preserve">TRANSPORTE TUBERIA </t>
  </si>
  <si>
    <t>BOTADERO DE TIERRA EL PARQUE S.A</t>
  </si>
  <si>
    <t>Escombrera 1: RCD EL CASCAJAL, Santander</t>
  </si>
  <si>
    <t>BOTADERO</t>
  </si>
  <si>
    <t>Escombrera 2: Confines, Santander</t>
  </si>
  <si>
    <t>DESGLOSE AIU</t>
  </si>
  <si>
    <t>No</t>
  </si>
  <si>
    <t>CANT</t>
  </si>
  <si>
    <t>DEDICACIÓN</t>
  </si>
  <si>
    <t>VALOR MENSUAL</t>
  </si>
  <si>
    <t>No. MESES</t>
  </si>
  <si>
    <t>VALOR TOTAL</t>
  </si>
  <si>
    <t>PERSONAL ADMINISTRATIVO</t>
  </si>
  <si>
    <t>DIRECTOR DE OBRA</t>
  </si>
  <si>
    <t>RESIDENTE DE OBRA</t>
  </si>
  <si>
    <t>ESPECIALISTA EN ESTRUCTURAS</t>
  </si>
  <si>
    <t>ESPECIALISTA EN GEOTECNIA</t>
  </si>
  <si>
    <t>PERSONAL DE SOPORTE</t>
  </si>
  <si>
    <t>PROFESIONAL AMBIENTAL</t>
  </si>
  <si>
    <t>PROFESIONAL SST</t>
  </si>
  <si>
    <t>ALMACENISTA</t>
  </si>
  <si>
    <t>INSTALACIONES</t>
  </si>
  <si>
    <t>ARRIENDO OFICINA INCLUYE SERVICIOS PÚBLICOS</t>
  </si>
  <si>
    <t>VALLA INFORMATIVA</t>
  </si>
  <si>
    <t>OTROS COSTOS</t>
  </si>
  <si>
    <t>GASTOS DE PAPELERÍA Y PLANOS</t>
  </si>
  <si>
    <t>ENSAYOS Y PRUEBAS</t>
  </si>
  <si>
    <t>Tasa %</t>
  </si>
  <si>
    <t>GARANTÍAS</t>
  </si>
  <si>
    <t>%Asegurado</t>
  </si>
  <si>
    <t>Valor base</t>
  </si>
  <si>
    <t>Vigencia [meses]</t>
  </si>
  <si>
    <t>CUMPLIMIENTO</t>
  </si>
  <si>
    <t>SALARIOS Y PRESTACIONES SOCIALES</t>
  </si>
  <si>
    <t>ESTABILIDAD DE LA OBRA</t>
  </si>
  <si>
    <t>CALIDAD Y CORRECTO FUNCIONAMIENTO DE LOS BIENES Y EQUIPOS SUMINISTRADOS</t>
  </si>
  <si>
    <t>RESPONSABILIDAD EXTRACONTRACTUAL</t>
  </si>
  <si>
    <t>SUBTOTAL</t>
  </si>
  <si>
    <t>GASTOS EXPEDICION</t>
  </si>
  <si>
    <t>IVA</t>
  </si>
  <si>
    <t>IMPUESTOS Y SEGUROS</t>
  </si>
  <si>
    <t>ESTAMPILLA PRO ADULTO MAYOR</t>
  </si>
  <si>
    <t>ESTAMPILLA PRO CULTURA</t>
  </si>
  <si>
    <t>ESTAMPILLA PRO DEPORTE Y RECREACIÓN</t>
  </si>
  <si>
    <t>SUBTOTAL COSTOS DE ADMINISTRACION</t>
  </si>
  <si>
    <t>COSTO DIRECTO DE OBRA</t>
  </si>
  <si>
    <t>IMPREVISTOS</t>
  </si>
  <si>
    <t>UTILIDADES</t>
  </si>
  <si>
    <t>TOTAL AIU</t>
  </si>
  <si>
    <t>CÓDIGOS:</t>
  </si>
  <si>
    <t>Código</t>
  </si>
  <si>
    <t>CCE-EICP-FM-47</t>
  </si>
  <si>
    <t>Versión</t>
  </si>
  <si>
    <t>PRESUPUESTO DE OBRA</t>
  </si>
  <si>
    <t>Nº</t>
  </si>
  <si>
    <t>ÍTEM DE PAGO</t>
  </si>
  <si>
    <t xml:space="preserve">ESPECIFICACIONES </t>
  </si>
  <si>
    <t>UND.</t>
  </si>
  <si>
    <t>CANTIDAD</t>
  </si>
  <si>
    <t>VALOR UNITARIO</t>
  </si>
  <si>
    <t xml:space="preserve">VALOR TOTAL                                </t>
  </si>
  <si>
    <t>GENERAL</t>
  </si>
  <si>
    <t>PARTICULAR</t>
  </si>
  <si>
    <t>I. MURO DE CONTENCIÓN</t>
  </si>
  <si>
    <t>M_1.1</t>
  </si>
  <si>
    <t>PORCENTAJE</t>
  </si>
  <si>
    <t>A=</t>
  </si>
  <si>
    <t>I=</t>
  </si>
  <si>
    <t>U=</t>
  </si>
  <si>
    <t>TOTAL A.I.U</t>
  </si>
  <si>
    <t>A.I.U.=</t>
  </si>
  <si>
    <t>LISTADO DE ACTIVIDADES Y CANTIDADES</t>
  </si>
  <si>
    <t>CLASIF.</t>
  </si>
  <si>
    <t>ÍTEM</t>
  </si>
  <si>
    <t>CAPITULO / ID.</t>
  </si>
  <si>
    <t>SUBCAPÍTULO</t>
  </si>
  <si>
    <t xml:space="preserve">DESCRIPCIÓN </t>
  </si>
  <si>
    <t>VR. UNIT COSTO DIRECTO</t>
  </si>
  <si>
    <t>VR. UNIT  INCLUYE A.I.U</t>
  </si>
  <si>
    <t>P</t>
  </si>
  <si>
    <t>I. OBRA CIVIL SEDE JUDICIAL CONFINES</t>
  </si>
  <si>
    <t>PRELIMINARES</t>
  </si>
  <si>
    <t>A</t>
  </si>
  <si>
    <t>1</t>
  </si>
  <si>
    <t>1.1</t>
  </si>
  <si>
    <t>Localizacion y replanteo</t>
  </si>
  <si>
    <t>m2</t>
  </si>
  <si>
    <t>2</t>
  </si>
  <si>
    <t>1.2</t>
  </si>
  <si>
    <t xml:space="preserve"> Instalacion de plastico negro para proteger construcción </t>
  </si>
  <si>
    <t>3</t>
  </si>
  <si>
    <t>1.3</t>
  </si>
  <si>
    <t xml:space="preserve"> Instalación durante la obra de cerramiento en polisombra sostenido con madera resistente apoyada en recipiente pesado no anclado al piso a una altura de 3.0 mts alrededor del juzgado separada 1,50 mts de las fachadas. </t>
  </si>
  <si>
    <t>ml</t>
  </si>
  <si>
    <t>D</t>
  </si>
  <si>
    <t>DEMOLICIONES, DESCAPOTES Y RETIROS</t>
  </si>
  <si>
    <t>4</t>
  </si>
  <si>
    <t>2.1</t>
  </si>
  <si>
    <t xml:space="preserve"> Demolición de placa de concreto e=0,10 mts zona norte. </t>
  </si>
  <si>
    <t>5</t>
  </si>
  <si>
    <t>2.2</t>
  </si>
  <si>
    <t xml:space="preserve"> Demolición de pañete en mortero comun muros norte, sur y occidente en bahareque y tapia pisada interno y externo. </t>
  </si>
  <si>
    <t>6</t>
  </si>
  <si>
    <t>2.3</t>
  </si>
  <si>
    <t xml:space="preserve"> Retiro de maleza en la zona norte del juzgado. </t>
  </si>
  <si>
    <t>7</t>
  </si>
  <si>
    <t>2.4</t>
  </si>
  <si>
    <t xml:space="preserve"> Desmonte de voladizo fachadas sur . Conservar teja de arcilla en lugar seguro para su reutilización </t>
  </si>
  <si>
    <t>8</t>
  </si>
  <si>
    <t>2.5</t>
  </si>
  <si>
    <t xml:space="preserve"> Regata sobre muro desnudo tipo cajuela de 30 mm conservando los bordes y vertices, incluye superficie en lechada de cal apagada. </t>
  </si>
  <si>
    <t>9</t>
  </si>
  <si>
    <t>2.6</t>
  </si>
  <si>
    <t xml:space="preserve"> Retiro de pintura deteriorada de puertas, ventanas y capiteles en madera ambas caras hasta dejar superficie original. </t>
  </si>
  <si>
    <t>10</t>
  </si>
  <si>
    <t>2.7</t>
  </si>
  <si>
    <t xml:space="preserve"> Retiro de pañete en mal estado zonas no tradionales  </t>
  </si>
  <si>
    <t>EXCAVACIONES</t>
  </si>
  <si>
    <t>11</t>
  </si>
  <si>
    <t>3.1</t>
  </si>
  <si>
    <t xml:space="preserve"> Excavación en material comun con retiro a lugar seguro de suelo costado norte  </t>
  </si>
  <si>
    <t>PERFORACIONES</t>
  </si>
  <si>
    <t>12</t>
  </si>
  <si>
    <t>4.1</t>
  </si>
  <si>
    <t xml:space="preserve"> Perforaciones en muro de contención de 1" según plano con instalación de geodren NT 2000 o similar. </t>
  </si>
  <si>
    <t>13</t>
  </si>
  <si>
    <t>4.2</t>
  </si>
  <si>
    <t xml:space="preserve"> Perforaciones en muros de bahareque y tapia pisada con broca especial y tecnica de protección sin perdida o arrastre del material del muro con inyección de lechada tradicional. </t>
  </si>
  <si>
    <t>RELLENOS</t>
  </si>
  <si>
    <t>14</t>
  </si>
  <si>
    <t>5.1</t>
  </si>
  <si>
    <t xml:space="preserve"> Relleno con material seleccionado y compactado  </t>
  </si>
  <si>
    <t>REFORZAMIENTO ESTRUCTURAL</t>
  </si>
  <si>
    <t>15</t>
  </si>
  <si>
    <t>6.1</t>
  </si>
  <si>
    <t>Suministro e instalación de tabla en madera 20 x 2 cms en sapan o similar inmunizado y protegido con Profilan o simialr según diseño. Incluye cajas de traslapo, muescas de borde, avellanados y terminaciones</t>
  </si>
  <si>
    <t>16</t>
  </si>
  <si>
    <t>6.2</t>
  </si>
  <si>
    <t>Suministro e instalación de tornillo roscado de 1/2" con arandelas y tuercas, según diseño, para junta de confinamiento, incluye lechada tradicional de cal y arena o ladrillo con cuña de madera en los extremos.</t>
  </si>
  <si>
    <t>17</t>
  </si>
  <si>
    <t>6.3</t>
  </si>
  <si>
    <t xml:space="preserve">Platina metalica de 1/8" para vanos, según especificaciones. Incluye tornillos </t>
  </si>
  <si>
    <t>und</t>
  </si>
  <si>
    <t>18</t>
  </si>
  <si>
    <t>6.4</t>
  </si>
  <si>
    <t>Platina metalica de 3/16" para esquinero, según especificaciones. Incluye tornillos.</t>
  </si>
  <si>
    <t>CUBIERTAS</t>
  </si>
  <si>
    <t>19</t>
  </si>
  <si>
    <t>7.1</t>
  </si>
  <si>
    <t>Construcción total de voladizo de cubierta costado sur (fachada principal). Incluye durmientes, machimbre, manto asfaltico, mortero de pega, teja, inmunizado de madera, sellado y pintura esmalte</t>
  </si>
  <si>
    <t>20</t>
  </si>
  <si>
    <t>7.2</t>
  </si>
  <si>
    <t>Suministro e instalación de flanche metalico calibre 26  muro occidental sobre actual flanche.</t>
  </si>
  <si>
    <t>m</t>
  </si>
  <si>
    <t>REVOQUE TRADICIONAL</t>
  </si>
  <si>
    <t>21</t>
  </si>
  <si>
    <t>8.1</t>
  </si>
  <si>
    <t xml:space="preserve">Suministro e instalación de malla tipo zaranda metalica adosada al muro con tapa metalica de gaseosa cada 50 cm. Ambos sentidos </t>
  </si>
  <si>
    <t>22</t>
  </si>
  <si>
    <t>8.2</t>
  </si>
  <si>
    <t>Aplicación de revoque tradicional en cal y arenilla según especificación, e=variable</t>
  </si>
  <si>
    <t>CONCRETO</t>
  </si>
  <si>
    <t>23</t>
  </si>
  <si>
    <t>9.1</t>
  </si>
  <si>
    <t xml:space="preserve"> Placa de concreto reforzado e=12 cm costado norte con pendiente del 2%, malla electrosoldad de 8,5 mm. </t>
  </si>
  <si>
    <t>DISPOSICION DE AGUAS LLUVIAS</t>
  </si>
  <si>
    <t>24</t>
  </si>
  <si>
    <t>10.1</t>
  </si>
  <si>
    <t>Caja aguas lluvias según diseño en base de concreto y muros de ladrillo macizo, pañetada con medias cañas y pendiente.</t>
  </si>
  <si>
    <t>25</t>
  </si>
  <si>
    <t>10.2</t>
  </si>
  <si>
    <t xml:space="preserve">Tuberia de 4" aguas lluvias PVC  incluye accesorios de fijacion </t>
  </si>
  <si>
    <t>26</t>
  </si>
  <si>
    <t>10.3</t>
  </si>
  <si>
    <t>Suministro e instalación de canal metalica cal 22 según diseño exterior incluye salida de 4" y fijaciones metalicas cada 50 cm.</t>
  </si>
  <si>
    <t>27</t>
  </si>
  <si>
    <t>10.4</t>
  </si>
  <si>
    <t>Reinstalación de bajantes aguas lluvias 4" PVC incluye regata en muro y piso, accesorios, fijaciones.</t>
  </si>
  <si>
    <t>ACABADOS</t>
  </si>
  <si>
    <t>28</t>
  </si>
  <si>
    <t>11.1</t>
  </si>
  <si>
    <t xml:space="preserve"> Pintura para muros interior y exterior mezcla real apichada de cal y agua, tres manos  </t>
  </si>
  <si>
    <t>29</t>
  </si>
  <si>
    <t>11.2</t>
  </si>
  <si>
    <t xml:space="preserve"> Pintura para socalo de muros interior mezcla real apichada de cal, mina de color y agua, tres manos  </t>
  </si>
  <si>
    <t>30</t>
  </si>
  <si>
    <t>11.3</t>
  </si>
  <si>
    <t xml:space="preserve"> Suministro e instalación de fachaleta en muro fachada sur según diseño actual. </t>
  </si>
  <si>
    <t>31</t>
  </si>
  <si>
    <t>11.4</t>
  </si>
  <si>
    <t xml:space="preserve"> Inmunizado, sellado y pintado de puertas, ventanas y capiteles ambas caras en madera en esmalte color habano o tabaco, incluye varillas de acero.  </t>
  </si>
  <si>
    <t>32</t>
  </si>
  <si>
    <t>11.5</t>
  </si>
  <si>
    <t xml:space="preserve"> Pintura vinilo tipo 1 a 3 manos muros no tradicionales </t>
  </si>
  <si>
    <t>33</t>
  </si>
  <si>
    <t>11.6</t>
  </si>
  <si>
    <t xml:space="preserve"> Pintura en esmalte color marrón carpinteria metalica interior. </t>
  </si>
  <si>
    <t>34</t>
  </si>
  <si>
    <t>11.7</t>
  </si>
  <si>
    <t xml:space="preserve"> Reposición pañetes en mortero no tradicional 1:4  </t>
  </si>
  <si>
    <t>35</t>
  </si>
  <si>
    <t>11.8</t>
  </si>
  <si>
    <t xml:space="preserve"> Reinstalacion de acabado de piso en fachaleta en gres según diseño actual. </t>
  </si>
  <si>
    <t>ACTIVIDADES ELECTRICAS, DATOS Y DEMAS REQUERIDAS</t>
  </si>
  <si>
    <t>36</t>
  </si>
  <si>
    <t>14.1</t>
  </si>
  <si>
    <t xml:space="preserve"> Desmonte de luminarias y/o bombillos incluye desmonte de cableado, canaletas y accesorios de soporte </t>
  </si>
  <si>
    <t>37</t>
  </si>
  <si>
    <t>14.2</t>
  </si>
  <si>
    <t xml:space="preserve"> Desmonte de puntos electricos incluye desmonto de cableado, canaletas, Tableros y accesorios de soporte </t>
  </si>
  <si>
    <t>38</t>
  </si>
  <si>
    <t>14.3</t>
  </si>
  <si>
    <t>Suministro, Transporte E Instalación De Salida Para Iluminación 110 V, Incluye Caja Octogonal, Caja Rectangular, Interruptor Sencillo, Conectores, Cable Cu 3x12 Thwnn Lszh,  Ducto EMT pintado de color segun especificacion Ø 1/2", Clavija Aerea Tipo Hembra 15 A, Clavija Aerea Tipo Macho 15 A, Cable Encauchetado 3x16 Awg Thwn Lszh</t>
  </si>
  <si>
    <t>39</t>
  </si>
  <si>
    <t>14.4</t>
  </si>
  <si>
    <t>Suministro, Transporte E Instalación De Panel Led  120x30 Cm, 45 W, 6500 K, colgante Incluye Marco Soporte, kit de suspension (guayas) Elementos De Sujeción Y Fijación De La Lámpara</t>
  </si>
  <si>
    <t>40</t>
  </si>
  <si>
    <t>14.5</t>
  </si>
  <si>
    <t>Suministro, Transporte E Instalación De Panel Led Cuadrada 60x60 Cm, 48 W, 6500 K,colgante Incluye Marco Soporte, kit de suspension (guayas), Elementos De Sujeción Y Fijación De La Lámpara</t>
  </si>
  <si>
    <t>41</t>
  </si>
  <si>
    <t>14.6</t>
  </si>
  <si>
    <t>Suministro, Transporte E Instalación De Bombillo Led (20-40w), Incluye roseta, Elementos De Sujeción Y Fijación De La Lámpara</t>
  </si>
  <si>
    <t>42</t>
  </si>
  <si>
    <t>14.7</t>
  </si>
  <si>
    <t>Desmonte y reubicacion de tablero de circuitos.</t>
  </si>
  <si>
    <t>43</t>
  </si>
  <si>
    <t>14.8</t>
  </si>
  <si>
    <t>Suministro, Transporte E Instalación De Salida Tomacorriente 110 V, Incluye: Cable Cu 3x12 Awh Thwnn Lszh, Toma Blanca 20 A, caja y tapa.</t>
  </si>
  <si>
    <t>44</t>
  </si>
  <si>
    <t>14.9</t>
  </si>
  <si>
    <t>Suministro, Transporte E Instalación De Salida Toma Regulada 110 V, Incluye: Cable Cu 3x12 Awh Thwnn Lszh, Toma Naranja 20 A caja y tapa.</t>
  </si>
  <si>
    <t>45</t>
  </si>
  <si>
    <t>14.10</t>
  </si>
  <si>
    <t>Suministro, Transporte E Instalación De Salida Voz Y Datos, Incluye: Herrajes, Jack, Face Plate, Cable Utp Categoria 6a , Ponchado Del Cable Y Marcación</t>
  </si>
  <si>
    <t>46</t>
  </si>
  <si>
    <t>14.11</t>
  </si>
  <si>
    <t>Suministro, Transporte E Instalación De Canaleta Metalica 12x5 Cm, En Pintura Electrostatica Blanca, Con Separador, Incluye: Elementos De Fijación Y Soporte</t>
  </si>
  <si>
    <t>47</t>
  </si>
  <si>
    <t>14.12</t>
  </si>
  <si>
    <t>Suministro E Instalación De Troquel Metálico Piramidal Triple 12 X 5 Blanco</t>
  </si>
  <si>
    <t>48</t>
  </si>
  <si>
    <t>14.13</t>
  </si>
  <si>
    <t>Suministro E Instalación De Troquel Metálico Piramidal doble 12 X 5 Blanco</t>
  </si>
  <si>
    <t>49</t>
  </si>
  <si>
    <t>14.14</t>
  </si>
  <si>
    <t>Suministro E Instalación De Troquel Metálico Piramidal Sencillo 12 X 5 Blanco</t>
  </si>
  <si>
    <t>50</t>
  </si>
  <si>
    <t>14.15</t>
  </si>
  <si>
    <t xml:space="preserve"> Suministro  e  instalación  de persiana en  aluminio Incluye  marco </t>
  </si>
  <si>
    <t>51</t>
  </si>
  <si>
    <t>14.16</t>
  </si>
  <si>
    <t>Desmonte, suministro e instalacion de cerradura metalica</t>
  </si>
  <si>
    <t>52</t>
  </si>
  <si>
    <t>14.17</t>
  </si>
  <si>
    <t>Desmonte y reintalacion de placa informativa</t>
  </si>
  <si>
    <t>53</t>
  </si>
  <si>
    <t>14.18</t>
  </si>
  <si>
    <t xml:space="preserve">Desmonte, Suministro e instalacion de tapa para gabinte metalico de medidor electrico </t>
  </si>
  <si>
    <t>54</t>
  </si>
  <si>
    <t>14.19</t>
  </si>
  <si>
    <t>Desmonte, Suministro e instalacion de asiento sanitario</t>
  </si>
  <si>
    <t>55</t>
  </si>
  <si>
    <t>14.20</t>
  </si>
  <si>
    <t>Desmonte de lavamanos existente y Suministro e instalacion lavamanos, incluye griferia, sifon desague y acople sanitario.</t>
  </si>
  <si>
    <t>56</t>
  </si>
  <si>
    <t>14.21</t>
  </si>
  <si>
    <t>Desmonte, suministro e instalacion de soportes de flanche</t>
  </si>
  <si>
    <t>LIMPIEZA GENERAL</t>
  </si>
  <si>
    <t>57</t>
  </si>
  <si>
    <t>12.1</t>
  </si>
  <si>
    <t>Aseo y limpieza general de cada espacio interno y externo del juzgado.</t>
  </si>
  <si>
    <t>glb</t>
  </si>
  <si>
    <t>58</t>
  </si>
  <si>
    <t>12.2</t>
  </si>
  <si>
    <t>Retiro de escombros a sitio seguro avalado por la autoridad local o regional.(Municipio de San Gil).</t>
  </si>
  <si>
    <t>OTRAS ACTIVIDADES Y/O SERVICIOS REQUERIDOS (SIN AIU)</t>
  </si>
  <si>
    <t>59</t>
  </si>
  <si>
    <t>13.1</t>
  </si>
  <si>
    <t xml:space="preserve"> Retiro de muebles, equipos, archivos, documentos y demas elementos no fijos del juzgado a lugar seguro previamente informado por la seccional </t>
  </si>
  <si>
    <t>60</t>
  </si>
  <si>
    <t>13.2</t>
  </si>
  <si>
    <t xml:space="preserve"> Tramite y obtención de licencia de construcción ante la alcaldia de confines. </t>
  </si>
  <si>
    <t>61</t>
  </si>
  <si>
    <t>13.3</t>
  </si>
  <si>
    <t xml:space="preserve"> Suministro e instalación de medidas de seguridad en movilidad tales como avisos, conos, captafaro nocturno, entre otros que garanticen la movilidad en la esquina de la carrera 6 y calle 2. </t>
  </si>
  <si>
    <t>62</t>
  </si>
  <si>
    <t>14.22</t>
  </si>
  <si>
    <t xml:space="preserve"> Suministro e instalacion de Patch - Cord, Cat. 6A de 2 m </t>
  </si>
  <si>
    <t>63</t>
  </si>
  <si>
    <t>14.23</t>
  </si>
  <si>
    <t xml:space="preserve"> Gabinete Rack 9ur, incluye Elementos de soporte y fijacion  </t>
  </si>
  <si>
    <t>64</t>
  </si>
  <si>
    <t>14.24</t>
  </si>
  <si>
    <t xml:space="preserve"> Suministro e instalacion de Ups 3 Kva Incluye cometida electrica, canalizacion  Y Todo Lo Necesario Para Su Instalacion  </t>
  </si>
  <si>
    <t>ANALISIS DE PRECIOS UNITARIOS</t>
  </si>
  <si>
    <t>CAPÍTULO:</t>
  </si>
  <si>
    <t>SUBANÁLISIS DE CONCRETOS Y MORTEROS</t>
  </si>
  <si>
    <t>SUBCAPÍTULO:</t>
  </si>
  <si>
    <t>N.A</t>
  </si>
  <si>
    <t>DATOS ESPECÍFICOS</t>
  </si>
  <si>
    <t>UNIDAD</t>
  </si>
  <si>
    <t>MORTERO 1:3 PREPARADO EN OBRA</t>
  </si>
  <si>
    <t>Dosificación Morteros</t>
  </si>
  <si>
    <t>I. EQUIPO</t>
  </si>
  <si>
    <t>MARCA</t>
  </si>
  <si>
    <t>TIPO</t>
  </si>
  <si>
    <t>TARIFA/HORA</t>
  </si>
  <si>
    <t>RENDIMIENTO</t>
  </si>
  <si>
    <t>Vr. UNITARIO</t>
  </si>
  <si>
    <t>HERRAMIENTA MENOR (% M.O)</t>
  </si>
  <si>
    <t>SUBTOTAL $</t>
  </si>
  <si>
    <t>II. MATERIALES</t>
  </si>
  <si>
    <t>PRECIO UNIT.</t>
  </si>
  <si>
    <t>AGUA</t>
  </si>
  <si>
    <t>ARENA GRUESA</t>
  </si>
  <si>
    <t xml:space="preserve">CEMENTO GRIS                       </t>
  </si>
  <si>
    <t>III. TRANSPORTES</t>
  </si>
  <si>
    <t>MATERIAL</t>
  </si>
  <si>
    <t>VOL. o PESO</t>
  </si>
  <si>
    <t>DISTANCIA</t>
  </si>
  <si>
    <r>
      <rPr>
        <b/>
        <sz val="11"/>
        <color theme="1"/>
        <rFont val="Arial"/>
      </rPr>
      <t>M</t>
    </r>
    <r>
      <rPr>
        <b/>
        <vertAlign val="superscript"/>
        <sz val="11"/>
        <color theme="1"/>
        <rFont val="Arial"/>
      </rPr>
      <t>3</t>
    </r>
    <r>
      <rPr>
        <b/>
        <sz val="11"/>
        <color theme="1"/>
        <rFont val="Arial"/>
      </rPr>
      <t xml:space="preserve"> o Ton/Km</t>
    </r>
  </si>
  <si>
    <t>TARIFA</t>
  </si>
  <si>
    <t>IV. MANO DE OBRA</t>
  </si>
  <si>
    <t>TRABAJADOR</t>
  </si>
  <si>
    <t>JORNAL</t>
  </si>
  <si>
    <t>PRESTACIONES</t>
  </si>
  <si>
    <t>JORNAL TOTAL</t>
  </si>
  <si>
    <t>TOTAL COSTO DIRECTO $</t>
  </si>
  <si>
    <t>V. COSTOS INDIRECTOS</t>
  </si>
  <si>
    <t>Descripción</t>
  </si>
  <si>
    <t>Porcentaje</t>
  </si>
  <si>
    <t>Valor Total</t>
  </si>
  <si>
    <t>Precio Unitario Total Aproximado al peso $</t>
  </si>
  <si>
    <t>Nombre:</t>
  </si>
  <si>
    <t>Elabora</t>
  </si>
  <si>
    <t>Interventor:</t>
  </si>
  <si>
    <t>Matricula No. :</t>
  </si>
  <si>
    <t xml:space="preserve"> </t>
  </si>
  <si>
    <t>MORTERO 1:4 PREPARADO EN OBRA</t>
  </si>
  <si>
    <r>
      <rPr>
        <b/>
        <sz val="11"/>
        <color theme="1"/>
        <rFont val="Arial"/>
      </rPr>
      <t>M</t>
    </r>
    <r>
      <rPr>
        <b/>
        <vertAlign val="superscript"/>
        <sz val="11"/>
        <color theme="1"/>
        <rFont val="Arial"/>
      </rPr>
      <t>3</t>
    </r>
    <r>
      <rPr>
        <b/>
        <sz val="11"/>
        <color theme="1"/>
        <rFont val="Arial"/>
      </rPr>
      <t xml:space="preserve"> o Ton/Km</t>
    </r>
  </si>
  <si>
    <t>CONCRETO 1500 PSI PREPARADO EN OBRA</t>
  </si>
  <si>
    <t>TRITURADO DE 3/4"</t>
  </si>
  <si>
    <r>
      <rPr>
        <b/>
        <sz val="11"/>
        <color theme="1"/>
        <rFont val="Arial"/>
      </rPr>
      <t>M</t>
    </r>
    <r>
      <rPr>
        <b/>
        <vertAlign val="superscript"/>
        <sz val="11"/>
        <color theme="1"/>
        <rFont val="Arial"/>
      </rPr>
      <t>3</t>
    </r>
    <r>
      <rPr>
        <b/>
        <sz val="11"/>
        <color theme="1"/>
        <rFont val="Arial"/>
      </rPr>
      <t xml:space="preserve"> o Ton/Km</t>
    </r>
  </si>
  <si>
    <t>Dosificación Argos</t>
  </si>
  <si>
    <t>CONCRETO 2000 PSI PREPARADO EN OBRA</t>
  </si>
  <si>
    <t>https://colombia.argos.co/autoconstructores/aprende-a-dosificar-el-concreto-para-tus-proyectos-de-construccion-o-remodelacion/</t>
  </si>
  <si>
    <r>
      <rPr>
        <b/>
        <sz val="11"/>
        <color theme="1"/>
        <rFont val="Arial"/>
      </rPr>
      <t>M</t>
    </r>
    <r>
      <rPr>
        <b/>
        <vertAlign val="superscript"/>
        <sz val="11"/>
        <color theme="1"/>
        <rFont val="Arial"/>
      </rPr>
      <t>3</t>
    </r>
    <r>
      <rPr>
        <b/>
        <sz val="11"/>
        <color theme="1"/>
        <rFont val="Arial"/>
      </rPr>
      <t xml:space="preserve"> o Ton/Km</t>
    </r>
  </si>
  <si>
    <t>Calculadora</t>
  </si>
  <si>
    <t>https://colombia.argos.co/calculadora_dosificaciones/</t>
  </si>
  <si>
    <t>https://colombia.argos.co/asi-funciona-la-nueva-calculadora-de-dosificaciones-para-mortero-y-concreto-de-argos/</t>
  </si>
  <si>
    <t>CONCRETO 2500 PSI PREPARADO EN OBRA</t>
  </si>
  <si>
    <r>
      <rPr>
        <b/>
        <sz val="11"/>
        <color theme="1"/>
        <rFont val="Arial"/>
      </rPr>
      <t>M</t>
    </r>
    <r>
      <rPr>
        <b/>
        <vertAlign val="superscript"/>
        <sz val="11"/>
        <color theme="1"/>
        <rFont val="Arial"/>
      </rPr>
      <t>3</t>
    </r>
    <r>
      <rPr>
        <b/>
        <sz val="11"/>
        <color theme="1"/>
        <rFont val="Arial"/>
      </rPr>
      <t xml:space="preserve"> o Ton/Km</t>
    </r>
  </si>
  <si>
    <t>CONCRETO 3000 PSI PREPARADO EN OBRA</t>
  </si>
  <si>
    <r>
      <rPr>
        <b/>
        <sz val="11"/>
        <color theme="1"/>
        <rFont val="Arial"/>
      </rPr>
      <t>M</t>
    </r>
    <r>
      <rPr>
        <b/>
        <vertAlign val="superscript"/>
        <sz val="11"/>
        <color theme="1"/>
        <rFont val="Arial"/>
      </rPr>
      <t>3</t>
    </r>
    <r>
      <rPr>
        <b/>
        <sz val="11"/>
        <color theme="1"/>
        <rFont val="Arial"/>
      </rPr>
      <t xml:space="preserve"> o Ton/Km</t>
    </r>
  </si>
  <si>
    <t>Formulario 1 - Propuesta económica  - Documento tipo de licitación de obra pública de agua potable y saneamiento básico</t>
  </si>
  <si>
    <t>CONCRETO 3500 PSI PREPARADO EN OBRA</t>
  </si>
  <si>
    <r>
      <rPr>
        <b/>
        <sz val="11"/>
        <color theme="1"/>
        <rFont val="Arial"/>
      </rPr>
      <t>M</t>
    </r>
    <r>
      <rPr>
        <b/>
        <vertAlign val="superscript"/>
        <sz val="11"/>
        <color theme="1"/>
        <rFont val="Arial"/>
      </rPr>
      <t>3</t>
    </r>
    <r>
      <rPr>
        <b/>
        <sz val="11"/>
        <color theme="1"/>
        <rFont val="Arial"/>
      </rPr>
      <t xml:space="preserve"> o Ton/Km</t>
    </r>
  </si>
  <si>
    <t>CONCRETO 4000 PSI PREPARADO EN OBRA</t>
  </si>
  <si>
    <r>
      <rPr>
        <b/>
        <sz val="11"/>
        <color theme="1"/>
        <rFont val="Arial"/>
      </rPr>
      <t>M</t>
    </r>
    <r>
      <rPr>
        <b/>
        <vertAlign val="superscript"/>
        <sz val="11"/>
        <color theme="1"/>
        <rFont val="Arial"/>
      </rPr>
      <t>3</t>
    </r>
    <r>
      <rPr>
        <b/>
        <sz val="11"/>
        <color theme="1"/>
        <rFont val="Arial"/>
      </rPr>
      <t xml:space="preserve"> o Ton/Km</t>
    </r>
  </si>
  <si>
    <t>MORTERO 1:3 IMPERMEABILIZADO</t>
  </si>
  <si>
    <t>ADIVITO IMPERMEABILIZANTE</t>
  </si>
  <si>
    <r>
      <rPr>
        <b/>
        <sz val="11"/>
        <color theme="1"/>
        <rFont val="Arial"/>
      </rPr>
      <t>M</t>
    </r>
    <r>
      <rPr>
        <b/>
        <vertAlign val="superscript"/>
        <sz val="11"/>
        <color theme="1"/>
        <rFont val="Arial"/>
      </rPr>
      <t>3</t>
    </r>
    <r>
      <rPr>
        <b/>
        <sz val="11"/>
        <color theme="1"/>
        <rFont val="Arial"/>
      </rPr>
      <t xml:space="preserve"> o Ton/Km</t>
    </r>
  </si>
  <si>
    <t>MORTERO 1:4 IMPERMEABILIZADO</t>
  </si>
  <si>
    <r>
      <rPr>
        <b/>
        <sz val="11"/>
        <color theme="1"/>
        <rFont val="Arial"/>
      </rPr>
      <t>M</t>
    </r>
    <r>
      <rPr>
        <b/>
        <vertAlign val="superscript"/>
        <sz val="11"/>
        <color theme="1"/>
        <rFont val="Arial"/>
      </rPr>
      <t>3</t>
    </r>
    <r>
      <rPr>
        <b/>
        <sz val="11"/>
        <color theme="1"/>
        <rFont val="Arial"/>
      </rPr>
      <t xml:space="preserve"> o Ton/Km</t>
    </r>
  </si>
  <si>
    <t>CONCRETO 3000 PSI IMPERMEABILIZADO PREPARADO EN OBRA</t>
  </si>
  <si>
    <t>ADITIVO IMPERMEABILIZANTE PARA CONCRETO</t>
  </si>
  <si>
    <r>
      <rPr>
        <b/>
        <sz val="11"/>
        <color theme="1"/>
        <rFont val="Arial"/>
      </rPr>
      <t>M</t>
    </r>
    <r>
      <rPr>
        <b/>
        <vertAlign val="superscript"/>
        <sz val="11"/>
        <color theme="1"/>
        <rFont val="Arial"/>
      </rPr>
      <t>3</t>
    </r>
    <r>
      <rPr>
        <b/>
        <sz val="11"/>
        <color theme="1"/>
        <rFont val="Arial"/>
      </rPr>
      <t xml:space="preserve"> o Ton/Km</t>
    </r>
  </si>
  <si>
    <t>CONCRETO 4000 PSI IMPERMEABILIZADO PREPARADO EN OBRA</t>
  </si>
  <si>
    <r>
      <rPr>
        <b/>
        <sz val="11"/>
        <color theme="1"/>
        <rFont val="Arial"/>
      </rPr>
      <t>M</t>
    </r>
    <r>
      <rPr>
        <b/>
        <vertAlign val="superscript"/>
        <sz val="11"/>
        <color theme="1"/>
        <rFont val="Arial"/>
      </rPr>
      <t>3</t>
    </r>
    <r>
      <rPr>
        <b/>
        <sz val="11"/>
        <color theme="1"/>
        <rFont val="Arial"/>
      </rPr>
      <t xml:space="preserve"> o Ton/Km</t>
    </r>
  </si>
  <si>
    <t>MORTERO 1:2</t>
  </si>
  <si>
    <r>
      <rPr>
        <b/>
        <sz val="11"/>
        <color theme="1"/>
        <rFont val="Arial"/>
      </rPr>
      <t>M</t>
    </r>
    <r>
      <rPr>
        <b/>
        <vertAlign val="superscript"/>
        <sz val="11"/>
        <color theme="1"/>
        <rFont val="Arial"/>
      </rPr>
      <t>3</t>
    </r>
    <r>
      <rPr>
        <b/>
        <sz val="11"/>
        <color theme="1"/>
        <rFont val="Arial"/>
      </rPr>
      <t xml:space="preserve"> o Ton/Km</t>
    </r>
  </si>
  <si>
    <t>MORTERO 1:2 IMPERMEABILIZADO</t>
  </si>
  <si>
    <r>
      <rPr>
        <b/>
        <sz val="11"/>
        <color theme="1"/>
        <rFont val="Arial"/>
      </rPr>
      <t>M</t>
    </r>
    <r>
      <rPr>
        <b/>
        <vertAlign val="superscript"/>
        <sz val="11"/>
        <color theme="1"/>
        <rFont val="Arial"/>
      </rPr>
      <t>3</t>
    </r>
    <r>
      <rPr>
        <b/>
        <sz val="11"/>
        <color theme="1"/>
        <rFont val="Arial"/>
      </rPr>
      <t xml:space="preserve"> o Ton/Km</t>
    </r>
  </si>
  <si>
    <t>LISTADO DE PRECIOS DE MATERIALES E INSUMOS</t>
  </si>
  <si>
    <t>IPC</t>
  </si>
  <si>
    <t>PROMEDIO</t>
  </si>
  <si>
    <t>COT. 1</t>
  </si>
  <si>
    <t>COT. 2</t>
  </si>
  <si>
    <t>COT. 3</t>
  </si>
  <si>
    <t>REF. MATERIAL</t>
  </si>
  <si>
    <t>PRECIO BASE</t>
  </si>
  <si>
    <t>PROVEEDOR</t>
  </si>
  <si>
    <t>MATERIALES OBRA CIVIL</t>
  </si>
  <si>
    <t>MAT_C-01</t>
  </si>
  <si>
    <t>A. CIVILES</t>
  </si>
  <si>
    <t>LT</t>
  </si>
  <si>
    <t>amb</t>
  </si>
  <si>
    <t>LIMPIEZA URBANA</t>
  </si>
  <si>
    <t>MAT_C-02</t>
  </si>
  <si>
    <t>ARENA FINA</t>
  </si>
  <si>
    <t>ING MILTON</t>
  </si>
  <si>
    <t>MATPICO - SOCORRO</t>
  </si>
  <si>
    <t>ARENERA CHICAMOCHA</t>
  </si>
  <si>
    <t>MAT_C-03</t>
  </si>
  <si>
    <t>ROCO SAS</t>
  </si>
  <si>
    <t>MAT_C-04</t>
  </si>
  <si>
    <t>ARENA PAREJA DE MONPOSTERIA</t>
  </si>
  <si>
    <t>MAT_C-05</t>
  </si>
  <si>
    <t>BALDE</t>
  </si>
  <si>
    <t>UND</t>
  </si>
  <si>
    <t>HOMECENTER</t>
  </si>
  <si>
    <t>MAT_C-06</t>
  </si>
  <si>
    <t>BASE GRANULAR</t>
  </si>
  <si>
    <t>MAT_C-07</t>
  </si>
  <si>
    <t>BLOQUE LISO #10 9 X 19 X 39 CM</t>
  </si>
  <si>
    <t>MAT_C-08</t>
  </si>
  <si>
    <t>BOLO DE RIO</t>
  </si>
  <si>
    <t>MAT_C-09</t>
  </si>
  <si>
    <t>BOLO PARA FILTRO</t>
  </si>
  <si>
    <t>MAT_C-10</t>
  </si>
  <si>
    <t>CANCAMO EN L 3/4PG</t>
  </si>
  <si>
    <t>MAT_C-11</t>
  </si>
  <si>
    <t xml:space="preserve">CEMENTO BLANCO                     </t>
  </si>
  <si>
    <t>ALDIA</t>
  </si>
  <si>
    <t>COMDIRECTO</t>
  </si>
  <si>
    <t>MAT_C-12</t>
  </si>
  <si>
    <t>MAT_C-13</t>
  </si>
  <si>
    <t>CEMENTO TIPO PORTLAN 50 Kg</t>
  </si>
  <si>
    <t>MAT_C-14</t>
  </si>
  <si>
    <t>CINTA SEÑALIZACIÓN PELIGRO-NO PASE 500M</t>
  </si>
  <si>
    <t>MAT_C-15</t>
  </si>
  <si>
    <t>CINTA SEÑALIZACIÓN PELIGRO-NO PASE 100M</t>
  </si>
  <si>
    <t>MAT_C-16</t>
  </si>
  <si>
    <t>COLOR MINERAL ROJO</t>
  </si>
  <si>
    <t>LB</t>
  </si>
  <si>
    <t>MAT_C-17</t>
  </si>
  <si>
    <t xml:space="preserve">CURADOR DE CONCRETO </t>
  </si>
  <si>
    <t>MAT_C-18</t>
  </si>
  <si>
    <t>DESENCOFRANTE PARA CONCRETO</t>
  </si>
  <si>
    <t>MAT_C-19</t>
  </si>
  <si>
    <t>DESENGRASANTE LIQUIDO</t>
  </si>
  <si>
    <t>MAT_C-20</t>
  </si>
  <si>
    <t>ESCOBA</t>
  </si>
  <si>
    <t>MAT_C-21</t>
  </si>
  <si>
    <t>GRAVA LAVADA XM3</t>
  </si>
  <si>
    <t>MAT_C-22</t>
  </si>
  <si>
    <t>GRAVILLA TAMIZADA DE 1" - 1/8"</t>
  </si>
  <si>
    <t>MAT_C-23</t>
  </si>
  <si>
    <t>GUADUA L=5m</t>
  </si>
  <si>
    <t>DATA CAUCA</t>
  </si>
  <si>
    <t>MAT_C-24</t>
  </si>
  <si>
    <t>GUANTE INDUSTRIAL</t>
  </si>
  <si>
    <t>MAT_C-25</t>
  </si>
  <si>
    <t>LADRILLO H-15</t>
  </si>
  <si>
    <t>MAT_C-26</t>
  </si>
  <si>
    <t>LADRILLO H-10</t>
  </si>
  <si>
    <t>MAT_C-27</t>
  </si>
  <si>
    <t xml:space="preserve">UND </t>
  </si>
  <si>
    <t>MAT_C-28</t>
  </si>
  <si>
    <t>LADRILLO TOLETE 20x10x6 CM</t>
  </si>
  <si>
    <t>BUCARAMANGA</t>
  </si>
  <si>
    <t>MAT_C-29</t>
  </si>
  <si>
    <t>LAMINA GALV C-20 (0.85) 2X1M</t>
  </si>
  <si>
    <t>MAT_C-30</t>
  </si>
  <si>
    <t>LIBR</t>
  </si>
  <si>
    <t>MAT_C-31</t>
  </si>
  <si>
    <t>FORANDES</t>
  </si>
  <si>
    <t>MAT_C-32</t>
  </si>
  <si>
    <t>MADERAS MAFRACOL</t>
  </si>
  <si>
    <t>MAT_C-33</t>
  </si>
  <si>
    <t>MATERIAL FILTRANTE DE 1 A 3"</t>
  </si>
  <si>
    <t>MAT_C-34</t>
  </si>
  <si>
    <t>MAT_C-35</t>
  </si>
  <si>
    <t>PAÑO DE MICROFIBRA</t>
  </si>
  <si>
    <t>MAT_C-36</t>
  </si>
  <si>
    <t>PIEDRA TRITURADA DE 3/4" 50KG</t>
  </si>
  <si>
    <t>MAT_C-37</t>
  </si>
  <si>
    <t>MAT_C-38</t>
  </si>
  <si>
    <t xml:space="preserve">PLASTICO NEGRO CAL 3. </t>
  </si>
  <si>
    <t>CALYPSO</t>
  </si>
  <si>
    <t>MAT_C-39</t>
  </si>
  <si>
    <t>ROLLO</t>
  </si>
  <si>
    <t>DISTRIVENUES</t>
  </si>
  <si>
    <t>MAT_C-40</t>
  </si>
  <si>
    <t>RECOGEDOR</t>
  </si>
  <si>
    <t>MAT_C-41</t>
  </si>
  <si>
    <t>SUBBASE GRANULAR</t>
  </si>
  <si>
    <t>MAT_C-42</t>
  </si>
  <si>
    <t>TABLA DE MADERA COMUN DE 3x0,2x0,2</t>
  </si>
  <si>
    <t>PRECIO DATA CAUCA</t>
  </si>
  <si>
    <t>MAT_C-43</t>
  </si>
  <si>
    <t>TELA VERDE CERRAMIENTO H=2.10MT</t>
  </si>
  <si>
    <t>MAT_C-44</t>
  </si>
  <si>
    <t>TORNILLO EN ACERO INOXIDABLE 1 1/2"</t>
  </si>
  <si>
    <t>MAT_C-45</t>
  </si>
  <si>
    <t>MAT_C-46</t>
  </si>
  <si>
    <t>TRITURADO DE 1"</t>
  </si>
  <si>
    <t>MAT_C-47</t>
  </si>
  <si>
    <t>TRITURADO DE 1/2"</t>
  </si>
  <si>
    <t>MAT_C-48</t>
  </si>
  <si>
    <t>MAT_C-49</t>
  </si>
  <si>
    <t>MAT_C-50</t>
  </si>
  <si>
    <t>MAT_C-51</t>
  </si>
  <si>
    <t>REGLETA LARGA TIPO ANGULO</t>
  </si>
  <si>
    <t>MAT_C-52</t>
  </si>
  <si>
    <t>ELEMENTOS DE SUJECION</t>
  </si>
  <si>
    <t>MAT_C-53</t>
  </si>
  <si>
    <t>VALDE CONCRETO DE SOPORTE ZAPATA DEL LISTON</t>
  </si>
  <si>
    <t>MAT_C-54</t>
  </si>
  <si>
    <t>BTO</t>
  </si>
  <si>
    <t>MAT_C-55</t>
  </si>
  <si>
    <t>MAT_C-56</t>
  </si>
  <si>
    <t>MAT_C-57</t>
  </si>
  <si>
    <t>MAT_C-58</t>
  </si>
  <si>
    <t>ARANDELA</t>
  </si>
  <si>
    <t>MAT_C-59</t>
  </si>
  <si>
    <t>LECHADA TRADICIONAL (CAL + ARENA)</t>
  </si>
  <si>
    <t>MAT_C-60</t>
  </si>
  <si>
    <t>LADRILLO CON CUÑA (PARA QUE NO SE SALGA LA LECHADA)</t>
  </si>
  <si>
    <t>MAT_C-61</t>
  </si>
  <si>
    <t>MAT_C-62</t>
  </si>
  <si>
    <t>TEJA ARCILLA</t>
  </si>
  <si>
    <t>MAT_C-63</t>
  </si>
  <si>
    <t>IMPRIMACIÓN ASFALTICA</t>
  </si>
  <si>
    <t>GAL</t>
  </si>
  <si>
    <t>MAT_C-64</t>
  </si>
  <si>
    <t>MAT_C-65</t>
  </si>
  <si>
    <t>PINTURA BITUMINOSA</t>
  </si>
  <si>
    <t>MAT_C-66</t>
  </si>
  <si>
    <t>SELLADOR Y  ESMALTE</t>
  </si>
  <si>
    <t>MAT_C-67</t>
  </si>
  <si>
    <t>MACHIMBRE INMUNIZADO</t>
  </si>
  <si>
    <t>MAT_C-68</t>
  </si>
  <si>
    <t>FLANCHE METALICO CAL 26</t>
  </si>
  <si>
    <t>MAT_C-69</t>
  </si>
  <si>
    <t>REMACHES</t>
  </si>
  <si>
    <t>MAT_C-70</t>
  </si>
  <si>
    <t>MAT_C-71</t>
  </si>
  <si>
    <t>TAPA METALICA</t>
  </si>
  <si>
    <t>MAT_C-72</t>
  </si>
  <si>
    <t>MAT_C-73</t>
  </si>
  <si>
    <t>MINERAL ULTRA FERROMINERALES</t>
  </si>
  <si>
    <t>MAT_C-74</t>
  </si>
  <si>
    <t>MAT_C-75</t>
  </si>
  <si>
    <t>MAT_C-76</t>
  </si>
  <si>
    <t>MAT_C-77</t>
  </si>
  <si>
    <t>IMPRESION PLANOS Y/O AJUSTES</t>
  </si>
  <si>
    <t>GLOBAL</t>
  </si>
  <si>
    <t>PAPELERIA</t>
  </si>
  <si>
    <t>MAT_C-78</t>
  </si>
  <si>
    <t>SEÑALIZACION GENERAL PARA OBRA</t>
  </si>
  <si>
    <t>MAT_C-79</t>
  </si>
  <si>
    <t>MAT_C-80</t>
  </si>
  <si>
    <t>MAT_C-81</t>
  </si>
  <si>
    <t>MAT_C-82</t>
  </si>
  <si>
    <t>MAT_C-83</t>
  </si>
  <si>
    <t>MAT_C-84</t>
  </si>
  <si>
    <t>MAT_C-85</t>
  </si>
  <si>
    <t>MAT_C-86</t>
  </si>
  <si>
    <t>MAT_C-87</t>
  </si>
  <si>
    <t>MAT_C-88</t>
  </si>
  <si>
    <t>MAT_C-89</t>
  </si>
  <si>
    <t>MAT_C-90</t>
  </si>
  <si>
    <t>MATERIALES METALICOS</t>
  </si>
  <si>
    <t>MAT_M-01</t>
  </si>
  <si>
    <t>B. METALICOS</t>
  </si>
  <si>
    <t>ACERO ESTRUCTURAL</t>
  </si>
  <si>
    <t>G&amp;J FERRETERIA</t>
  </si>
  <si>
    <t>MAT_M-02</t>
  </si>
  <si>
    <t>ACERO FIGURADO GR60</t>
  </si>
  <si>
    <t>MAT_M-03</t>
  </si>
  <si>
    <t>ACERO GRADO 60</t>
  </si>
  <si>
    <t>MAT_M-04</t>
  </si>
  <si>
    <t xml:space="preserve">ALAMBRE NEGRO </t>
  </si>
  <si>
    <t>MAT_M-05</t>
  </si>
  <si>
    <t>ANCLAJE 3/8"</t>
  </si>
  <si>
    <t>MAT_M-06</t>
  </si>
  <si>
    <t>CABALLETES PARA CUBIERTA ECOROOF O SIMILAR TIPO COLONIAL</t>
  </si>
  <si>
    <t>ARKOS</t>
  </si>
  <si>
    <t>MAT_M-07</t>
  </si>
  <si>
    <t>CAPELOTE PLÁSTICO PARA FIJACION E INSTALACIÓN DE CUBIERTA ECOROOF O SIMILAR</t>
  </si>
  <si>
    <t>MAT_M-08</t>
  </si>
  <si>
    <r>
      <rPr>
        <sz val="10"/>
        <color theme="1"/>
        <rFont val="Arial"/>
      </rPr>
      <t>CONECTOR TIPO STUD</t>
    </r>
    <r>
      <rPr>
        <sz val="10"/>
        <color rgb="FFFF0000"/>
        <rFont val="Arial"/>
      </rPr>
      <t xml:space="preserve"> 3/4 X 3-7/8 MS MD2</t>
    </r>
  </si>
  <si>
    <t>ACEROS BONILLA</t>
  </si>
  <si>
    <t>MAT_M-09</t>
  </si>
  <si>
    <t>CUBIERTA EN UPVC ECOROOF O SIMILAR TIPO COLONIAL</t>
  </si>
  <si>
    <t>SUPERCONSTRUCTOR</t>
  </si>
  <si>
    <t>MAT_M-10</t>
  </si>
  <si>
    <t>CUBIERTA METALICA TRAPEZOIDAL PREPINTADA 6X0,82M 0,30MM</t>
  </si>
  <si>
    <t>MAT_M-11</t>
  </si>
  <si>
    <t>ESCALERA TIPO GATO EN ACERO INOXIDABLE</t>
  </si>
  <si>
    <t>MAT_M-12</t>
  </si>
  <si>
    <t>GANCHO O AMARRE DE FIJACIÓN PARA CUBIERTA CON CAPUCHON O TAPA PLASTICA</t>
  </si>
  <si>
    <t>MAT_M-13</t>
  </si>
  <si>
    <t>LAMINA COLABORANTE 2" CAL 22  0.75MM</t>
  </si>
  <si>
    <t>MAT_M-14</t>
  </si>
  <si>
    <t>LAMINA GALVANIZADA 1,20 x 2,40 m CAL. 22</t>
  </si>
  <si>
    <t>MAT_M-15</t>
  </si>
  <si>
    <t xml:space="preserve">LAMINA DE POLICARBONATO ALVEOLAR 6MM </t>
  </si>
  <si>
    <t>MAT_M-16</t>
  </si>
  <si>
    <t>LETRERO CAM</t>
  </si>
  <si>
    <t>MAURICIO VELASQUEZ</t>
  </si>
  <si>
    <t>MAT_M-17</t>
  </si>
  <si>
    <t>LIMATESA CUBIERTA ECOROOF TIPO COLONIAL O SIMILAR</t>
  </si>
  <si>
    <t>MAT_M-18</t>
  </si>
  <si>
    <t>MALLA ELECTROSOLDADA</t>
  </si>
  <si>
    <t>MAT_M-19</t>
  </si>
  <si>
    <t>PLATINA 1 1/2 X 1/4</t>
  </si>
  <si>
    <t>MAT_M-20</t>
  </si>
  <si>
    <t>SOLDADURA 6013</t>
  </si>
  <si>
    <t>MAT_M-21</t>
  </si>
  <si>
    <t>SOLDADURA 7018</t>
  </si>
  <si>
    <t>MAT_M-22</t>
  </si>
  <si>
    <t>SOLDADURA MIG 70S X 15KG</t>
  </si>
  <si>
    <t>MAT_M-23</t>
  </si>
  <si>
    <t>TEJA DE ZINC ONDULADA 2.134x0.80 m CAL 35 0.17mm</t>
  </si>
  <si>
    <t>MAT_M-24</t>
  </si>
  <si>
    <t xml:space="preserve">TORNILLO AUTOPERFORANTE FIJADOR 14 X 1 1/4" </t>
  </si>
  <si>
    <t>AJOVER</t>
  </si>
  <si>
    <t>MAT_M-25</t>
  </si>
  <si>
    <t xml:space="preserve">TORNILLO AUTOPERFORANTE FIJADOR 2-5/8" </t>
  </si>
  <si>
    <t>PEÑALOSA CUCUTA</t>
  </si>
  <si>
    <t>MAT_M-26</t>
  </si>
  <si>
    <t>TUBO PARA CERRAMIENTO 1 1/2 " x 2,5 mm</t>
  </si>
  <si>
    <t>MAT_M-27</t>
  </si>
  <si>
    <t>TUBO PARA CERRAMIENTO 2 " x 2,5 mm</t>
  </si>
  <si>
    <t>MAT_M-28</t>
  </si>
  <si>
    <t>PLATINA METALICA 1/8" PARA VANOS</t>
  </si>
  <si>
    <t>MAT_M-29</t>
  </si>
  <si>
    <t>PLATINA METALICA 3/16" PARA VANOS</t>
  </si>
  <si>
    <t>MATERIALES HIDROSANITARIOS</t>
  </si>
  <si>
    <t>MAT_H-01</t>
  </si>
  <si>
    <t>C. HIDROSANITARIO</t>
  </si>
  <si>
    <t>ADAPTADOR MACHO PVC PRESION 1/2"</t>
  </si>
  <si>
    <t>PAVCO</t>
  </si>
  <si>
    <t>MAT_H-02</t>
  </si>
  <si>
    <t>ADAPTADOR MACHO PVC PRESION 3/4"</t>
  </si>
  <si>
    <t>MAT_H-03</t>
  </si>
  <si>
    <t>ADAPTADOR MACHO PVC PRESION 1"</t>
  </si>
  <si>
    <t>MAT_H-04</t>
  </si>
  <si>
    <t>ADAPTADOR MACHO PVC PRESION 1 1/2"</t>
  </si>
  <si>
    <t>MAT_H-05</t>
  </si>
  <si>
    <t>ADAPTADOR MACHO PVC PRESION 2"</t>
  </si>
  <si>
    <t>MAT_H-06</t>
  </si>
  <si>
    <t>ADAPTADOR ROSCADO MACHO CPVC PRESION 1/2"</t>
  </si>
  <si>
    <t>MAT_H-07</t>
  </si>
  <si>
    <t>ADAPTADOR ROSCADO MACHO CPVC PRESION 3/4"</t>
  </si>
  <si>
    <t>MAT_H-08</t>
  </si>
  <si>
    <t>ADAPTADOR ROSCADO MACHO CPVC PRESION 1"</t>
  </si>
  <si>
    <t>MAT_H-09</t>
  </si>
  <si>
    <t>ADAPTADOR HEMBRA PVC PRESION 1/2"</t>
  </si>
  <si>
    <t>MAT_H-10</t>
  </si>
  <si>
    <t>ADAPTADOR HEMBRA PVC PRESION 3/4"</t>
  </si>
  <si>
    <t>MAT_H-11</t>
  </si>
  <si>
    <t>ADAPTADOR HEMBRA PVC PRESION 1"</t>
  </si>
  <si>
    <t>MAT_H-12</t>
  </si>
  <si>
    <t>ADAPTADOR HEMBRA PVC PRESION 1 1/2"</t>
  </si>
  <si>
    <t>MAT_H-13</t>
  </si>
  <si>
    <t>ADAPTADOR HEMBRA PVC PRESION 2"</t>
  </si>
  <si>
    <t>MAT_H-14</t>
  </si>
  <si>
    <t>ADAPTADOR ROSCADO HEMBRA CPVC PRESION 1/2"</t>
  </si>
  <si>
    <t>MAT_H-15</t>
  </si>
  <si>
    <t>ADAPTADOR ROSCADO HEMBRA CPVC PRESION 3/4"</t>
  </si>
  <si>
    <t>MAT_H-16</t>
  </si>
  <si>
    <t>CINTA PVC O-22</t>
  </si>
  <si>
    <t>MAT_H-17</t>
  </si>
  <si>
    <t>CHECK ANTI-RETORNO 1/2” DZR HEMBRA X 1/2” MACHO</t>
  </si>
  <si>
    <t>MAT_H-18</t>
  </si>
  <si>
    <t>CHEQUE CORTINA 1/2"</t>
  </si>
  <si>
    <t>MAT_H-19</t>
  </si>
  <si>
    <t>CODO 45 PVC PRESION 1/2"</t>
  </si>
  <si>
    <t>MAT_H-20</t>
  </si>
  <si>
    <t>CODO 45 PVC PRESION 3/4"</t>
  </si>
  <si>
    <t>MAT_H-21</t>
  </si>
  <si>
    <t>CODO 45 PVC PRESION 1"</t>
  </si>
  <si>
    <t>MAT_H-22</t>
  </si>
  <si>
    <t>CODO 45 PVC PRESION 1 1/2"</t>
  </si>
  <si>
    <t>MAT_H-23</t>
  </si>
  <si>
    <t>CODO 45 PVC PRESION 2"</t>
  </si>
  <si>
    <t>MAT_H-24</t>
  </si>
  <si>
    <t>CODO 45 CPVC PRESION 1/2"</t>
  </si>
  <si>
    <t>MAT_H-25</t>
  </si>
  <si>
    <t>CODO 45 CPVC PRESION 3/4"</t>
  </si>
  <si>
    <t>MAT_H-26</t>
  </si>
  <si>
    <t>CODO 45 CPVC PRESION 1"</t>
  </si>
  <si>
    <t>MAT_H-27</t>
  </si>
  <si>
    <t>CODO 22 1/2 PVC SANITARIO 2"</t>
  </si>
  <si>
    <t>MAT_H-28</t>
  </si>
  <si>
    <t>CODO 22 1/2 PVC SANITARIO 3"</t>
  </si>
  <si>
    <t>MAT_H-29</t>
  </si>
  <si>
    <t>CODO 22 1/2 PVC SANITARIO 4"</t>
  </si>
  <si>
    <t>MAT_H-30</t>
  </si>
  <si>
    <t>CODO 22 1/2 PVC SANITARIO 6"</t>
  </si>
  <si>
    <t>MAT_H-31</t>
  </si>
  <si>
    <t>CODO 45 PVC SANITARIO 1 1/2"</t>
  </si>
  <si>
    <t>MAT_H-32</t>
  </si>
  <si>
    <t>CODO 45 PVC SANITARIO 2"</t>
  </si>
  <si>
    <t>MAT_H-33</t>
  </si>
  <si>
    <t>CODO 45 PVC SANITARIO 3"</t>
  </si>
  <si>
    <t>MAT_H-34</t>
  </si>
  <si>
    <t>MAT_H-35</t>
  </si>
  <si>
    <t>CODO 45 PVC SANITARIO 6"</t>
  </si>
  <si>
    <t>MAT_H-36</t>
  </si>
  <si>
    <t>CODO 90 PVC PRESION 1/2"</t>
  </si>
  <si>
    <t>MAT_H-37</t>
  </si>
  <si>
    <t>CODO 90 PVC PRESION 3/4"</t>
  </si>
  <si>
    <t>MAT_H-38</t>
  </si>
  <si>
    <t>CODO 90 PVC PRESION 1"</t>
  </si>
  <si>
    <t>MAT_H-39</t>
  </si>
  <si>
    <t>CODO 90 PVC PRESION 1 1/2"</t>
  </si>
  <si>
    <t>MAT_H-40</t>
  </si>
  <si>
    <t>CODO 90 PVC PRESION 2"</t>
  </si>
  <si>
    <t>MAT_H-41</t>
  </si>
  <si>
    <t>CODO 90 CPVC PRESION 1/2"</t>
  </si>
  <si>
    <t>MAT_H-42</t>
  </si>
  <si>
    <t>CODO 90 CPVC PRESION 3/4"</t>
  </si>
  <si>
    <t>MAT_H-43</t>
  </si>
  <si>
    <t>CODO 90 CPVC PRESION 1"</t>
  </si>
  <si>
    <t>MAT_H-44</t>
  </si>
  <si>
    <t>CODO 90 PVC SANITARIO 1 1/2"</t>
  </si>
  <si>
    <t>MAT_H-45</t>
  </si>
  <si>
    <t>CODO 90 PVC SANITARIO 2"</t>
  </si>
  <si>
    <t>MAT_H-46</t>
  </si>
  <si>
    <t>CODO 90 PVC SANITARIO 3"</t>
  </si>
  <si>
    <t>MAT_H-47</t>
  </si>
  <si>
    <t>CODO 90 PVC SANITARIO 4"</t>
  </si>
  <si>
    <t>MAT_H-48</t>
  </si>
  <si>
    <t>CODO 90 PVC SANITARIO 6"</t>
  </si>
  <si>
    <t>MAT_H-49</t>
  </si>
  <si>
    <t>CODO REVENTILADO 3X2</t>
  </si>
  <si>
    <t>MAT_H-50</t>
  </si>
  <si>
    <t>CODO REVENTILADO 4X2</t>
  </si>
  <si>
    <t>MAT_H-51</t>
  </si>
  <si>
    <t>MAT_H-52</t>
  </si>
  <si>
    <t>MAT_H-53</t>
  </si>
  <si>
    <t>SOLDADURA CPVC 1/4 Gln</t>
  </si>
  <si>
    <t>MAT_H-54</t>
  </si>
  <si>
    <t>MAT_H-55</t>
  </si>
  <si>
    <t>MAT_H-56</t>
  </si>
  <si>
    <t>TAPON PVC PRESION 3/4"</t>
  </si>
  <si>
    <t>MAT_H-57</t>
  </si>
  <si>
    <t>TAPON PVC PRESION 1"</t>
  </si>
  <si>
    <t>MAT_H-58</t>
  </si>
  <si>
    <t>TAPON PVC PRESION 1 1/2"</t>
  </si>
  <si>
    <t>MAT_H-59</t>
  </si>
  <si>
    <t>TAPON PVC PRESION 2"</t>
  </si>
  <si>
    <t>MAT_H-60</t>
  </si>
  <si>
    <t>TAPON PVC SANITARIA 1 1/2"</t>
  </si>
  <si>
    <t>MAT_H-61</t>
  </si>
  <si>
    <t>TAPON PVC SANITARIA 2"</t>
  </si>
  <si>
    <t>MAT_H-62</t>
  </si>
  <si>
    <t>TAPON PVC SANITARIA 3"</t>
  </si>
  <si>
    <t>MAT_H-63</t>
  </si>
  <si>
    <t>TAPON PVC SANITARIA 4"</t>
  </si>
  <si>
    <t>MAT_H-64</t>
  </si>
  <si>
    <t>TAPON PVC SANITARIA 6"</t>
  </si>
  <si>
    <t>MAT_H-65</t>
  </si>
  <si>
    <t>TEE PVC PRESION 1/2"</t>
  </si>
  <si>
    <t>MAT_H-66</t>
  </si>
  <si>
    <t>TEE PVC PRESION 3/4"</t>
  </si>
  <si>
    <t>MAT_H-67</t>
  </si>
  <si>
    <t>TEE PVC PRESION 1"</t>
  </si>
  <si>
    <t>MAT_H-68</t>
  </si>
  <si>
    <t>TEE PVC PRESION 1 1/2"</t>
  </si>
  <si>
    <t>MAT_H-69</t>
  </si>
  <si>
    <t>TEE PVC PRESION 2"</t>
  </si>
  <si>
    <t>MAT_H-70</t>
  </si>
  <si>
    <t>TEE CPVC PRESION 1/2"</t>
  </si>
  <si>
    <t>MAT_H-71</t>
  </si>
  <si>
    <t>TEE CPVC PRESION 3/4"</t>
  </si>
  <si>
    <t>MAT_H-72</t>
  </si>
  <si>
    <t>TEE CPVC PRESION 1"</t>
  </si>
  <si>
    <t>MAT_H-73</t>
  </si>
  <si>
    <t>TEE PVC SANITARIA 1 1/2"</t>
  </si>
  <si>
    <t>MAT_H-74</t>
  </si>
  <si>
    <t>TEE PVC SANITARIA 2"</t>
  </si>
  <si>
    <t>MAT_H-75</t>
  </si>
  <si>
    <t>TEE PVC SANITARIA 3"</t>
  </si>
  <si>
    <t>MAT_H-76</t>
  </si>
  <si>
    <t>TEE PVC SANITARIA 4"</t>
  </si>
  <si>
    <t>MAT_H-77</t>
  </si>
  <si>
    <t>TEE PVC SANITARIA 6"</t>
  </si>
  <si>
    <t>MAT_H-78</t>
  </si>
  <si>
    <t>TUBO HDPE FLEXIBLE DE 4" CON FILTRO PARA DRENAJE</t>
  </si>
  <si>
    <t>COVAL</t>
  </si>
  <si>
    <t>MAT_H-79</t>
  </si>
  <si>
    <t>TUBO PVC PRESION 1/2" RDE-13.5</t>
  </si>
  <si>
    <t xml:space="preserve">HOMECENTER </t>
  </si>
  <si>
    <t>MAT_H-80</t>
  </si>
  <si>
    <t xml:space="preserve">TUBO PVC PRESION 3/4" RDE-21 </t>
  </si>
  <si>
    <t>MAT_H-81</t>
  </si>
  <si>
    <t xml:space="preserve">TUBO PVC PRESION 1" RDE-21 </t>
  </si>
  <si>
    <t>MAT_H-82</t>
  </si>
  <si>
    <t xml:space="preserve">TUBO PVC PRESION 1 1/2" RDE-21 </t>
  </si>
  <si>
    <t>MAT_H-83</t>
  </si>
  <si>
    <t xml:space="preserve">TUBO PVC PRESION 2" RDE-21 </t>
  </si>
  <si>
    <t>MAT_H-84</t>
  </si>
  <si>
    <t xml:space="preserve">TUBO PVC PRESION 4" RDE-21 </t>
  </si>
  <si>
    <t>MAT_H-85</t>
  </si>
  <si>
    <t>TUBO CPVC PRESION 1/2" RDE-11</t>
  </si>
  <si>
    <t>MAT_H-86</t>
  </si>
  <si>
    <t>TUBO CPVC PRESION 3/4" RDE-11</t>
  </si>
  <si>
    <t>MAT_H-87</t>
  </si>
  <si>
    <t>TUBO CPVC PRESION 1" RDE-11</t>
  </si>
  <si>
    <t>MAT_H-88</t>
  </si>
  <si>
    <t>TUBO PVC SANITARIO NOVATEC 1 1/2"</t>
  </si>
  <si>
    <t>MAT_H-89</t>
  </si>
  <si>
    <t>TUBO PVC SANITARIO NOVATEC 2"</t>
  </si>
  <si>
    <t>MAT_H-90</t>
  </si>
  <si>
    <t>TUBO PVC SANITARIO NOVATEC 3"</t>
  </si>
  <si>
    <t>MAT_H-91</t>
  </si>
  <si>
    <t>TUBO PVC SANITARIO NOVATEC 4"</t>
  </si>
  <si>
    <t>MAT_H-92</t>
  </si>
  <si>
    <t>TUBO PVC SANITARIO NOVATEC 6"</t>
  </si>
  <si>
    <t>MAT_H-93</t>
  </si>
  <si>
    <t>TUBO PVC VENTILACIÓN 1 1/2"</t>
  </si>
  <si>
    <t>MAT_H-94</t>
  </si>
  <si>
    <t>TUBO PVC VENTILACIÓN 2"</t>
  </si>
  <si>
    <t>MAT_H-95</t>
  </si>
  <si>
    <t>MAT_H-96</t>
  </si>
  <si>
    <t>UNION PVC PRESION 1/2"</t>
  </si>
  <si>
    <t>MAT_H-97</t>
  </si>
  <si>
    <t>UNION PVC PRESION 3/4"</t>
  </si>
  <si>
    <t>MAT_H-98</t>
  </si>
  <si>
    <t>UNION PVC PRESION 1"</t>
  </si>
  <si>
    <t>MAT_H-99</t>
  </si>
  <si>
    <t>UNION PVC PRESION 1 1/2"</t>
  </si>
  <si>
    <t>MAT_H-100</t>
  </si>
  <si>
    <t>UNION PVC PRESION 2"</t>
  </si>
  <si>
    <t>MAT_H-101</t>
  </si>
  <si>
    <t>UNION CPVC PRESION 1/2"</t>
  </si>
  <si>
    <t>MAT_H-102</t>
  </si>
  <si>
    <t>UNION CPVC PRESION 3/4"</t>
  </si>
  <si>
    <t>MAT_H-103</t>
  </si>
  <si>
    <t>UNION CPVC PRESION 1"</t>
  </si>
  <si>
    <t>MAT_H-104</t>
  </si>
  <si>
    <t>UNION PVC SANITARIA 1 1/2"</t>
  </si>
  <si>
    <t>MAT_H-105</t>
  </si>
  <si>
    <t>UNION PVC SANITARIA 2"</t>
  </si>
  <si>
    <t>MAT_H-106</t>
  </si>
  <si>
    <t>UNION PVC SANITARIA 3"</t>
  </si>
  <si>
    <t>MAT_H-107</t>
  </si>
  <si>
    <t>MAT_H-108</t>
  </si>
  <si>
    <t>UNION PVC SANITARIA 6"</t>
  </si>
  <si>
    <t>MAT_H-109</t>
  </si>
  <si>
    <t>REGISTRO DE 1/2"</t>
  </si>
  <si>
    <t>MAT_H-110</t>
  </si>
  <si>
    <t>VALVULA DE BOLA 1/2"</t>
  </si>
  <si>
    <t>MAT_H-111</t>
  </si>
  <si>
    <t>VALVULA DE BOLA 1/2" PVC</t>
  </si>
  <si>
    <t>MAT_H-112</t>
  </si>
  <si>
    <t>VALVULA DE BOLA 3/4" PVC</t>
  </si>
  <si>
    <t>MAT_H-113</t>
  </si>
  <si>
    <t>TUBO PVC CORRUGADO 8"</t>
  </si>
  <si>
    <t>FERRETERIA ALDIA</t>
  </si>
  <si>
    <t>GERFOR</t>
  </si>
  <si>
    <t>MAT_H-114</t>
  </si>
  <si>
    <t>TUBO PVC CORRUGADO 10"</t>
  </si>
  <si>
    <t>MAT_H-115</t>
  </si>
  <si>
    <t>LUBRICANTE</t>
  </si>
  <si>
    <t>MAT_H-116</t>
  </si>
  <si>
    <t>MAT_H-117</t>
  </si>
  <si>
    <t>TUBERÍA DREN DE 1</t>
  </si>
  <si>
    <t>MAT_H-118</t>
  </si>
  <si>
    <t>MAT_H-119</t>
  </si>
  <si>
    <t>MATERIALES CONTRA INCENDIOS</t>
  </si>
  <si>
    <t>MAT_CI-01</t>
  </si>
  <si>
    <t>C. CONTRAINCENDIOS</t>
  </si>
  <si>
    <t>ACCESORIOS 1" (VÁLVULAS, UNIONES, MANÓMETRO)</t>
  </si>
  <si>
    <t>GBL</t>
  </si>
  <si>
    <t>ICCU</t>
  </si>
  <si>
    <t>MAT_CI-02</t>
  </si>
  <si>
    <t>ACCESORIOS DESCARGA 1 1/2" (CHEQUE, REGISTRO, UNIONES)</t>
  </si>
  <si>
    <t>MAT_CI-03</t>
  </si>
  <si>
    <t>ACCESORIOS SUCCIÓN 2" (VÁLVULA PIE, CODO, UNIÓN)</t>
  </si>
  <si>
    <t>MAT_CI-04</t>
  </si>
  <si>
    <t>BOQUILLA CHORRO NIEBLA EN POLICARBONATO UL-FM</t>
  </si>
  <si>
    <t>MAT_CI-05</t>
  </si>
  <si>
    <t>BOMBA BARNES DE ALTA PRESIÓN MODELO QE 1,5 100 DE 10 HP O SIMILAR  TRIFASICA CON RENDIMIENTO DE 60 MCA Y 125 GPM</t>
  </si>
  <si>
    <t>GSD</t>
  </si>
  <si>
    <t>MAT_CI-06</t>
  </si>
  <si>
    <t>BOMBA JOCKEY MULTIETAPA (1-2 HP)</t>
  </si>
  <si>
    <t>PUMP STOP ONLINE S.A.S</t>
  </si>
  <si>
    <t>MAT_CI-07</t>
  </si>
  <si>
    <t>CAJILLA GABINETE TIPO II 0.77x0.77x0.24, LÁMINA COLD ROLLED</t>
  </si>
  <si>
    <t>MAT_CI-08</t>
  </si>
  <si>
    <t>CODO HIERRO DUCTIL RANURADO 1 1/2"</t>
  </si>
  <si>
    <t>MAT_CI-09</t>
  </si>
  <si>
    <t>CODO HIERRO DUCTIL RANURADO 2 1/2"</t>
  </si>
  <si>
    <t>MAT_CI-10</t>
  </si>
  <si>
    <t>COUPLING FLEXIBLE HIERRO DUCTIL RANURADO 1 1/2"</t>
  </si>
  <si>
    <t>MAT_CI-11</t>
  </si>
  <si>
    <t>COUPLING FLEXIBLE HIERRO DUCTIL RANURADO 2 1/2"</t>
  </si>
  <si>
    <t>MAT_CI-12</t>
  </si>
  <si>
    <t>EXTINTOR DE POLVO QUÍMICO ABC, CAPACIDAD 10 LB</t>
  </si>
  <si>
    <t>MAT_CI-13</t>
  </si>
  <si>
    <t>GABINETE EXTINTO 60X35X23 CM</t>
  </si>
  <si>
    <t>MAT_CI-14</t>
  </si>
  <si>
    <t>HACHA PARA GABINETE DE INCENDIOS</t>
  </si>
  <si>
    <t>MAT_CI-15</t>
  </si>
  <si>
    <t>LLAVE SPANER CROMADA DOS SERVICIOS 2 1/2" Y 1 1/2"</t>
  </si>
  <si>
    <t>MAT_CI-16</t>
  </si>
  <si>
    <t>GR</t>
  </si>
  <si>
    <t>MAT_CI-17</t>
  </si>
  <si>
    <t>SEMICODO HIERRO DUCTIL RANURADO 1 1/2"</t>
  </si>
  <si>
    <t>MAT_CI-18</t>
  </si>
  <si>
    <t>SEMICODO HIERRO DUCTIL RANURADO 2 1/2"</t>
  </si>
  <si>
    <t>MAT_CI-19</t>
  </si>
  <si>
    <t>SOPORTE 1 1/2"</t>
  </si>
  <si>
    <t>MAT_CI-20</t>
  </si>
  <si>
    <t>SOPORTE 2 1/2"</t>
  </si>
  <si>
    <t>MAT_CI-21</t>
  </si>
  <si>
    <t>SOPORTE TIPO CANASTILLA PARA MANGUERA</t>
  </si>
  <si>
    <t>MAT_CI-22</t>
  </si>
  <si>
    <t>TEE HIERRO DUCTIL RANURADO 1 1/2"</t>
  </si>
  <si>
    <t>MAT_CI-23</t>
  </si>
  <si>
    <t>TEE HIERRO DUCTIL RANURADO 2 1/2"</t>
  </si>
  <si>
    <t>MAT_CI-24</t>
  </si>
  <si>
    <t>TRAMO DE MANGUERA DE 1 1/2" x 100 FT SINTEX-PPLAST</t>
  </si>
  <si>
    <t>MAT_CI-25</t>
  </si>
  <si>
    <t>TUBERÍA ACERO NEGRO 1" SCH 40 RANURADA</t>
  </si>
  <si>
    <t>MAT_CI-26</t>
  </si>
  <si>
    <t>TUBERÍA ACERO NEGRO 1 1/2" SCH 40 RANURADA</t>
  </si>
  <si>
    <t>MAT_CI-27</t>
  </si>
  <si>
    <t>TUBERÍA ACERO NEGRO 2 1/2" SCH 40 RANURADA</t>
  </si>
  <si>
    <t>MAT_CI-28</t>
  </si>
  <si>
    <t>VÁLVULA ANGULAR TIPO GLOBO 1 1/2" EN BRONCE</t>
  </si>
  <si>
    <t>MAT_CI-29</t>
  </si>
  <si>
    <t>VÁLVULA ANGULAR TIPO GLOBO 2 1/2" EN BRONCE</t>
  </si>
  <si>
    <t>MAT_CI-30</t>
  </si>
  <si>
    <t>VIDRIO ESTANDAR PARA PUERTA GABINETE ESPESOR 3 MM</t>
  </si>
  <si>
    <t>CARPINTERIA METALICA Y MADERA</t>
  </si>
  <si>
    <t>MAT_CA-01</t>
  </si>
  <si>
    <t>D. CARPINTERIA</t>
  </si>
  <si>
    <t>ACCESORIOS (ELECTROIMAN, PULSADOR, EMISOR, RECEPTOR Y FOTOCÉLULA) PARA AUTOMATIZACIÓN DE PUERTA FACHADA</t>
  </si>
  <si>
    <t>MAT_CA-02</t>
  </si>
  <si>
    <t>BRAZO HIDRAULICO PARA PUERTA</t>
  </si>
  <si>
    <t>MAT_CA-03</t>
  </si>
  <si>
    <t>EQUIPO DE MOTORIZACIÓN PARA APERTURA Y CIERRE AUTOMÁTICO, PARA PUERTA DE GARAJE CORREDERA DE HASTA 2000 KG DE PESO.</t>
  </si>
  <si>
    <t>MAT_CA-04</t>
  </si>
  <si>
    <t xml:space="preserve">KIT CERRADURA DE SEGURIDAD </t>
  </si>
  <si>
    <t>COTIZAR</t>
  </si>
  <si>
    <t>MAT_CA-05</t>
  </si>
  <si>
    <t>KIT DE BISAGRAS x 3 UND</t>
  </si>
  <si>
    <t>MAT_CA-06</t>
  </si>
  <si>
    <t>PUERTA EN LÁMINA DOBLADA CAL. 18 DE 0,70X2.10M. INCLUYE CHAPA Y MARCO DEL MISMO MATERIAL. PINTADA CON PINTURA ANTICORROSIVA Y ESMALTE DE ACABADO</t>
  </si>
  <si>
    <t>MAT_CA-07</t>
  </si>
  <si>
    <t xml:space="preserve">PUERTA EN LÁMINA DOBLADA CAL. 18 DE 0.7X2.1M, INCLUYE MARCO DEL MISMO MATERIAL, ACABADO EN PINTURA ANTICORROSIVA Y ESMALTE </t>
  </si>
  <si>
    <t>MAT_CA-08</t>
  </si>
  <si>
    <t xml:space="preserve">PUERTA ENROLLABLE DE 2.0X2.45M, ACABADO EN PINTURA ANTICORROSIVA Y ESMALTE </t>
  </si>
  <si>
    <t>MAT_CA-09</t>
  </si>
  <si>
    <t>PORTACANDADO REFORZADO</t>
  </si>
  <si>
    <t>MAT_CA-10</t>
  </si>
  <si>
    <t>VENTANA EN CELOSÍA DE ALUMINIO 2.50X0.50M, INCLUYE ANGEO</t>
  </si>
  <si>
    <t>MAT_CA-11</t>
  </si>
  <si>
    <t>PINTURAS Y ACABADOS</t>
  </si>
  <si>
    <t>MAT_P-01</t>
  </si>
  <si>
    <t>E. PINTURAS</t>
  </si>
  <si>
    <t>MAT_P-02</t>
  </si>
  <si>
    <t>MAT_P-03</t>
  </si>
  <si>
    <t>MAT_P-04</t>
  </si>
  <si>
    <t>ESTUCO ACRÍLICO INTERIOR/EXTERIOR</t>
  </si>
  <si>
    <t>CORONA</t>
  </si>
  <si>
    <t>MAT_P-05</t>
  </si>
  <si>
    <t>GRANIPLAST PREMIUM GRANIACRYL</t>
  </si>
  <si>
    <t>FERREINOX</t>
  </si>
  <si>
    <t>FERRETERIA METROPOLIS</t>
  </si>
  <si>
    <t>MAT_P-06</t>
  </si>
  <si>
    <t>MASILLA SUPERMÁSTICO 5GLN</t>
  </si>
  <si>
    <t>GLN</t>
  </si>
  <si>
    <t>MAT_P-07</t>
  </si>
  <si>
    <t>MAT_P-08</t>
  </si>
  <si>
    <t>PINTURA BASE ANTICORROSIVA WASH PRIMER 1/4 GLN. INCLUYE COMPONENTE A Y B</t>
  </si>
  <si>
    <t>MAT_P-09</t>
  </si>
  <si>
    <t>MAT_P-10</t>
  </si>
  <si>
    <t>PINTURA EPÓXICA POLIAMIDA (COMP A ) Y CATALIZADOR DE PINTURA EPOXICA POLIAMIDA (COMP B), SEGUN DOSIFICACIÓN DEL PROVEEDOR</t>
  </si>
  <si>
    <t>MAT_P-11</t>
  </si>
  <si>
    <t>MAT_P-12</t>
  </si>
  <si>
    <t>PINTURA PARA EXTERIORES</t>
  </si>
  <si>
    <t>MAT_P-13</t>
  </si>
  <si>
    <t>MAT_P-14</t>
  </si>
  <si>
    <t>PINTURA REFLECTIVA DE ALUMINIO PARA TUBERÍAS</t>
  </si>
  <si>
    <t>MAT_P-15</t>
  </si>
  <si>
    <t>MAT_P-16</t>
  </si>
  <si>
    <t>MAT_P-17</t>
  </si>
  <si>
    <t>MAT_P-18</t>
  </si>
  <si>
    <t>MAT_P-19</t>
  </si>
  <si>
    <t>MAT_P-20</t>
  </si>
  <si>
    <t>ENCHAPES</t>
  </si>
  <si>
    <t>MAT_PIS-01</t>
  </si>
  <si>
    <t>F. ENCHAPES</t>
  </si>
  <si>
    <t>MAT_PIS-02</t>
  </si>
  <si>
    <t>MAT_PIS-03</t>
  </si>
  <si>
    <t>MAT_PIS-04</t>
  </si>
  <si>
    <t>ENCHAPE PARED CERÁMICA INSTITUCIONAL 30 CM X 60 CM</t>
  </si>
  <si>
    <t>MAT_PIS-05</t>
  </si>
  <si>
    <t>ENCHAPE PISO PORCELANATO ALTO TRAFICO 30 CM X 60 CM</t>
  </si>
  <si>
    <t>MAT_PIS-06</t>
  </si>
  <si>
    <t>FONDO DE JUNTA</t>
  </si>
  <si>
    <t>MAT_PIS-07</t>
  </si>
  <si>
    <t>ARQUIGRES</t>
  </si>
  <si>
    <t>MAT_PIS-08</t>
  </si>
  <si>
    <t>PORCELANATO RECTIFICADO WEST ARD PRO COLORES GRIS CLARO, OSCURO O HIELO DE CARAS DIFERENCIADAS DE 60X60 CM O SIMILAR PARA PISO ALTO TRAFICO</t>
  </si>
  <si>
    <t>MAT_PIS-09</t>
  </si>
  <si>
    <t xml:space="preserve">PISO PORCELANATO PECAN DE 23.3X120 CM DE COLOR BEIGE PARA USO COMERCIAL </t>
  </si>
  <si>
    <t>MAT_PIS-11</t>
  </si>
  <si>
    <t>SELLADOR DE POLIURETANO AUTONIVELANTE X300ML</t>
  </si>
  <si>
    <t>MAT_PIS-12</t>
  </si>
  <si>
    <t>TABLON ROJO EN GRES</t>
  </si>
  <si>
    <t>DIVISIONES, PUERTAS, VIDRIOS VENTANAS</t>
  </si>
  <si>
    <t>MAT_V-01</t>
  </si>
  <si>
    <t>G. DIV, PUERTAS Y VENTANAS</t>
  </si>
  <si>
    <t>ANGULO 30 X 20 X 0.38MM 2.44M</t>
  </si>
  <si>
    <t>MAT_V-02</t>
  </si>
  <si>
    <t>CELOSÍA EN ALUMINIO</t>
  </si>
  <si>
    <t>MAT_V-03</t>
  </si>
  <si>
    <t>DIVISIÓN BAÑO ACERO INOXIDABLE (INCLUYE ACCESORIOS PASADORES Y PUERTAS)</t>
  </si>
  <si>
    <t>MAT_V-04</t>
  </si>
  <si>
    <t xml:space="preserve">ESPEJO 4mm </t>
  </si>
  <si>
    <t>MAT_V-05</t>
  </si>
  <si>
    <t>PUERTA METALICA BATIENTE CORTAFUEGOS. INCLUYE BARRA ANTIPANICO, BISAGRAS, GATO HIDRAULICO Y TODOS LOS ACCESORIOS</t>
  </si>
  <si>
    <t>TIENDA DEL ARQUITECTO</t>
  </si>
  <si>
    <t>DOORTEC</t>
  </si>
  <si>
    <t>MAT_V-06</t>
  </si>
  <si>
    <t>PUERTA EN ALUMINIO (INCLUYE ACCESORIOS PASADORES Y PUERTAS)</t>
  </si>
  <si>
    <t>ARQUIDISEÑOS VJ SAS</t>
  </si>
  <si>
    <t>MAT_V-07</t>
  </si>
  <si>
    <t>VENTANA EN ALUMINIO REF. 744 CON VIDRIO LAMINADO DE 3MM + 3MM INCOLORO (INCLUYE CORREDERAS Y FIJOS), RODAMIENTOS EN NYLON, CIERRE DUMMY SENCILLO</t>
  </si>
  <si>
    <t>MAT_V-08</t>
  </si>
  <si>
    <t>VIDRIO TEMPLADO 10 MM. INCLUYE ACCESORIOS EN ACCESORIO INOXIDABLE</t>
  </si>
  <si>
    <t>MATERIALES ESPECIALES Y EPOXICOS</t>
  </si>
  <si>
    <t>MAT_EPYE-01</t>
  </si>
  <si>
    <t>H. EPOXICOS Y ESPECIALES</t>
  </si>
  <si>
    <t>MAT_EPYE-02</t>
  </si>
  <si>
    <t>MAT_EPYE-03</t>
  </si>
  <si>
    <t>ADHESIVO EPÓXICO PARA ANCLAJE DE PERNOS Y BARRAS X300ML</t>
  </si>
  <si>
    <t>MAT_EPYE-04</t>
  </si>
  <si>
    <t>BALAS DE CLORO</t>
  </si>
  <si>
    <t>U/68KG</t>
  </si>
  <si>
    <t>MAT_EPYE-05</t>
  </si>
  <si>
    <t>FRASCO LAVADOR DE 250 CC</t>
  </si>
  <si>
    <t>MAT_EPYE-06</t>
  </si>
  <si>
    <t>GEOTEXTIL NT 2500 O EQUIVALENTE</t>
  </si>
  <si>
    <t>FF SOLUCIONES S.A.</t>
  </si>
  <si>
    <t>MAT_EPYE-07</t>
  </si>
  <si>
    <t xml:space="preserve">GEOTEXTIL NT 1600 </t>
  </si>
  <si>
    <t>MAT_EPYE-08</t>
  </si>
  <si>
    <t>GEODRENES NODULARES (HDPE)</t>
  </si>
  <si>
    <t>LAMIDREN</t>
  </si>
  <si>
    <t>MAT_EPYE-09</t>
  </si>
  <si>
    <t>IMPERMEABILIZANTE ACRÍLICO</t>
  </si>
  <si>
    <t>MAT_EPYE-10</t>
  </si>
  <si>
    <t>TELA DE REFUERZO DE POLIPROPILENO CONTINUO</t>
  </si>
  <si>
    <t>MAT_EPYE-11</t>
  </si>
  <si>
    <t>RECUBRIMIENTO EPÓXICO BICOMPONENTE SIKAGARD-62 O SIMILAR</t>
  </si>
  <si>
    <t>MAT_EPYE-12</t>
  </si>
  <si>
    <t>SELLADOR DE POLIURETANO X300ML</t>
  </si>
  <si>
    <t>CC</t>
  </si>
  <si>
    <t>MAT_EPYE-13</t>
  </si>
  <si>
    <t>SODA CAUSTICA</t>
  </si>
  <si>
    <t>MAT_EPYE-14</t>
  </si>
  <si>
    <t>SOLUCION ASFALTICA</t>
  </si>
  <si>
    <t>FERREWEB</t>
  </si>
  <si>
    <t>MAT_EPYE-15</t>
  </si>
  <si>
    <t>SULFATO DE ALUMINIO TIPO B</t>
  </si>
  <si>
    <t>MAT_EPYE-16</t>
  </si>
  <si>
    <t>MAT_EPYE-17</t>
  </si>
  <si>
    <t>MAT_EPYE-18</t>
  </si>
  <si>
    <t>MAT_EPYE-19</t>
  </si>
  <si>
    <t>MAT_EPYE-20</t>
  </si>
  <si>
    <t>MOBILIARIOS</t>
  </si>
  <si>
    <t>I. MOBILIARIO</t>
  </si>
  <si>
    <t>LOCKER 9 PUESTOS EN LÁMINA  CR, CON REJILLAS DE VENTILACIÓN  Y PORTACANDADO</t>
  </si>
  <si>
    <t>MESA DE ESCRITORIO, BASE METÁLICA Y TABLÓN EN AGLOMERADO DE MADERA</t>
  </si>
  <si>
    <t>SILLA ERGONÓMICA PARA ESCRITORIO</t>
  </si>
  <si>
    <t>VARIOS</t>
  </si>
  <si>
    <t>MAT_CON-01</t>
  </si>
  <si>
    <t>J. CONSUMIBLE</t>
  </si>
  <si>
    <t>MAT_CON-02</t>
  </si>
  <si>
    <t>DISCO ABRASIVO CORTE METAL 7" X 1/8"</t>
  </si>
  <si>
    <t>MAT_CON-03</t>
  </si>
  <si>
    <t>DISCO DIAMANTADO SEGMENTADO  4 1/2"</t>
  </si>
  <si>
    <t>MAT_CON-04</t>
  </si>
  <si>
    <t>DISCO DIAMANTADO SEGMENTADO 7"</t>
  </si>
  <si>
    <t>MAT_CON-05</t>
  </si>
  <si>
    <t>DISCO DIAMANTADO  4 1/2"</t>
  </si>
  <si>
    <t>MAT_CON-06</t>
  </si>
  <si>
    <t>DISCO DIAMANTADO 7"</t>
  </si>
  <si>
    <t>MAT_CON-07</t>
  </si>
  <si>
    <t>DISCO DE DEBASTE METAL 7"</t>
  </si>
  <si>
    <t xml:space="preserve">DISCO PULIR METAL INOX. 7"X1/4X7/8      </t>
  </si>
  <si>
    <t>MAT_CON-08</t>
  </si>
  <si>
    <t>TERPEL</t>
  </si>
  <si>
    <t>MAT_CON-09</t>
  </si>
  <si>
    <t>MAT_CON-10</t>
  </si>
  <si>
    <t>MAT_CON-11</t>
  </si>
  <si>
    <t>GRATA METALICA DE ALAMBRE ONDULADO</t>
  </si>
  <si>
    <t>MAT_CON-12</t>
  </si>
  <si>
    <t>GRATA DE COPA ALAMBRE GRUESO</t>
  </si>
  <si>
    <t>MAT_CON-13</t>
  </si>
  <si>
    <t>BROCA 1/2"</t>
  </si>
  <si>
    <t>MAT_CON-14</t>
  </si>
  <si>
    <t>TORNILLO AVELLANADO 1,5"</t>
  </si>
  <si>
    <t>MAT_CON-15</t>
  </si>
  <si>
    <t>PROTECTOR PROFILAN</t>
  </si>
  <si>
    <t>MAT_CON-16</t>
  </si>
  <si>
    <t>MASILLA PARA MADREA + SELLADOR</t>
  </si>
  <si>
    <t>BAÑOS Y COCINA</t>
  </si>
  <si>
    <t>MAT_CB-01</t>
  </si>
  <si>
    <t>K. BAÑOS Y COCINAS</t>
  </si>
  <si>
    <t>ACOPLE PARA SANITARIO DE 40CM PLASTICA</t>
  </si>
  <si>
    <t>MAT_CB-02</t>
  </si>
  <si>
    <t>BARRAS ABATIBLE VERTICAL DE 600 A 800MM. INCLUYE ACCESORIOS PARA INSTALACIÓN</t>
  </si>
  <si>
    <t>MAT_CB-03</t>
  </si>
  <si>
    <t xml:space="preserve">BARRAS PARA INSTALACIÓN EN MAMPOSTERIA DE LAVAMANOS AQUAJET O SIMILAR </t>
  </si>
  <si>
    <t>MAT_CB-04</t>
  </si>
  <si>
    <t>BARRAS RECTA DE 18 PULGADAS</t>
  </si>
  <si>
    <t>MAT_CB-05</t>
  </si>
  <si>
    <t>MAT_CB-06</t>
  </si>
  <si>
    <t>GRIFERIA PUSH DE SOBREPONER</t>
  </si>
  <si>
    <t>MAT_CB-07</t>
  </si>
  <si>
    <t>LAVAMANOS AQUAJET O SIMILAR PARA ESPACIO SEGURO</t>
  </si>
  <si>
    <t>MAT_CB-08</t>
  </si>
  <si>
    <t xml:space="preserve">LAVAMANOS DE INSCRUTAR </t>
  </si>
  <si>
    <t>MAT_CB-09</t>
  </si>
  <si>
    <t>LLAVE TIPO JARDIN SATINADA 1/2"</t>
  </si>
  <si>
    <t>MAT_CB-10</t>
  </si>
  <si>
    <t>ORINAL CON GRIFERIA TRADICIONAL</t>
  </si>
  <si>
    <t>MAT_CB-11</t>
  </si>
  <si>
    <t>REGULACIÓN PLÁSTICA</t>
  </si>
  <si>
    <t>MAT_CB-12</t>
  </si>
  <si>
    <t>SANITARIO AQUAJET PRO O SIMILAR PARA ESPACIO SEGURO</t>
  </si>
  <si>
    <t>MAT_CB-13</t>
  </si>
  <si>
    <t>SANITARIO REDONDO ALUVIA PLUS O SIMILAR COLOR BLANCO</t>
  </si>
  <si>
    <t>MAT_CB-14</t>
  </si>
  <si>
    <t>SIFON BOTELLA</t>
  </si>
  <si>
    <t>MAT_CB-15</t>
  </si>
  <si>
    <t>TAPA REGISTRO 20X20 CM</t>
  </si>
  <si>
    <t>MAT_CB-18</t>
  </si>
  <si>
    <t>MAT_CB-19</t>
  </si>
  <si>
    <t>MATERIALES ELECTRICOS</t>
  </si>
  <si>
    <t>MAT_ELE-01</t>
  </si>
  <si>
    <t>M. ELECTRICOS</t>
  </si>
  <si>
    <t>BORNA TERMINAL PARA CABLE #1/0 CU</t>
  </si>
  <si>
    <t xml:space="preserve">Inter eletricas </t>
  </si>
  <si>
    <t>MAT_ELE-02</t>
  </si>
  <si>
    <t>MAT_ELE-03</t>
  </si>
  <si>
    <t xml:space="preserve">TUBO IMC DE 2" POR 3 METROS </t>
  </si>
  <si>
    <t>MAT_ELE-04</t>
  </si>
  <si>
    <t>CAPACETE IMC DE 2"</t>
  </si>
  <si>
    <t>MAT_ELE-05</t>
  </si>
  <si>
    <t>CINTA BANDIT 3/4"</t>
  </si>
  <si>
    <t>MAT_ELE-06</t>
  </si>
  <si>
    <t>HEBILLA DE CINTA BANDIT  DE 3/4"</t>
  </si>
  <si>
    <t>MAT_ELE-07</t>
  </si>
  <si>
    <t>CURVA DE 2" PVC DB</t>
  </si>
  <si>
    <t>MAT_ELE-08</t>
  </si>
  <si>
    <t xml:space="preserve">TUBO PVC DE 2" DB POR 3 METROS </t>
  </si>
  <si>
    <t>MAT_ELE-09</t>
  </si>
  <si>
    <t xml:space="preserve">SOLDADURA PVC  </t>
  </si>
  <si>
    <t>Galon</t>
  </si>
  <si>
    <t>MAT_ELE-10</t>
  </si>
  <si>
    <t xml:space="preserve">CINTA DE RIESGO PARA RED ELÉCTRICA SUBTERRÁNEA </t>
  </si>
  <si>
    <t>Ml</t>
  </si>
  <si>
    <t>MAT_ELE-11</t>
  </si>
  <si>
    <t xml:space="preserve">GABINETE PARA MEDIDOR TRIFÁSICO DE MEDIDA DIRECTA </t>
  </si>
  <si>
    <t>MAT_ELE-12</t>
  </si>
  <si>
    <t>MEDIDOR TRIFÁSICO BIDIRECCIONAL MEDIDA DIRECTA CLASE 1</t>
  </si>
  <si>
    <t>Ineldec</t>
  </si>
  <si>
    <t>MAT_ELE-13</t>
  </si>
  <si>
    <t>BREAKER 3*100A 25 KA</t>
  </si>
  <si>
    <t>MAT_ELE-14</t>
  </si>
  <si>
    <t xml:space="preserve">TERMINA DE 2" PVC </t>
  </si>
  <si>
    <t>MAT_ELE-15</t>
  </si>
  <si>
    <t xml:space="preserve">TERMINAL DE 3/4" PVC </t>
  </si>
  <si>
    <t>MAT_ELE-16</t>
  </si>
  <si>
    <t xml:space="preserve">TERMINAL DE 1" PVC </t>
  </si>
  <si>
    <t>MAT_ELE-17</t>
  </si>
  <si>
    <t xml:space="preserve">GABINETE DE MEDIDA SEMIDIRECTA. </t>
  </si>
  <si>
    <t>MAT_ELE-18</t>
  </si>
  <si>
    <t>MEDIDOR DE MEDIDA SEMIDIRECTA CLASE 0,5 S</t>
  </si>
  <si>
    <t>MAT_ELE-19</t>
  </si>
  <si>
    <t>CT DE 100/5 CLASE 0,5S  220V</t>
  </si>
  <si>
    <t>MAT_ELE-20</t>
  </si>
  <si>
    <t xml:space="preserve">BORNERA DE PRUEBA PARA TRES ELEMENTOS </t>
  </si>
  <si>
    <t>MAT_ELE-21</t>
  </si>
  <si>
    <t xml:space="preserve">LADRILO TEMOSA </t>
  </si>
  <si>
    <t>Homcenter</t>
  </si>
  <si>
    <t>MAT_ELE-22</t>
  </si>
  <si>
    <t>LADRILLO LIMPIO</t>
  </si>
  <si>
    <t>MAT_ELE-23</t>
  </si>
  <si>
    <t>MARCO PARA CAJA DE PISO NORMA RS3-002</t>
  </si>
  <si>
    <t>MAT_ELE-24</t>
  </si>
  <si>
    <t xml:space="preserve">CABLE #1/0 CU THWN </t>
  </si>
  <si>
    <t>MAT_ELE-25</t>
  </si>
  <si>
    <t xml:space="preserve">CABLE #6 CU THWN </t>
  </si>
  <si>
    <t>MAT_ELE-26</t>
  </si>
  <si>
    <t xml:space="preserve">BORNA TERMINAL BIMETALICA PARA CABLE #2/0 AL </t>
  </si>
  <si>
    <t>MAT_ELE-27</t>
  </si>
  <si>
    <t>CABLE #2/0 AL SERIE 8000 THWN</t>
  </si>
  <si>
    <t>MAT_ELE-28</t>
  </si>
  <si>
    <t xml:space="preserve">TRANSFERENCIA DE 100A, DOS PROTECCIONES DE 100A, DOS DE 40A, Y UNA DE 30A, MAS BARRAJES Y DEMÁS ACCESORIOS. </t>
  </si>
  <si>
    <t>Tablesan</t>
  </si>
  <si>
    <t>MAT_ELE-29</t>
  </si>
  <si>
    <t xml:space="preserve">BORNA TERMINAL PARA CABLE #8 CU </t>
  </si>
  <si>
    <t>MAT_ELE-30</t>
  </si>
  <si>
    <t>CABLE #1/0 CU DESNUDO</t>
  </si>
  <si>
    <t>MAT_ELE-31</t>
  </si>
  <si>
    <t xml:space="preserve">SOLDADURA EXOTERMICA 115 </t>
  </si>
  <si>
    <t>MAT_ELE-32</t>
  </si>
  <si>
    <t xml:space="preserve">CAJA DE PISO PARA TIERRA DE 30*30 CM LIBRES </t>
  </si>
  <si>
    <t>MAT_ELE-33</t>
  </si>
  <si>
    <t xml:space="preserve">VARILLA DE 3/8"*2,4 CU MACIZA </t>
  </si>
  <si>
    <t>MAT_ELE-34</t>
  </si>
  <si>
    <t xml:space="preserve">CONECTOR PARA VARILLA DE TIERRA CERTIFICADO </t>
  </si>
  <si>
    <t xml:space="preserve">Nacional de electricos </t>
  </si>
  <si>
    <t>MAT_ELE-35</t>
  </si>
  <si>
    <t xml:space="preserve">PLANTA ELECTRICA DE 50 KVA TRIFASICA 220V </t>
  </si>
  <si>
    <t>MAT_ELE-36</t>
  </si>
  <si>
    <t xml:space="preserve">TRANSFERENCIA AUTOMÁTICA PARA BOMBA CONTRA INCENDIOS DE 100A. </t>
  </si>
  <si>
    <t>MAT_ELE-37</t>
  </si>
  <si>
    <t xml:space="preserve">BANDEJA TIPO MALLA DE 20CM*3M*0,05M </t>
  </si>
  <si>
    <t>MAT_ELE-38</t>
  </si>
  <si>
    <t xml:space="preserve">VARILLA ROSCADA DE 1/4" POR 3 METROS </t>
  </si>
  <si>
    <t>MAT_ELE-39</t>
  </si>
  <si>
    <t>RIEL CHANNEL 4X4 X 3 00 MTS TROQUELADO CALIBRE 16</t>
  </si>
  <si>
    <t>MAT_ELE-40</t>
  </si>
  <si>
    <t>TUERCA DE 1/4"</t>
  </si>
  <si>
    <t>MAT_ELE-41</t>
  </si>
  <si>
    <t>ARANDELA DE 1/4"</t>
  </si>
  <si>
    <t>MAT_ELE-42</t>
  </si>
  <si>
    <t xml:space="preserve">UNION CABLOFIL RAPIDA </t>
  </si>
  <si>
    <t>MAT_ELE-43</t>
  </si>
  <si>
    <t>Edelco</t>
  </si>
  <si>
    <t>MAT_ELE-44</t>
  </si>
  <si>
    <t>CABLE #8 CU LSHF</t>
  </si>
  <si>
    <t>MAT_ELE-45</t>
  </si>
  <si>
    <t>TUBO PVC DE 1" DB</t>
  </si>
  <si>
    <t>MAT_ELE-46</t>
  </si>
  <si>
    <t xml:space="preserve">CAJA METALICA DE 20*20 CM </t>
  </si>
  <si>
    <t>MAT_ELE-47</t>
  </si>
  <si>
    <t>TUBO EMT DE 3/4" POR 3M</t>
  </si>
  <si>
    <t>MAT_ELE-48</t>
  </si>
  <si>
    <t>ABRAZADERA GALVANIZADA DE 3/4"</t>
  </si>
  <si>
    <t>MAT_ELE-49</t>
  </si>
  <si>
    <t>CHAZO DOBLE ALETA 1/4  CON TORNILLO 8 X1"</t>
  </si>
  <si>
    <t>MAT_ELE-50</t>
  </si>
  <si>
    <t>MAT_ELE-51</t>
  </si>
  <si>
    <t>CABLE #12 CU LSHF</t>
  </si>
  <si>
    <t>MAT_ELE-52</t>
  </si>
  <si>
    <t xml:space="preserve">TUBO PVC CONDUIT DE 3/4" POR 3 METROS </t>
  </si>
  <si>
    <t>MAT_ELE-53</t>
  </si>
  <si>
    <t>TABLERO TRIFÁSICO DE 24 CIRCUITOS ENCHUFABLES CON ESPACIO PARA TOTALIZADOR</t>
  </si>
  <si>
    <t>MAT_ELE-54</t>
  </si>
  <si>
    <t>TERMINAL PVC DE 3/4"</t>
  </si>
  <si>
    <t>MAT_ELE-55</t>
  </si>
  <si>
    <t>MAT_ELE-56</t>
  </si>
  <si>
    <t>BREAKER ENCHUFABLE DSE 2*20A</t>
  </si>
  <si>
    <t>MAT_ELE-57</t>
  </si>
  <si>
    <t>BREAKER ENCHUFABLE DSE 2*30A</t>
  </si>
  <si>
    <t>MAT_ELE-58</t>
  </si>
  <si>
    <t>BREAKER INDUSTRIAL DE 3*40A DE 25 KA</t>
  </si>
  <si>
    <t>MAT_ELE-59</t>
  </si>
  <si>
    <t xml:space="preserve">PANEL LED DE SOBRE PONER DE 30 W  SEGÚN ESPECIFICACIONES DE DISEÑO DE ILUMINACIÓN </t>
  </si>
  <si>
    <t>MAT_ELE-60</t>
  </si>
  <si>
    <t xml:space="preserve">CAJA CUADRADA GALVANIZADA. </t>
  </si>
  <si>
    <t>MAT_ELE-61</t>
  </si>
  <si>
    <t>TAPA CIEGA CUADRA GALVANIZADA</t>
  </si>
  <si>
    <t>Ferreteria Metropolis</t>
  </si>
  <si>
    <t>MAT_ELE-62</t>
  </si>
  <si>
    <t>PRENSA ESTOPA</t>
  </si>
  <si>
    <t>MAT_ELE-63</t>
  </si>
  <si>
    <t>MAT_ELE-64</t>
  </si>
  <si>
    <t>MAT_ELE-65</t>
  </si>
  <si>
    <t xml:space="preserve">PANEL LED DE SOBRE PONER DE 18 W  SEGÚN ESPECIFICACIONES DE DISEÑO DE ILUMINACIÓN </t>
  </si>
  <si>
    <t>MAT_ELE-66</t>
  </si>
  <si>
    <t xml:space="preserve"> LUMINARIA LED MINICONTINUUM DE 80W</t>
  </si>
  <si>
    <t>Maelectricos</t>
  </si>
  <si>
    <t>MAT_ELE-67</t>
  </si>
  <si>
    <t>LUMINARIA FTL-LED/007/30/N HEREDA</t>
  </si>
  <si>
    <t>MAT_ELE-68</t>
  </si>
  <si>
    <t xml:space="preserve">CAJA CUADRADA PVC </t>
  </si>
  <si>
    <t>MAT_ELE-69</t>
  </si>
  <si>
    <t>LUMINARIA LED EMERGENCIA APLIQUE 4W RECTANGULAR</t>
  </si>
  <si>
    <t>MAT_ELE-70</t>
  </si>
  <si>
    <t>MAT_ELE-71</t>
  </si>
  <si>
    <t>Easy</t>
  </si>
  <si>
    <t>MAT_ELE-72</t>
  </si>
  <si>
    <t xml:space="preserve">SUPLEMENTO PARA CAJA CUADRADA </t>
  </si>
  <si>
    <t>MAT_ELE-73</t>
  </si>
  <si>
    <t>TOMACORRIENTE DOBLE GFCI 15 A 120V</t>
  </si>
  <si>
    <t xml:space="preserve">Redes electricas </t>
  </si>
  <si>
    <t>MAT_ELE-74</t>
  </si>
  <si>
    <t>TOMACORRIENTE DE PISO DOBLE 15 A 125V</t>
  </si>
  <si>
    <t>MAT_ELE-75</t>
  </si>
  <si>
    <t>CABLE #10 CU LSHF</t>
  </si>
  <si>
    <t>MAT_ELE-76</t>
  </si>
  <si>
    <t>MAT_ELE-77</t>
  </si>
  <si>
    <t>INTERUPTOR DOBLE</t>
  </si>
  <si>
    <t>MAT_ELE-78</t>
  </si>
  <si>
    <t xml:space="preserve">INTERRUPTOR TRIPLE </t>
  </si>
  <si>
    <t>MAT_ELE-79</t>
  </si>
  <si>
    <t xml:space="preserve">SENSOR DE MOVIMIENTO DE ILUMINACIÓN </t>
  </si>
  <si>
    <t>MAT_ELE-80</t>
  </si>
  <si>
    <t xml:space="preserve">FACEPLATE SENCILLO </t>
  </si>
  <si>
    <t>MAT_ELE-81</t>
  </si>
  <si>
    <t>JACK RJ45 CATEGORIA 6A</t>
  </si>
  <si>
    <t>MAT_ELE-82</t>
  </si>
  <si>
    <t>CABLE UTP CATEGORIA 6A</t>
  </si>
  <si>
    <t>MAT_ELE-83</t>
  </si>
  <si>
    <t>GABINETES DE PISO 40U | ANCHO: 710 MM • FONDO: 810 MM</t>
  </si>
  <si>
    <t>DAGA</t>
  </si>
  <si>
    <t>MAT_ELE-84</t>
  </si>
  <si>
    <t>PATCH PANEL CAT 6A DE 24 PUERTOS DE PLÁSTICO CON HERRAJES</t>
  </si>
  <si>
    <t>MAT_ELE-85</t>
  </si>
  <si>
    <t>SWITCH ADMINISTRABLE DE 24 PUERTOS TL-SG3428 TP-LINK</t>
  </si>
  <si>
    <t>MAT_ELE-86</t>
  </si>
  <si>
    <t>PATCH CORD DE 1M CATEGORIA 6A</t>
  </si>
  <si>
    <t>MAT_ELE-87</t>
  </si>
  <si>
    <t>DETECTOR DE HUMO FOTOELÉCTRICO DIRECCIONABLE D7050</t>
  </si>
  <si>
    <t>SH ingeniería</t>
  </si>
  <si>
    <t>MAT_ELE-88</t>
  </si>
  <si>
    <t>MM-100SATK ESTACIÓN MANUAL: ACCIÓN SENCILLA – CONVENCIONAL | BOSCH</t>
  </si>
  <si>
    <t>MAT_ELE-89</t>
  </si>
  <si>
    <t>HSR SIRENA CON ESTROBO PARA PARED: CONVENCIONAL | BOSCH</t>
  </si>
  <si>
    <t>MAT_ELE-90</t>
  </si>
  <si>
    <t>CABLE FPLR 2X16 AWG APANTALLADO</t>
  </si>
  <si>
    <t>MAT_ELE-91</t>
  </si>
  <si>
    <t>PANEL DE INCENDIO CONVENCIONAL FPD-7024</t>
  </si>
  <si>
    <t>SSL Colombia</t>
  </si>
  <si>
    <t>MAT_ELE-92</t>
  </si>
  <si>
    <t xml:space="preserve">INTER eletricas </t>
  </si>
  <si>
    <t>MAT_ELE-93</t>
  </si>
  <si>
    <t>CAJA RECTANGULAR</t>
  </si>
  <si>
    <t>MAT_ELE-94</t>
  </si>
  <si>
    <t>MAT_ELE-95</t>
  </si>
  <si>
    <t>TUBO EMT DE 1/2  POR 3M</t>
  </si>
  <si>
    <t>MAT_ELE-96</t>
  </si>
  <si>
    <t>MAT_ELE-97</t>
  </si>
  <si>
    <t>CONECTOR RESORTE ROJO/AMARILLO 18-8AWG</t>
  </si>
  <si>
    <t>MAT_ELE-98</t>
  </si>
  <si>
    <t>MAT_ELE-99</t>
  </si>
  <si>
    <t>MAT_ELE-100</t>
  </si>
  <si>
    <t>MAT_ELE-101</t>
  </si>
  <si>
    <t>MUROS Y CIELOS RASOS</t>
  </si>
  <si>
    <t>MAT_MC-01</t>
  </si>
  <si>
    <t>M. MUROS Y CIELOS RASOS</t>
  </si>
  <si>
    <t>ÁNGULO CAL.26 LÁMINA GALV. 2.44 M</t>
  </si>
  <si>
    <t>ADL</t>
  </si>
  <si>
    <t>MAT_MC-02</t>
  </si>
  <si>
    <t>CANAL B 9X2.44 CAL. 26</t>
  </si>
  <si>
    <t>MAT_MC-03</t>
  </si>
  <si>
    <t xml:space="preserve">CANAL 92 MM CAL. 20 </t>
  </si>
  <si>
    <t>MAT_MC-04</t>
  </si>
  <si>
    <t>CARGA FULMINANTE FUERTE + CLAVO 5/16" B. VEL. 1"</t>
  </si>
  <si>
    <t>MAT_MC-05</t>
  </si>
  <si>
    <t>CHAZO PLÁSTICO 1/4"</t>
  </si>
  <si>
    <t>MAT_MC-06</t>
  </si>
  <si>
    <t>CIELO RASO DE PVC e=7mm</t>
  </si>
  <si>
    <t>MAT_MC-07</t>
  </si>
  <si>
    <t>CINTA DE PAPEL SUPERCINTA 250</t>
  </si>
  <si>
    <t>MAT_MC-08</t>
  </si>
  <si>
    <t xml:space="preserve">CINTA EN FIBRA DE VIDRIO DE 50 MM, 90M </t>
  </si>
  <si>
    <t>MAT_MC-09</t>
  </si>
  <si>
    <t>LÁMINA DRYWALL 1/2" SUPERPLACA 1.22X2.44</t>
  </si>
  <si>
    <t>MAT_MC-10</t>
  </si>
  <si>
    <t>LÁMINA SUPERBOARD 8MM</t>
  </si>
  <si>
    <t>MAT_MC-11</t>
  </si>
  <si>
    <t>LÁMINA DRYWALL 1/2" SUPERPLACA</t>
  </si>
  <si>
    <t>MAT_MC-12</t>
  </si>
  <si>
    <t>PARAL B 9X2.44 CAL. 26</t>
  </si>
  <si>
    <t>MAT_MC-13</t>
  </si>
  <si>
    <t xml:space="preserve">PARAL 92 MM CAL. 26 </t>
  </si>
  <si>
    <t>MAT_MC-14</t>
  </si>
  <si>
    <t>PERFIL OMEGA METÁLICO 63 MM X 3,05 M</t>
  </si>
  <si>
    <t>MAT_MC-15</t>
  </si>
  <si>
    <t>PERNO 1/2" ALT. VEL. 1 3/4"</t>
  </si>
  <si>
    <t>MAT_MC-16</t>
  </si>
  <si>
    <t>TORNILLO 7 X 7/16</t>
  </si>
  <si>
    <t>MAT_MC-17</t>
  </si>
  <si>
    <t>TORNILLO GRABER 6X1"</t>
  </si>
  <si>
    <t>MAT_MC-18</t>
  </si>
  <si>
    <t xml:space="preserve">TORNILLO CABEZA EXTRAPLANA 8 X 1/2" </t>
  </si>
  <si>
    <t>MAT_MC-19</t>
  </si>
  <si>
    <t>MAT_MC-20</t>
  </si>
  <si>
    <t>SISTEMA DE FACHADA EN LAMINA COMPACTA HPL MICROPERFORADA, RESISTENTE A LOS RAYOS UV Y ANTIGRAFFITTI. INCLUYE TRANSPORTE, ESTRUCTURA Y TODOS LOS ELEMENTOS PARA SU CORRECTA INSTALACIÓN.</t>
  </si>
  <si>
    <t>VENTANAR</t>
  </si>
  <si>
    <t>EQUIPOS</t>
  </si>
  <si>
    <t>MAT-EQ-01</t>
  </si>
  <si>
    <t>N. EQUIPOS</t>
  </si>
  <si>
    <t>ELECTROBOMBA PARA RED HIDRAULICA DE 1 HP</t>
  </si>
  <si>
    <t>MAT-EQ-02</t>
  </si>
  <si>
    <t>ELECTROBOMBA PARA RED CONTRAINCENDIO DE 10 HP TRIFASICA</t>
  </si>
  <si>
    <t>BOMBEO</t>
  </si>
  <si>
    <t>CONCRETOS Y MORTEROS: SUBANÁLISIS</t>
  </si>
  <si>
    <t xml:space="preserve">INSUMOS CALCULADOS DE SUBANÁLISIS (SUB.APU)
</t>
  </si>
  <si>
    <t>S.A-01</t>
  </si>
  <si>
    <t>COSTO DIRECTO</t>
  </si>
  <si>
    <t>S.A-02</t>
  </si>
  <si>
    <t>S.A-03</t>
  </si>
  <si>
    <t>MORTERO 1:2 PREPARADO EN OBRA</t>
  </si>
  <si>
    <t>S.A-04</t>
  </si>
  <si>
    <t>S.A-05</t>
  </si>
  <si>
    <t>S.A-06</t>
  </si>
  <si>
    <t>S.A-07</t>
  </si>
  <si>
    <t>S.A-08</t>
  </si>
  <si>
    <t>S.A-09</t>
  </si>
  <si>
    <t>S.A-10</t>
  </si>
  <si>
    <t>S.A-11</t>
  </si>
  <si>
    <t>S.A-12</t>
  </si>
  <si>
    <t>S.A-13</t>
  </si>
  <si>
    <t>S.A-14</t>
  </si>
  <si>
    <t>MEMORIA DE CÁLCULO DE CANTIDADES</t>
  </si>
  <si>
    <t>No. CONTRATO</t>
  </si>
  <si>
    <t>ELABORÓ</t>
  </si>
  <si>
    <t>FECHA:</t>
  </si>
  <si>
    <t>CONTRATISTA</t>
  </si>
  <si>
    <t>UBICACIÓN</t>
  </si>
  <si>
    <t>ITEM</t>
  </si>
  <si>
    <t>LOCALIZACIÓN / ESQUEMA</t>
  </si>
  <si>
    <t>DIMENSIONES</t>
  </si>
  <si>
    <t>TOTAL</t>
  </si>
  <si>
    <t>Base [m]</t>
  </si>
  <si>
    <t>Long. [m]</t>
  </si>
  <si>
    <t>Profund [m]</t>
  </si>
  <si>
    <t xml:space="preserve">SUBTOTAL </t>
  </si>
  <si>
    <t>DESPERDICIO</t>
  </si>
  <si>
    <t>CANTIDAD TOTAL ACUMULADA</t>
  </si>
  <si>
    <t>OBSERVACIONES:</t>
  </si>
  <si>
    <t>_________________________</t>
  </si>
  <si>
    <t>Consultor</t>
  </si>
  <si>
    <t>Interventoría</t>
  </si>
  <si>
    <t>Kg</t>
  </si>
  <si>
    <t>ZAPATAS</t>
  </si>
  <si>
    <t>VIGAS</t>
  </si>
  <si>
    <t>MUROS</t>
  </si>
  <si>
    <t>M3 o Ton/Km</t>
  </si>
  <si>
    <t>CRONOGRAMA DE ACTIVIDADES</t>
  </si>
  <si>
    <t>MES JUNIO 2026</t>
  </si>
  <si>
    <t>MES JULIO 2026</t>
  </si>
  <si>
    <t>MES AGOSTO 2026</t>
  </si>
  <si>
    <t>MES SEPTIEMBRE 2026</t>
  </si>
  <si>
    <t>MES OCTUBRE 2026</t>
  </si>
  <si>
    <t>MES NOVIEMBRE 2026</t>
  </si>
  <si>
    <t>SEM 22-28</t>
  </si>
  <si>
    <t>SEM 29-5 JULIO</t>
  </si>
  <si>
    <t>SEM 6-12</t>
  </si>
  <si>
    <t>SEM 13-19</t>
  </si>
  <si>
    <t>SEM 20-26</t>
  </si>
  <si>
    <t>SEM 27-2</t>
  </si>
  <si>
    <t xml:space="preserve">SEM 3-9 </t>
  </si>
  <si>
    <t>SEM 10-16</t>
  </si>
  <si>
    <t>SEM 17 - 23</t>
  </si>
  <si>
    <t>SEM 24-30</t>
  </si>
  <si>
    <t>SEM 31-6</t>
  </si>
  <si>
    <t>SEM 7-13</t>
  </si>
  <si>
    <t>SEM 14-20</t>
  </si>
  <si>
    <t>SEM 21-27</t>
  </si>
  <si>
    <t>SEM 28-4</t>
  </si>
  <si>
    <t>SEM 5-11</t>
  </si>
  <si>
    <t>SEM 12-18</t>
  </si>
  <si>
    <t>SEM 19-25</t>
  </si>
  <si>
    <t>SEM 26-1</t>
  </si>
  <si>
    <t>SEM 2-8</t>
  </si>
  <si>
    <t>SEM 8-11</t>
  </si>
  <si>
    <t>MEMORIAS DE CÁLCULO</t>
  </si>
  <si>
    <t>PROCESO</t>
  </si>
  <si>
    <t>Estudios y Diseño</t>
  </si>
  <si>
    <t>CÓDIGO</t>
  </si>
  <si>
    <t>M.C.</t>
  </si>
  <si>
    <t>FECHA EMISIÓN</t>
  </si>
  <si>
    <t>CORTE</t>
  </si>
  <si>
    <t>OBJETO DEL CONTRATO</t>
  </si>
  <si>
    <t>Obra:</t>
  </si>
  <si>
    <t>NIT O C.C.</t>
  </si>
  <si>
    <t>UNID.</t>
  </si>
  <si>
    <t>UBIC.</t>
  </si>
  <si>
    <t>DIAGRAMA/ FOTOGRAFIA/ PLANO/ ILUSTRACION</t>
  </si>
  <si>
    <t>OPERACIONES MATEMATICAS</t>
  </si>
  <si>
    <t>CANTIDADES COLUMNAS</t>
  </si>
  <si>
    <t>FORMA</t>
  </si>
  <si>
    <t>ELEMENTO</t>
  </si>
  <si>
    <t xml:space="preserve">MARCA </t>
  </si>
  <si>
    <t>DIAMETRO PULGADAS</t>
  </si>
  <si>
    <t>Nº BARRAS ELEMENTO</t>
  </si>
  <si>
    <t xml:space="preserve">Nº  ELEMENTOS </t>
  </si>
  <si>
    <t>Nº TOTAL DE BARRAS</t>
  </si>
  <si>
    <t>LONGITUD  PARCIAL (m)</t>
  </si>
  <si>
    <t>LONGITUD TOTAL (m)</t>
  </si>
  <si>
    <t>PESO TOTAL (kg)</t>
  </si>
  <si>
    <t>B</t>
  </si>
  <si>
    <t>C</t>
  </si>
  <si>
    <t>ZAPATAS ZAP T01</t>
  </si>
  <si>
    <t>REFUERZO PRINCIPAL INF L</t>
  </si>
  <si>
    <t>REFUERZO PRINCIPAL INF B</t>
  </si>
  <si>
    <t>ZAPATAS ZAP T02</t>
  </si>
  <si>
    <t>ZAPATAS ZAP T03</t>
  </si>
  <si>
    <t>MURO A</t>
  </si>
  <si>
    <t>REFUERZO PRINCIPAL MURO</t>
  </si>
  <si>
    <t>REFUERZO TRANSVERSAL MURO</t>
  </si>
  <si>
    <t>REFUERZO PRINCIPAL ELEMENTOS DE BORDE</t>
  </si>
  <si>
    <t>ESTRIBOS ELEMENTOS DE BORDE</t>
  </si>
  <si>
    <t>GANCHOS ELEMENTOS DE BORDE</t>
  </si>
  <si>
    <t>MURO C</t>
  </si>
  <si>
    <t>MURO 5</t>
  </si>
  <si>
    <t>VIGA V-001</t>
  </si>
  <si>
    <t>REFUERZO PRINCIPAL ARRIBA</t>
  </si>
  <si>
    <t>REFUERZO PRINCIPAL ABAJO</t>
  </si>
  <si>
    <t>GANCHOS</t>
  </si>
  <si>
    <t>ESTRIBOS</t>
  </si>
  <si>
    <t>VIGA V-003</t>
  </si>
  <si>
    <t>VIGA V-006</t>
  </si>
  <si>
    <t>Vo. Bo.</t>
  </si>
  <si>
    <t>AJUSTE O DESPERDICIO (%)</t>
  </si>
  <si>
    <t>CONECTOR TIPO RESORTE GRIS 14-10</t>
  </si>
  <si>
    <t xml:space="preserve">TOMA TRANSMISIÓN DE VOZ Y DATOS </t>
  </si>
  <si>
    <t>MAT_ELE-102</t>
  </si>
  <si>
    <t>MAT_ELE-103</t>
  </si>
  <si>
    <t>CANALETA METALICA 12X5CM X 2.40M CON DIVISION BLANCO CALIBRE 22 CON TAPA</t>
  </si>
  <si>
    <t>TORNILLO LÁMINA AVELLANADO</t>
  </si>
  <si>
    <t>MAT_ELE-104</t>
  </si>
  <si>
    <t>TROQUEL METÁLICO 12 X 5 ELÉCTRICO BLANCO SENCILLO</t>
  </si>
  <si>
    <t>MAT_ELE-105</t>
  </si>
  <si>
    <t>MAT_ELE-106</t>
  </si>
  <si>
    <t>MAT_ELE-107</t>
  </si>
  <si>
    <t>MAT_ELE-108</t>
  </si>
  <si>
    <t>CERRADURA SOBREPONER</t>
  </si>
  <si>
    <t>MAT_CB-16</t>
  </si>
  <si>
    <t xml:space="preserve">CONSTRUCLEANER LIMPIADOR </t>
  </si>
  <si>
    <t>BOQUILLA    STONMIX    LÁTEX GRIS 1-6MM (5KG)</t>
  </si>
  <si>
    <t>LÁMINA COLD ROLLED 1.85MM 1M X 2M</t>
  </si>
  <si>
    <t>MAT_M-30</t>
  </si>
  <si>
    <t>MAT_M-31</t>
  </si>
  <si>
    <t>MAT_M-32</t>
  </si>
  <si>
    <t xml:space="preserve">LÁMINA POLICARBONATO MACIZO 205 </t>
  </si>
  <si>
    <t>MAT_CB-17</t>
  </si>
  <si>
    <t>ASIENTO SANITARIO CIERRE LENTO</t>
  </si>
  <si>
    <t>CONECTOR SANITARIO 40 CM</t>
  </si>
  <si>
    <t>MAT_H-120</t>
  </si>
  <si>
    <t>LAVAMANOS CON PEDESTAL BLANCO</t>
  </si>
  <si>
    <t>GRIFERÍA LAVAMANOS ULTRA AHORRO</t>
  </si>
  <si>
    <t>ÁNGULO 1 X 1/8 6M A36</t>
  </si>
  <si>
    <t>PATCH CORD DE 2M CATEGORIA 6A</t>
  </si>
  <si>
    <t>GABINETE RACK 9UR</t>
  </si>
  <si>
    <t>UPS DE 3 kVA</t>
  </si>
  <si>
    <t>CABLE AISLADO NO 8 AWG COBRE HFFR LIBRE HALOGENOS</t>
  </si>
  <si>
    <t>MAT_ELE-109</t>
  </si>
  <si>
    <t>MAT_M-33</t>
  </si>
  <si>
    <t>MAT_M-34</t>
  </si>
  <si>
    <t>SALIDA DE 4" METALICA + ADPTADOR</t>
  </si>
  <si>
    <t>MAT_M-35</t>
  </si>
  <si>
    <t>TORNILLO, ANCLAJE FIJACIÓN CADA 50 CM</t>
  </si>
  <si>
    <t xml:space="preserve">ADMINISTRACION </t>
  </si>
  <si>
    <t>IVA SOBRE UTILIDAD</t>
  </si>
  <si>
    <t>VALOR TOTAL OBRA</t>
  </si>
  <si>
    <t xml:space="preserve">IVA </t>
  </si>
  <si>
    <t>VALOR TOTAL ACTIVIDADES Y/O SERVICIOS</t>
  </si>
  <si>
    <t>VALOR TOTAL CONTRATO</t>
  </si>
  <si>
    <r>
      <rPr>
        <b/>
        <sz val="11"/>
        <rFont val="Verdana"/>
        <family val="2"/>
      </rPr>
      <t>NOTA 1:</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</si>
  <si>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Verdana"/>
        <family val="2"/>
      </rPr>
      <t>NOTA 2:</t>
    </r>
    <r>
      <rPr>
        <sz val="11"/>
        <rFont val="Verdana"/>
        <family val="2"/>
      </rPr>
      <t xml:space="preserve"> El A.I.U y su discriminación deben estar en porcentaje (%). </t>
    </r>
  </si>
  <si>
    <t>IMPREVISTO</t>
  </si>
  <si>
    <t xml:space="preserve">EQUIPOS COMPLETO DE TOPOGRAFIA </t>
  </si>
  <si>
    <t>ESTACA MADERA COMUN (INCLUYE DESPERDICIO 5%)</t>
  </si>
  <si>
    <t>HILO CONSTRUCCION</t>
  </si>
  <si>
    <t>PUNTILLA 3"</t>
  </si>
  <si>
    <t>LIBRA</t>
  </si>
  <si>
    <t>PLASTICO X ROLLO 100 METROS (4M ANCHO X 100 M LARGO CALIBRE 4MM)</t>
  </si>
  <si>
    <t>CUTER O BISTURI DE CORTE</t>
  </si>
  <si>
    <t>LISTONES DE MADERA TIPO PINO DE 3" X 3,50 M ALTO</t>
  </si>
  <si>
    <t>PUNTILLA DE 3"  CON CABEZA LISA X 500 G</t>
  </si>
  <si>
    <t>DEMOLEDOR</t>
  </si>
  <si>
    <t>Formulario 1 - Propuesta económica  - Documento tipo de selección abreviada de menor cuantía - versión 1</t>
  </si>
  <si>
    <t>Versión: 1 del 21 de agosto de 2025</t>
  </si>
  <si>
    <t>FORMULARIO 1</t>
  </si>
  <si>
    <t>PROPUESTA ECONOMICA</t>
  </si>
  <si>
    <t>ITEM DE PAGO</t>
  </si>
  <si>
    <t>x</t>
  </si>
  <si>
    <t>Instalacion de plastico negro para proteger construcción</t>
  </si>
  <si>
    <t>Instalación durante la obra de cerramiento en polisombra sostenido con madera resistente apoyada en recipiente pesado no anclado al piso a una altura de 3.0 mts alrededor del juzgado separada 1,50 mts de las fachadas.</t>
  </si>
  <si>
    <t>Demolición de placa de concreto e=0,10 mts zona norte.</t>
  </si>
  <si>
    <t>Demolición de pañete en mortero comun muros norte, sur y occidente en bahareque y tapia pisada interno y externo.</t>
  </si>
  <si>
    <t>Retiro de maleza en la zona norte del juzgado.</t>
  </si>
  <si>
    <t>Desmonte de voladizo fachadas sur . Conservar teja de arcilla en lugar seguro para su reutilización</t>
  </si>
  <si>
    <t>Regata sobre muro desnudo tipo cajuela de 30 mm conservando los bordes y vertices, incluye superficie en lechada de cal apagada.</t>
  </si>
  <si>
    <t>Retiro de pintura deteriorada de puertas, ventanas y capiteles en madera ambas caras hasta dejar superficie original.</t>
  </si>
  <si>
    <t xml:space="preserve">Retiro de pañete en mal estado zonas no tradionales </t>
  </si>
  <si>
    <t xml:space="preserve">Excavación en material comun con retiro a lugar seguro de suelo costado norte </t>
  </si>
  <si>
    <t xml:space="preserve">PERFORACIONES </t>
  </si>
  <si>
    <t>Perforaciones en muro de contención de 1" según plano con instalación de geodren NT 2000 o similar.</t>
  </si>
  <si>
    <t>Perforaciones en muros de bahareque y tapia pisada con broca especial y tecnica de protección sin perdida o arrastre del material del muro con inyección de lechada tradicional.</t>
  </si>
  <si>
    <t xml:space="preserve">Relleno con material seleccionado y compactado </t>
  </si>
  <si>
    <t>Placa de concreto reforzado e=12 cm costado norte con pendiente del 2%, malla electrosoldad de 8,5 mm.</t>
  </si>
  <si>
    <t xml:space="preserve">ACABADOS </t>
  </si>
  <si>
    <t xml:space="preserve">Pintura para muros interior y exterior mezcla real apichada de cal y agua, tres manos </t>
  </si>
  <si>
    <t xml:space="preserve">Pintura para socalo de muros interior mezcla real apichada de cal, mina de color y agua, tres manos </t>
  </si>
  <si>
    <t>Suministro e instalación de fachaleta en muro fachada sur según diseño actual.</t>
  </si>
  <si>
    <t xml:space="preserve">Inmunizado, sellado y pintado de puertas, ventanas y capiteles ambas caras en madera en esmalte color habano o tabaco, incluye varillas de acero. </t>
  </si>
  <si>
    <t>Pintura vinilo tipo 1 a 3 manos muros no tradicionales</t>
  </si>
  <si>
    <t>Pintura en esmalte color marrón carpinteria metalica interior.</t>
  </si>
  <si>
    <t xml:space="preserve">Reposición pañetes en mortero no tradicional 1:4 </t>
  </si>
  <si>
    <t>Reinstalacion de acabado de piso en fachaleta en gres según diseño actual.</t>
  </si>
  <si>
    <t>Desmonte de luminarias y/o bombillos incluye desmonte de cableado, canaletas y accesorios de soporte</t>
  </si>
  <si>
    <t>Desmonte de puntos electricos incluye desmonto de cableado, canaletas, Tableros y accesorios de soporte</t>
  </si>
  <si>
    <t>Suministro  e  instalación  de persiana en  aluminio Incluye  marco</t>
  </si>
  <si>
    <r>
      <t xml:space="preserve">OTRAS ACTIVIDADES Y/O SERVICIOS REQUERIDOS </t>
    </r>
    <r>
      <rPr>
        <b/>
        <sz val="11"/>
        <color rgb="FFFF0000"/>
        <rFont val="Verdana"/>
        <family val="2"/>
      </rPr>
      <t>(SIN AIU)</t>
    </r>
  </si>
  <si>
    <t>Retiro de muebles, equipos, archivos, documentos y demas elementos no fijos del juzgado a lugar seguro previamente informado por la seccional</t>
  </si>
  <si>
    <t>Tramite y obtención de licencia de construcción ante la alcaldia de confines.</t>
  </si>
  <si>
    <t>Suministro e instalación de medidas de seguridad en movilidad tales como avisos, conos, captafaro nocturno, entre otros que garanticen la movilidad en la esquina de la carrera 6 y calle 2.</t>
  </si>
  <si>
    <t>Suministro e instalacion de Patch - Cord, Cat. 6A de 2 m</t>
  </si>
  <si>
    <t xml:space="preserve">Gabinete Rack 9ur, incluye Elementos de soporte y fijacion </t>
  </si>
  <si>
    <t xml:space="preserve">Suministro e instalacion de Ups 3 Kva Incluye cometida electrica, canalizacion  Y Todo Lo Necesario Para Su Instalacion </t>
  </si>
  <si>
    <t xml:space="preserve">IMPREVISTO
</t>
  </si>
  <si>
    <t xml:space="preserve">UTILIDAD
</t>
  </si>
  <si>
    <t>NATHALY JAIMES BARBOSA
REPRESENTANTE LEGAL</t>
  </si>
  <si>
    <t>GASOLINA CORRIENTE X GALON</t>
  </si>
  <si>
    <t>ACEITE 2T GALON</t>
  </si>
  <si>
    <t>HILO CARRETE X ROLLO</t>
  </si>
  <si>
    <t>KIT GUADAÑADOR (CARETA + BATA + CANILLERA)</t>
  </si>
  <si>
    <t>ANDAMIO CON TABLAS DE SEGURIDAD</t>
  </si>
  <si>
    <t>PULIDORA ELECTRICA 4 1/2"</t>
  </si>
  <si>
    <t>DISCO DE CORTE PARA MURO 4 1/2"</t>
  </si>
  <si>
    <t>LECHADA DE CAL APAGADA</t>
  </si>
  <si>
    <t>TALADRO INDUSTRIAL CON BROCA DE 1"</t>
  </si>
  <si>
    <t>GEODREN NT 2000 (INCLUYE DESPERDICIO 5%)</t>
  </si>
  <si>
    <t>BOMBA DE INYECCIÓN MANUAL</t>
  </si>
  <si>
    <t>TALADRO Y BROCA</t>
  </si>
  <si>
    <t>LECHADA TRADICIONAL CAL (INCLUYE DESPERDICIO 5%)</t>
  </si>
  <si>
    <t>KILO</t>
  </si>
  <si>
    <t>ANDAMIO DE SEGURIDAD</t>
  </si>
  <si>
    <t>MATERIAL DE RELLENO (INCLUYE INDICE DE COMPACTACIÓN 5%)</t>
  </si>
  <si>
    <t>RANA COMPACTADORA</t>
  </si>
  <si>
    <t>SIERRA CIRCULAR</t>
  </si>
  <si>
    <t>MADERA EN SAPAN TABLA 20X2 CM INMUNIZADA (INCLUYE DESPERDICIO 5%</t>
  </si>
  <si>
    <t>TORNILLO ROSCADO 1/2"</t>
  </si>
  <si>
    <t>TUERCA</t>
  </si>
  <si>
    <t>L</t>
  </si>
  <si>
    <t>MADERA PARA ALARGADO - INMUNIZADA (INCLUYE DESPERDICIO 5%) MEDIDAS DE 2" X 4"</t>
  </si>
  <si>
    <t>MANTO ASFALTICO (INCLUYE DESPERDICIO 5%)</t>
  </si>
  <si>
    <t>MORTERO DE PEGA</t>
  </si>
  <si>
    <t>MALLA ZARANDA METALICA (INCLUYE DESPERDICIO 5%)</t>
  </si>
  <si>
    <t xml:space="preserve">PUNTILLA 2"                       </t>
  </si>
  <si>
    <t>REVOQUE EN CAL + ARENILLA (INCLUYE DESPERDICIO 5%)</t>
  </si>
  <si>
    <t>VIBRADOR DE CONCRETO</t>
  </si>
  <si>
    <t>CONCRETO 3000 PSI - 21 MPA MEZCLADO EN OBRA (INCLUYE EQUIPO</t>
  </si>
  <si>
    <t>TRITURADO DE 3/4</t>
  </si>
  <si>
    <t>MAT_M-36</t>
  </si>
  <si>
    <t>MALLA ELECTROSOLDADA 20X20  - 8.5MM (INCLUYE DESPERDICIO 5%</t>
  </si>
  <si>
    <t>FORMALETA LATERAL EN MADERA</t>
  </si>
  <si>
    <t>ALAMBRE DE AMARRE</t>
  </si>
  <si>
    <t>MAT_M-37</t>
  </si>
  <si>
    <t xml:space="preserve">MAESTRO </t>
  </si>
  <si>
    <t>BASE EN CONCRETO DE 300 PSI (21 MPA) MEZCLADO EN OBRA</t>
  </si>
  <si>
    <t>MORTERO IMPERMEABILIZADO</t>
  </si>
  <si>
    <t>MEDIA CAÑA IMPERMEABILIZADA EN LA BASE (MORTERO IMPERMEAB</t>
  </si>
  <si>
    <t>TAPA EN CONCRETO DE 3000 PSI (21 MPA) FUNIDADA EN SITIO CON AGARRADERA METALICA MEDIDAS 80CM X 80XCM</t>
  </si>
  <si>
    <t>MORTERO DE PEGA PARA LADRILLO MURO</t>
  </si>
  <si>
    <t>TUBERIA DE AGUAS LLUVIAS 4" - BAJANTE AGUAS LLUVIAS</t>
  </si>
  <si>
    <t>ACCESORIOS DE FIJACIÓN (ABRAZADERA , SOPORTE , TORNILLERIA)</t>
  </si>
  <si>
    <t>MAT_H-121</t>
  </si>
  <si>
    <t>PEGANTE PVC</t>
  </si>
  <si>
    <t>UNION PVC 4" AGUAS LLUVIAS</t>
  </si>
  <si>
    <t>CODO PVC 4" AGUAS LLUVIAS ENTRADA Y SALIDA</t>
  </si>
  <si>
    <t>CANALETA METALICA 12X5 CALIBRE 22 (INCLUYE DESPERDICIO 5%)</t>
  </si>
  <si>
    <t>TUBO PVC 4"</t>
  </si>
  <si>
    <t>CAL APAGADA HIDRATADA "APICHADA" (INCLUYE DESPERDICIO 5%)</t>
  </si>
  <si>
    <t>AGUA SAL MEZCLA DILUIDA</t>
  </si>
  <si>
    <t>LITRO</t>
  </si>
  <si>
    <t>BROCHA</t>
  </si>
  <si>
    <t>RODILLO</t>
  </si>
  <si>
    <t>RECIPIENTES</t>
  </si>
  <si>
    <t>CINTA</t>
  </si>
  <si>
    <t>MINA DE COLOR</t>
  </si>
  <si>
    <t>FACHALETA EN GRES (INCLUYE DESPERDICIO 5%)</t>
  </si>
  <si>
    <t>PEGO BULTO X 1'0 KILO</t>
  </si>
  <si>
    <t>SEPARADORES &gt;3MM</t>
  </si>
  <si>
    <t>BOLSA</t>
  </si>
  <si>
    <t xml:space="preserve">BOQUILLA </t>
  </si>
  <si>
    <t>INMUNIZANTE BASE SOLVENTE</t>
  </si>
  <si>
    <t>SELLADOR  PARA MADERA</t>
  </si>
  <si>
    <t>ESMALTE SINTETICO (2 MANOS</t>
  </si>
  <si>
    <t>THINNER Y/O DISOLVENTE</t>
  </si>
  <si>
    <t>LIJA PARA MADERA</t>
  </si>
  <si>
    <t>MAT_C-91</t>
  </si>
  <si>
    <t>MAT_C-92</t>
  </si>
  <si>
    <t>MAT_C-93</t>
  </si>
  <si>
    <t>MAT_C-94</t>
  </si>
  <si>
    <t>MAT_C-95</t>
  </si>
  <si>
    <t>MAT_C-96</t>
  </si>
  <si>
    <t>TORNILLO</t>
  </si>
  <si>
    <t>PINTURA TIPO  1 VINILO (INCLUYE DESPERDICIO 5%)</t>
  </si>
  <si>
    <t>MAT_P-21</t>
  </si>
  <si>
    <t>LIJA GRANO MEDIO</t>
  </si>
  <si>
    <t>MAT_P-22</t>
  </si>
  <si>
    <t>PINTURA ESMALTE COLOR MARRON (INCLUYE DESPERDICIO 5%)</t>
  </si>
  <si>
    <t>LIJA PARA METAL</t>
  </si>
  <si>
    <t>MAT_P-23</t>
  </si>
  <si>
    <t>CEMENTO USO GENERAL</t>
  </si>
  <si>
    <t>ARENA FINA1</t>
  </si>
  <si>
    <t>MORTERO</t>
  </si>
  <si>
    <t>LECHADA AGUA CEMENTO</t>
  </si>
  <si>
    <t>ELEMENTOS DE ASEO GENERAL</t>
  </si>
  <si>
    <t>MAT_C-97</t>
  </si>
  <si>
    <t>MAT_C-98</t>
  </si>
  <si>
    <t>MAT_C-99</t>
  </si>
  <si>
    <t>MAT_C-100</t>
  </si>
  <si>
    <t>ELEMENTOS DE RECOLECCIÓN (COSTALES + BOLSAS)</t>
  </si>
  <si>
    <t>VOLQUETA DE 6M3</t>
  </si>
  <si>
    <t>VINIPEL ENVOPLAST DE PROTECCIÓN TRANSPARENTE X ROLLO 100 M</t>
  </si>
  <si>
    <t>TOPES DE PROTECCIÓN DE CARTON</t>
  </si>
  <si>
    <t>CAJAS DE CARTON 60 CM X 60 CM X 60 CM</t>
  </si>
  <si>
    <t>SEÑALIZACIÓN VERTICAL - INICIO DE OBRA</t>
  </si>
  <si>
    <t>PEATON CRUCE POR LA OTRA ACERA</t>
  </si>
  <si>
    <t>USO OBLIGATORIO DE EPP (AZUL REDONDO)</t>
  </si>
  <si>
    <t>MAT_C-101</t>
  </si>
  <si>
    <t>ANDAMIO TUBULAR ESTÁNDAR 1.5 X 1.5M - ALQUILER</t>
  </si>
  <si>
    <t>CUADRILLA FF - ELECTRICAS</t>
  </si>
  <si>
    <t>ABRAZADERA 2 SALIDAS 200MM</t>
  </si>
  <si>
    <t>CABLE COBRE THHN/THWN-2 90°C 600V 3X 12AWG</t>
  </si>
  <si>
    <t>CAJA 5800- 5 SALIDAS 3/4 FUNDIDA</t>
  </si>
  <si>
    <t>TERMINAL-CONECTOR EMT 3/4</t>
  </si>
  <si>
    <t>MAT_ELE-110</t>
  </si>
  <si>
    <t>TUBO EMT UL 3/4 X 3.05M</t>
  </si>
  <si>
    <t>UNIÓN GALVANIZADA EMT 3/4</t>
  </si>
  <si>
    <t>INTERRUPTOR SENCILLO LÍNEA ABITARE</t>
  </si>
  <si>
    <t>CABLE ST-C ENCAUCHETADO 3X16AWG CON CLAVIJA</t>
  </si>
  <si>
    <t>CUADRILLA BB - INSTALACIONES</t>
  </si>
  <si>
    <t>MAT_ELE-111</t>
  </si>
  <si>
    <t>MAT_ELE-112</t>
  </si>
  <si>
    <t>PANEL 30X120 45W ECOLITE</t>
  </si>
  <si>
    <t>ABRAZADERA COLGANTE FIJA 1</t>
  </si>
  <si>
    <t>PANEL 60 X 60CM 48W</t>
  </si>
  <si>
    <t>BOMBILLO LED ALTA POTENCIA ROSCA</t>
  </si>
  <si>
    <t>ROSETA O PLAFÓN DE LOSA CON TORNILLO</t>
  </si>
  <si>
    <t>CINTA AISLANTE 111 PREMIUM (20M) NE</t>
  </si>
  <si>
    <t>BREAKER GE UNIPOLAR ENCHUFABLE</t>
  </si>
  <si>
    <t>CHAZO 1/4 + TORNILLO 1/4</t>
  </si>
  <si>
    <t>ESMALTE PINTULUX 3 EN 1 PINTUCO</t>
  </si>
  <si>
    <t>TOMA DOBLE AMERICANA AVE ABITAR</t>
  </si>
  <si>
    <t>MAT_ELE-113</t>
  </si>
  <si>
    <t>TOMA DOBLE P.T.A.15A 125V NARANJA</t>
  </si>
  <si>
    <t>SILICONA ESTRUC.SUSTRATOS</t>
  </si>
  <si>
    <t>SOLDADURA PVC NTC 576 (1/8 GL.</t>
  </si>
  <si>
    <t>LIMPIADOR PARA PVC Y CPVC (1/4 G</t>
  </si>
  <si>
    <t>TAPÓN ROSCADO PVC 1/2</t>
  </si>
  <si>
    <t>KIT DESAGÜE SENCILLO+SIFÓN BOTELLA</t>
  </si>
  <si>
    <t>SILICONA ACÉ.ANTIHONGOS USO GEN</t>
  </si>
  <si>
    <t>CINTA TEFLÓN AGUA (10M)</t>
  </si>
  <si>
    <t xml:space="preserve">TORNILLO AUTOPERFORANTE N°12 X </t>
  </si>
  <si>
    <t>ANTICORROSIVO ROJO 1 GALÓN</t>
  </si>
  <si>
    <t>TROQUEL METÁLICO 12 X 5 ELÉCTRICO PIRAMIDAL  DOBLE</t>
  </si>
  <si>
    <t>TROQUEL METÁLICO 12 X 5 ELÉCTRICO TRIPLE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</si>
</sst>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8" formatCode="&quot;$&quot;\ #,##0.00;[Red]\-&quot;$&quot;\ #,##0.00"/>
    <numFmt numFmtId="44" formatCode="_-&quot;$&quot;\ * #,##0.00_-;\-&quot;$&quot;\ * #,##0.00_-;_-&quot;$&quot;\ * &quot;-&quot;??_-;_-@_-"/>
    <numFmt numFmtId="164" formatCode="0.000%"/>
    <numFmt numFmtId="165" formatCode="d/m/yyyy"/>
    <numFmt numFmtId="166" formatCode="_-* #,##0.0\ &quot;Pts&quot;_-;\-* #,##0.0\ &quot;Pts&quot;_-;_-* &quot;-&quot;??\ &quot;Pts&quot;_-;_-@"/>
    <numFmt numFmtId="167" formatCode="_-* #,##0.00\ _P_t_s_-;\-* #,##0.00\ _P_t_s_-;_-* &quot;-&quot;\ _P_t_s_-;_-@"/>
    <numFmt numFmtId="168" formatCode="&quot;$&quot;\ #,##0"/>
    <numFmt numFmtId="169" formatCode="_-&quot;$&quot;\ * #,##0.00_-;\-&quot;$&quot;\ * #,##0.00_-;_-&quot;$&quot;\ * &quot;-&quot;??_-;_-@"/>
    <numFmt numFmtId="170" formatCode="_-* #,##0\ _P_t_s_-;\-* #,##0\ _P_t_s_-;_-* &quot;-&quot;\ _P_t_s_-;_-@"/>
    <numFmt numFmtId="171" formatCode="_-* #,##0.000\ _P_t_s_-;\-* #,##0.000\ _P_t_s_-;_-* &quot;-&quot;\ _P_t_s_-;_-@"/>
    <numFmt numFmtId="172" formatCode="_-* #,##0.00_-;\-* #,##0.00_-;_-* &quot;-&quot;??_-;_-@"/>
    <numFmt numFmtId="173" formatCode="_-&quot;$&quot;\ * #,##0_-;\-&quot;$&quot;\ * #,##0_-;_-&quot;$&quot;\ * &quot;-&quot;_-;_-@"/>
    <numFmt numFmtId="174" formatCode="&quot;$&quot;\ #,##0.00"/>
    <numFmt numFmtId="175" formatCode="_-* #,##0.00\ _€_-;\-* #,##0.00\ _€_-;_-* &quot;-&quot;??\ _€_-;_-@"/>
    <numFmt numFmtId="176" formatCode="_-[$$-240A]\ * #,##0.00_-;\-[$$-240A]\ * #,##0.00_-;_-[$$-240A]\ * &quot;-&quot;??_-;_-@"/>
    <numFmt numFmtId="177" formatCode="_(&quot;$&quot;* #,##0.00_);_(&quot;$&quot;* \(#,##0.00\);_(&quot;$&quot;* &quot;-&quot;??_);_(@_)"/>
    <numFmt numFmtId="178" formatCode="0.0%"/>
    <numFmt numFmtId="179" formatCode="&quot;$&quot;#,##0.00"/>
    <numFmt numFmtId="180" formatCode="&quot;$&quot;\ #,##0_);\(&quot;$&quot;\ #,##0\)"/>
    <numFmt numFmtId="181" formatCode="&quot;$&quot;\ #,##0.00_);\(&quot;$&quot;\ #,##0.00\)"/>
    <numFmt numFmtId="182" formatCode="_-[$$-240A]\ * #,##0.00_ ;_-[$$-240A]\ * \-#,##0.00\ ;_-[$$-240A]\ * &quot;-&quot;??_ ;_-@_ "/>
    <numFmt numFmtId="183" formatCode="_([$$-240A]\ * #,##0.00_);_([$$-240A]\ * \(#,##0.00\);_([$$-240A]\ * &quot;-&quot;??_);_(@_)"/>
    <numFmt numFmtId="184" formatCode="_ * #,##0.00_ ;_ * \-#,##0.00_ ;_ * &quot;-&quot;??_ ;_ @_ "/>
    <numFmt numFmtId="185" formatCode="General_)"/>
    <numFmt numFmtId="186" formatCode="0.000"/>
    <numFmt numFmtId="187" formatCode="&quot;$&quot;\ #,##0.0000"/>
    <numFmt numFmtId="188" formatCode="[$-240A]d&quot; de &quot;mmmm&quot; de &quot;yyyy"/>
    <numFmt numFmtId="189" formatCode="#\ ?/8"/>
    <numFmt numFmtId="190" formatCode="_-* #,##0.00\ &quot;Pts&quot;_-;\-* #,##0.00\ &quot;Pts&quot;_-;_-* &quot;-&quot;??\ &quot;Pts&quot;_-;_-@_-"/>
    <numFmt numFmtId="191" formatCode="0#.00\ \L\t"/>
    <numFmt numFmtId="192" formatCode="_ &quot;$&quot;\ * #,##0_ ;_ &quot;$&quot;\ * \-#,##0_ ;_ &quot;$&quot;\ * &quot;-&quot;_ ;_ @_ "/>
    <numFmt numFmtId="193" formatCode="_(&quot;$&quot;\ * #,##0.00_);_(&quot;$&quot;\ * \(#,##0.00\);_(&quot;$&quot;\ * &quot;-&quot;??_);_(@_)"/>
    <numFmt numFmtId="194" formatCode="&quot;$&quot;\ #,##0.00;[Red]&quot;$&quot;\ \-#,##0.00"/>
    <numFmt numFmtId="195" formatCode="_([$$-240A]\ * #,##0_);_([$$-240A]\ * \(#,##0\);_([$$-240A]\ * &quot;-&quot;??_);_(@_)"/>
    <numFmt numFmtId="196" formatCode="_ [$$-240A]\ * #,##0.00_ ;_ [$$-240A]\ * \-#,##0.00_ ;_ [$$-240A]\ * &quot;-&quot;??_ ;_ @_ "/>
    <numFmt numFmtId="197" formatCode="_ * #,##0_ ;_ * \-#,##0_ ;_ * &quot;-&quot;??_ ;_ @_ "/>
  </numFmts>
  <fonts count="82">
    <font>
      <sz val="11"/>
      <color theme="1"/>
      <name val="Calibri"/>
      <scheme val="minor"/>
    </font>
    <font>
      <sz val="11"/>
      <color theme="1"/>
      <name val="Calibri"/>
      <family val="2"/>
      <scheme val="minor"/>
    </font>
    <font>
      <sz val="11"/>
      <color theme="1"/>
      <name val="Calibri"/>
      <family val="2"/>
      <scheme val="minor"/>
    </font>
    <font>
      <sz val="11"/>
      <color theme="1"/>
      <name val="Arial"/>
    </font>
    <font>
      <b/>
      <sz val="14"/>
      <color theme="0"/>
      <name val="Arial"/>
    </font>
    <font>
      <sz val="11"/>
      <name val="Calibri"/>
    </font>
    <font>
      <sz val="12"/>
      <color theme="1"/>
      <name val="Arial"/>
    </font>
    <font>
      <b/>
      <sz val="12"/>
      <color theme="1"/>
      <name val="Arial"/>
    </font>
    <font>
      <sz val="11"/>
      <color rgb="FF000000"/>
      <name val="Arial"/>
    </font>
    <font>
      <b/>
      <sz val="16"/>
      <color theme="0"/>
      <name val="Play"/>
    </font>
    <font>
      <b/>
      <sz val="9"/>
      <color theme="0"/>
      <name val="Arial"/>
    </font>
    <font>
      <sz val="11"/>
      <color theme="1"/>
      <name val="Calibri"/>
    </font>
    <font>
      <b/>
      <sz val="17"/>
      <color theme="1"/>
      <name val="Arial Black"/>
    </font>
    <font>
      <b/>
      <sz val="11"/>
      <color theme="1"/>
      <name val="Arial"/>
    </font>
    <font>
      <b/>
      <sz val="14"/>
      <color theme="1"/>
      <name val="Arial"/>
    </font>
    <font>
      <sz val="12"/>
      <color theme="1"/>
      <name val="Calibri"/>
    </font>
    <font>
      <sz val="14"/>
      <color theme="1"/>
      <name val="Arial"/>
    </font>
    <font>
      <sz val="10"/>
      <color theme="1"/>
      <name val="Arial"/>
    </font>
    <font>
      <b/>
      <sz val="16"/>
      <color theme="1"/>
      <name val="Arial Black"/>
    </font>
    <font>
      <sz val="10"/>
      <color theme="0"/>
      <name val="Arial"/>
    </font>
    <font>
      <sz val="10"/>
      <color rgb="FFFF0000"/>
      <name val="Arial"/>
    </font>
    <font>
      <b/>
      <sz val="10"/>
      <color theme="1"/>
      <name val="Arial"/>
    </font>
    <font>
      <b/>
      <sz val="10"/>
      <color theme="0"/>
      <name val="Arial"/>
    </font>
    <font>
      <sz val="10"/>
      <color rgb="FFFF0000"/>
      <name val="Calibri"/>
    </font>
    <font>
      <b/>
      <sz val="8"/>
      <color theme="1"/>
      <name val="Arial"/>
    </font>
    <font>
      <sz val="8"/>
      <color rgb="FF7F7F7F"/>
      <name val="Arial"/>
    </font>
    <font>
      <b/>
      <sz val="11"/>
      <color rgb="FF000000"/>
      <name val="Arial"/>
    </font>
    <font>
      <sz val="10"/>
      <color rgb="FF000000"/>
      <name val="Calibri"/>
    </font>
    <font>
      <b/>
      <sz val="11"/>
      <color rgb="FF808080"/>
      <name val="Arial"/>
    </font>
    <font>
      <b/>
      <sz val="11"/>
      <color theme="0"/>
      <name val="Arial"/>
    </font>
    <font>
      <b/>
      <sz val="11"/>
      <color theme="1"/>
      <name val="Calibri"/>
    </font>
    <font>
      <b/>
      <sz val="11"/>
      <color rgb="FFFFFFFF"/>
      <name val="Arial"/>
    </font>
    <font>
      <sz val="11"/>
      <color theme="0"/>
      <name val="Arial"/>
    </font>
    <font>
      <b/>
      <sz val="8"/>
      <color rgb="FF595959"/>
      <name val="Arial"/>
    </font>
    <font>
      <sz val="8"/>
      <color rgb="FF595959"/>
      <name val="Arial"/>
    </font>
    <font>
      <u/>
      <sz val="11"/>
      <color theme="1"/>
      <name val="Arial"/>
    </font>
    <font>
      <sz val="9"/>
      <color theme="1"/>
      <name val="Arial"/>
    </font>
    <font>
      <sz val="8"/>
      <color theme="1"/>
      <name val="Arial"/>
    </font>
    <font>
      <u/>
      <sz val="10"/>
      <color theme="1"/>
      <name val="Arial"/>
    </font>
    <font>
      <sz val="11"/>
      <color rgb="FFFF0000"/>
      <name val="Arial"/>
    </font>
    <font>
      <sz val="10"/>
      <color rgb="FF000000"/>
      <name val="Arial"/>
    </font>
    <font>
      <b/>
      <sz val="10"/>
      <color rgb="FFFF0000"/>
      <name val="Arial"/>
    </font>
    <font>
      <sz val="12"/>
      <color theme="0"/>
      <name val="Arial"/>
    </font>
    <font>
      <sz val="12"/>
      <color rgb="FFFF0000"/>
      <name val="Arial"/>
    </font>
    <font>
      <b/>
      <u/>
      <sz val="12"/>
      <color theme="1"/>
      <name val="Arial"/>
    </font>
    <font>
      <b/>
      <sz val="16"/>
      <color theme="1"/>
      <name val="Arial"/>
    </font>
    <font>
      <b/>
      <sz val="11"/>
      <color theme="1"/>
      <name val="Arial Black"/>
    </font>
    <font>
      <sz val="10"/>
      <color rgb="FF1F3864"/>
      <name val="Arial"/>
    </font>
    <font>
      <sz val="11"/>
      <color theme="1"/>
      <name val="Calibri"/>
      <scheme val="minor"/>
    </font>
    <font>
      <sz val="11"/>
      <color theme="0"/>
      <name val="Calibri"/>
      <scheme val="minor"/>
    </font>
    <font>
      <b/>
      <i/>
      <sz val="14"/>
      <color theme="7"/>
      <name val="Lucida Sans"/>
    </font>
    <font>
      <b/>
      <sz val="36"/>
      <color theme="1"/>
      <name val="Lucida Sans"/>
    </font>
    <font>
      <b/>
      <sz val="12"/>
      <color theme="1"/>
      <name val="Lucida Sans"/>
    </font>
    <font>
      <sz val="12"/>
      <color theme="1"/>
      <name val="Lucida Sans"/>
    </font>
    <font>
      <b/>
      <sz val="16"/>
      <color theme="1"/>
      <name val="Lucida Sans"/>
    </font>
    <font>
      <b/>
      <sz val="16"/>
      <color rgb="FFFF0000"/>
      <name val="Lucida Sans"/>
    </font>
    <font>
      <sz val="16"/>
      <color theme="1"/>
      <name val="Lucida Sans"/>
    </font>
    <font>
      <b/>
      <sz val="10"/>
      <color theme="1"/>
      <name val="Lucida Sans"/>
    </font>
    <font>
      <b/>
      <sz val="22"/>
      <color theme="1"/>
      <name val="Lucida Sans"/>
    </font>
    <font>
      <b/>
      <sz val="11"/>
      <color theme="1"/>
      <name val="Lucida Sans"/>
    </font>
    <font>
      <sz val="10"/>
      <color theme="1"/>
      <name val="Lucida Sans"/>
    </font>
    <font>
      <b/>
      <sz val="12"/>
      <color theme="1"/>
      <name val="Calibri"/>
    </font>
    <font>
      <u/>
      <sz val="11"/>
      <color theme="1"/>
      <name val="Calibri"/>
    </font>
    <font>
      <b/>
      <sz val="12"/>
      <color rgb="FFFF0000"/>
      <name val="Lucida Sans"/>
    </font>
    <font>
      <b/>
      <sz val="14"/>
      <color theme="1"/>
      <name val="Lucida Sans"/>
    </font>
    <font>
      <b/>
      <vertAlign val="superscript"/>
      <sz val="11"/>
      <color theme="1"/>
      <name val="Arial"/>
    </font>
    <font>
      <sz val="10"/>
      <color theme="1"/>
      <name val="Arial"/>
      <family val="2"/>
    </font>
    <font>
      <sz val="10"/>
      <color theme="1"/>
      <name val="Calibri"/>
      <family val="2"/>
      <scheme val="minor"/>
    </font>
    <font>
      <sz val="10"/>
      <name val="Calibri"/>
      <family val="2"/>
    </font>
    <font>
      <b/>
      <sz val="11"/>
      <color theme="0"/>
      <name val="Arial"/>
      <family val="2"/>
    </font>
    <font>
      <b/>
      <sz val="11"/>
      <color theme="1"/>
      <name val="Arial"/>
      <family val="2"/>
    </font>
    <font>
      <sz val="8"/>
      <name val="Calibri"/>
      <scheme val="minor"/>
    </font>
    <font>
      <sz val="11"/>
      <color theme="1"/>
      <name val="Arial"/>
      <family val="2"/>
    </font>
    <font>
      <sz val="10"/>
      <name val="Arial"/>
      <family val="2"/>
    </font>
    <font>
      <sz val="11"/>
      <name val="Verdana"/>
      <family val="2"/>
    </font>
    <font>
      <b/>
      <sz val="11"/>
      <name val="Verdana"/>
      <family val="2"/>
    </font>
    <font>
      <sz val="10"/>
      <name val="Arial"/>
    </font>
    <font>
      <b/>
      <sz val="11"/>
      <color rgb="FF595959"/>
      <name val="Verdana"/>
      <family val="2"/>
    </font>
    <font>
      <sz val="11"/>
      <color rgb="FF595959"/>
      <name val="Verdana"/>
      <family val="2"/>
    </font>
    <font>
      <sz val="11"/>
      <color rgb="FF000000"/>
      <name val="Verdana"/>
      <family val="2"/>
    </font>
    <font>
      <sz val="11"/>
      <color theme="1"/>
      <name val="Verdana"/>
      <family val="2"/>
    </font>
    <font>
      <b/>
      <sz val="11"/>
      <color rgb="FFFF0000"/>
      <name val="Verdana"/>
      <family val="2"/>
    </font>
  </fonts>
  <fills count="33">
    <fill>
      <patternFill patternType="none"/>
    </fill>
    <fill>
      <patternFill patternType="gray125"/>
    </fill>
    <fill>
      <patternFill patternType="solid">
        <fgColor rgb="FF002060"/>
        <bgColor rgb="FF002060"/>
      </patternFill>
    </fill>
    <fill>
      <patternFill patternType="solid">
        <fgColor rgb="FFD8D8D8"/>
        <bgColor rgb="FFD8D8D8"/>
      </patternFill>
    </fill>
    <fill>
      <patternFill patternType="solid">
        <fgColor rgb="FFFFFBEF"/>
        <bgColor rgb="FFFFFBEF"/>
      </patternFill>
    </fill>
    <fill>
      <patternFill patternType="solid">
        <fgColor theme="0"/>
        <bgColor theme="0"/>
      </patternFill>
    </fill>
    <fill>
      <patternFill patternType="solid">
        <fgColor rgb="FF3F3F3F"/>
        <bgColor rgb="FF3F3F3F"/>
      </patternFill>
    </fill>
    <fill>
      <patternFill patternType="solid">
        <fgColor rgb="FFD0CECE"/>
        <bgColor rgb="FFD0CECE"/>
      </patternFill>
    </fill>
    <fill>
      <patternFill patternType="solid">
        <fgColor rgb="FFFFF7E1"/>
        <bgColor rgb="FFFFF7E1"/>
      </patternFill>
    </fill>
    <fill>
      <patternFill patternType="solid">
        <fgColor rgb="FFFFF2CB"/>
        <bgColor rgb="FFFFF2CB"/>
      </patternFill>
    </fill>
    <fill>
      <patternFill patternType="solid">
        <fgColor theme="1"/>
        <bgColor theme="1"/>
      </patternFill>
    </fill>
    <fill>
      <patternFill patternType="solid">
        <fgColor rgb="FFE2EFD9"/>
        <bgColor rgb="FFE2EFD9"/>
      </patternFill>
    </fill>
    <fill>
      <patternFill patternType="solid">
        <fgColor rgb="FFFFFCF3"/>
        <bgColor rgb="FFFFFCF3"/>
      </patternFill>
    </fill>
    <fill>
      <patternFill patternType="solid">
        <fgColor rgb="FFDADADA"/>
        <bgColor rgb="FFDADADA"/>
      </patternFill>
    </fill>
    <fill>
      <patternFill patternType="solid">
        <fgColor rgb="FF7030A0"/>
        <bgColor rgb="FF7030A0"/>
      </patternFill>
    </fill>
    <fill>
      <patternFill patternType="solid">
        <fgColor rgb="FFAEABAB"/>
        <bgColor rgb="FFAEABAB"/>
      </patternFill>
    </fill>
    <fill>
      <patternFill patternType="solid">
        <fgColor rgb="FFFFFFFF"/>
        <bgColor rgb="FFFFFFFF"/>
      </patternFill>
    </fill>
    <fill>
      <patternFill patternType="solid">
        <fgColor rgb="FFFFFF00"/>
        <bgColor rgb="FFFFFF00"/>
      </patternFill>
    </fill>
    <fill>
      <patternFill patternType="solid">
        <fgColor rgb="FF7F7F7F"/>
        <bgColor rgb="FF7F7F7F"/>
      </patternFill>
    </fill>
    <fill>
      <patternFill patternType="solid">
        <fgColor rgb="FF2E75B5"/>
        <bgColor rgb="FF2E75B5"/>
      </patternFill>
    </fill>
    <fill>
      <patternFill patternType="solid">
        <fgColor rgb="FFDEEAF6"/>
        <bgColor rgb="FFDEEAF6"/>
      </patternFill>
    </fill>
    <fill>
      <patternFill patternType="solid">
        <fgColor rgb="FFDDD9C3"/>
        <bgColor rgb="FFDDD9C3"/>
      </patternFill>
    </fill>
    <fill>
      <patternFill patternType="solid">
        <fgColor rgb="FFD5F4FF"/>
        <bgColor rgb="FFD5F4FF"/>
      </patternFill>
    </fill>
    <fill>
      <patternFill patternType="solid">
        <fgColor rgb="FFFFD965"/>
        <bgColor rgb="FFFFD965"/>
      </patternFill>
    </fill>
    <fill>
      <patternFill patternType="solid">
        <fgColor rgb="FFFFDF79"/>
        <bgColor rgb="FFFFDF79"/>
      </patternFill>
    </fill>
    <fill>
      <patternFill patternType="solid">
        <fgColor rgb="FFFFC000"/>
        <bgColor rgb="FFFFC000"/>
      </patternFill>
    </fill>
    <fill>
      <patternFill patternType="solid">
        <fgColor rgb="FFCCC0D9"/>
        <bgColor rgb="FFCCC0D9"/>
      </patternFill>
    </fill>
    <fill>
      <patternFill patternType="solid">
        <fgColor rgb="FF798EA9"/>
        <bgColor rgb="FF798EA9"/>
      </patternFill>
    </fill>
    <fill>
      <patternFill patternType="solid">
        <fgColor rgb="FF00B050"/>
        <bgColor rgb="FF00B050"/>
      </patternFill>
    </fill>
    <fill>
      <patternFill patternType="solid">
        <fgColor rgb="FFB4C6E7"/>
        <bgColor rgb="FFB4C6E7"/>
      </patternFill>
    </fill>
    <fill>
      <patternFill patternType="solid">
        <fgColor rgb="FFFFE598"/>
        <bgColor rgb="FFFFE598"/>
      </patternFill>
    </fill>
    <fill>
      <patternFill patternType="solid">
        <fgColor theme="0" tint="-0.499984740745262"/>
        <bgColor indexed="64"/>
      </patternFill>
    </fill>
    <fill>
      <patternFill patternType="solid">
        <fgColor theme="0"/>
        <bgColor indexed="64"/>
      </patternFill>
    </fill>
  </fills>
  <borders count="23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right style="medium">
        <color rgb="FF000000"/>
      </right>
      <top style="thin">
        <color rgb="FF000000"/>
      </top>
      <bottom style="thin">
        <color rgb="FF000000"/>
      </bottom>
      <diagonal/>
    </border>
    <border>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thin">
        <color rgb="FF000000"/>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medium">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double">
        <color rgb="FF000000"/>
      </right>
      <top/>
      <bottom/>
      <diagonal/>
    </border>
    <border>
      <left style="dotted">
        <color rgb="FF000000"/>
      </left>
      <right style="dotted">
        <color rgb="FF000000"/>
      </right>
      <top/>
      <bottom/>
      <diagonal/>
    </border>
    <border>
      <left style="double">
        <color rgb="FF000000"/>
      </left>
      <right/>
      <top/>
      <bottom/>
      <diagonal/>
    </border>
    <border>
      <left/>
      <right style="double">
        <color rgb="FF000000"/>
      </right>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dotted">
        <color rgb="FF000000"/>
      </left>
      <right style="dotted">
        <color rgb="FF000000"/>
      </right>
      <top/>
      <bottom style="dotted">
        <color rgb="FF000000"/>
      </bottom>
      <diagonal/>
    </border>
    <border>
      <left style="medium">
        <color rgb="FF000000"/>
      </left>
      <right style="medium">
        <color rgb="FF000000"/>
      </right>
      <top/>
      <bottom style="medium">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style="medium">
        <color rgb="FF000000"/>
      </left>
      <right style="thin">
        <color rgb="FF000000"/>
      </right>
      <top/>
      <bottom style="thin">
        <color rgb="FF000000"/>
      </bottom>
      <diagonal/>
    </border>
    <border>
      <left/>
      <right style="medium">
        <color rgb="FF000000"/>
      </right>
      <top/>
      <bottom/>
      <diagonal/>
    </border>
    <border>
      <left/>
      <right/>
      <top/>
      <bottom style="medium">
        <color rgb="FF000000"/>
      </bottom>
      <diagonal/>
    </border>
    <border>
      <left style="medium">
        <color rgb="FF000000"/>
      </left>
      <right/>
      <top style="thin">
        <color rgb="FF000000"/>
      </top>
      <bottom/>
      <diagonal/>
    </border>
    <border>
      <left style="thin">
        <color rgb="FF000000"/>
      </left>
      <right/>
      <top/>
      <bottom/>
      <diagonal/>
    </border>
    <border>
      <left/>
      <right style="thin">
        <color rgb="FF000000"/>
      </right>
      <top/>
      <bottom/>
      <diagonal/>
    </border>
    <border>
      <left/>
      <right style="medium">
        <color rgb="FF000000"/>
      </right>
      <top/>
      <bottom/>
      <diagonal/>
    </border>
    <border>
      <left style="medium">
        <color rgb="FF000000"/>
      </left>
      <right style="medium">
        <color rgb="FF000000"/>
      </right>
      <top/>
      <bottom/>
      <diagonal/>
    </border>
    <border>
      <left/>
      <right/>
      <top style="medium">
        <color rgb="FF000000"/>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bottom style="thin">
        <color rgb="FF000000"/>
      </bottom>
      <diagonal/>
    </border>
    <border>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bottom style="thin">
        <color rgb="FF000000"/>
      </bottom>
      <diagonal/>
    </border>
    <border>
      <left style="medium">
        <color rgb="FF000000"/>
      </left>
      <right style="thin">
        <color rgb="FF000000"/>
      </right>
      <top/>
      <bottom/>
      <diagonal/>
    </border>
    <border>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thin">
        <color rgb="FF000000"/>
      </top>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diagonal/>
    </border>
    <border>
      <left/>
      <right/>
      <top style="thin">
        <color rgb="FF000000"/>
      </top>
      <bottom/>
      <diagonal/>
    </border>
    <border>
      <left style="thin">
        <color rgb="FF000000"/>
      </left>
      <right/>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right style="hair">
        <color rgb="FF000000"/>
      </right>
      <top style="medium">
        <color rgb="FF000000"/>
      </top>
      <bottom/>
      <diagonal/>
    </border>
    <border>
      <left/>
      <right style="hair">
        <color rgb="FF000000"/>
      </right>
      <top/>
      <bottom/>
      <diagonal/>
    </border>
    <border>
      <left/>
      <right style="hair">
        <color rgb="FF000000"/>
      </right>
      <top/>
      <bottom style="medium">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s>
  <cellStyleXfs count="18">
    <xf numFmtId="0" fontId="0" fillId="0" borderId="0"/>
    <xf numFmtId="0" fontId="73" fillId="0" borderId="69"/>
    <xf numFmtId="190" fontId="73" fillId="0" borderId="69" applyFont="0" applyFill="0" applyBorder="0" applyAlignment="0" applyProtection="0"/>
    <xf numFmtId="0" fontId="73" fillId="0" borderId="69"/>
    <xf numFmtId="0" fontId="73" fillId="0" borderId="69"/>
    <xf numFmtId="0" fontId="2" fillId="0" borderId="69"/>
    <xf numFmtId="191" fontId="73" fillId="0" borderId="69" applyFont="0" applyFill="0" applyBorder="0" applyAlignment="0" applyProtection="0"/>
    <xf numFmtId="9" fontId="73" fillId="0" borderId="69" applyFont="0" applyFill="0" applyBorder="0" applyAlignment="0" applyProtection="0"/>
    <xf numFmtId="0" fontId="76" fillId="0" borderId="69"/>
    <xf numFmtId="0" fontId="1" fillId="0" borderId="69"/>
    <xf numFmtId="0" fontId="1" fillId="0" borderId="69"/>
    <xf numFmtId="0" fontId="73" fillId="0" borderId="69"/>
    <xf numFmtId="192" fontId="73" fillId="0" borderId="69" applyFont="0" applyFill="0" applyBorder="0" applyAlignment="0" applyProtection="0"/>
    <xf numFmtId="194" fontId="73" fillId="0" borderId="69" applyFont="0" applyFill="0" applyBorder="0" applyAlignment="0" applyProtection="0"/>
    <xf numFmtId="192" fontId="73" fillId="0" borderId="69" applyFont="0" applyFill="0" applyBorder="0" applyAlignment="0" applyProtection="0"/>
    <xf numFmtId="184" fontId="73" fillId="0" borderId="69" applyFont="0" applyFill="0" applyBorder="0" applyAlignment="0" applyProtection="0"/>
    <xf numFmtId="0" fontId="73" fillId="0" borderId="69"/>
    <xf numFmtId="184" fontId="73" fillId="0" borderId="69" applyFont="0" applyFill="0" applyBorder="0" applyAlignment="0" applyProtection="0"/>
  </cellStyleXfs>
  <cellXfs count="1324">
    <xf numFmtId="0" fontId="0" fillId="0" borderId="0" xfId="0"/>
    <xf numFmtId="0" fontId="3" fillId="0" borderId="0" xfId="0" applyFont="1"/>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1" fontId="6" fillId="4" borderId="14" xfId="0" applyNumberFormat="1" applyFont="1" applyFill="1" applyBorder="1" applyAlignment="1">
      <alignment horizontal="center" vertical="center" wrapText="1"/>
    </xf>
    <xf numFmtId="1" fontId="6" fillId="4" borderId="15" xfId="0" applyNumberFormat="1" applyFont="1" applyFill="1" applyBorder="1" applyAlignment="1">
      <alignment horizontal="center" vertical="center" wrapText="1"/>
    </xf>
    <xf numFmtId="0" fontId="7" fillId="3" borderId="17" xfId="0" applyFont="1" applyFill="1" applyBorder="1" applyAlignment="1">
      <alignment horizontal="center" vertical="center" wrapText="1"/>
    </xf>
    <xf numFmtId="164" fontId="3" fillId="0" borderId="0" xfId="0" applyNumberFormat="1" applyFont="1"/>
    <xf numFmtId="10" fontId="7" fillId="0" borderId="20" xfId="0" applyNumberFormat="1" applyFont="1" applyBorder="1" applyAlignment="1">
      <alignment horizontal="center" vertical="center"/>
    </xf>
    <xf numFmtId="1" fontId="3" fillId="0" borderId="0" xfId="0" applyNumberFormat="1" applyFont="1"/>
    <xf numFmtId="0" fontId="7" fillId="3" borderId="23" xfId="0" applyFont="1" applyFill="1" applyBorder="1" applyAlignment="1">
      <alignment horizontal="center" vertical="center" wrapText="1"/>
    </xf>
    <xf numFmtId="10" fontId="6" fillId="4" borderId="24" xfId="0" applyNumberFormat="1" applyFont="1" applyFill="1" applyBorder="1" applyAlignment="1">
      <alignment horizontal="center" vertical="center" wrapText="1"/>
    </xf>
    <xf numFmtId="2" fontId="3" fillId="0" borderId="0" xfId="0" applyNumberFormat="1" applyFont="1"/>
    <xf numFmtId="10" fontId="7" fillId="5" borderId="24" xfId="0" applyNumberFormat="1" applyFont="1" applyFill="1" applyBorder="1" applyAlignment="1">
      <alignment horizontal="center" vertical="center"/>
    </xf>
    <xf numFmtId="2" fontId="6" fillId="4" borderId="24" xfId="0" applyNumberFormat="1" applyFont="1" applyFill="1" applyBorder="1" applyAlignment="1">
      <alignment horizontal="center" vertical="center" wrapText="1"/>
    </xf>
    <xf numFmtId="0" fontId="6" fillId="5" borderId="2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3" fillId="5" borderId="30" xfId="0" applyFont="1" applyFill="1" applyBorder="1"/>
    <xf numFmtId="0" fontId="8" fillId="5" borderId="31" xfId="0" applyFont="1" applyFill="1" applyBorder="1"/>
    <xf numFmtId="0" fontId="8" fillId="5" borderId="25" xfId="0" applyFont="1" applyFill="1" applyBorder="1"/>
    <xf numFmtId="0" fontId="8" fillId="5" borderId="31" xfId="0" applyFont="1" applyFill="1" applyBorder="1" applyAlignment="1">
      <alignment horizontal="left"/>
    </xf>
    <xf numFmtId="165" fontId="8" fillId="5" borderId="31" xfId="0" applyNumberFormat="1" applyFont="1" applyFill="1" applyBorder="1" applyAlignment="1">
      <alignment horizontal="left"/>
    </xf>
    <xf numFmtId="0" fontId="10" fillId="5" borderId="31" xfId="0" applyFont="1" applyFill="1" applyBorder="1"/>
    <xf numFmtId="0" fontId="3" fillId="5" borderId="40" xfId="0" applyFont="1" applyFill="1" applyBorder="1"/>
    <xf numFmtId="0" fontId="8" fillId="5" borderId="41" xfId="0" applyFont="1" applyFill="1" applyBorder="1"/>
    <xf numFmtId="0" fontId="8" fillId="5" borderId="42" xfId="0" applyFont="1" applyFill="1" applyBorder="1"/>
    <xf numFmtId="0" fontId="11" fillId="0" borderId="44" xfId="0" applyFont="1" applyBorder="1"/>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11" fillId="0" borderId="57" xfId="0" applyFont="1" applyBorder="1"/>
    <xf numFmtId="0" fontId="6" fillId="0" borderId="4" xfId="0" applyFont="1" applyBorder="1"/>
    <xf numFmtId="0" fontId="13" fillId="0" borderId="0" xfId="0" applyFont="1" applyAlignment="1">
      <alignment horizontal="center" vertical="center"/>
    </xf>
    <xf numFmtId="0" fontId="3" fillId="0" borderId="0" xfId="0" applyFont="1" applyAlignment="1">
      <alignment vertical="center"/>
    </xf>
    <xf numFmtId="0" fontId="3" fillId="0" borderId="5" xfId="0" applyFont="1" applyBorder="1" applyAlignment="1">
      <alignment vertical="center"/>
    </xf>
    <xf numFmtId="0" fontId="13" fillId="0" borderId="0" xfId="0" applyFont="1" applyAlignment="1">
      <alignment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15" fillId="0" borderId="0" xfId="0" applyFont="1" applyAlignment="1">
      <alignment vertical="center"/>
    </xf>
    <xf numFmtId="0" fontId="7" fillId="7" borderId="30" xfId="0" applyFont="1" applyFill="1" applyBorder="1" applyAlignment="1">
      <alignment horizontal="center" vertical="center"/>
    </xf>
    <xf numFmtId="0" fontId="7" fillId="7" borderId="31" xfId="0" applyFont="1" applyFill="1" applyBorder="1" applyAlignment="1">
      <alignment vertical="center"/>
    </xf>
    <xf numFmtId="0" fontId="6" fillId="7" borderId="31" xfId="0" applyFont="1" applyFill="1" applyBorder="1" applyAlignment="1">
      <alignment vertical="center"/>
    </xf>
    <xf numFmtId="0" fontId="6" fillId="7" borderId="31" xfId="0" applyFont="1" applyFill="1" applyBorder="1" applyAlignment="1">
      <alignment horizontal="center" vertical="center"/>
    </xf>
    <xf numFmtId="166" fontId="6" fillId="7" borderId="31" xfId="0" applyNumberFormat="1" applyFont="1" applyFill="1" applyBorder="1" applyAlignment="1">
      <alignment vertical="center"/>
    </xf>
    <xf numFmtId="167" fontId="6" fillId="7" borderId="31" xfId="0" applyNumberFormat="1" applyFont="1" applyFill="1" applyBorder="1" applyAlignment="1">
      <alignment vertical="center"/>
    </xf>
    <xf numFmtId="167" fontId="7" fillId="7" borderId="31" xfId="0" applyNumberFormat="1" applyFont="1" applyFill="1" applyBorder="1" applyAlignment="1">
      <alignment vertical="center"/>
    </xf>
    <xf numFmtId="0" fontId="6" fillId="7" borderId="25" xfId="0" applyFont="1" applyFill="1" applyBorder="1" applyAlignment="1">
      <alignment vertical="center"/>
    </xf>
    <xf numFmtId="0" fontId="7" fillId="0" borderId="4" xfId="0" applyFont="1" applyBorder="1" applyAlignment="1">
      <alignment horizontal="center" vertical="center"/>
    </xf>
    <xf numFmtId="0" fontId="7" fillId="0" borderId="0" xfId="0" applyFont="1" applyAlignment="1">
      <alignment vertical="center"/>
    </xf>
    <xf numFmtId="0" fontId="6" fillId="0" borderId="0" xfId="0" applyFont="1"/>
    <xf numFmtId="0" fontId="6" fillId="0" borderId="0" xfId="0" applyFont="1" applyAlignment="1">
      <alignment horizontal="center" vertical="center"/>
    </xf>
    <xf numFmtId="166" fontId="6" fillId="0" borderId="0" xfId="0" applyNumberFormat="1" applyFont="1" applyAlignment="1">
      <alignment vertical="center"/>
    </xf>
    <xf numFmtId="167" fontId="6" fillId="0" borderId="0" xfId="0" applyNumberFormat="1" applyFont="1" applyAlignment="1">
      <alignment vertical="center"/>
    </xf>
    <xf numFmtId="167" fontId="7" fillId="0" borderId="0" xfId="0" applyNumberFormat="1" applyFont="1" applyAlignment="1">
      <alignment vertical="center"/>
    </xf>
    <xf numFmtId="0" fontId="6" fillId="0" borderId="0" xfId="0" applyFont="1" applyAlignment="1">
      <alignment vertical="center"/>
    </xf>
    <xf numFmtId="0" fontId="6" fillId="0" borderId="5" xfId="0" applyFont="1" applyBorder="1"/>
    <xf numFmtId="0" fontId="6" fillId="0" borderId="4" xfId="0" applyFont="1" applyBorder="1" applyAlignment="1">
      <alignment vertical="center"/>
    </xf>
    <xf numFmtId="0" fontId="7" fillId="0" borderId="0" xfId="0" applyFont="1" applyAlignment="1">
      <alignment horizontal="center" vertical="center"/>
    </xf>
    <xf numFmtId="3" fontId="6" fillId="0" borderId="0" xfId="0" applyNumberFormat="1" applyFont="1" applyAlignment="1">
      <alignment horizontal="center" vertical="center"/>
    </xf>
    <xf numFmtId="3" fontId="6" fillId="0" borderId="0" xfId="0" applyNumberFormat="1" applyFont="1" applyAlignment="1">
      <alignment vertical="center"/>
    </xf>
    <xf numFmtId="3" fontId="7" fillId="0" borderId="0" xfId="0" applyNumberFormat="1" applyFont="1" applyAlignment="1">
      <alignment vertical="center"/>
    </xf>
    <xf numFmtId="3" fontId="6" fillId="7" borderId="31" xfId="0" applyNumberFormat="1" applyFont="1" applyFill="1" applyBorder="1" applyAlignment="1">
      <alignment horizontal="center" vertical="center"/>
    </xf>
    <xf numFmtId="3" fontId="6" fillId="7" borderId="31" xfId="0" applyNumberFormat="1" applyFont="1" applyFill="1" applyBorder="1" applyAlignment="1">
      <alignment vertical="center"/>
    </xf>
    <xf numFmtId="3" fontId="7" fillId="7" borderId="31" xfId="0" applyNumberFormat="1" applyFont="1" applyFill="1" applyBorder="1" applyAlignment="1">
      <alignment vertical="center"/>
    </xf>
    <xf numFmtId="0" fontId="11" fillId="0" borderId="4" xfId="0" applyFont="1" applyBorder="1"/>
    <xf numFmtId="0" fontId="11" fillId="0" borderId="5" xfId="0" applyFont="1" applyBorder="1"/>
    <xf numFmtId="168" fontId="6" fillId="0" borderId="0" xfId="0" applyNumberFormat="1" applyFont="1" applyAlignment="1">
      <alignment vertical="center"/>
    </xf>
    <xf numFmtId="3" fontId="7" fillId="0" borderId="72" xfId="0" applyNumberFormat="1" applyFont="1" applyBorder="1" applyAlignment="1">
      <alignment vertical="center"/>
    </xf>
    <xf numFmtId="168" fontId="7" fillId="0" borderId="72" xfId="0" applyNumberFormat="1" applyFont="1" applyBorder="1" applyAlignment="1">
      <alignment vertical="center"/>
    </xf>
    <xf numFmtId="168" fontId="7" fillId="0" borderId="5" xfId="0" applyNumberFormat="1" applyFont="1" applyBorder="1" applyAlignment="1">
      <alignment vertical="center"/>
    </xf>
    <xf numFmtId="168" fontId="6" fillId="0" borderId="49" xfId="0" applyNumberFormat="1" applyFont="1" applyBorder="1" applyAlignment="1">
      <alignment vertical="center"/>
    </xf>
    <xf numFmtId="3" fontId="7" fillId="0" borderId="49" xfId="0" applyNumberFormat="1" applyFont="1" applyBorder="1" applyAlignment="1">
      <alignment horizontal="right" vertical="center"/>
    </xf>
    <xf numFmtId="168" fontId="7" fillId="0" borderId="73" xfId="0" applyNumberFormat="1" applyFont="1" applyBorder="1" applyAlignment="1">
      <alignment vertical="center"/>
    </xf>
    <xf numFmtId="3" fontId="7" fillId="0" borderId="49" xfId="0" applyNumberFormat="1" applyFont="1" applyBorder="1" applyAlignment="1">
      <alignment vertical="center"/>
    </xf>
    <xf numFmtId="168" fontId="7" fillId="0" borderId="50" xfId="0" applyNumberFormat="1" applyFont="1" applyBorder="1" applyAlignment="1">
      <alignment vertical="center"/>
    </xf>
    <xf numFmtId="169" fontId="7" fillId="0" borderId="0" xfId="0" applyNumberFormat="1" applyFont="1" applyAlignment="1">
      <alignment vertical="center"/>
    </xf>
    <xf numFmtId="168" fontId="7" fillId="0" borderId="0" xfId="0" applyNumberFormat="1" applyFont="1" applyAlignment="1">
      <alignment vertical="center"/>
    </xf>
    <xf numFmtId="170" fontId="6" fillId="0" borderId="0" xfId="0" applyNumberFormat="1" applyFont="1" applyAlignment="1">
      <alignment vertical="center"/>
    </xf>
    <xf numFmtId="0" fontId="6" fillId="0" borderId="18" xfId="0" applyFont="1" applyBorder="1" applyAlignment="1">
      <alignment vertical="center"/>
    </xf>
    <xf numFmtId="0" fontId="6" fillId="0" borderId="19" xfId="0" applyFont="1" applyBorder="1" applyAlignment="1">
      <alignment vertical="center"/>
    </xf>
    <xf numFmtId="10" fontId="6" fillId="8" borderId="14" xfId="0" applyNumberFormat="1" applyFont="1" applyFill="1" applyBorder="1" applyAlignment="1">
      <alignment horizontal="center" vertical="center"/>
    </xf>
    <xf numFmtId="10" fontId="6" fillId="8" borderId="76" xfId="0" applyNumberFormat="1" applyFont="1" applyFill="1" applyBorder="1" applyAlignment="1">
      <alignment horizontal="center" vertical="center"/>
    </xf>
    <xf numFmtId="10" fontId="6" fillId="8" borderId="77" xfId="0" applyNumberFormat="1" applyFont="1" applyFill="1" applyBorder="1" applyAlignment="1">
      <alignment horizontal="center" vertical="center"/>
    </xf>
    <xf numFmtId="169" fontId="17" fillId="0" borderId="0" xfId="0" applyNumberFormat="1" applyFont="1"/>
    <xf numFmtId="0" fontId="6" fillId="0" borderId="74" xfId="0" applyFont="1" applyBorder="1" applyAlignment="1">
      <alignment vertical="center"/>
    </xf>
    <xf numFmtId="0" fontId="6" fillId="0" borderId="11" xfId="0" applyFont="1" applyBorder="1" applyAlignment="1">
      <alignment vertical="center"/>
    </xf>
    <xf numFmtId="0" fontId="7" fillId="0" borderId="22" xfId="0" applyFont="1" applyBorder="1" applyAlignment="1">
      <alignment horizontal="center" vertical="center"/>
    </xf>
    <xf numFmtId="10" fontId="7" fillId="0" borderId="22" xfId="0" applyNumberFormat="1" applyFont="1" applyBorder="1" applyAlignment="1">
      <alignment horizontal="center" vertical="center"/>
    </xf>
    <xf numFmtId="10" fontId="7" fillId="0" borderId="14" xfId="0" applyNumberFormat="1" applyFont="1" applyBorder="1" applyAlignment="1">
      <alignment horizontal="center" vertical="center"/>
    </xf>
    <xf numFmtId="171" fontId="6" fillId="0" borderId="0" xfId="0" applyNumberFormat="1" applyFont="1" applyAlignment="1">
      <alignment vertical="center"/>
    </xf>
    <xf numFmtId="9" fontId="6" fillId="0" borderId="0" xfId="0" applyNumberFormat="1" applyFont="1" applyAlignment="1">
      <alignment vertical="center"/>
    </xf>
    <xf numFmtId="2" fontId="6" fillId="0" borderId="0" xfId="0" applyNumberFormat="1" applyFont="1" applyAlignment="1">
      <alignment vertical="center"/>
    </xf>
    <xf numFmtId="10" fontId="6" fillId="0" borderId="0" xfId="0" applyNumberFormat="1" applyFont="1" applyAlignment="1">
      <alignment horizontal="center" vertical="center"/>
    </xf>
    <xf numFmtId="0" fontId="7" fillId="0" borderId="4" xfId="0" applyFont="1" applyBorder="1" applyAlignment="1">
      <alignment vertical="center" wrapText="1"/>
    </xf>
    <xf numFmtId="0" fontId="7" fillId="3" borderId="80" xfId="0" applyFont="1" applyFill="1" applyBorder="1" applyAlignment="1">
      <alignment horizontal="center" vertical="center" wrapText="1"/>
    </xf>
    <xf numFmtId="0" fontId="7" fillId="3" borderId="81" xfId="0" applyFont="1" applyFill="1" applyBorder="1" applyAlignment="1">
      <alignment horizontal="center" vertical="center" wrapText="1"/>
    </xf>
    <xf numFmtId="0" fontId="6" fillId="0" borderId="4" xfId="0" applyFont="1" applyBorder="1" applyAlignment="1">
      <alignment vertical="center" wrapText="1"/>
    </xf>
    <xf numFmtId="172" fontId="6" fillId="9" borderId="14" xfId="0" applyNumberFormat="1" applyFont="1" applyFill="1" applyBorder="1" applyAlignment="1">
      <alignment horizontal="right" vertical="center"/>
    </xf>
    <xf numFmtId="173" fontId="6" fillId="0" borderId="53" xfId="0" applyNumberFormat="1" applyFont="1" applyBorder="1" applyAlignment="1">
      <alignment vertical="center"/>
    </xf>
    <xf numFmtId="173" fontId="6" fillId="0" borderId="48" xfId="0" applyNumberFormat="1" applyFont="1" applyBorder="1" applyAlignment="1">
      <alignment vertical="center"/>
    </xf>
    <xf numFmtId="173" fontId="6" fillId="0" borderId="14" xfId="0" applyNumberFormat="1" applyFont="1" applyBorder="1" applyAlignment="1">
      <alignment vertical="center"/>
    </xf>
    <xf numFmtId="172" fontId="6" fillId="9" borderId="77" xfId="0" applyNumberFormat="1" applyFont="1" applyFill="1" applyBorder="1" applyAlignment="1">
      <alignment horizontal="right" vertical="center"/>
    </xf>
    <xf numFmtId="173" fontId="6" fillId="0" borderId="54" xfId="0" applyNumberFormat="1" applyFont="1" applyBorder="1" applyAlignment="1">
      <alignment vertical="center"/>
    </xf>
    <xf numFmtId="173" fontId="6" fillId="0" borderId="18" xfId="0" applyNumberFormat="1" applyFont="1" applyBorder="1" applyAlignment="1">
      <alignment vertical="center"/>
    </xf>
    <xf numFmtId="173" fontId="6" fillId="0" borderId="15" xfId="0" applyNumberFormat="1" applyFont="1" applyBorder="1" applyAlignment="1">
      <alignment vertical="center"/>
    </xf>
    <xf numFmtId="172" fontId="7" fillId="0" borderId="14" xfId="0" applyNumberFormat="1" applyFont="1" applyBorder="1" applyAlignment="1">
      <alignment horizontal="right" vertical="center"/>
    </xf>
    <xf numFmtId="173" fontId="7" fillId="0" borderId="14" xfId="0" applyNumberFormat="1" applyFont="1" applyBorder="1" applyAlignment="1">
      <alignment vertical="center"/>
    </xf>
    <xf numFmtId="168" fontId="7" fillId="0" borderId="14" xfId="0" applyNumberFormat="1" applyFont="1" applyBorder="1" applyAlignment="1">
      <alignment horizontal="center" vertical="center"/>
    </xf>
    <xf numFmtId="173" fontId="7" fillId="0" borderId="14" xfId="0" applyNumberFormat="1" applyFont="1" applyBorder="1" applyAlignment="1">
      <alignment horizontal="right" vertical="center"/>
    </xf>
    <xf numFmtId="168" fontId="7" fillId="0" borderId="14" xfId="0" applyNumberFormat="1" applyFont="1" applyBorder="1" applyAlignment="1">
      <alignment vertical="center"/>
    </xf>
    <xf numFmtId="173" fontId="7" fillId="0" borderId="18" xfId="0" applyNumberFormat="1" applyFont="1" applyBorder="1" applyAlignment="1">
      <alignment vertical="center"/>
    </xf>
    <xf numFmtId="168" fontId="7" fillId="0" borderId="22" xfId="0" applyNumberFormat="1" applyFont="1" applyBorder="1" applyAlignment="1">
      <alignment vertical="center"/>
    </xf>
    <xf numFmtId="173" fontId="7" fillId="0" borderId="15" xfId="0" applyNumberFormat="1" applyFont="1" applyBorder="1" applyAlignment="1">
      <alignment vertical="center"/>
    </xf>
    <xf numFmtId="10" fontId="6" fillId="0" borderId="14" xfId="0" applyNumberFormat="1" applyFont="1" applyBorder="1" applyAlignment="1">
      <alignment vertical="center"/>
    </xf>
    <xf numFmtId="173" fontId="6" fillId="0" borderId="14" xfId="0" applyNumberFormat="1" applyFont="1" applyBorder="1" applyAlignment="1">
      <alignment horizontal="right" vertical="center"/>
    </xf>
    <xf numFmtId="173" fontId="6" fillId="0" borderId="18" xfId="0" applyNumberFormat="1" applyFont="1" applyBorder="1" applyAlignment="1">
      <alignment horizontal="right" vertical="center"/>
    </xf>
    <xf numFmtId="173" fontId="6" fillId="0" borderId="15" xfId="0" applyNumberFormat="1" applyFont="1" applyBorder="1" applyAlignment="1">
      <alignment horizontal="right" vertical="center"/>
    </xf>
    <xf numFmtId="174" fontId="6" fillId="0" borderId="14" xfId="0" applyNumberFormat="1" applyFont="1" applyBorder="1" applyAlignment="1">
      <alignment vertical="center"/>
    </xf>
    <xf numFmtId="174" fontId="7" fillId="0" borderId="14" xfId="0" applyNumberFormat="1" applyFont="1" applyBorder="1" applyAlignment="1">
      <alignment horizontal="center" vertical="center"/>
    </xf>
    <xf numFmtId="174" fontId="7" fillId="0" borderId="14" xfId="0" applyNumberFormat="1" applyFont="1" applyBorder="1" applyAlignment="1">
      <alignment vertical="center"/>
    </xf>
    <xf numFmtId="174" fontId="7" fillId="0" borderId="22" xfId="0" applyNumberFormat="1" applyFont="1" applyBorder="1" applyAlignment="1">
      <alignment vertical="center"/>
    </xf>
    <xf numFmtId="175" fontId="6" fillId="0" borderId="0" xfId="0" applyNumberFormat="1" applyFont="1"/>
    <xf numFmtId="172" fontId="6" fillId="0" borderId="14" xfId="0" applyNumberFormat="1" applyFont="1" applyBorder="1" applyAlignment="1">
      <alignment horizontal="right" vertical="center"/>
    </xf>
    <xf numFmtId="168" fontId="7" fillId="9" borderId="14" xfId="0" applyNumberFormat="1" applyFont="1" applyFill="1" applyBorder="1" applyAlignment="1">
      <alignment vertical="center"/>
    </xf>
    <xf numFmtId="0" fontId="7" fillId="3" borderId="30" xfId="0" quotePrefix="1" applyFont="1" applyFill="1" applyBorder="1" applyAlignment="1">
      <alignment horizontal="center" vertical="center"/>
    </xf>
    <xf numFmtId="0" fontId="7" fillId="3" borderId="31" xfId="0" applyFont="1" applyFill="1" applyBorder="1" applyAlignment="1">
      <alignment vertical="center"/>
    </xf>
    <xf numFmtId="0" fontId="6" fillId="3" borderId="31" xfId="0" applyFont="1" applyFill="1" applyBorder="1" applyAlignment="1">
      <alignment vertical="center"/>
    </xf>
    <xf numFmtId="0" fontId="6" fillId="3" borderId="25" xfId="0" applyFont="1" applyFill="1" applyBorder="1" applyAlignment="1">
      <alignment vertical="center"/>
    </xf>
    <xf numFmtId="0" fontId="7" fillId="3" borderId="17" xfId="0" applyFont="1" applyFill="1" applyBorder="1" applyAlignment="1">
      <alignment horizontal="center" vertical="center"/>
    </xf>
    <xf numFmtId="0" fontId="7" fillId="3" borderId="14" xfId="0" applyFont="1" applyFill="1" applyBorder="1" applyAlignment="1">
      <alignment horizontal="center" vertical="center"/>
    </xf>
    <xf numFmtId="175" fontId="7" fillId="3" borderId="14"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18" xfId="0" applyFont="1" applyBorder="1"/>
    <xf numFmtId="0" fontId="6" fillId="0" borderId="19" xfId="0" applyFont="1" applyBorder="1"/>
    <xf numFmtId="0" fontId="6" fillId="0" borderId="22" xfId="0" applyFont="1" applyBorder="1"/>
    <xf numFmtId="168" fontId="6" fillId="0" borderId="14" xfId="0" applyNumberFormat="1" applyFont="1" applyBorder="1" applyAlignment="1">
      <alignment horizontal="center"/>
    </xf>
    <xf numFmtId="9" fontId="6" fillId="9" borderId="14" xfId="0" applyNumberFormat="1" applyFont="1" applyFill="1" applyBorder="1" applyAlignment="1">
      <alignment horizontal="center"/>
    </xf>
    <xf numFmtId="10" fontId="6" fillId="0" borderId="14" xfId="0" applyNumberFormat="1" applyFont="1" applyBorder="1"/>
    <xf numFmtId="168" fontId="6" fillId="0" borderId="14" xfId="0" applyNumberFormat="1" applyFont="1" applyBorder="1"/>
    <xf numFmtId="168" fontId="6" fillId="0" borderId="0" xfId="0" applyNumberFormat="1" applyFont="1"/>
    <xf numFmtId="9" fontId="6" fillId="0" borderId="14" xfId="0" applyNumberFormat="1" applyFont="1" applyBorder="1" applyAlignment="1">
      <alignment horizontal="center"/>
    </xf>
    <xf numFmtId="0" fontId="7" fillId="7" borderId="30" xfId="0" quotePrefix="1" applyFont="1" applyFill="1" applyBorder="1" applyAlignment="1">
      <alignment horizontal="center" vertical="center"/>
    </xf>
    <xf numFmtId="0" fontId="15" fillId="0" borderId="5" xfId="0" applyFont="1" applyBorder="1" applyAlignment="1">
      <alignment vertical="center"/>
    </xf>
    <xf numFmtId="0" fontId="7" fillId="0" borderId="4" xfId="0" applyFont="1" applyBorder="1"/>
    <xf numFmtId="0" fontId="7" fillId="0" borderId="0" xfId="0" applyFont="1" applyAlignment="1">
      <alignment horizontal="center"/>
    </xf>
    <xf numFmtId="0" fontId="7" fillId="0" borderId="0" xfId="0" applyFont="1"/>
    <xf numFmtId="0" fontId="7" fillId="3" borderId="14" xfId="0" applyFont="1" applyFill="1" applyBorder="1" applyAlignment="1">
      <alignment horizontal="center"/>
    </xf>
    <xf numFmtId="175" fontId="7" fillId="3" borderId="14" xfId="0" applyNumberFormat="1" applyFont="1" applyFill="1" applyBorder="1" applyAlignment="1">
      <alignment horizontal="center"/>
    </xf>
    <xf numFmtId="0" fontId="6" fillId="0" borderId="22" xfId="0" applyFont="1" applyBorder="1" applyAlignment="1">
      <alignment vertical="center"/>
    </xf>
    <xf numFmtId="0" fontId="6" fillId="0" borderId="49" xfId="0" applyFont="1" applyBorder="1"/>
    <xf numFmtId="0" fontId="6" fillId="0" borderId="10" xfId="0" applyFont="1" applyBorder="1"/>
    <xf numFmtId="0" fontId="6" fillId="0" borderId="56" xfId="0" applyFont="1" applyBorder="1"/>
    <xf numFmtId="0" fontId="7" fillId="0" borderId="57" xfId="0" applyFont="1" applyBorder="1" applyAlignment="1">
      <alignment vertical="center"/>
    </xf>
    <xf numFmtId="0" fontId="6" fillId="0" borderId="57" xfId="0" applyFont="1" applyBorder="1"/>
    <xf numFmtId="0" fontId="11" fillId="0" borderId="58" xfId="0" applyFont="1" applyBorder="1"/>
    <xf numFmtId="0" fontId="17" fillId="0" borderId="0" xfId="0" applyFont="1" applyAlignment="1">
      <alignment vertical="center" wrapText="1"/>
    </xf>
    <xf numFmtId="0" fontId="3" fillId="5" borderId="17"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center" vertical="center"/>
    </xf>
    <xf numFmtId="1" fontId="3" fillId="5" borderId="26" xfId="0" applyNumberFormat="1" applyFont="1" applyFill="1" applyBorder="1" applyAlignment="1">
      <alignment horizontal="center" vertical="center"/>
    </xf>
    <xf numFmtId="1" fontId="3" fillId="5" borderId="84" xfId="0" applyNumberFormat="1" applyFont="1" applyFill="1" applyBorder="1" applyAlignment="1">
      <alignment horizontal="center" vertical="center"/>
    </xf>
    <xf numFmtId="1" fontId="3" fillId="5" borderId="85" xfId="0" applyNumberFormat="1" applyFont="1" applyFill="1" applyBorder="1" applyAlignment="1">
      <alignment horizontal="center" vertical="center"/>
    </xf>
    <xf numFmtId="0" fontId="17" fillId="0" borderId="0" xfId="0" applyFont="1" applyAlignment="1">
      <alignment horizontal="center" vertical="center" wrapText="1"/>
    </xf>
    <xf numFmtId="0" fontId="17" fillId="0" borderId="0" xfId="0" applyFont="1" applyAlignment="1">
      <alignment horizontal="left" vertical="center" wrapText="1"/>
    </xf>
    <xf numFmtId="17" fontId="17" fillId="0" borderId="0" xfId="0" applyNumberFormat="1" applyFont="1" applyAlignment="1">
      <alignment horizontal="left" vertical="center" wrapText="1"/>
    </xf>
    <xf numFmtId="0" fontId="17" fillId="0" borderId="0" xfId="0" applyFont="1" applyAlignment="1">
      <alignment horizontal="right" vertical="center" wrapText="1"/>
    </xf>
    <xf numFmtId="0" fontId="19" fillId="10" borderId="14" xfId="0" applyFont="1" applyFill="1" applyBorder="1" applyAlignment="1">
      <alignment horizontal="center" vertical="center" wrapText="1"/>
    </xf>
    <xf numFmtId="0" fontId="17" fillId="0" borderId="14" xfId="0" applyFont="1" applyBorder="1" applyAlignment="1">
      <alignment horizontal="center" vertical="center" wrapText="1"/>
    </xf>
    <xf numFmtId="0" fontId="17" fillId="0" borderId="14" xfId="0" applyFont="1" applyBorder="1" applyAlignment="1">
      <alignment horizontal="left" vertical="center" wrapText="1"/>
    </xf>
    <xf numFmtId="0" fontId="17" fillId="11" borderId="14" xfId="0" applyFont="1" applyFill="1" applyBorder="1" applyAlignment="1">
      <alignment vertical="center" wrapText="1"/>
    </xf>
    <xf numFmtId="8" fontId="17" fillId="0" borderId="14" xfId="0" applyNumberFormat="1" applyFont="1" applyBorder="1" applyAlignment="1">
      <alignment vertical="center" wrapText="1"/>
    </xf>
    <xf numFmtId="0" fontId="17" fillId="0" borderId="14" xfId="0" applyFont="1" applyBorder="1" applyAlignment="1">
      <alignment vertical="center" wrapText="1"/>
    </xf>
    <xf numFmtId="169" fontId="17" fillId="0" borderId="0" xfId="0" applyNumberFormat="1" applyFont="1" applyAlignment="1">
      <alignment vertical="center" wrapText="1"/>
    </xf>
    <xf numFmtId="0" fontId="17" fillId="9" borderId="14" xfId="0" applyFont="1" applyFill="1" applyBorder="1" applyAlignment="1">
      <alignment vertical="center" wrapText="1"/>
    </xf>
    <xf numFmtId="0" fontId="20" fillId="0" borderId="0" xfId="0" applyFont="1" applyAlignment="1">
      <alignment vertical="center" wrapText="1"/>
    </xf>
    <xf numFmtId="0" fontId="21" fillId="0" borderId="0" xfId="0" applyFont="1" applyAlignment="1">
      <alignment horizontal="center" vertical="center" wrapText="1"/>
    </xf>
    <xf numFmtId="8" fontId="17" fillId="12" borderId="14" xfId="0" applyNumberFormat="1" applyFont="1" applyFill="1" applyBorder="1" applyAlignment="1">
      <alignment vertical="center" wrapText="1"/>
    </xf>
    <xf numFmtId="2" fontId="17" fillId="12" borderId="14" xfId="0" applyNumberFormat="1" applyFont="1" applyFill="1" applyBorder="1" applyAlignment="1">
      <alignment vertical="center" wrapText="1"/>
    </xf>
    <xf numFmtId="0" fontId="17" fillId="0" borderId="0" xfId="0" applyFont="1" applyAlignment="1">
      <alignment vertical="center"/>
    </xf>
    <xf numFmtId="0" fontId="17" fillId="0" borderId="51" xfId="0" applyFont="1" applyBorder="1" applyAlignment="1">
      <alignment horizontal="left" vertical="center" wrapText="1"/>
    </xf>
    <xf numFmtId="0" fontId="17" fillId="0" borderId="51" xfId="0" applyFont="1" applyBorder="1" applyAlignment="1">
      <alignment vertical="center" wrapText="1"/>
    </xf>
    <xf numFmtId="8" fontId="17" fillId="12" borderId="86" xfId="0" applyNumberFormat="1" applyFont="1" applyFill="1" applyBorder="1" applyAlignment="1">
      <alignment vertical="center" wrapText="1"/>
    </xf>
    <xf numFmtId="2" fontId="17" fillId="12" borderId="86" xfId="0" applyNumberFormat="1" applyFont="1" applyFill="1" applyBorder="1" applyAlignment="1">
      <alignment vertical="center" wrapText="1"/>
    </xf>
    <xf numFmtId="8" fontId="17" fillId="0" borderId="51" xfId="0" applyNumberFormat="1" applyFont="1" applyBorder="1" applyAlignment="1">
      <alignment vertical="center" wrapText="1"/>
    </xf>
    <xf numFmtId="0" fontId="22" fillId="10" borderId="14"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4" xfId="0" applyFont="1" applyFill="1" applyBorder="1" applyAlignment="1">
      <alignment horizontal="left" vertical="center" wrapText="1"/>
    </xf>
    <xf numFmtId="0" fontId="21" fillId="13" borderId="14" xfId="0" applyFont="1" applyFill="1" applyBorder="1" applyAlignment="1">
      <alignment vertical="center" wrapText="1"/>
    </xf>
    <xf numFmtId="8" fontId="21" fillId="13" borderId="14" xfId="0" applyNumberFormat="1" applyFont="1" applyFill="1" applyBorder="1" applyAlignment="1">
      <alignment vertical="center" wrapText="1"/>
    </xf>
    <xf numFmtId="2" fontId="17" fillId="0" borderId="14" xfId="0" applyNumberFormat="1" applyFont="1" applyBorder="1" applyAlignment="1">
      <alignment vertical="center" wrapText="1"/>
    </xf>
    <xf numFmtId="8" fontId="17" fillId="0" borderId="0" xfId="0" applyNumberFormat="1" applyFont="1" applyAlignment="1">
      <alignment vertical="center" wrapText="1"/>
    </xf>
    <xf numFmtId="0" fontId="20" fillId="0" borderId="0" xfId="0" applyFont="1" applyAlignment="1">
      <alignment horizontal="right" vertical="center" wrapText="1"/>
    </xf>
    <xf numFmtId="176" fontId="20" fillId="0" borderId="0" xfId="0" applyNumberFormat="1" applyFont="1" applyAlignment="1">
      <alignment vertical="center" wrapText="1"/>
    </xf>
    <xf numFmtId="176" fontId="17" fillId="0" borderId="0" xfId="0" applyNumberFormat="1" applyFont="1" applyAlignment="1">
      <alignment vertical="center" wrapText="1"/>
    </xf>
    <xf numFmtId="0" fontId="19" fillId="14" borderId="14" xfId="0" applyFont="1" applyFill="1" applyBorder="1" applyAlignment="1">
      <alignment horizontal="center" vertical="center" wrapText="1"/>
    </xf>
    <xf numFmtId="0" fontId="19" fillId="14" borderId="14" xfId="0" applyFont="1" applyFill="1" applyBorder="1" applyAlignment="1">
      <alignment horizontal="left" vertical="center" wrapText="1"/>
    </xf>
    <xf numFmtId="0" fontId="22" fillId="14" borderId="14" xfId="0" applyFont="1" applyFill="1" applyBorder="1" applyAlignment="1">
      <alignment vertical="center" wrapText="1"/>
    </xf>
    <xf numFmtId="8" fontId="19" fillId="14" borderId="14" xfId="0" applyNumberFormat="1" applyFont="1" applyFill="1" applyBorder="1" applyAlignment="1">
      <alignment vertical="center" wrapText="1"/>
    </xf>
    <xf numFmtId="0" fontId="19" fillId="14" borderId="14" xfId="0" applyFont="1" applyFill="1" applyBorder="1" applyAlignment="1">
      <alignment vertical="center" wrapText="1"/>
    </xf>
    <xf numFmtId="0" fontId="11" fillId="0" borderId="0" xfId="0" applyFont="1"/>
    <xf numFmtId="0" fontId="23" fillId="0" borderId="0" xfId="0" applyFont="1"/>
    <xf numFmtId="0" fontId="17" fillId="5" borderId="14" xfId="0" applyFont="1" applyFill="1" applyBorder="1" applyAlignment="1">
      <alignment horizontal="center" vertical="center" wrapText="1"/>
    </xf>
    <xf numFmtId="0" fontId="17" fillId="5" borderId="14" xfId="0" applyFont="1" applyFill="1" applyBorder="1" applyAlignment="1">
      <alignment horizontal="left" vertical="center" wrapText="1"/>
    </xf>
    <xf numFmtId="0" fontId="17" fillId="5" borderId="14" xfId="0" applyFont="1" applyFill="1" applyBorder="1" applyAlignment="1">
      <alignment vertical="center" wrapText="1"/>
    </xf>
    <xf numFmtId="8" fontId="17" fillId="5" borderId="14" xfId="0" applyNumberFormat="1" applyFont="1" applyFill="1" applyBorder="1" applyAlignment="1">
      <alignment vertical="center" wrapText="1"/>
    </xf>
    <xf numFmtId="2" fontId="17" fillId="5" borderId="14" xfId="0" applyNumberFormat="1" applyFont="1" applyFill="1" applyBorder="1" applyAlignment="1">
      <alignment vertical="center" wrapText="1"/>
    </xf>
    <xf numFmtId="0" fontId="21" fillId="15" borderId="87" xfId="0" applyFont="1" applyFill="1" applyBorder="1" applyAlignment="1">
      <alignment horizontal="center" vertical="center" wrapText="1"/>
    </xf>
    <xf numFmtId="0" fontId="3" fillId="15" borderId="88" xfId="0" applyFont="1" applyFill="1" applyBorder="1" applyAlignment="1">
      <alignment vertical="center" wrapText="1"/>
    </xf>
    <xf numFmtId="0" fontId="21" fillId="15" borderId="88" xfId="0" applyFont="1" applyFill="1" applyBorder="1" applyAlignment="1">
      <alignment vertical="center" wrapText="1"/>
    </xf>
    <xf numFmtId="177" fontId="13" fillId="15" borderId="89" xfId="0" applyNumberFormat="1" applyFont="1" applyFill="1" applyBorder="1" applyAlignment="1">
      <alignment vertical="center" wrapText="1"/>
    </xf>
    <xf numFmtId="0" fontId="3" fillId="0" borderId="0" xfId="0" applyFont="1" applyAlignment="1">
      <alignment vertical="center" wrapText="1"/>
    </xf>
    <xf numFmtId="10" fontId="24" fillId="0" borderId="0" xfId="0" applyNumberFormat="1" applyFont="1" applyAlignment="1">
      <alignment horizontal="center" vertical="center" wrapText="1"/>
    </xf>
    <xf numFmtId="0" fontId="17" fillId="0" borderId="90" xfId="0" applyFont="1" applyBorder="1" applyAlignment="1">
      <alignment horizontal="center" vertical="center" wrapText="1"/>
    </xf>
    <xf numFmtId="0" fontId="3" fillId="0" borderId="91" xfId="0" applyFont="1" applyBorder="1" applyAlignment="1">
      <alignment horizontal="center" vertical="center" wrapText="1"/>
    </xf>
    <xf numFmtId="0" fontId="17" fillId="0" borderId="91" xfId="0" applyFont="1" applyBorder="1" applyAlignment="1">
      <alignment vertical="center" wrapText="1"/>
    </xf>
    <xf numFmtId="9" fontId="3" fillId="0" borderId="91" xfId="0" applyNumberFormat="1" applyFont="1" applyBorder="1" applyAlignment="1">
      <alignment horizontal="center" vertical="center" wrapText="1"/>
    </xf>
    <xf numFmtId="177" fontId="3" fillId="0" borderId="91" xfId="0" applyNumberFormat="1" applyFont="1" applyBorder="1" applyAlignment="1">
      <alignment vertical="center" wrapText="1"/>
    </xf>
    <xf numFmtId="2" fontId="3" fillId="0" borderId="91" xfId="0" applyNumberFormat="1" applyFont="1" applyBorder="1" applyAlignment="1">
      <alignment horizontal="center" vertical="center" wrapText="1"/>
    </xf>
    <xf numFmtId="177" fontId="3" fillId="0" borderId="92" xfId="0" applyNumberFormat="1" applyFont="1" applyBorder="1" applyAlignment="1">
      <alignment vertical="center" wrapText="1"/>
    </xf>
    <xf numFmtId="10" fontId="25" fillId="0" borderId="0" xfId="0" applyNumberFormat="1" applyFont="1" applyAlignment="1">
      <alignment horizontal="center" vertical="center" wrapText="1"/>
    </xf>
    <xf numFmtId="0" fontId="17" fillId="0" borderId="17" xfId="0" applyFont="1" applyBorder="1" applyAlignment="1">
      <alignment horizontal="center" vertical="center" wrapText="1"/>
    </xf>
    <xf numFmtId="0" fontId="3" fillId="0" borderId="14" xfId="0" applyFont="1" applyBorder="1" applyAlignment="1">
      <alignment horizontal="center" vertical="center" wrapText="1"/>
    </xf>
    <xf numFmtId="9" fontId="3" fillId="0" borderId="14" xfId="0" applyNumberFormat="1" applyFont="1" applyBorder="1" applyAlignment="1">
      <alignment horizontal="center" vertical="center" wrapText="1"/>
    </xf>
    <xf numFmtId="177" fontId="3" fillId="0" borderId="14" xfId="0" applyNumberFormat="1" applyFont="1" applyBorder="1" applyAlignment="1">
      <alignment vertical="center" wrapText="1"/>
    </xf>
    <xf numFmtId="2" fontId="3" fillId="0" borderId="14" xfId="0" applyNumberFormat="1" applyFont="1" applyBorder="1" applyAlignment="1">
      <alignment horizontal="center" vertical="center" wrapText="1"/>
    </xf>
    <xf numFmtId="177" fontId="3" fillId="0" borderId="15" xfId="0" applyNumberFormat="1" applyFont="1" applyBorder="1" applyAlignment="1">
      <alignment vertical="center" wrapText="1"/>
    </xf>
    <xf numFmtId="177" fontId="3" fillId="15" borderId="88" xfId="0" applyNumberFormat="1" applyFont="1" applyFill="1" applyBorder="1" applyAlignment="1">
      <alignment vertical="center" wrapText="1"/>
    </xf>
    <xf numFmtId="0" fontId="17" fillId="0" borderId="13" xfId="0" applyFont="1" applyBorder="1" applyAlignment="1">
      <alignment horizontal="center" vertical="center" wrapText="1"/>
    </xf>
    <xf numFmtId="0" fontId="3" fillId="0" borderId="51" xfId="0" applyFont="1" applyBorder="1" applyAlignment="1">
      <alignment horizontal="center" vertical="center" wrapText="1"/>
    </xf>
    <xf numFmtId="9" fontId="3" fillId="0" borderId="51" xfId="0" applyNumberFormat="1" applyFont="1" applyBorder="1" applyAlignment="1">
      <alignment horizontal="center" vertical="center" wrapText="1"/>
    </xf>
    <xf numFmtId="177" fontId="3" fillId="0" borderId="51" xfId="0" applyNumberFormat="1" applyFont="1" applyBorder="1" applyAlignment="1">
      <alignment vertical="center" wrapText="1"/>
    </xf>
    <xf numFmtId="1" fontId="3" fillId="0" borderId="14" xfId="0" applyNumberFormat="1" applyFont="1" applyBorder="1" applyAlignment="1">
      <alignment horizontal="center" vertical="center" wrapText="1"/>
    </xf>
    <xf numFmtId="0" fontId="17" fillId="5" borderId="30" xfId="0" applyFont="1" applyFill="1" applyBorder="1" applyAlignment="1">
      <alignment horizontal="center" vertical="center" wrapText="1"/>
    </xf>
    <xf numFmtId="1" fontId="3" fillId="5" borderId="31" xfId="0" applyNumberFormat="1" applyFont="1" applyFill="1" applyBorder="1" applyAlignment="1">
      <alignment horizontal="center" vertical="center" wrapText="1"/>
    </xf>
    <xf numFmtId="0" fontId="17" fillId="5" borderId="31" xfId="0" applyFont="1" applyFill="1" applyBorder="1" applyAlignment="1">
      <alignment vertical="center" wrapText="1"/>
    </xf>
    <xf numFmtId="9" fontId="3" fillId="5" borderId="31" xfId="0" applyNumberFormat="1" applyFont="1" applyFill="1" applyBorder="1" applyAlignment="1">
      <alignment horizontal="center" vertical="center" wrapText="1"/>
    </xf>
    <xf numFmtId="177" fontId="3" fillId="5" borderId="31" xfId="0" applyNumberFormat="1" applyFont="1" applyFill="1" applyBorder="1" applyAlignment="1">
      <alignment vertical="center" wrapText="1"/>
    </xf>
    <xf numFmtId="0" fontId="3" fillId="5" borderId="31" xfId="0" applyFont="1" applyFill="1" applyBorder="1" applyAlignment="1">
      <alignment horizontal="center" vertical="center" wrapText="1"/>
    </xf>
    <xf numFmtId="177" fontId="3" fillId="5" borderId="25" xfId="0" applyNumberFormat="1" applyFont="1" applyFill="1" applyBorder="1" applyAlignment="1">
      <alignment vertical="center" wrapText="1"/>
    </xf>
    <xf numFmtId="0" fontId="13" fillId="15" borderId="88" xfId="0" applyFont="1" applyFill="1" applyBorder="1" applyAlignment="1">
      <alignment horizontal="center" vertical="center" wrapText="1"/>
    </xf>
    <xf numFmtId="177" fontId="26" fillId="15" borderId="77" xfId="0" applyNumberFormat="1" applyFont="1" applyFill="1" applyBorder="1"/>
    <xf numFmtId="178" fontId="3" fillId="0" borderId="51" xfId="0" applyNumberFormat="1" applyFont="1" applyBorder="1" applyAlignment="1">
      <alignment horizontal="center" vertical="center" wrapText="1"/>
    </xf>
    <xf numFmtId="10" fontId="3" fillId="0" borderId="51" xfId="0" applyNumberFormat="1" applyFont="1" applyBorder="1" applyAlignment="1">
      <alignment horizontal="center" vertical="center" wrapText="1"/>
    </xf>
    <xf numFmtId="177" fontId="3" fillId="0" borderId="52" xfId="0" applyNumberFormat="1" applyFont="1" applyBorder="1" applyAlignment="1">
      <alignment vertical="center" wrapText="1"/>
    </xf>
    <xf numFmtId="178" fontId="3" fillId="0" borderId="14" xfId="0" applyNumberFormat="1" applyFont="1" applyBorder="1" applyAlignment="1">
      <alignment horizontal="center" vertical="center" wrapText="1"/>
    </xf>
    <xf numFmtId="10" fontId="3" fillId="0" borderId="14" xfId="0" applyNumberFormat="1" applyFont="1" applyBorder="1" applyAlignment="1">
      <alignment horizontal="center" vertical="center" wrapText="1"/>
    </xf>
    <xf numFmtId="2" fontId="26" fillId="16" borderId="93" xfId="0" applyNumberFormat="1" applyFont="1" applyFill="1" applyBorder="1" applyAlignment="1">
      <alignment horizontal="center"/>
    </xf>
    <xf numFmtId="177" fontId="8" fillId="0" borderId="72" xfId="0" applyNumberFormat="1" applyFont="1" applyBorder="1"/>
    <xf numFmtId="2" fontId="26" fillId="16" borderId="14" xfId="0" applyNumberFormat="1" applyFont="1" applyFill="1" applyBorder="1" applyAlignment="1">
      <alignment horizontal="center"/>
    </xf>
    <xf numFmtId="177" fontId="8" fillId="0" borderId="75" xfId="0" applyNumberFormat="1" applyFont="1" applyBorder="1"/>
    <xf numFmtId="10" fontId="21" fillId="15" borderId="88" xfId="0" applyNumberFormat="1" applyFont="1" applyFill="1" applyBorder="1" applyAlignment="1">
      <alignment horizontal="center" vertical="center" wrapText="1"/>
    </xf>
    <xf numFmtId="10" fontId="21" fillId="15" borderId="88" xfId="0" applyNumberFormat="1" applyFont="1" applyFill="1" applyBorder="1" applyAlignment="1">
      <alignment horizontal="left" vertical="center" wrapText="1"/>
    </xf>
    <xf numFmtId="0" fontId="17" fillId="0" borderId="21" xfId="0" applyFont="1" applyBorder="1" applyAlignment="1">
      <alignment horizontal="center" vertical="center" wrapText="1"/>
    </xf>
    <xf numFmtId="10" fontId="3" fillId="0" borderId="22" xfId="0" applyNumberFormat="1" applyFont="1" applyBorder="1" applyAlignment="1">
      <alignment horizontal="center" vertical="center" wrapText="1"/>
    </xf>
    <xf numFmtId="10" fontId="3" fillId="0" borderId="53" xfId="0" applyNumberFormat="1" applyFont="1" applyBorder="1" applyAlignment="1">
      <alignment horizontal="center" vertical="center" wrapText="1"/>
    </xf>
    <xf numFmtId="177" fontId="3" fillId="0" borderId="54" xfId="0" applyNumberFormat="1" applyFont="1" applyBorder="1" applyAlignment="1">
      <alignment vertical="center" wrapText="1"/>
    </xf>
    <xf numFmtId="0" fontId="17" fillId="0" borderId="78" xfId="0" applyFont="1" applyBorder="1" applyAlignment="1">
      <alignment horizontal="center" vertical="center" wrapText="1"/>
    </xf>
    <xf numFmtId="0" fontId="17" fillId="0" borderId="18" xfId="0" applyFont="1" applyBorder="1" applyAlignment="1">
      <alignment vertical="center" wrapText="1"/>
    </xf>
    <xf numFmtId="0" fontId="13" fillId="15" borderId="88" xfId="0" applyFont="1" applyFill="1" applyBorder="1" applyAlignment="1">
      <alignment horizontal="right" vertical="center"/>
    </xf>
    <xf numFmtId="0" fontId="27" fillId="0" borderId="0" xfId="0" applyFont="1"/>
    <xf numFmtId="0" fontId="8" fillId="0" borderId="74" xfId="0" applyFont="1" applyBorder="1"/>
    <xf numFmtId="0" fontId="26" fillId="0" borderId="11" xfId="0" applyFont="1" applyBorder="1" applyAlignment="1">
      <alignment horizontal="right"/>
    </xf>
    <xf numFmtId="179" fontId="26" fillId="0" borderId="75" xfId="0" applyNumberFormat="1" applyFont="1" applyBorder="1"/>
    <xf numFmtId="0" fontId="8" fillId="0" borderId="71" xfId="0" applyFont="1" applyBorder="1"/>
    <xf numFmtId="0" fontId="28" fillId="0" borderId="0" xfId="0" applyFont="1" applyAlignment="1">
      <alignment horizontal="right"/>
    </xf>
    <xf numFmtId="10" fontId="28" fillId="0" borderId="0" xfId="0" applyNumberFormat="1" applyFont="1" applyAlignment="1">
      <alignment horizontal="center"/>
    </xf>
    <xf numFmtId="179" fontId="28" fillId="0" borderId="72" xfId="0" applyNumberFormat="1" applyFont="1" applyBorder="1"/>
    <xf numFmtId="9" fontId="27" fillId="0" borderId="0" xfId="0" applyNumberFormat="1" applyFont="1"/>
    <xf numFmtId="9" fontId="8" fillId="0" borderId="48" xfId="0" applyNumberFormat="1" applyFont="1" applyBorder="1"/>
    <xf numFmtId="0" fontId="26" fillId="0" borderId="49" xfId="0" applyFont="1" applyBorder="1" applyAlignment="1">
      <alignment horizontal="right"/>
    </xf>
    <xf numFmtId="10" fontId="26" fillId="0" borderId="49" xfId="0" applyNumberFormat="1" applyFont="1" applyBorder="1" applyAlignment="1">
      <alignment horizontal="center"/>
    </xf>
    <xf numFmtId="177" fontId="26" fillId="0" borderId="73" xfId="0" applyNumberFormat="1" applyFont="1" applyBorder="1"/>
    <xf numFmtId="0" fontId="3" fillId="0" borderId="0" xfId="0" applyFont="1" applyAlignment="1">
      <alignment horizontal="right" wrapText="1"/>
    </xf>
    <xf numFmtId="0" fontId="3" fillId="0" borderId="95" xfId="0" applyFont="1" applyBorder="1" applyAlignment="1">
      <alignment wrapText="1"/>
    </xf>
    <xf numFmtId="0" fontId="3" fillId="0" borderId="96" xfId="0" applyFont="1" applyBorder="1" applyAlignment="1">
      <alignment horizontal="left" wrapText="1"/>
    </xf>
    <xf numFmtId="0" fontId="3" fillId="0" borderId="96" xfId="0" applyFont="1" applyBorder="1" applyAlignment="1">
      <alignment wrapText="1"/>
    </xf>
    <xf numFmtId="0" fontId="3" fillId="0" borderId="96" xfId="0" applyFont="1" applyBorder="1" applyAlignment="1">
      <alignment horizontal="center" wrapText="1"/>
    </xf>
    <xf numFmtId="0" fontId="3" fillId="0" borderId="97" xfId="0" applyFont="1" applyBorder="1" applyAlignment="1">
      <alignment wrapText="1"/>
    </xf>
    <xf numFmtId="0" fontId="3" fillId="0" borderId="98" xfId="0" applyFont="1" applyBorder="1" applyAlignment="1">
      <alignment wrapText="1"/>
    </xf>
    <xf numFmtId="0" fontId="3" fillId="0" borderId="0" xfId="0" applyFont="1" applyAlignment="1">
      <alignment horizontal="left" wrapText="1"/>
    </xf>
    <xf numFmtId="0" fontId="3" fillId="0" borderId="0" xfId="0" applyFont="1" applyAlignment="1">
      <alignment wrapText="1"/>
    </xf>
    <xf numFmtId="0" fontId="3" fillId="0" borderId="102" xfId="0" applyFont="1" applyBorder="1" applyAlignment="1">
      <alignment wrapText="1"/>
    </xf>
    <xf numFmtId="0" fontId="13" fillId="0" borderId="103" xfId="0" applyFont="1" applyBorder="1" applyAlignment="1">
      <alignment horizontal="left" vertical="center" wrapText="1"/>
    </xf>
    <xf numFmtId="0" fontId="3" fillId="0" borderId="103" xfId="0" applyFont="1" applyBorder="1" applyAlignment="1">
      <alignment horizontal="left" vertical="center" wrapText="1"/>
    </xf>
    <xf numFmtId="0" fontId="3" fillId="0" borderId="0" xfId="0" applyFont="1" applyAlignment="1">
      <alignment horizontal="center" vertical="center" wrapText="1"/>
    </xf>
    <xf numFmtId="0" fontId="3" fillId="0" borderId="98" xfId="0" applyFont="1" applyBorder="1" applyAlignment="1">
      <alignment horizontal="center" vertical="center" wrapText="1"/>
    </xf>
    <xf numFmtId="0" fontId="3" fillId="0" borderId="102" xfId="0" applyFont="1" applyBorder="1" applyAlignment="1">
      <alignment horizontal="center" vertical="center" wrapText="1"/>
    </xf>
    <xf numFmtId="0" fontId="3" fillId="5" borderId="31" xfId="0" applyFont="1" applyFill="1" applyBorder="1" applyAlignment="1">
      <alignment horizontal="right" wrapText="1"/>
    </xf>
    <xf numFmtId="0" fontId="3" fillId="5" borderId="104" xfId="0" applyFont="1" applyFill="1" applyBorder="1" applyAlignment="1">
      <alignment wrapText="1"/>
    </xf>
    <xf numFmtId="0" fontId="3" fillId="5" borderId="105" xfId="0" applyFont="1" applyFill="1" applyBorder="1" applyAlignment="1">
      <alignment wrapText="1"/>
    </xf>
    <xf numFmtId="0" fontId="13" fillId="0" borderId="84" xfId="0" applyFont="1" applyBorder="1" applyAlignment="1">
      <alignment horizontal="center" vertical="center" wrapText="1"/>
    </xf>
    <xf numFmtId="0" fontId="3" fillId="0" borderId="0" xfId="0" applyFont="1" applyAlignment="1">
      <alignment horizontal="right"/>
    </xf>
    <xf numFmtId="0" fontId="3" fillId="0" borderId="98" xfId="0" applyFont="1" applyBorder="1"/>
    <xf numFmtId="0" fontId="13" fillId="9" borderId="87" xfId="0" applyFont="1" applyFill="1" applyBorder="1" applyAlignment="1">
      <alignment horizontal="left" vertical="center"/>
    </xf>
    <xf numFmtId="0" fontId="13" fillId="9" borderId="88" xfId="0" applyFont="1" applyFill="1" applyBorder="1" applyAlignment="1">
      <alignment vertical="center"/>
    </xf>
    <xf numFmtId="0" fontId="13" fillId="9" borderId="88" xfId="0" applyFont="1" applyFill="1" applyBorder="1" applyAlignment="1">
      <alignment horizontal="left" vertical="center"/>
    </xf>
    <xf numFmtId="180" fontId="13" fillId="9" borderId="88" xfId="0" applyNumberFormat="1" applyFont="1" applyFill="1" applyBorder="1" applyAlignment="1">
      <alignment vertical="center"/>
    </xf>
    <xf numFmtId="174" fontId="13" fillId="9" borderId="89" xfId="0" applyNumberFormat="1" applyFont="1" applyFill="1" applyBorder="1" applyAlignment="1">
      <alignment vertical="center"/>
    </xf>
    <xf numFmtId="0" fontId="3" fillId="0" borderId="102" xfId="0" applyFont="1" applyBorder="1"/>
    <xf numFmtId="174" fontId="3" fillId="0" borderId="0" xfId="0" applyNumberFormat="1" applyFont="1"/>
    <xf numFmtId="0" fontId="29" fillId="18" borderId="110" xfId="0" applyFont="1" applyFill="1" applyBorder="1" applyAlignment="1">
      <alignment vertical="center"/>
    </xf>
    <xf numFmtId="0" fontId="13" fillId="18" borderId="110" xfId="0" applyFont="1" applyFill="1" applyBorder="1" applyAlignment="1">
      <alignment vertical="center"/>
    </xf>
    <xf numFmtId="0" fontId="13" fillId="18" borderId="110" xfId="0" applyFont="1" applyFill="1" applyBorder="1" applyAlignment="1">
      <alignment horizontal="left" vertical="center"/>
    </xf>
    <xf numFmtId="0" fontId="13" fillId="18" borderId="110" xfId="0" applyFont="1" applyFill="1" applyBorder="1" applyAlignment="1">
      <alignment horizontal="center" vertical="center"/>
    </xf>
    <xf numFmtId="180" fontId="13" fillId="18" borderId="110" xfId="0" applyNumberFormat="1" applyFont="1" applyFill="1" applyBorder="1" applyAlignment="1">
      <alignment vertical="center"/>
    </xf>
    <xf numFmtId="0" fontId="13" fillId="18" borderId="111" xfId="0" applyFont="1" applyFill="1" applyBorder="1" applyAlignment="1">
      <alignment vertical="center"/>
    </xf>
    <xf numFmtId="0" fontId="3" fillId="0" borderId="90" xfId="0" applyFont="1" applyBorder="1" applyAlignment="1">
      <alignment horizontal="center" vertical="center" wrapText="1"/>
    </xf>
    <xf numFmtId="0" fontId="3" fillId="0" borderId="91" xfId="0" quotePrefix="1" applyFont="1" applyBorder="1" applyAlignment="1">
      <alignment horizontal="center" vertical="center" wrapText="1"/>
    </xf>
    <xf numFmtId="0" fontId="3" fillId="0" borderId="91" xfId="0" applyFont="1" applyBorder="1" applyAlignment="1">
      <alignment horizontal="left" vertical="center" wrapText="1"/>
    </xf>
    <xf numFmtId="4" fontId="3" fillId="0" borderId="91" xfId="0" applyNumberFormat="1" applyFont="1" applyBorder="1" applyAlignment="1">
      <alignment horizontal="center" vertical="center" wrapText="1"/>
    </xf>
    <xf numFmtId="180" fontId="3" fillId="0" borderId="91" xfId="0" applyNumberFormat="1" applyFont="1" applyBorder="1" applyAlignment="1">
      <alignment horizontal="right" vertical="center" wrapText="1"/>
    </xf>
    <xf numFmtId="181" fontId="3" fillId="0" borderId="92" xfId="0" applyNumberFormat="1" applyFont="1" applyBorder="1" applyAlignment="1">
      <alignment horizontal="right" vertical="center" wrapText="1"/>
    </xf>
    <xf numFmtId="10" fontId="3" fillId="0" borderId="0" xfId="0" applyNumberFormat="1" applyFont="1"/>
    <xf numFmtId="0" fontId="3" fillId="0" borderId="16" xfId="0" applyFont="1" applyBorder="1" applyAlignment="1">
      <alignment horizontal="center" vertical="center" wrapText="1"/>
    </xf>
    <xf numFmtId="0" fontId="3" fillId="0" borderId="53" xfId="0" quotePrefix="1" applyFont="1" applyBorder="1" applyAlignment="1">
      <alignment horizontal="center" vertical="center" wrapText="1"/>
    </xf>
    <xf numFmtId="0" fontId="3" fillId="0" borderId="53" xfId="0" applyFont="1" applyBorder="1" applyAlignment="1">
      <alignment horizontal="center" vertical="center" wrapText="1"/>
    </xf>
    <xf numFmtId="0" fontId="3" fillId="0" borderId="53" xfId="0" applyFont="1" applyBorder="1" applyAlignment="1">
      <alignment horizontal="left" vertical="center" wrapText="1"/>
    </xf>
    <xf numFmtId="4" fontId="3" fillId="0" borderId="53" xfId="0" applyNumberFormat="1" applyFont="1" applyBorder="1" applyAlignment="1">
      <alignment horizontal="center" vertical="center" wrapText="1"/>
    </xf>
    <xf numFmtId="180" fontId="3" fillId="0" borderId="14" xfId="0" applyNumberFormat="1" applyFont="1" applyBorder="1" applyAlignment="1">
      <alignment horizontal="right" vertical="center" wrapText="1"/>
    </xf>
    <xf numFmtId="181" fontId="3" fillId="0" borderId="54" xfId="0" applyNumberFormat="1" applyFont="1" applyBorder="1" applyAlignment="1">
      <alignment horizontal="right" vertical="center" wrapText="1"/>
    </xf>
    <xf numFmtId="0" fontId="3" fillId="0" borderId="56" xfId="0" applyFont="1" applyBorder="1" applyAlignment="1">
      <alignment horizontal="left" vertical="center" wrapText="1"/>
    </xf>
    <xf numFmtId="0" fontId="3" fillId="0" borderId="57" xfId="0" applyFont="1" applyBorder="1" applyAlignment="1">
      <alignment horizontal="center" vertical="center" wrapText="1"/>
    </xf>
    <xf numFmtId="0" fontId="3" fillId="0" borderId="57" xfId="0" applyFont="1" applyBorder="1" applyAlignment="1">
      <alignment horizontal="left" vertical="center" wrapText="1"/>
    </xf>
    <xf numFmtId="4" fontId="3" fillId="0" borderId="84" xfId="0" applyNumberFormat="1" applyFont="1" applyBorder="1" applyAlignment="1">
      <alignment horizontal="center" vertical="center" wrapText="1"/>
    </xf>
    <xf numFmtId="180" fontId="3" fillId="0" borderId="94" xfId="0" applyNumberFormat="1" applyFont="1" applyBorder="1" applyAlignment="1">
      <alignment horizontal="right" vertical="center" wrapText="1"/>
    </xf>
    <xf numFmtId="174" fontId="13" fillId="0" borderId="61" xfId="0" applyNumberFormat="1" applyFont="1" applyBorder="1" applyAlignment="1">
      <alignment horizontal="right" vertical="center" wrapText="1"/>
    </xf>
    <xf numFmtId="0" fontId="29" fillId="18" borderId="88" xfId="0" applyFont="1" applyFill="1" applyBorder="1" applyAlignment="1">
      <alignment vertical="center"/>
    </xf>
    <xf numFmtId="0" fontId="13" fillId="18" borderId="88" xfId="0" applyFont="1" applyFill="1" applyBorder="1" applyAlignment="1">
      <alignment vertical="center"/>
    </xf>
    <xf numFmtId="0" fontId="13" fillId="18" borderId="88" xfId="0" applyFont="1" applyFill="1" applyBorder="1" applyAlignment="1">
      <alignment horizontal="left" vertical="center"/>
    </xf>
    <xf numFmtId="0" fontId="13" fillId="18" borderId="88" xfId="0" applyFont="1" applyFill="1" applyBorder="1" applyAlignment="1">
      <alignment horizontal="center" vertical="center"/>
    </xf>
    <xf numFmtId="180" fontId="13" fillId="18" borderId="88" xfId="0" applyNumberFormat="1" applyFont="1" applyFill="1" applyBorder="1" applyAlignment="1">
      <alignment vertical="center"/>
    </xf>
    <xf numFmtId="0" fontId="13" fillId="18" borderId="89" xfId="0" applyFont="1" applyFill="1" applyBorder="1" applyAlignment="1">
      <alignment vertical="center"/>
    </xf>
    <xf numFmtId="0" fontId="3" fillId="0" borderId="16" xfId="0" applyFont="1" applyBorder="1" applyAlignment="1">
      <alignment horizontal="left" vertical="center" wrapText="1"/>
    </xf>
    <xf numFmtId="4" fontId="3" fillId="0" borderId="0" xfId="0" applyNumberFormat="1" applyFont="1"/>
    <xf numFmtId="0" fontId="3" fillId="0" borderId="90" xfId="0" applyFont="1" applyBorder="1" applyAlignment="1">
      <alignment horizontal="left" vertical="center" wrapText="1"/>
    </xf>
    <xf numFmtId="0" fontId="29" fillId="18" borderId="31" xfId="0" applyFont="1" applyFill="1" applyBorder="1" applyAlignment="1">
      <alignment vertical="center"/>
    </xf>
    <xf numFmtId="0" fontId="13" fillId="18" borderId="31" xfId="0" applyFont="1" applyFill="1" applyBorder="1" applyAlignment="1">
      <alignment vertical="center"/>
    </xf>
    <xf numFmtId="0" fontId="13" fillId="18" borderId="31" xfId="0" applyFont="1" applyFill="1" applyBorder="1" applyAlignment="1">
      <alignment horizontal="left" vertical="center"/>
    </xf>
    <xf numFmtId="0" fontId="13" fillId="18" borderId="31" xfId="0" applyFont="1" applyFill="1" applyBorder="1" applyAlignment="1">
      <alignment horizontal="center" vertical="center"/>
    </xf>
    <xf numFmtId="180" fontId="13" fillId="18" borderId="31" xfId="0" applyNumberFormat="1" applyFont="1" applyFill="1" applyBorder="1" applyAlignment="1">
      <alignment vertical="center"/>
    </xf>
    <xf numFmtId="0" fontId="13" fillId="18" borderId="25" xfId="0" applyFont="1" applyFill="1" applyBorder="1" applyAlignment="1">
      <alignment vertical="center"/>
    </xf>
    <xf numFmtId="0" fontId="3" fillId="0" borderId="17" xfId="0" applyFont="1" applyBorder="1" applyAlignment="1">
      <alignment horizontal="left" vertical="center" wrapText="1"/>
    </xf>
    <xf numFmtId="0" fontId="3" fillId="0" borderId="14" xfId="0" quotePrefix="1" applyFont="1" applyBorder="1" applyAlignment="1">
      <alignment horizontal="center" vertical="center" wrapText="1"/>
    </xf>
    <xf numFmtId="0" fontId="3" fillId="0" borderId="14" xfId="0" applyFont="1" applyBorder="1" applyAlignment="1">
      <alignment horizontal="left" vertical="center" wrapText="1"/>
    </xf>
    <xf numFmtId="4" fontId="3" fillId="0" borderId="14" xfId="0" applyNumberFormat="1" applyFont="1" applyBorder="1" applyAlignment="1">
      <alignment horizontal="center" vertical="center" wrapText="1"/>
    </xf>
    <xf numFmtId="181" fontId="3" fillId="0" borderId="15" xfId="0" applyNumberFormat="1" applyFont="1" applyBorder="1" applyAlignment="1">
      <alignment horizontal="right" vertical="center" wrapText="1"/>
    </xf>
    <xf numFmtId="0" fontId="3" fillId="0" borderId="21" xfId="0" applyFont="1" applyBorder="1" applyAlignment="1">
      <alignment horizontal="left" vertical="center" wrapText="1"/>
    </xf>
    <xf numFmtId="0" fontId="3" fillId="0" borderId="19" xfId="0" applyFont="1" applyBorder="1" applyAlignment="1">
      <alignment horizontal="center" vertical="center" wrapText="1"/>
    </xf>
    <xf numFmtId="0" fontId="3" fillId="0" borderId="19" xfId="0" applyFont="1" applyBorder="1" applyAlignment="1">
      <alignment horizontal="left" vertical="center" wrapText="1"/>
    </xf>
    <xf numFmtId="4" fontId="3" fillId="0" borderId="19" xfId="0" applyNumberFormat="1" applyFont="1" applyBorder="1" applyAlignment="1">
      <alignment horizontal="center" vertical="center" wrapText="1"/>
    </xf>
    <xf numFmtId="180" fontId="3" fillId="0" borderId="22" xfId="0" applyNumberFormat="1" applyFont="1" applyBorder="1" applyAlignment="1">
      <alignment horizontal="right" vertical="center" wrapText="1"/>
    </xf>
    <xf numFmtId="174" fontId="13" fillId="0" borderId="15" xfId="0" applyNumberFormat="1" applyFont="1" applyBorder="1" applyAlignment="1">
      <alignment horizontal="right" vertical="center" wrapText="1"/>
    </xf>
    <xf numFmtId="0" fontId="29" fillId="18" borderId="89" xfId="0" applyFont="1" applyFill="1" applyBorder="1" applyAlignment="1">
      <alignment vertical="center"/>
    </xf>
    <xf numFmtId="0" fontId="11" fillId="0" borderId="102" xfId="0" applyFont="1" applyBorder="1" applyAlignment="1">
      <alignment wrapText="1"/>
    </xf>
    <xf numFmtId="49" fontId="30" fillId="0" borderId="0" xfId="0" applyNumberFormat="1" applyFont="1" applyAlignment="1">
      <alignment horizontal="left" vertical="center" wrapText="1"/>
    </xf>
    <xf numFmtId="49" fontId="30" fillId="0" borderId="0" xfId="0" applyNumberFormat="1" applyFont="1" applyAlignment="1">
      <alignment horizontal="right" vertical="center" wrapText="1"/>
    </xf>
    <xf numFmtId="0" fontId="11" fillId="0" borderId="102" xfId="0" applyFont="1" applyBorder="1"/>
    <xf numFmtId="0" fontId="11" fillId="0" borderId="0" xfId="0" applyFont="1" applyAlignment="1">
      <alignment wrapText="1"/>
    </xf>
    <xf numFmtId="0" fontId="3" fillId="0" borderId="125" xfId="0" applyFont="1" applyBorder="1"/>
    <xf numFmtId="169" fontId="11" fillId="0" borderId="0" xfId="0" applyNumberFormat="1" applyFont="1"/>
    <xf numFmtId="0" fontId="11" fillId="0" borderId="0" xfId="0" applyFont="1" applyAlignment="1">
      <alignment horizontal="right" vertical="center"/>
    </xf>
    <xf numFmtId="169" fontId="3" fillId="5" borderId="14" xfId="0" applyNumberFormat="1" applyFont="1" applyFill="1" applyBorder="1" applyAlignment="1">
      <alignment horizontal="center" vertical="center"/>
    </xf>
    <xf numFmtId="169" fontId="3" fillId="5" borderId="15" xfId="0" applyNumberFormat="1" applyFont="1" applyFill="1" applyBorder="1" applyAlignment="1">
      <alignment horizontal="center" vertical="center"/>
    </xf>
    <xf numFmtId="169" fontId="3" fillId="5" borderId="84" xfId="0" applyNumberFormat="1" applyFont="1" applyFill="1" applyBorder="1" applyAlignment="1">
      <alignment horizontal="center" vertical="center"/>
    </xf>
    <xf numFmtId="169" fontId="3" fillId="5" borderId="85" xfId="0" applyNumberFormat="1" applyFont="1" applyFill="1" applyBorder="1" applyAlignment="1">
      <alignment horizontal="center" vertical="center"/>
    </xf>
    <xf numFmtId="0" fontId="3" fillId="0" borderId="0" xfId="0" applyFont="1" applyAlignment="1">
      <alignment horizontal="center" wrapText="1"/>
    </xf>
    <xf numFmtId="169" fontId="3" fillId="0" borderId="0" xfId="0" applyNumberFormat="1" applyFont="1" applyAlignment="1">
      <alignment horizontal="left" vertical="center" wrapText="1"/>
    </xf>
    <xf numFmtId="0" fontId="13" fillId="0" borderId="0" xfId="0" applyFont="1" applyAlignment="1">
      <alignment horizontal="center" wrapText="1"/>
    </xf>
    <xf numFmtId="169" fontId="13" fillId="0" borderId="0" xfId="0" applyNumberFormat="1" applyFont="1" applyAlignment="1">
      <alignment horizontal="center" wrapText="1"/>
    </xf>
    <xf numFmtId="0" fontId="29" fillId="2" borderId="14" xfId="0" applyFont="1" applyFill="1" applyBorder="1" applyAlignment="1">
      <alignment horizontal="center" vertical="center" wrapText="1"/>
    </xf>
    <xf numFmtId="0" fontId="31" fillId="2" borderId="14" xfId="0" applyFont="1" applyFill="1" applyBorder="1" applyAlignment="1">
      <alignment horizontal="center" vertical="center" wrapText="1"/>
    </xf>
    <xf numFmtId="169" fontId="31" fillId="2" borderId="14" xfId="0" applyNumberFormat="1" applyFont="1" applyFill="1" applyBorder="1" applyAlignment="1">
      <alignment horizontal="center" vertical="center" wrapText="1"/>
    </xf>
    <xf numFmtId="0" fontId="29" fillId="19" borderId="14" xfId="0" applyFont="1" applyFill="1" applyBorder="1" applyAlignment="1">
      <alignment horizontal="center" vertical="center" wrapText="1"/>
    </xf>
    <xf numFmtId="0" fontId="31" fillId="19" borderId="14" xfId="0" applyFont="1" applyFill="1" applyBorder="1" applyAlignment="1">
      <alignment horizontal="center" vertical="center" wrapText="1"/>
    </xf>
    <xf numFmtId="0" fontId="32" fillId="19" borderId="14" xfId="0" applyFont="1" applyFill="1" applyBorder="1" applyAlignment="1">
      <alignment horizontal="center" vertical="center" wrapText="1"/>
    </xf>
    <xf numFmtId="0" fontId="29" fillId="19" borderId="14" xfId="0" applyFont="1" applyFill="1" applyBorder="1" applyAlignment="1">
      <alignment horizontal="left" vertical="center" wrapText="1"/>
    </xf>
    <xf numFmtId="0" fontId="29" fillId="19" borderId="14" xfId="0" applyFont="1" applyFill="1" applyBorder="1" applyAlignment="1">
      <alignment horizontal="right" vertical="center" wrapText="1"/>
    </xf>
    <xf numFmtId="169" fontId="29" fillId="19" borderId="14" xfId="0" applyNumberFormat="1" applyFont="1" applyFill="1" applyBorder="1" applyAlignment="1">
      <alignment horizontal="right" vertical="center" wrapText="1"/>
    </xf>
    <xf numFmtId="49" fontId="13" fillId="20" borderId="14" xfId="0" quotePrefix="1" applyNumberFormat="1" applyFont="1" applyFill="1" applyBorder="1" applyAlignment="1">
      <alignment horizontal="center" vertical="center" wrapText="1"/>
    </xf>
    <xf numFmtId="49" fontId="13" fillId="20" borderId="14" xfId="0" applyNumberFormat="1" applyFont="1" applyFill="1" applyBorder="1" applyAlignment="1">
      <alignment horizontal="center" vertical="center" wrapText="1"/>
    </xf>
    <xf numFmtId="49" fontId="3" fillId="20" borderId="14" xfId="0" applyNumberFormat="1" applyFont="1" applyFill="1" applyBorder="1" applyAlignment="1">
      <alignment horizontal="center" vertical="center" wrapText="1"/>
    </xf>
    <xf numFmtId="49" fontId="26" fillId="20" borderId="14" xfId="0" applyNumberFormat="1" applyFont="1" applyFill="1" applyBorder="1" applyAlignment="1">
      <alignment horizontal="left" vertical="center" wrapText="1"/>
    </xf>
    <xf numFmtId="49" fontId="26" fillId="20" borderId="14" xfId="0" applyNumberFormat="1" applyFont="1" applyFill="1" applyBorder="1" applyAlignment="1">
      <alignment horizontal="center" vertical="center" wrapText="1"/>
    </xf>
    <xf numFmtId="169" fontId="13" fillId="20" borderId="14" xfId="0" applyNumberFormat="1" applyFont="1" applyFill="1" applyBorder="1" applyAlignment="1">
      <alignment horizontal="center" vertical="center" wrapText="1"/>
    </xf>
    <xf numFmtId="49" fontId="3" fillId="0" borderId="14" xfId="0" quotePrefix="1" applyNumberFormat="1" applyFont="1" applyBorder="1" applyAlignment="1">
      <alignment horizontal="center" vertical="center" wrapText="1"/>
    </xf>
    <xf numFmtId="49" fontId="3" fillId="0" borderId="14" xfId="0" applyNumberFormat="1" applyFont="1" applyBorder="1" applyAlignment="1">
      <alignment horizontal="center" vertical="center" wrapText="1"/>
    </xf>
    <xf numFmtId="49" fontId="8" fillId="0" borderId="14" xfId="0" applyNumberFormat="1" applyFont="1" applyBorder="1" applyAlignment="1">
      <alignment horizontal="left" vertical="center" wrapText="1"/>
    </xf>
    <xf numFmtId="49" fontId="8" fillId="0" borderId="14" xfId="0" applyNumberFormat="1" applyFont="1" applyBorder="1" applyAlignment="1">
      <alignment horizontal="center" vertical="center" wrapText="1"/>
    </xf>
    <xf numFmtId="169" fontId="3" fillId="0" borderId="14" xfId="0" applyNumberFormat="1" applyFont="1" applyBorder="1" applyAlignment="1">
      <alignment horizontal="center" vertical="center" wrapText="1"/>
    </xf>
    <xf numFmtId="0" fontId="17" fillId="21" borderId="31" xfId="0" applyFont="1" applyFill="1" applyBorder="1" applyAlignment="1">
      <alignment horizontal="right" vertical="center"/>
    </xf>
    <xf numFmtId="0" fontId="17" fillId="0" borderId="95" xfId="0" applyFont="1" applyBorder="1" applyAlignment="1">
      <alignment vertical="center"/>
    </xf>
    <xf numFmtId="0" fontId="17" fillId="0" borderId="96" xfId="0" applyFont="1" applyBorder="1" applyAlignment="1">
      <alignment vertical="center"/>
    </xf>
    <xf numFmtId="0" fontId="17" fillId="0" borderId="97" xfId="0" applyFont="1" applyBorder="1" applyAlignment="1">
      <alignment vertical="center"/>
    </xf>
    <xf numFmtId="0" fontId="17" fillId="0" borderId="98" xfId="0" applyFont="1" applyBorder="1" applyAlignment="1">
      <alignment vertical="center"/>
    </xf>
    <xf numFmtId="0" fontId="33" fillId="0" borderId="0" xfId="0" applyFont="1" applyAlignment="1">
      <alignment vertical="center"/>
    </xf>
    <xf numFmtId="0" fontId="34" fillId="0" borderId="0" xfId="0" applyFont="1" applyAlignment="1">
      <alignment vertical="center"/>
    </xf>
    <xf numFmtId="0" fontId="17" fillId="0" borderId="102" xfId="0" applyFont="1" applyBorder="1" applyAlignment="1">
      <alignment vertical="center"/>
    </xf>
    <xf numFmtId="0" fontId="36" fillId="0" borderId="102" xfId="0" applyFont="1" applyBorder="1" applyAlignment="1">
      <alignment horizontal="center" vertical="center"/>
    </xf>
    <xf numFmtId="0" fontId="3" fillId="0" borderId="4" xfId="0" applyFont="1" applyBorder="1" applyAlignment="1">
      <alignment horizontal="center" vertical="center"/>
    </xf>
    <xf numFmtId="0" fontId="13" fillId="0" borderId="4" xfId="0" applyFont="1" applyBorder="1" applyAlignment="1">
      <alignment horizontal="center" vertical="center"/>
    </xf>
    <xf numFmtId="0" fontId="3" fillId="0" borderId="0" xfId="0" applyFont="1" applyAlignment="1">
      <alignment horizontal="center"/>
    </xf>
    <xf numFmtId="0" fontId="3" fillId="0" borderId="4" xfId="0" applyFont="1" applyBorder="1" applyAlignment="1">
      <alignment vertical="center" wrapText="1"/>
    </xf>
    <xf numFmtId="0" fontId="3" fillId="0" borderId="78" xfId="0" applyFont="1" applyBorder="1" applyAlignment="1">
      <alignment horizontal="center"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36" fillId="0" borderId="102" xfId="0" applyFont="1" applyBorder="1" applyAlignment="1">
      <alignment vertical="center"/>
    </xf>
    <xf numFmtId="0" fontId="13" fillId="0" borderId="4" xfId="0" applyFont="1" applyBorder="1" applyAlignment="1">
      <alignment vertical="center"/>
    </xf>
    <xf numFmtId="0" fontId="3" fillId="0" borderId="5" xfId="0" applyFont="1" applyBorder="1"/>
    <xf numFmtId="1" fontId="36" fillId="0" borderId="102" xfId="0" applyNumberFormat="1" applyFont="1" applyBorder="1" applyAlignment="1">
      <alignment horizontal="center" vertical="center"/>
    </xf>
    <xf numFmtId="0" fontId="3" fillId="0" borderId="56" xfId="0" applyFont="1" applyBorder="1" applyAlignment="1">
      <alignment vertical="center"/>
    </xf>
    <xf numFmtId="0" fontId="3" fillId="0" borderId="57" xfId="0" applyFont="1" applyBorder="1" applyAlignment="1">
      <alignment vertical="center"/>
    </xf>
    <xf numFmtId="0" fontId="3" fillId="0" borderId="58" xfId="0" applyFont="1" applyBorder="1" applyAlignment="1">
      <alignment vertical="center"/>
    </xf>
    <xf numFmtId="0" fontId="3" fillId="0" borderId="4" xfId="0" applyFont="1" applyBorder="1" applyAlignment="1">
      <alignment vertical="center"/>
    </xf>
    <xf numFmtId="0" fontId="24" fillId="0" borderId="102" xfId="0" applyFont="1" applyBorder="1" applyAlignment="1">
      <alignment horizontal="center" vertical="center"/>
    </xf>
    <xf numFmtId="0" fontId="13" fillId="18" borderId="127" xfId="0" applyFont="1" applyFill="1" applyBorder="1" applyAlignment="1">
      <alignment horizontal="center" vertical="center"/>
    </xf>
    <xf numFmtId="0" fontId="17" fillId="5" borderId="104" xfId="0" applyFont="1" applyFill="1" applyBorder="1" applyAlignment="1">
      <alignment vertical="center"/>
    </xf>
    <xf numFmtId="0" fontId="3" fillId="5" borderId="128" xfId="0" applyFont="1" applyFill="1" applyBorder="1" applyAlignment="1">
      <alignment horizontal="center" vertical="center"/>
    </xf>
    <xf numFmtId="4" fontId="3" fillId="5" borderId="128" xfId="0" applyNumberFormat="1" applyFont="1" applyFill="1" applyBorder="1" applyAlignment="1">
      <alignment horizontal="center" vertical="center"/>
    </xf>
    <xf numFmtId="4" fontId="17" fillId="5" borderId="105" xfId="0" applyNumberFormat="1" applyFont="1" applyFill="1" applyBorder="1" applyAlignment="1">
      <alignment horizontal="center" vertical="center"/>
    </xf>
    <xf numFmtId="0" fontId="17" fillId="5" borderId="31" xfId="0" applyFont="1" applyFill="1" applyBorder="1" applyAlignment="1">
      <alignment vertical="center"/>
    </xf>
    <xf numFmtId="0" fontId="24" fillId="0" borderId="102" xfId="0" applyFont="1" applyBorder="1" applyAlignment="1">
      <alignment horizontal="left" vertical="center"/>
    </xf>
    <xf numFmtId="0" fontId="13" fillId="18" borderId="91" xfId="0" applyFont="1" applyFill="1" applyBorder="1" applyAlignment="1">
      <alignment horizontal="center" vertical="center"/>
    </xf>
    <xf numFmtId="0" fontId="13" fillId="18" borderId="92" xfId="0" applyFont="1" applyFill="1" applyBorder="1" applyAlignment="1">
      <alignment horizontal="center" vertical="center"/>
    </xf>
    <xf numFmtId="184" fontId="3" fillId="0" borderId="14" xfId="0" applyNumberFormat="1" applyFont="1" applyBorder="1" applyAlignment="1">
      <alignment vertical="center"/>
    </xf>
    <xf numFmtId="174" fontId="3" fillId="0" borderId="15" xfId="0" applyNumberFormat="1" applyFont="1" applyBorder="1" applyAlignment="1">
      <alignment vertical="center"/>
    </xf>
    <xf numFmtId="184" fontId="17" fillId="0" borderId="102" xfId="0" applyNumberFormat="1" applyFont="1" applyBorder="1" applyAlignment="1">
      <alignment vertical="center"/>
    </xf>
    <xf numFmtId="174" fontId="3" fillId="0" borderId="14" xfId="0" applyNumberFormat="1" applyFont="1" applyBorder="1" applyAlignment="1">
      <alignment vertical="center"/>
    </xf>
    <xf numFmtId="174" fontId="3" fillId="0" borderId="129" xfId="0" applyNumberFormat="1" applyFont="1" applyBorder="1" applyAlignment="1">
      <alignment vertical="center"/>
    </xf>
    <xf numFmtId="0" fontId="13" fillId="18" borderId="130" xfId="0" applyFont="1" applyFill="1" applyBorder="1" applyAlignment="1">
      <alignment horizontal="center" vertical="center"/>
    </xf>
    <xf numFmtId="0" fontId="3" fillId="0" borderId="19" xfId="0" applyFont="1" applyBorder="1" applyAlignment="1">
      <alignment horizontal="center" vertical="center"/>
    </xf>
    <xf numFmtId="2" fontId="3" fillId="12" borderId="14" xfId="0" applyNumberFormat="1" applyFont="1" applyFill="1" applyBorder="1" applyAlignment="1">
      <alignment vertical="center"/>
    </xf>
    <xf numFmtId="2" fontId="17" fillId="0" borderId="0" xfId="0" applyNumberFormat="1" applyFont="1" applyAlignment="1">
      <alignment vertical="center"/>
    </xf>
    <xf numFmtId="0" fontId="13" fillId="18" borderId="112" xfId="0" applyFont="1" applyFill="1" applyBorder="1" applyAlignment="1">
      <alignment horizontal="center" vertical="center"/>
    </xf>
    <xf numFmtId="0" fontId="13" fillId="18" borderId="91" xfId="0" applyFont="1" applyFill="1" applyBorder="1" applyAlignment="1">
      <alignment vertical="center"/>
    </xf>
    <xf numFmtId="2" fontId="3" fillId="12" borderId="14" xfId="0" applyNumberFormat="1" applyFont="1" applyFill="1" applyBorder="1" applyAlignment="1">
      <alignment horizontal="center" vertical="center"/>
    </xf>
    <xf numFmtId="2" fontId="3" fillId="0" borderId="19" xfId="0" applyNumberFormat="1" applyFont="1" applyBorder="1" applyAlignment="1">
      <alignment horizontal="center" vertical="center"/>
    </xf>
    <xf numFmtId="2" fontId="3" fillId="0" borderId="14" xfId="0" applyNumberFormat="1" applyFont="1" applyBorder="1" applyAlignment="1">
      <alignment horizontal="center" vertical="center"/>
    </xf>
    <xf numFmtId="0" fontId="13" fillId="18" borderId="112" xfId="0" applyFont="1" applyFill="1" applyBorder="1" applyAlignment="1">
      <alignment horizontal="center" vertical="center" wrapText="1"/>
    </xf>
    <xf numFmtId="0" fontId="13" fillId="18" borderId="91" xfId="0" applyFont="1" applyFill="1" applyBorder="1" applyAlignment="1">
      <alignment horizontal="center" vertical="center" wrapText="1"/>
    </xf>
    <xf numFmtId="0" fontId="13" fillId="18" borderId="92" xfId="0" applyFont="1" applyFill="1" applyBorder="1" applyAlignment="1">
      <alignment horizontal="center" vertical="center" wrapText="1"/>
    </xf>
    <xf numFmtId="0" fontId="24" fillId="0" borderId="102" xfId="0" applyFont="1" applyBorder="1" applyAlignment="1">
      <alignment horizontal="center" vertical="center" wrapText="1"/>
    </xf>
    <xf numFmtId="174" fontId="3" fillId="0" borderId="14" xfId="0" applyNumberFormat="1" applyFont="1" applyBorder="1" applyAlignment="1">
      <alignment horizontal="center" vertical="center"/>
    </xf>
    <xf numFmtId="10" fontId="3" fillId="0" borderId="19" xfId="0" applyNumberFormat="1" applyFont="1" applyBorder="1" applyAlignment="1">
      <alignment horizontal="center" vertical="center"/>
    </xf>
    <xf numFmtId="184" fontId="17" fillId="0" borderId="102" xfId="0" applyNumberFormat="1" applyFont="1" applyBorder="1" applyAlignment="1">
      <alignment horizontal="center" vertical="center" wrapText="1"/>
    </xf>
    <xf numFmtId="175" fontId="3" fillId="18" borderId="129" xfId="0" applyNumberFormat="1" applyFont="1" applyFill="1" applyBorder="1" applyAlignment="1">
      <alignment vertical="center"/>
    </xf>
    <xf numFmtId="175" fontId="17" fillId="0" borderId="102" xfId="0" applyNumberFormat="1" applyFont="1" applyBorder="1" applyAlignment="1">
      <alignment vertical="center"/>
    </xf>
    <xf numFmtId="172" fontId="3" fillId="0" borderId="19" xfId="0" applyNumberFormat="1" applyFont="1" applyBorder="1" applyAlignment="1">
      <alignment vertical="center"/>
    </xf>
    <xf numFmtId="172" fontId="17" fillId="0" borderId="102" xfId="0" applyNumberFormat="1" applyFont="1" applyBorder="1" applyAlignment="1">
      <alignment vertical="center"/>
    </xf>
    <xf numFmtId="0" fontId="3" fillId="0" borderId="10" xfId="0" applyFont="1" applyBorder="1" applyAlignment="1">
      <alignment vertical="center"/>
    </xf>
    <xf numFmtId="0" fontId="3" fillId="0" borderId="11" xfId="0" applyFont="1" applyBorder="1" applyAlignment="1">
      <alignment vertical="center"/>
    </xf>
    <xf numFmtId="0" fontId="3" fillId="0" borderId="117" xfId="0" applyFont="1" applyBorder="1" applyAlignment="1">
      <alignment vertical="center"/>
    </xf>
    <xf numFmtId="0" fontId="3" fillId="0" borderId="28" xfId="0" applyFont="1" applyBorder="1" applyAlignment="1">
      <alignment vertical="center"/>
    </xf>
    <xf numFmtId="172" fontId="3" fillId="0" borderId="28" xfId="0" applyNumberFormat="1" applyFont="1" applyBorder="1" applyAlignment="1">
      <alignment vertical="center"/>
    </xf>
    <xf numFmtId="174" fontId="3" fillId="18" borderId="129" xfId="0" applyNumberFormat="1" applyFont="1" applyFill="1" applyBorder="1" applyAlignment="1">
      <alignment vertical="center"/>
    </xf>
    <xf numFmtId="0" fontId="3" fillId="0" borderId="43" xfId="0" applyFont="1" applyBorder="1" applyAlignment="1">
      <alignment vertical="center"/>
    </xf>
    <xf numFmtId="0" fontId="3" fillId="0" borderId="44" xfId="0" applyFont="1" applyBorder="1" applyAlignment="1">
      <alignment vertical="center"/>
    </xf>
    <xf numFmtId="0" fontId="3" fillId="0" borderId="47" xfId="0" applyFont="1" applyBorder="1" applyAlignment="1">
      <alignment vertical="center"/>
    </xf>
    <xf numFmtId="0" fontId="3" fillId="0" borderId="49" xfId="0" applyFont="1" applyBorder="1" applyAlignment="1">
      <alignment vertical="center"/>
    </xf>
    <xf numFmtId="0" fontId="37" fillId="0" borderId="102" xfId="0" applyFont="1" applyBorder="1" applyAlignment="1">
      <alignment vertical="center"/>
    </xf>
    <xf numFmtId="0" fontId="17" fillId="0" borderId="102"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6" fillId="0" borderId="102" xfId="0" applyFont="1" applyBorder="1" applyAlignment="1">
      <alignment horizontal="right" vertical="center"/>
    </xf>
    <xf numFmtId="0" fontId="17" fillId="0" borderId="124" xfId="0" applyFont="1" applyBorder="1" applyAlignment="1">
      <alignment vertical="center"/>
    </xf>
    <xf numFmtId="0" fontId="17" fillId="0" borderId="125" xfId="0" applyFont="1" applyBorder="1" applyAlignment="1">
      <alignment vertical="center"/>
    </xf>
    <xf numFmtId="0" fontId="17" fillId="0" borderId="126" xfId="0" applyFont="1" applyBorder="1" applyAlignment="1">
      <alignment vertical="center"/>
    </xf>
    <xf numFmtId="2" fontId="3" fillId="0" borderId="14" xfId="0" applyNumberFormat="1" applyFont="1" applyBorder="1" applyAlignment="1">
      <alignment vertical="center"/>
    </xf>
    <xf numFmtId="0" fontId="38" fillId="0" borderId="0" xfId="0" applyFont="1" applyAlignment="1">
      <alignment vertical="center"/>
    </xf>
    <xf numFmtId="174" fontId="3" fillId="0" borderId="51" xfId="0" applyNumberFormat="1" applyFont="1" applyBorder="1" applyAlignment="1">
      <alignment horizontal="center" vertical="center"/>
    </xf>
    <xf numFmtId="10" fontId="3" fillId="0" borderId="11" xfId="0" applyNumberFormat="1" applyFont="1" applyBorder="1" applyAlignment="1">
      <alignment horizontal="center" vertical="center"/>
    </xf>
    <xf numFmtId="174" fontId="3" fillId="0" borderId="3" xfId="0" applyNumberFormat="1" applyFont="1" applyBorder="1" applyAlignment="1">
      <alignment vertical="center"/>
    </xf>
    <xf numFmtId="0" fontId="24" fillId="0" borderId="132" xfId="0" applyFont="1" applyBorder="1" applyAlignment="1">
      <alignment horizontal="left" vertical="center"/>
    </xf>
    <xf numFmtId="0" fontId="37" fillId="0" borderId="132" xfId="0" applyFont="1" applyBorder="1" applyAlignment="1">
      <alignment horizontal="left" vertical="center"/>
    </xf>
    <xf numFmtId="0" fontId="3" fillId="5" borderId="92" xfId="0" applyFont="1" applyFill="1" applyBorder="1" applyAlignment="1">
      <alignment horizontal="center" vertical="center"/>
    </xf>
    <xf numFmtId="169" fontId="20" fillId="0" borderId="0" xfId="0" applyNumberFormat="1" applyFont="1" applyAlignment="1">
      <alignment vertical="center" wrapText="1"/>
    </xf>
    <xf numFmtId="0" fontId="20" fillId="0" borderId="0" xfId="0" applyFont="1"/>
    <xf numFmtId="169" fontId="39" fillId="0" borderId="0" xfId="0" applyNumberFormat="1" applyFont="1"/>
    <xf numFmtId="0" fontId="40" fillId="0" borderId="0" xfId="0" applyFont="1"/>
    <xf numFmtId="0" fontId="21" fillId="0" borderId="0" xfId="0" applyFont="1" applyAlignment="1">
      <alignment horizontal="left" vertical="center"/>
    </xf>
    <xf numFmtId="17" fontId="17" fillId="12" borderId="129" xfId="0" applyNumberFormat="1" applyFont="1" applyFill="1" applyBorder="1" applyAlignment="1">
      <alignment horizontal="center" vertical="center"/>
    </xf>
    <xf numFmtId="10" fontId="17" fillId="12" borderId="133" xfId="0" applyNumberFormat="1" applyFont="1" applyFill="1" applyBorder="1" applyAlignment="1">
      <alignment horizontal="center" vertical="center"/>
    </xf>
    <xf numFmtId="0" fontId="17" fillId="0" borderId="0" xfId="0" applyFont="1" applyAlignment="1">
      <alignment horizontal="center" vertical="center"/>
    </xf>
    <xf numFmtId="169" fontId="17" fillId="0" borderId="0" xfId="0" applyNumberFormat="1" applyFont="1" applyAlignment="1">
      <alignment vertical="center"/>
    </xf>
    <xf numFmtId="0" fontId="20" fillId="0" borderId="0" xfId="0" applyFont="1" applyAlignment="1">
      <alignment vertical="center"/>
    </xf>
    <xf numFmtId="169" fontId="20" fillId="0" borderId="0" xfId="0" applyNumberFormat="1" applyFont="1" applyAlignment="1">
      <alignment vertical="center"/>
    </xf>
    <xf numFmtId="169" fontId="17" fillId="0" borderId="43" xfId="0" applyNumberFormat="1" applyFont="1" applyBorder="1" applyAlignment="1">
      <alignment horizontal="center" vertical="center"/>
    </xf>
    <xf numFmtId="169" fontId="21" fillId="0" borderId="64" xfId="0" applyNumberFormat="1" applyFont="1" applyBorder="1" applyAlignment="1">
      <alignment horizontal="center" vertical="center"/>
    </xf>
    <xf numFmtId="0" fontId="42" fillId="10" borderId="90" xfId="0" applyFont="1" applyFill="1" applyBorder="1" applyAlignment="1">
      <alignment horizontal="center" vertical="center"/>
    </xf>
    <xf numFmtId="0" fontId="42" fillId="10" borderId="91" xfId="0" applyFont="1" applyFill="1" applyBorder="1" applyAlignment="1">
      <alignment horizontal="center" vertical="center"/>
    </xf>
    <xf numFmtId="0" fontId="42" fillId="10" borderId="91" xfId="0" applyFont="1" applyFill="1" applyBorder="1" applyAlignment="1">
      <alignment horizontal="left" vertical="center" wrapText="1"/>
    </xf>
    <xf numFmtId="0" fontId="42" fillId="10" borderId="92" xfId="0" applyFont="1" applyFill="1" applyBorder="1" applyAlignment="1">
      <alignment horizontal="center" vertical="center"/>
    </xf>
    <xf numFmtId="169" fontId="42" fillId="10" borderId="112" xfId="0" applyNumberFormat="1" applyFont="1" applyFill="1" applyBorder="1" applyAlignment="1">
      <alignment horizontal="center" vertical="center"/>
    </xf>
    <xf numFmtId="169" fontId="42" fillId="10" borderId="92" xfId="0" applyNumberFormat="1" applyFont="1" applyFill="1" applyBorder="1" applyAlignment="1">
      <alignment horizontal="center" vertical="center"/>
    </xf>
    <xf numFmtId="0" fontId="43" fillId="10" borderId="134" xfId="0" applyFont="1" applyFill="1" applyBorder="1" applyAlignment="1">
      <alignment horizontal="center" vertical="center"/>
    </xf>
    <xf numFmtId="169" fontId="43" fillId="10" borderId="92" xfId="0" applyNumberFormat="1" applyFont="1" applyFill="1" applyBorder="1" applyAlignment="1">
      <alignment horizontal="center" vertical="center"/>
    </xf>
    <xf numFmtId="0" fontId="7" fillId="3" borderId="135" xfId="0" applyFont="1" applyFill="1" applyBorder="1" applyAlignment="1">
      <alignment horizontal="left" vertical="center"/>
    </xf>
    <xf numFmtId="0" fontId="7" fillId="3" borderId="81" xfId="0" applyFont="1" applyFill="1" applyBorder="1" applyAlignment="1">
      <alignment horizontal="center" vertical="center"/>
    </xf>
    <xf numFmtId="0" fontId="17" fillId="3" borderId="81" xfId="0" applyFont="1" applyFill="1" applyBorder="1" applyAlignment="1">
      <alignment horizontal="center" vertical="center" wrapText="1"/>
    </xf>
    <xf numFmtId="169" fontId="17" fillId="3" borderId="81" xfId="0" applyNumberFormat="1" applyFont="1" applyFill="1" applyBorder="1" applyAlignment="1">
      <alignment horizontal="center" vertical="center"/>
    </xf>
    <xf numFmtId="0" fontId="17" fillId="3" borderId="81" xfId="0" applyFont="1" applyFill="1" applyBorder="1" applyAlignment="1">
      <alignment horizontal="center" vertical="center"/>
    </xf>
    <xf numFmtId="169" fontId="17" fillId="3" borderId="24" xfId="0" applyNumberFormat="1" applyFont="1" applyFill="1" applyBorder="1" applyAlignment="1">
      <alignment horizontal="center" vertical="center"/>
    </xf>
    <xf numFmtId="169" fontId="42" fillId="3" borderId="136" xfId="0" applyNumberFormat="1" applyFont="1" applyFill="1" applyBorder="1" applyAlignment="1">
      <alignment horizontal="center" vertical="center"/>
    </xf>
    <xf numFmtId="169" fontId="42" fillId="3" borderId="123" xfId="0" applyNumberFormat="1" applyFont="1" applyFill="1" applyBorder="1" applyAlignment="1">
      <alignment horizontal="center" vertical="center"/>
    </xf>
    <xf numFmtId="0" fontId="43" fillId="3" borderId="76" xfId="0" applyFont="1" applyFill="1" applyBorder="1" applyAlignment="1">
      <alignment horizontal="center" vertical="center"/>
    </xf>
    <xf numFmtId="169" fontId="43" fillId="3" borderId="123" xfId="0" applyNumberFormat="1" applyFont="1" applyFill="1" applyBorder="1" applyAlignment="1">
      <alignment horizontal="center" vertical="center"/>
    </xf>
    <xf numFmtId="0" fontId="17" fillId="5" borderId="17" xfId="0" applyFont="1" applyFill="1" applyBorder="1" applyAlignment="1">
      <alignment horizontal="center" vertical="center"/>
    </xf>
    <xf numFmtId="0" fontId="17" fillId="5" borderId="14" xfId="0" applyFont="1" applyFill="1" applyBorder="1" applyAlignment="1">
      <alignment vertical="center"/>
    </xf>
    <xf numFmtId="169" fontId="17" fillId="5" borderId="80" xfId="0" applyNumberFormat="1" applyFont="1" applyFill="1" applyBorder="1" applyAlignment="1">
      <alignment vertical="center"/>
    </xf>
    <xf numFmtId="0" fontId="17" fillId="5" borderId="14" xfId="0" applyFont="1" applyFill="1" applyBorder="1" applyAlignment="1">
      <alignment horizontal="center" vertical="center"/>
    </xf>
    <xf numFmtId="169" fontId="17" fillId="5" borderId="15" xfId="0" applyNumberFormat="1" applyFont="1" applyFill="1" applyBorder="1" applyAlignment="1">
      <alignment vertical="center"/>
    </xf>
    <xf numFmtId="8" fontId="17" fillId="22" borderId="81" xfId="0" applyNumberFormat="1" applyFont="1" applyFill="1" applyBorder="1" applyAlignment="1">
      <alignment horizontal="right" vertical="center"/>
    </xf>
    <xf numFmtId="169" fontId="17" fillId="22" borderId="15" xfId="0" applyNumberFormat="1" applyFont="1" applyFill="1" applyBorder="1" applyAlignment="1">
      <alignment vertical="center"/>
    </xf>
    <xf numFmtId="0" fontId="20" fillId="4" borderId="77" xfId="0" applyFont="1" applyFill="1" applyBorder="1" applyAlignment="1">
      <alignment vertical="center"/>
    </xf>
    <xf numFmtId="169" fontId="20" fillId="4" borderId="15" xfId="0" applyNumberFormat="1" applyFont="1" applyFill="1" applyBorder="1" applyAlignment="1">
      <alignment vertical="center"/>
    </xf>
    <xf numFmtId="169" fontId="17" fillId="22" borderId="81" xfId="0" applyNumberFormat="1" applyFont="1" applyFill="1" applyBorder="1" applyAlignment="1">
      <alignment horizontal="right" vertical="center"/>
    </xf>
    <xf numFmtId="0" fontId="17" fillId="4" borderId="77" xfId="0" applyFont="1" applyFill="1" applyBorder="1" applyAlignment="1">
      <alignment vertical="center"/>
    </xf>
    <xf numFmtId="169" fontId="17" fillId="4" borderId="15" xfId="0" applyNumberFormat="1" applyFont="1" applyFill="1" applyBorder="1" applyAlignment="1">
      <alignment vertical="center"/>
    </xf>
    <xf numFmtId="169" fontId="17" fillId="11" borderId="81" xfId="0" applyNumberFormat="1" applyFont="1" applyFill="1" applyBorder="1" applyAlignment="1">
      <alignment horizontal="right" vertical="center"/>
    </xf>
    <xf numFmtId="169" fontId="17" fillId="11" borderId="15" xfId="0" applyNumberFormat="1" applyFont="1" applyFill="1" applyBorder="1" applyAlignment="1">
      <alignment vertical="center"/>
    </xf>
    <xf numFmtId="169" fontId="20" fillId="4" borderId="80" xfId="0" applyNumberFormat="1" applyFont="1" applyFill="1" applyBorder="1" applyAlignment="1">
      <alignment vertical="center"/>
    </xf>
    <xf numFmtId="0" fontId="3" fillId="13" borderId="31" xfId="0" applyFont="1" applyFill="1" applyBorder="1"/>
    <xf numFmtId="0" fontId="17" fillId="13" borderId="17" xfId="0" applyFont="1" applyFill="1" applyBorder="1" applyAlignment="1">
      <alignment horizontal="center" vertical="center"/>
    </xf>
    <xf numFmtId="0" fontId="17" fillId="13" borderId="14" xfId="0" applyFont="1" applyFill="1" applyBorder="1" applyAlignment="1">
      <alignment vertical="center"/>
    </xf>
    <xf numFmtId="0" fontId="17" fillId="13" borderId="14" xfId="0" applyFont="1" applyFill="1" applyBorder="1" applyAlignment="1">
      <alignment horizontal="left" vertical="center" wrapText="1"/>
    </xf>
    <xf numFmtId="169" fontId="17" fillId="13" borderId="80" xfId="0" applyNumberFormat="1" applyFont="1" applyFill="1" applyBorder="1" applyAlignment="1">
      <alignment vertical="center"/>
    </xf>
    <xf numFmtId="0" fontId="17" fillId="13" borderId="14" xfId="0" applyFont="1" applyFill="1" applyBorder="1" applyAlignment="1">
      <alignment horizontal="center" vertical="center"/>
    </xf>
    <xf numFmtId="169" fontId="17" fillId="13" borderId="15" xfId="0" applyNumberFormat="1" applyFont="1" applyFill="1" applyBorder="1" applyAlignment="1">
      <alignment vertical="center"/>
    </xf>
    <xf numFmtId="169" fontId="17" fillId="13" borderId="81" xfId="0" applyNumberFormat="1" applyFont="1" applyFill="1" applyBorder="1" applyAlignment="1">
      <alignment horizontal="right" vertical="center"/>
    </xf>
    <xf numFmtId="0" fontId="17" fillId="13" borderId="77" xfId="0" applyFont="1" applyFill="1" applyBorder="1" applyAlignment="1">
      <alignment vertical="center"/>
    </xf>
    <xf numFmtId="0" fontId="20" fillId="13" borderId="77" xfId="0" applyFont="1" applyFill="1" applyBorder="1" applyAlignment="1">
      <alignment vertical="center"/>
    </xf>
    <xf numFmtId="169" fontId="20" fillId="13" borderId="15" xfId="0" applyNumberFormat="1" applyFont="1" applyFill="1" applyBorder="1" applyAlignment="1">
      <alignment vertical="center"/>
    </xf>
    <xf numFmtId="169" fontId="40" fillId="13" borderId="31" xfId="0" applyNumberFormat="1" applyFont="1" applyFill="1" applyBorder="1"/>
    <xf numFmtId="169" fontId="40" fillId="0" borderId="0" xfId="0" applyNumberFormat="1" applyFont="1"/>
    <xf numFmtId="0" fontId="20" fillId="23" borderId="77" xfId="0" applyFont="1" applyFill="1" applyBorder="1" applyAlignment="1">
      <alignment vertical="center"/>
    </xf>
    <xf numFmtId="169" fontId="17" fillId="23" borderId="15" xfId="0" applyNumberFormat="1" applyFont="1" applyFill="1" applyBorder="1" applyAlignment="1">
      <alignment vertical="center"/>
    </xf>
    <xf numFmtId="169" fontId="21" fillId="4" borderId="15" xfId="0" applyNumberFormat="1" applyFont="1" applyFill="1" applyBorder="1" applyAlignment="1">
      <alignment vertical="center"/>
    </xf>
    <xf numFmtId="0" fontId="17" fillId="5" borderId="81" xfId="0" applyFont="1" applyFill="1" applyBorder="1" applyAlignment="1">
      <alignment horizontal="left" vertical="center" wrapText="1"/>
    </xf>
    <xf numFmtId="0" fontId="17" fillId="5" borderId="135" xfId="0" applyFont="1" applyFill="1" applyBorder="1" applyAlignment="1">
      <alignment horizontal="center" vertical="center"/>
    </xf>
    <xf numFmtId="0" fontId="17" fillId="5" borderId="81" xfId="0" applyFont="1" applyFill="1" applyBorder="1" applyAlignment="1">
      <alignment vertical="center"/>
    </xf>
    <xf numFmtId="169" fontId="17" fillId="5" borderId="81" xfId="0" applyNumberFormat="1" applyFont="1" applyFill="1" applyBorder="1" applyAlignment="1">
      <alignment vertical="center"/>
    </xf>
    <xf numFmtId="0" fontId="17" fillId="5" borderId="81" xfId="0" applyFont="1" applyFill="1" applyBorder="1" applyAlignment="1">
      <alignment horizontal="center" vertical="center"/>
    </xf>
    <xf numFmtId="169" fontId="17" fillId="5" borderId="24" xfId="0" applyNumberFormat="1" applyFont="1" applyFill="1" applyBorder="1" applyAlignment="1">
      <alignment vertical="center"/>
    </xf>
    <xf numFmtId="169" fontId="17" fillId="4" borderId="81" xfId="0" applyNumberFormat="1" applyFont="1" applyFill="1" applyBorder="1" applyAlignment="1">
      <alignment vertical="center"/>
    </xf>
    <xf numFmtId="169" fontId="20" fillId="4" borderId="81" xfId="0" applyNumberFormat="1" applyFont="1" applyFill="1" applyBorder="1" applyAlignment="1">
      <alignment vertical="center"/>
    </xf>
    <xf numFmtId="169" fontId="17" fillId="4" borderId="24" xfId="0" applyNumberFormat="1" applyFont="1" applyFill="1" applyBorder="1" applyAlignment="1">
      <alignment vertical="center"/>
    </xf>
    <xf numFmtId="0" fontId="44" fillId="3" borderId="135" xfId="0" applyFont="1" applyFill="1" applyBorder="1" applyAlignment="1">
      <alignment horizontal="left" vertical="center"/>
    </xf>
    <xf numFmtId="169" fontId="17" fillId="3" borderId="81" xfId="0" applyNumberFormat="1" applyFont="1" applyFill="1" applyBorder="1" applyAlignment="1">
      <alignment horizontal="right" vertical="center"/>
    </xf>
    <xf numFmtId="169" fontId="17" fillId="3" borderId="15" xfId="0" applyNumberFormat="1" applyFont="1" applyFill="1" applyBorder="1" applyAlignment="1">
      <alignment vertical="center"/>
    </xf>
    <xf numFmtId="0" fontId="17" fillId="3" borderId="77" xfId="0" applyFont="1" applyFill="1" applyBorder="1" applyAlignment="1">
      <alignment vertical="center"/>
    </xf>
    <xf numFmtId="0" fontId="17" fillId="3" borderId="24" xfId="0" applyFont="1" applyFill="1" applyBorder="1" applyAlignment="1">
      <alignment vertical="center"/>
    </xf>
    <xf numFmtId="0" fontId="17" fillId="0" borderId="17" xfId="0" applyFont="1" applyBorder="1" applyAlignment="1">
      <alignment horizontal="center" vertical="center"/>
    </xf>
    <xf numFmtId="0" fontId="17" fillId="0" borderId="14" xfId="0" applyFont="1" applyBorder="1" applyAlignment="1">
      <alignment vertical="center"/>
    </xf>
    <xf numFmtId="169" fontId="17" fillId="0" borderId="18" xfId="0" applyNumberFormat="1" applyFont="1" applyBorder="1" applyAlignment="1">
      <alignment vertical="center"/>
    </xf>
    <xf numFmtId="0" fontId="17" fillId="0" borderId="14" xfId="0" applyFont="1" applyBorder="1" applyAlignment="1">
      <alignment horizontal="center" vertical="center"/>
    </xf>
    <xf numFmtId="169" fontId="17" fillId="0" borderId="15" xfId="0" applyNumberFormat="1" applyFont="1" applyBorder="1" applyAlignment="1">
      <alignment vertical="center"/>
    </xf>
    <xf numFmtId="0" fontId="17" fillId="24" borderId="77" xfId="0" applyFont="1" applyFill="1" applyBorder="1" applyAlignment="1">
      <alignment vertical="center"/>
    </xf>
    <xf numFmtId="169" fontId="17" fillId="24" borderId="15" xfId="0" applyNumberFormat="1" applyFont="1" applyFill="1" applyBorder="1" applyAlignment="1">
      <alignment vertical="center"/>
    </xf>
    <xf numFmtId="169" fontId="20" fillId="4" borderId="24" xfId="0" applyNumberFormat="1" applyFont="1" applyFill="1" applyBorder="1" applyAlignment="1">
      <alignment vertical="center"/>
    </xf>
    <xf numFmtId="169" fontId="3" fillId="0" borderId="0" xfId="0" applyNumberFormat="1" applyFont="1"/>
    <xf numFmtId="0" fontId="17" fillId="0" borderId="19" xfId="0" applyFont="1" applyBorder="1" applyAlignment="1">
      <alignment horizontal="left" vertical="center" wrapText="1"/>
    </xf>
    <xf numFmtId="0" fontId="17" fillId="0" borderId="19" xfId="0" applyFont="1" applyBorder="1" applyAlignment="1">
      <alignment horizontal="center" vertical="center"/>
    </xf>
    <xf numFmtId="0" fontId="17" fillId="0" borderId="19" xfId="0" applyFont="1" applyBorder="1" applyAlignment="1">
      <alignment vertical="center"/>
    </xf>
    <xf numFmtId="169" fontId="17" fillId="0" borderId="20" xfId="0" applyNumberFormat="1" applyFont="1" applyBorder="1" applyAlignment="1">
      <alignment vertical="center"/>
    </xf>
    <xf numFmtId="0" fontId="17" fillId="0" borderId="21" xfId="0" applyFont="1" applyBorder="1" applyAlignment="1">
      <alignment horizontal="center" vertical="center"/>
    </xf>
    <xf numFmtId="169" fontId="17" fillId="0" borderId="19" xfId="0" applyNumberFormat="1" applyFont="1" applyBorder="1" applyAlignment="1">
      <alignment vertical="center"/>
    </xf>
    <xf numFmtId="0" fontId="20" fillId="25" borderId="77" xfId="0" applyFont="1" applyFill="1" applyBorder="1" applyAlignment="1">
      <alignment vertical="center"/>
    </xf>
    <xf numFmtId="169" fontId="20" fillId="25" borderId="15" xfId="0" applyNumberFormat="1" applyFont="1" applyFill="1" applyBorder="1" applyAlignment="1">
      <alignment vertical="center"/>
    </xf>
    <xf numFmtId="8" fontId="17" fillId="0" borderId="14" xfId="0" applyNumberFormat="1" applyFont="1" applyBorder="1" applyAlignment="1">
      <alignment vertical="center"/>
    </xf>
    <xf numFmtId="169" fontId="39" fillId="4" borderId="15" xfId="0" applyNumberFormat="1" applyFont="1" applyFill="1" applyBorder="1" applyAlignment="1">
      <alignment vertical="center"/>
    </xf>
    <xf numFmtId="0" fontId="20" fillId="24" borderId="77" xfId="0" applyFont="1" applyFill="1" applyBorder="1" applyAlignment="1">
      <alignment vertical="center"/>
    </xf>
    <xf numFmtId="169" fontId="20" fillId="24" borderId="15" xfId="0" applyNumberFormat="1" applyFont="1" applyFill="1" applyBorder="1" applyAlignment="1">
      <alignment vertical="center"/>
    </xf>
    <xf numFmtId="8" fontId="17" fillId="0" borderId="19" xfId="0" applyNumberFormat="1" applyFont="1" applyBorder="1" applyAlignment="1">
      <alignment vertical="center"/>
    </xf>
    <xf numFmtId="169" fontId="17" fillId="4" borderId="15" xfId="0" applyNumberFormat="1" applyFont="1" applyFill="1" applyBorder="1" applyAlignment="1">
      <alignment vertical="center" wrapText="1"/>
    </xf>
    <xf numFmtId="169" fontId="39" fillId="4" borderId="81" xfId="0" applyNumberFormat="1" applyFont="1" applyFill="1" applyBorder="1" applyAlignment="1">
      <alignment vertical="center"/>
    </xf>
    <xf numFmtId="0" fontId="17" fillId="0" borderId="14" xfId="0" applyFont="1" applyBorder="1" applyAlignment="1">
      <alignment horizontal="left" vertical="center"/>
    </xf>
    <xf numFmtId="169" fontId="39" fillId="23" borderId="15" xfId="0" applyNumberFormat="1" applyFont="1" applyFill="1" applyBorder="1" applyAlignment="1">
      <alignment vertical="center"/>
    </xf>
    <xf numFmtId="0" fontId="17" fillId="0" borderId="26" xfId="0" applyFont="1" applyBorder="1" applyAlignment="1">
      <alignment horizontal="center" vertical="center"/>
    </xf>
    <xf numFmtId="0" fontId="17" fillId="0" borderId="84" xfId="0" applyFont="1" applyBorder="1" applyAlignment="1">
      <alignment horizontal="left" vertical="center"/>
    </xf>
    <xf numFmtId="0" fontId="17" fillId="0" borderId="84" xfId="0" applyFont="1" applyBorder="1" applyAlignment="1">
      <alignment horizontal="left" vertical="center" wrapText="1"/>
    </xf>
    <xf numFmtId="8" fontId="17" fillId="0" borderId="84" xfId="0" applyNumberFormat="1" applyFont="1" applyBorder="1" applyAlignment="1">
      <alignment vertical="center" wrapText="1"/>
    </xf>
    <xf numFmtId="0" fontId="17" fillId="0" borderId="84" xfId="0" applyFont="1" applyBorder="1" applyAlignment="1">
      <alignment horizontal="center" vertical="center"/>
    </xf>
    <xf numFmtId="0" fontId="17" fillId="0" borderId="84" xfId="0" applyFont="1" applyBorder="1" applyAlignment="1">
      <alignment vertical="center"/>
    </xf>
    <xf numFmtId="8" fontId="17" fillId="0" borderId="85" xfId="0" applyNumberFormat="1" applyFont="1" applyBorder="1" applyAlignment="1">
      <alignment vertical="center"/>
    </xf>
    <xf numFmtId="169" fontId="17" fillId="11" borderId="137" xfId="0" applyNumberFormat="1" applyFont="1" applyFill="1" applyBorder="1" applyAlignment="1">
      <alignment vertical="center"/>
    </xf>
    <xf numFmtId="169" fontId="17" fillId="11" borderId="85" xfId="0" applyNumberFormat="1" applyFont="1" applyFill="1" applyBorder="1" applyAlignment="1">
      <alignment vertical="center"/>
    </xf>
    <xf numFmtId="0" fontId="20" fillId="4" borderId="137" xfId="0" applyFont="1" applyFill="1" applyBorder="1" applyAlignment="1">
      <alignment vertical="center"/>
    </xf>
    <xf numFmtId="169" fontId="20" fillId="4" borderId="85" xfId="0" applyNumberFormat="1" applyFont="1" applyFill="1" applyBorder="1" applyAlignment="1">
      <alignment vertical="center"/>
    </xf>
    <xf numFmtId="0" fontId="20" fillId="4" borderId="84" xfId="0" applyFont="1" applyFill="1" applyBorder="1" applyAlignment="1">
      <alignment vertical="center"/>
    </xf>
    <xf numFmtId="0" fontId="17" fillId="5" borderId="109" xfId="0" applyFont="1" applyFill="1" applyBorder="1" applyAlignment="1">
      <alignment horizontal="center" vertical="center"/>
    </xf>
    <xf numFmtId="0" fontId="17" fillId="5" borderId="110" xfId="0" applyFont="1" applyFill="1" applyBorder="1" applyAlignment="1">
      <alignment horizontal="left" vertical="center"/>
    </xf>
    <xf numFmtId="0" fontId="17" fillId="5" borderId="110" xfId="0" applyFont="1" applyFill="1" applyBorder="1" applyAlignment="1">
      <alignment horizontal="left" vertical="center" wrapText="1"/>
    </xf>
    <xf numFmtId="8" fontId="17" fillId="5" borderId="110" xfId="0" applyNumberFormat="1" applyFont="1" applyFill="1" applyBorder="1" applyAlignment="1">
      <alignment vertical="center" wrapText="1"/>
    </xf>
    <xf numFmtId="0" fontId="17" fillId="5" borderId="110" xfId="0" applyFont="1" applyFill="1" applyBorder="1" applyAlignment="1">
      <alignment horizontal="center" vertical="center"/>
    </xf>
    <xf numFmtId="0" fontId="17" fillId="5" borderId="110" xfId="0" applyFont="1" applyFill="1" applyBorder="1" applyAlignment="1">
      <alignment vertical="center"/>
    </xf>
    <xf numFmtId="0" fontId="17" fillId="5" borderId="111" xfId="0" applyFont="1" applyFill="1" applyBorder="1" applyAlignment="1">
      <alignment vertical="center"/>
    </xf>
    <xf numFmtId="0" fontId="21" fillId="5" borderId="30" xfId="0" applyFont="1" applyFill="1" applyBorder="1" applyAlignment="1">
      <alignment horizontal="left" vertical="center"/>
    </xf>
    <xf numFmtId="0" fontId="17" fillId="5" borderId="31" xfId="0" applyFont="1" applyFill="1" applyBorder="1" applyAlignment="1">
      <alignment horizontal="left" vertical="center" wrapText="1"/>
    </xf>
    <xf numFmtId="8" fontId="17" fillId="5" borderId="31" xfId="0" applyNumberFormat="1" applyFont="1" applyFill="1" applyBorder="1" applyAlignment="1">
      <alignment vertical="center" wrapText="1"/>
    </xf>
    <xf numFmtId="0" fontId="17" fillId="5" borderId="31" xfId="0" applyFont="1" applyFill="1" applyBorder="1" applyAlignment="1">
      <alignment horizontal="center" vertical="center"/>
    </xf>
    <xf numFmtId="0" fontId="17" fillId="5" borderId="25" xfId="0" applyFont="1" applyFill="1" applyBorder="1" applyAlignment="1">
      <alignment vertical="center"/>
    </xf>
    <xf numFmtId="0" fontId="17" fillId="5" borderId="40" xfId="0" applyFont="1" applyFill="1" applyBorder="1" applyAlignment="1">
      <alignment horizontal="center" vertical="center"/>
    </xf>
    <xf numFmtId="0" fontId="17" fillId="5" borderId="41" xfId="0" applyFont="1" applyFill="1" applyBorder="1" applyAlignment="1">
      <alignment horizontal="left" vertical="center"/>
    </xf>
    <xf numFmtId="0" fontId="17" fillId="5" borderId="41" xfId="0" applyFont="1" applyFill="1" applyBorder="1" applyAlignment="1">
      <alignment horizontal="left" vertical="center" wrapText="1"/>
    </xf>
    <xf numFmtId="8" fontId="17" fillId="5" borderId="41" xfId="0" applyNumberFormat="1" applyFont="1" applyFill="1" applyBorder="1" applyAlignment="1">
      <alignment vertical="center" wrapText="1"/>
    </xf>
    <xf numFmtId="0" fontId="17" fillId="5" borderId="41" xfId="0" applyFont="1" applyFill="1" applyBorder="1" applyAlignment="1">
      <alignment horizontal="center" vertical="center"/>
    </xf>
    <xf numFmtId="0" fontId="17" fillId="5" borderId="41" xfId="0" applyFont="1" applyFill="1" applyBorder="1" applyAlignment="1">
      <alignment vertical="center"/>
    </xf>
    <xf numFmtId="0" fontId="17" fillId="5" borderId="42" xfId="0" applyFont="1" applyFill="1" applyBorder="1" applyAlignment="1">
      <alignment vertical="center"/>
    </xf>
    <xf numFmtId="169" fontId="17" fillId="22" borderId="139" xfId="0" applyNumberFormat="1" applyFont="1" applyFill="1" applyBorder="1" applyAlignment="1">
      <alignment vertical="center"/>
    </xf>
    <xf numFmtId="169" fontId="17" fillId="22" borderId="123" xfId="0" applyNumberFormat="1" applyFont="1" applyFill="1" applyBorder="1" applyAlignment="1">
      <alignment vertical="center"/>
    </xf>
    <xf numFmtId="8" fontId="17" fillId="5" borderId="80" xfId="0" applyNumberFormat="1" applyFont="1" applyFill="1" applyBorder="1" applyAlignment="1">
      <alignment vertical="center"/>
    </xf>
    <xf numFmtId="169" fontId="17" fillId="22" borderId="17" xfId="0" applyNumberFormat="1" applyFont="1" applyFill="1" applyBorder="1" applyAlignment="1">
      <alignment vertical="center"/>
    </xf>
    <xf numFmtId="8" fontId="17" fillId="0" borderId="84" xfId="0" applyNumberFormat="1" applyFont="1" applyBorder="1" applyAlignment="1">
      <alignment vertical="center"/>
    </xf>
    <xf numFmtId="169" fontId="17" fillId="22" borderId="26" xfId="0" applyNumberFormat="1" applyFont="1" applyFill="1" applyBorder="1" applyAlignment="1">
      <alignment vertical="center"/>
    </xf>
    <xf numFmtId="169" fontId="17" fillId="22" borderId="85" xfId="0" applyNumberFormat="1" applyFont="1" applyFill="1" applyBorder="1" applyAlignment="1">
      <alignment vertical="center"/>
    </xf>
    <xf numFmtId="0" fontId="3" fillId="5" borderId="41" xfId="0" applyFont="1" applyFill="1" applyBorder="1"/>
    <xf numFmtId="0" fontId="3" fillId="5" borderId="42" xfId="0" applyFont="1" applyFill="1" applyBorder="1"/>
    <xf numFmtId="0" fontId="17" fillId="5" borderId="31" xfId="0" applyFont="1" applyFill="1" applyBorder="1" applyAlignment="1">
      <alignment horizontal="center" vertical="center" wrapText="1"/>
    </xf>
    <xf numFmtId="0" fontId="21" fillId="5" borderId="31" xfId="0" applyFont="1" applyFill="1" applyBorder="1" applyAlignment="1">
      <alignment horizontal="center" vertical="center" wrapText="1"/>
    </xf>
    <xf numFmtId="0" fontId="17" fillId="5" borderId="109" xfId="0" applyFont="1" applyFill="1" applyBorder="1" applyAlignment="1">
      <alignment horizontal="center" vertical="center" wrapText="1"/>
    </xf>
    <xf numFmtId="0" fontId="17" fillId="5" borderId="110" xfId="0" applyFont="1" applyFill="1" applyBorder="1" applyAlignment="1">
      <alignment horizontal="center" vertical="center" wrapText="1"/>
    </xf>
    <xf numFmtId="0" fontId="21" fillId="5" borderId="110" xfId="0" applyFont="1" applyFill="1" applyBorder="1" applyAlignment="1">
      <alignment horizontal="center" vertical="center" wrapText="1"/>
    </xf>
    <xf numFmtId="0" fontId="17" fillId="5" borderId="111" xfId="0" applyFont="1" applyFill="1" applyBorder="1" applyAlignment="1">
      <alignment horizontal="center" vertical="center" wrapText="1"/>
    </xf>
    <xf numFmtId="0" fontId="17" fillId="5" borderId="91" xfId="0" applyFont="1" applyFill="1" applyBorder="1" applyAlignment="1">
      <alignment horizontal="center" vertical="center" wrapText="1"/>
    </xf>
    <xf numFmtId="0" fontId="21" fillId="5" borderId="87" xfId="0" applyFont="1" applyFill="1" applyBorder="1" applyAlignment="1">
      <alignment horizontal="center" vertical="center" wrapText="1"/>
    </xf>
    <xf numFmtId="0" fontId="17" fillId="5" borderId="88" xfId="0" applyFont="1" applyFill="1" applyBorder="1" applyAlignment="1">
      <alignment horizontal="center" vertical="center" wrapText="1"/>
    </xf>
    <xf numFmtId="0" fontId="21" fillId="5" borderId="88" xfId="0" applyFont="1" applyFill="1" applyBorder="1" applyAlignment="1">
      <alignment horizontal="center" vertical="center" wrapText="1"/>
    </xf>
    <xf numFmtId="0" fontId="17" fillId="5" borderId="89" xfId="0" applyFont="1" applyFill="1" applyBorder="1" applyAlignment="1">
      <alignment horizontal="center" vertical="center" wrapText="1"/>
    </xf>
    <xf numFmtId="0" fontId="21" fillId="3" borderId="40" xfId="0" applyFont="1" applyFill="1" applyBorder="1" applyAlignment="1">
      <alignment horizontal="center" vertical="center" wrapText="1"/>
    </xf>
    <xf numFmtId="49" fontId="40" fillId="12" borderId="133" xfId="0" quotePrefix="1" applyNumberFormat="1" applyFont="1" applyFill="1" applyBorder="1" applyAlignment="1">
      <alignment horizontal="center" vertical="center" wrapText="1"/>
    </xf>
    <xf numFmtId="0" fontId="21" fillId="3" borderId="30" xfId="0" applyFont="1" applyFill="1" applyBorder="1" applyAlignment="1">
      <alignment horizontal="center" vertical="center" wrapText="1"/>
    </xf>
    <xf numFmtId="0" fontId="40" fillId="5" borderId="30" xfId="0" applyFont="1" applyFill="1" applyBorder="1" applyAlignment="1">
      <alignment horizontal="center" vertical="center" wrapText="1"/>
    </xf>
    <xf numFmtId="0" fontId="21" fillId="3" borderId="146" xfId="0" applyFont="1" applyFill="1" applyBorder="1" applyAlignment="1">
      <alignment horizontal="center" vertical="center" wrapText="1"/>
    </xf>
    <xf numFmtId="0" fontId="21" fillId="5" borderId="155" xfId="0" applyFont="1" applyFill="1" applyBorder="1" applyAlignment="1">
      <alignment horizontal="center" vertical="center" wrapText="1"/>
    </xf>
    <xf numFmtId="2" fontId="17" fillId="0" borderId="90" xfId="0" applyNumberFormat="1" applyFont="1" applyBorder="1" applyAlignment="1">
      <alignment horizontal="center" vertical="center" wrapText="1"/>
    </xf>
    <xf numFmtId="2" fontId="17" fillId="0" borderId="91" xfId="0" applyNumberFormat="1" applyFont="1" applyBorder="1" applyAlignment="1">
      <alignment horizontal="center" vertical="center" wrapText="1"/>
    </xf>
    <xf numFmtId="2" fontId="17" fillId="0" borderId="92" xfId="0" applyNumberFormat="1" applyFont="1" applyBorder="1" applyAlignment="1">
      <alignment horizontal="center" vertical="center" wrapText="1"/>
    </xf>
    <xf numFmtId="2" fontId="17" fillId="0" borderId="50" xfId="0" applyNumberFormat="1" applyFont="1" applyBorder="1" applyAlignment="1">
      <alignment horizontal="center" vertical="center" wrapText="1"/>
    </xf>
    <xf numFmtId="0" fontId="21" fillId="5" borderId="135" xfId="0" applyFont="1" applyFill="1" applyBorder="1" applyAlignment="1">
      <alignment horizontal="center" vertical="center" wrapText="1"/>
    </xf>
    <xf numFmtId="2" fontId="47" fillId="5" borderId="6" xfId="0" applyNumberFormat="1" applyFont="1" applyFill="1" applyBorder="1" applyAlignment="1">
      <alignment horizontal="center" vertical="center" wrapText="1"/>
    </xf>
    <xf numFmtId="2" fontId="47" fillId="5" borderId="14" xfId="0" applyNumberFormat="1" applyFont="1" applyFill="1" applyBorder="1" applyAlignment="1">
      <alignment horizontal="center" vertical="center" wrapText="1"/>
    </xf>
    <xf numFmtId="2" fontId="47" fillId="5" borderId="15" xfId="0" applyNumberFormat="1" applyFont="1" applyFill="1" applyBorder="1" applyAlignment="1">
      <alignment horizontal="center" vertical="center" wrapText="1"/>
    </xf>
    <xf numFmtId="2" fontId="17" fillId="5" borderId="24" xfId="0" applyNumberFormat="1" applyFont="1" applyFill="1" applyBorder="1" applyAlignment="1">
      <alignment horizontal="center" vertical="center" wrapText="1"/>
    </xf>
    <xf numFmtId="2" fontId="17" fillId="5" borderId="6" xfId="0" applyNumberFormat="1" applyFont="1" applyFill="1" applyBorder="1" applyAlignment="1">
      <alignment horizontal="center" vertical="center" wrapText="1"/>
    </xf>
    <xf numFmtId="2" fontId="17" fillId="5" borderId="14" xfId="0" applyNumberFormat="1" applyFont="1" applyFill="1" applyBorder="1" applyAlignment="1">
      <alignment horizontal="center" vertical="center" wrapText="1"/>
    </xf>
    <xf numFmtId="2" fontId="17" fillId="5" borderId="15" xfId="0" applyNumberFormat="1" applyFont="1" applyFill="1" applyBorder="1" applyAlignment="1">
      <alignment horizontal="center" vertical="center" wrapText="1"/>
    </xf>
    <xf numFmtId="0" fontId="21" fillId="5" borderId="156" xfId="0" applyFont="1" applyFill="1" applyBorder="1" applyAlignment="1">
      <alignment horizontal="center" vertical="center" wrapText="1"/>
    </xf>
    <xf numFmtId="2" fontId="17" fillId="5" borderId="26" xfId="0" applyNumberFormat="1" applyFont="1" applyFill="1" applyBorder="1" applyAlignment="1">
      <alignment horizontal="center" vertical="center" wrapText="1"/>
    </xf>
    <xf numFmtId="2" fontId="17" fillId="5" borderId="84" xfId="0" applyNumberFormat="1" applyFont="1" applyFill="1" applyBorder="1" applyAlignment="1">
      <alignment horizontal="center" vertical="center" wrapText="1"/>
    </xf>
    <xf numFmtId="2" fontId="17" fillId="5" borderId="85" xfId="0" applyNumberFormat="1" applyFont="1" applyFill="1" applyBorder="1" applyAlignment="1">
      <alignment horizontal="center" vertical="center" wrapText="1"/>
    </xf>
    <xf numFmtId="2" fontId="17" fillId="5" borderId="23" xfId="0" applyNumberFormat="1" applyFont="1" applyFill="1" applyBorder="1" applyAlignment="1">
      <alignment horizontal="center" vertical="center" wrapText="1"/>
    </xf>
    <xf numFmtId="2" fontId="17" fillId="5" borderId="136" xfId="0" applyNumberFormat="1" applyFont="1" applyFill="1" applyBorder="1" applyAlignment="1">
      <alignment horizontal="center" vertical="center" wrapText="1"/>
    </xf>
    <xf numFmtId="2" fontId="17" fillId="5" borderId="92" xfId="0" applyNumberFormat="1" applyFont="1" applyFill="1" applyBorder="1" applyAlignment="1">
      <alignment horizontal="center" vertical="center" wrapText="1"/>
    </xf>
    <xf numFmtId="2" fontId="17" fillId="5" borderId="81" xfId="0" applyNumberFormat="1" applyFont="1" applyFill="1" applyBorder="1" applyAlignment="1">
      <alignment horizontal="center" vertical="center" wrapText="1"/>
    </xf>
    <xf numFmtId="0" fontId="17" fillId="5" borderId="40" xfId="0" applyFont="1" applyFill="1" applyBorder="1" applyAlignment="1">
      <alignment horizontal="center" vertical="center" wrapText="1"/>
    </xf>
    <xf numFmtId="0" fontId="17" fillId="5" borderId="41" xfId="0" applyFont="1" applyFill="1" applyBorder="1" applyAlignment="1">
      <alignment horizontal="center" vertical="center" wrapText="1"/>
    </xf>
    <xf numFmtId="2" fontId="17" fillId="5" borderId="159" xfId="0" applyNumberFormat="1" applyFont="1" applyFill="1" applyBorder="1" applyAlignment="1">
      <alignment horizontal="center" vertical="center" wrapText="1"/>
    </xf>
    <xf numFmtId="2" fontId="17" fillId="3" borderId="85" xfId="0" applyNumberFormat="1" applyFont="1" applyFill="1" applyBorder="1" applyAlignment="1">
      <alignment horizontal="center" vertical="center" wrapText="1"/>
    </xf>
    <xf numFmtId="0" fontId="17" fillId="5" borderId="25" xfId="0" applyFont="1" applyFill="1" applyBorder="1" applyAlignment="1">
      <alignment horizontal="center" vertical="center" wrapText="1"/>
    </xf>
    <xf numFmtId="0" fontId="21" fillId="5" borderId="41" xfId="0" applyFont="1" applyFill="1" applyBorder="1" applyAlignment="1">
      <alignment horizontal="center" vertical="center" wrapText="1"/>
    </xf>
    <xf numFmtId="0" fontId="17" fillId="5" borderId="82" xfId="0" applyFont="1" applyFill="1" applyBorder="1" applyAlignment="1">
      <alignment horizontal="center" vertical="center"/>
    </xf>
    <xf numFmtId="0" fontId="48" fillId="0" borderId="0" xfId="0" applyFont="1"/>
    <xf numFmtId="0" fontId="11" fillId="0" borderId="97" xfId="0" applyFont="1" applyBorder="1"/>
    <xf numFmtId="0" fontId="29" fillId="18" borderId="127" xfId="0" applyFont="1" applyFill="1" applyBorder="1" applyAlignment="1">
      <alignment horizontal="center" vertical="center"/>
    </xf>
    <xf numFmtId="0" fontId="3" fillId="12" borderId="128" xfId="0" quotePrefix="1" applyFont="1" applyFill="1" applyBorder="1" applyAlignment="1">
      <alignment horizontal="center" vertical="center"/>
    </xf>
    <xf numFmtId="0" fontId="29" fillId="18" borderId="91" xfId="0" applyFont="1" applyFill="1" applyBorder="1" applyAlignment="1">
      <alignment horizontal="center" vertical="center"/>
    </xf>
    <xf numFmtId="0" fontId="29" fillId="18" borderId="92" xfId="0" applyFont="1" applyFill="1" applyBorder="1" applyAlignment="1">
      <alignment horizontal="center" vertical="center"/>
    </xf>
    <xf numFmtId="0" fontId="29" fillId="18" borderId="130" xfId="0" applyFont="1" applyFill="1" applyBorder="1" applyAlignment="1">
      <alignment horizontal="center" vertical="center"/>
    </xf>
    <xf numFmtId="186" fontId="3" fillId="12" borderId="14" xfId="0" applyNumberFormat="1" applyFont="1" applyFill="1" applyBorder="1" applyAlignment="1">
      <alignment vertical="center"/>
    </xf>
    <xf numFmtId="0" fontId="29" fillId="18" borderId="112" xfId="0" applyFont="1" applyFill="1" applyBorder="1" applyAlignment="1">
      <alignment horizontal="center" vertical="center"/>
    </xf>
    <xf numFmtId="0" fontId="29" fillId="18" borderId="91" xfId="0" applyFont="1" applyFill="1" applyBorder="1" applyAlignment="1">
      <alignment vertical="center"/>
    </xf>
    <xf numFmtId="0" fontId="29" fillId="18" borderId="112" xfId="0" applyFont="1" applyFill="1" applyBorder="1" applyAlignment="1">
      <alignment horizontal="center" vertical="center" wrapText="1"/>
    </xf>
    <xf numFmtId="0" fontId="29" fillId="18" borderId="91" xfId="0" applyFont="1" applyFill="1" applyBorder="1" applyAlignment="1">
      <alignment horizontal="center" vertical="center" wrapText="1"/>
    </xf>
    <xf numFmtId="0" fontId="29" fillId="18" borderId="92" xfId="0" applyFont="1" applyFill="1" applyBorder="1" applyAlignment="1">
      <alignment horizontal="center" vertical="center" wrapText="1"/>
    </xf>
    <xf numFmtId="0" fontId="11" fillId="0" borderId="98" xfId="0" applyFont="1" applyBorder="1"/>
    <xf numFmtId="175" fontId="13" fillId="3" borderId="129" xfId="0" applyNumberFormat="1" applyFont="1" applyFill="1" applyBorder="1" applyAlignment="1">
      <alignment vertical="center"/>
    </xf>
    <xf numFmtId="169" fontId="48" fillId="0" borderId="0" xfId="0" applyNumberFormat="1" applyFont="1"/>
    <xf numFmtId="172" fontId="11" fillId="0" borderId="0" xfId="0" applyNumberFormat="1" applyFont="1"/>
    <xf numFmtId="174" fontId="13" fillId="3" borderId="129" xfId="0" applyNumberFormat="1" applyFont="1" applyFill="1" applyBorder="1" applyAlignment="1">
      <alignment vertical="center"/>
    </xf>
    <xf numFmtId="0" fontId="11" fillId="0" borderId="124" xfId="0" applyFont="1" applyBorder="1"/>
    <xf numFmtId="0" fontId="11" fillId="0" borderId="125" xfId="0" applyFont="1" applyBorder="1"/>
    <xf numFmtId="0" fontId="11" fillId="0" borderId="126" xfId="0" applyFont="1" applyBorder="1"/>
    <xf numFmtId="174" fontId="11" fillId="0" borderId="0" xfId="0" applyNumberFormat="1" applyFont="1"/>
    <xf numFmtId="187" fontId="11" fillId="0" borderId="0" xfId="0" applyNumberFormat="1" applyFont="1"/>
    <xf numFmtId="2" fontId="3" fillId="5" borderId="19" xfId="0" applyNumberFormat="1" applyFont="1" applyFill="1" applyBorder="1" applyAlignment="1">
      <alignment horizontal="center" vertical="center"/>
    </xf>
    <xf numFmtId="2" fontId="3" fillId="16" borderId="19" xfId="0" applyNumberFormat="1" applyFont="1" applyFill="1" applyBorder="1" applyAlignment="1">
      <alignment horizontal="center" vertical="center"/>
    </xf>
    <xf numFmtId="0" fontId="29" fillId="5" borderId="0" xfId="0" applyFont="1" applyFill="1" applyAlignment="1">
      <alignment horizontal="center" vertical="center" wrapText="1"/>
    </xf>
    <xf numFmtId="0" fontId="31" fillId="5" borderId="0" xfId="0" applyFont="1" applyFill="1" applyAlignment="1">
      <alignment horizontal="center" vertical="center" wrapText="1"/>
    </xf>
    <xf numFmtId="0" fontId="49" fillId="2" borderId="0" xfId="0" applyFont="1" applyFill="1"/>
    <xf numFmtId="0" fontId="49" fillId="19" borderId="14" xfId="0" applyFont="1" applyFill="1" applyBorder="1" applyAlignment="1">
      <alignment horizontal="center"/>
    </xf>
    <xf numFmtId="0" fontId="48" fillId="28" borderId="14" xfId="0" applyFont="1" applyFill="1" applyBorder="1"/>
    <xf numFmtId="0" fontId="48" fillId="0" borderId="14" xfId="0" applyFont="1" applyBorder="1"/>
    <xf numFmtId="0" fontId="52" fillId="0" borderId="53" xfId="0" applyFont="1" applyBorder="1" applyAlignment="1">
      <alignment vertical="center"/>
    </xf>
    <xf numFmtId="0" fontId="53" fillId="0" borderId="48" xfId="0" applyFont="1" applyBorder="1" applyAlignment="1">
      <alignment horizontal="center" vertical="center"/>
    </xf>
    <xf numFmtId="0" fontId="52" fillId="0" borderId="14" xfId="0" applyFont="1" applyBorder="1" applyAlignment="1">
      <alignment vertical="center"/>
    </xf>
    <xf numFmtId="1" fontId="53" fillId="0" borderId="14" xfId="0" applyNumberFormat="1" applyFont="1" applyBorder="1" applyAlignment="1">
      <alignment horizontal="center" vertical="center"/>
    </xf>
    <xf numFmtId="0" fontId="52" fillId="29" borderId="14" xfId="0" applyFont="1" applyFill="1" applyBorder="1"/>
    <xf numFmtId="0" fontId="55" fillId="0" borderId="14" xfId="0" applyFont="1" applyBorder="1"/>
    <xf numFmtId="0" fontId="56" fillId="0" borderId="4" xfId="0" applyFont="1" applyBorder="1"/>
    <xf numFmtId="0" fontId="56" fillId="0" borderId="0" xfId="0" applyFont="1"/>
    <xf numFmtId="0" fontId="56" fillId="0" borderId="5" xfId="0" applyFont="1" applyBorder="1"/>
    <xf numFmtId="0" fontId="57" fillId="29" borderId="84" xfId="0" applyFont="1" applyFill="1" applyBorder="1" applyAlignment="1">
      <alignment vertical="center"/>
    </xf>
    <xf numFmtId="0" fontId="59" fillId="0" borderId="28" xfId="0" applyFont="1" applyBorder="1" applyAlignment="1">
      <alignment vertical="center"/>
    </xf>
    <xf numFmtId="0" fontId="59" fillId="0" borderId="29" xfId="0" applyFont="1" applyBorder="1" applyAlignment="1">
      <alignment vertical="center"/>
    </xf>
    <xf numFmtId="0" fontId="59" fillId="0" borderId="0" xfId="0" applyFont="1" applyAlignment="1">
      <alignment horizontal="left" vertical="center" wrapText="1"/>
    </xf>
    <xf numFmtId="0" fontId="60" fillId="0" borderId="0" xfId="0" applyFont="1" applyAlignment="1">
      <alignment vertical="center"/>
    </xf>
    <xf numFmtId="0" fontId="52" fillId="0" borderId="0" xfId="0" applyFont="1" applyAlignment="1">
      <alignment horizontal="left" vertical="center"/>
    </xf>
    <xf numFmtId="0" fontId="60" fillId="0" borderId="0" xfId="0" applyFont="1" applyAlignment="1">
      <alignment horizontal="left" vertical="center"/>
    </xf>
    <xf numFmtId="0" fontId="52" fillId="29" borderId="167" xfId="0" applyFont="1" applyFill="1" applyBorder="1" applyAlignment="1">
      <alignment horizontal="center" vertical="center"/>
    </xf>
    <xf numFmtId="0" fontId="55" fillId="0" borderId="106" xfId="0" applyFont="1" applyBorder="1" applyAlignment="1">
      <alignment horizontal="center" vertical="center" wrapText="1"/>
    </xf>
    <xf numFmtId="12" fontId="11" fillId="5" borderId="31" xfId="0" applyNumberFormat="1" applyFont="1" applyFill="1" applyBorder="1" applyAlignment="1">
      <alignment horizontal="center"/>
    </xf>
    <xf numFmtId="189" fontId="11" fillId="5" borderId="14" xfId="0" applyNumberFormat="1" applyFont="1" applyFill="1" applyBorder="1" applyAlignment="1">
      <alignment horizontal="center"/>
    </xf>
    <xf numFmtId="0" fontId="11" fillId="5" borderId="14" xfId="0" applyFont="1" applyFill="1" applyBorder="1" applyAlignment="1">
      <alignment horizontal="center"/>
    </xf>
    <xf numFmtId="0" fontId="11" fillId="0" borderId="50" xfId="0" applyFont="1" applyBorder="1" applyAlignment="1">
      <alignment horizontal="center"/>
    </xf>
    <xf numFmtId="0" fontId="21" fillId="5" borderId="86" xfId="0" applyFont="1" applyFill="1" applyBorder="1" applyAlignment="1">
      <alignment horizontal="center"/>
    </xf>
    <xf numFmtId="0" fontId="21" fillId="5" borderId="31" xfId="0" applyFont="1" applyFill="1" applyBorder="1" applyAlignment="1">
      <alignment textRotation="90" wrapText="1"/>
    </xf>
    <xf numFmtId="0" fontId="11" fillId="5" borderId="31" xfId="0" applyFont="1" applyFill="1" applyBorder="1" applyAlignment="1">
      <alignment horizontal="center"/>
    </xf>
    <xf numFmtId="0" fontId="21" fillId="5" borderId="31" xfId="0" applyFont="1" applyFill="1" applyBorder="1" applyAlignment="1">
      <alignment horizontal="center" textRotation="90" wrapText="1"/>
    </xf>
    <xf numFmtId="0" fontId="30" fillId="23" borderId="90" xfId="0" applyFont="1" applyFill="1" applyBorder="1" applyAlignment="1">
      <alignment horizontal="center" vertical="center" wrapText="1"/>
    </xf>
    <xf numFmtId="0" fontId="11" fillId="0" borderId="91" xfId="0" applyFont="1" applyBorder="1" applyAlignment="1">
      <alignment horizontal="center"/>
    </xf>
    <xf numFmtId="0" fontId="11" fillId="23" borderId="167" xfId="0" applyFont="1" applyFill="1" applyBorder="1" applyAlignment="1">
      <alignment horizontal="center"/>
    </xf>
    <xf numFmtId="12" fontId="11" fillId="23" borderId="14" xfId="0" applyNumberFormat="1" applyFont="1" applyFill="1" applyBorder="1"/>
    <xf numFmtId="0" fontId="11" fillId="17" borderId="167" xfId="0" applyFont="1" applyFill="1" applyBorder="1" applyAlignment="1">
      <alignment horizontal="center"/>
    </xf>
    <xf numFmtId="2" fontId="11" fillId="23" borderId="167" xfId="0" applyNumberFormat="1" applyFont="1" applyFill="1" applyBorder="1" applyAlignment="1">
      <alignment horizontal="center"/>
    </xf>
    <xf numFmtId="2" fontId="11" fillId="17" borderId="167" xfId="0" applyNumberFormat="1" applyFont="1" applyFill="1" applyBorder="1" applyAlignment="1">
      <alignment horizontal="center"/>
    </xf>
    <xf numFmtId="2" fontId="11" fillId="17" borderId="15" xfId="0" applyNumberFormat="1" applyFont="1" applyFill="1" applyBorder="1" applyAlignment="1">
      <alignment horizontal="center"/>
    </xf>
    <xf numFmtId="2" fontId="11" fillId="5" borderId="31" xfId="0" applyNumberFormat="1" applyFont="1" applyFill="1" applyBorder="1" applyAlignment="1">
      <alignment vertical="center"/>
    </xf>
    <xf numFmtId="0" fontId="62" fillId="5" borderId="31" xfId="0" applyFont="1" applyFill="1" applyBorder="1" applyAlignment="1">
      <alignment horizontal="center"/>
    </xf>
    <xf numFmtId="0" fontId="30" fillId="23" borderId="17" xfId="0" applyFont="1" applyFill="1" applyBorder="1" applyAlignment="1">
      <alignment horizontal="center" vertical="center" wrapText="1"/>
    </xf>
    <xf numFmtId="0" fontId="11" fillId="0" borderId="53" xfId="0" applyFont="1" applyBorder="1" applyAlignment="1">
      <alignment horizontal="center"/>
    </xf>
    <xf numFmtId="0" fontId="11" fillId="23" borderId="14" xfId="0" applyFont="1" applyFill="1" applyBorder="1" applyAlignment="1">
      <alignment horizontal="center"/>
    </xf>
    <xf numFmtId="0" fontId="11" fillId="17" borderId="14" xfId="0" applyFont="1" applyFill="1" applyBorder="1" applyAlignment="1">
      <alignment horizontal="center"/>
    </xf>
    <xf numFmtId="2" fontId="11" fillId="23" borderId="14" xfId="0" applyNumberFormat="1" applyFont="1" applyFill="1" applyBorder="1" applyAlignment="1">
      <alignment horizontal="center"/>
    </xf>
    <xf numFmtId="2" fontId="11" fillId="17" borderId="14" xfId="0" applyNumberFormat="1" applyFont="1" applyFill="1" applyBorder="1" applyAlignment="1">
      <alignment horizontal="center"/>
    </xf>
    <xf numFmtId="2" fontId="11" fillId="17" borderId="80" xfId="0" applyNumberFormat="1" applyFont="1" applyFill="1" applyBorder="1" applyAlignment="1">
      <alignment horizontal="center"/>
    </xf>
    <xf numFmtId="2" fontId="11" fillId="30" borderId="14" xfId="0" applyNumberFormat="1" applyFont="1" applyFill="1" applyBorder="1" applyAlignment="1">
      <alignment vertical="center"/>
    </xf>
    <xf numFmtId="0" fontId="11" fillId="23" borderId="91" xfId="0" applyFont="1" applyFill="1" applyBorder="1" applyAlignment="1">
      <alignment horizontal="center"/>
    </xf>
    <xf numFmtId="12" fontId="11" fillId="23" borderId="91" xfId="0" applyNumberFormat="1" applyFont="1" applyFill="1" applyBorder="1"/>
    <xf numFmtId="0" fontId="11" fillId="17" borderId="91" xfId="0" applyFont="1" applyFill="1" applyBorder="1" applyAlignment="1">
      <alignment horizontal="center"/>
    </xf>
    <xf numFmtId="2" fontId="11" fillId="23" borderId="91" xfId="0" applyNumberFormat="1" applyFont="1" applyFill="1" applyBorder="1" applyAlignment="1">
      <alignment horizontal="center"/>
    </xf>
    <xf numFmtId="2" fontId="11" fillId="17" borderId="91" xfId="0" applyNumberFormat="1" applyFont="1" applyFill="1" applyBorder="1" applyAlignment="1">
      <alignment horizontal="center"/>
    </xf>
    <xf numFmtId="2" fontId="11" fillId="17" borderId="92" xfId="0" applyNumberFormat="1" applyFont="1" applyFill="1" applyBorder="1" applyAlignment="1">
      <alignment horizontal="center"/>
    </xf>
    <xf numFmtId="0" fontId="11" fillId="0" borderId="14" xfId="0" applyFont="1" applyBorder="1" applyAlignment="1">
      <alignment horizontal="center"/>
    </xf>
    <xf numFmtId="0" fontId="30" fillId="23" borderId="6" xfId="0" applyFont="1" applyFill="1" applyBorder="1" applyAlignment="1">
      <alignment horizontal="center" vertical="center" wrapText="1"/>
    </xf>
    <xf numFmtId="0" fontId="11" fillId="0" borderId="51" xfId="0" applyFont="1" applyBorder="1" applyAlignment="1">
      <alignment horizontal="center"/>
    </xf>
    <xf numFmtId="0" fontId="11" fillId="23" borderId="86" xfId="0" applyFont="1" applyFill="1" applyBorder="1" applyAlignment="1">
      <alignment horizontal="center"/>
    </xf>
    <xf numFmtId="12" fontId="11" fillId="23" borderId="86" xfId="0" applyNumberFormat="1" applyFont="1" applyFill="1" applyBorder="1"/>
    <xf numFmtId="0" fontId="11" fillId="17" borderId="86" xfId="0" applyFont="1" applyFill="1" applyBorder="1" applyAlignment="1">
      <alignment horizontal="center"/>
    </xf>
    <xf numFmtId="2" fontId="11" fillId="23" borderId="86" xfId="0" applyNumberFormat="1" applyFont="1" applyFill="1" applyBorder="1" applyAlignment="1">
      <alignment horizontal="center"/>
    </xf>
    <xf numFmtId="2" fontId="11" fillId="17" borderId="86" xfId="0" applyNumberFormat="1" applyFont="1" applyFill="1" applyBorder="1" applyAlignment="1">
      <alignment horizontal="center"/>
    </xf>
    <xf numFmtId="2" fontId="11" fillId="17" borderId="168" xfId="0" applyNumberFormat="1" applyFont="1" applyFill="1" applyBorder="1" applyAlignment="1">
      <alignment horizontal="center"/>
    </xf>
    <xf numFmtId="0" fontId="11" fillId="5" borderId="31" xfId="0" applyFont="1" applyFill="1" applyBorder="1" applyAlignment="1">
      <alignment horizontal="center" vertical="center"/>
    </xf>
    <xf numFmtId="0" fontId="30" fillId="23" borderId="139" xfId="0" applyFont="1" applyFill="1" applyBorder="1" applyAlignment="1">
      <alignment horizontal="center" vertical="center" wrapText="1"/>
    </xf>
    <xf numFmtId="0" fontId="11" fillId="23" borderId="93" xfId="0" applyFont="1" applyFill="1" applyBorder="1" applyAlignment="1">
      <alignment horizontal="center"/>
    </xf>
    <xf numFmtId="12" fontId="11" fillId="23" borderId="93" xfId="0" applyNumberFormat="1" applyFont="1" applyFill="1" applyBorder="1"/>
    <xf numFmtId="0" fontId="11" fillId="17" borderId="93" xfId="0" applyFont="1" applyFill="1" applyBorder="1" applyAlignment="1">
      <alignment horizontal="center"/>
    </xf>
    <xf numFmtId="2" fontId="11" fillId="23" borderId="93" xfId="0" applyNumberFormat="1" applyFont="1" applyFill="1" applyBorder="1" applyAlignment="1">
      <alignment horizontal="center"/>
    </xf>
    <xf numFmtId="2" fontId="11" fillId="17" borderId="93" xfId="0" applyNumberFormat="1" applyFont="1" applyFill="1" applyBorder="1" applyAlignment="1">
      <alignment horizontal="center"/>
    </xf>
    <xf numFmtId="2" fontId="11" fillId="17" borderId="123" xfId="0" applyNumberFormat="1" applyFont="1" applyFill="1" applyBorder="1" applyAlignment="1">
      <alignment horizontal="center"/>
    </xf>
    <xf numFmtId="0" fontId="30" fillId="23" borderId="164" xfId="0" applyFont="1" applyFill="1" applyBorder="1" applyAlignment="1">
      <alignment horizontal="center" vertical="center" wrapText="1"/>
    </xf>
    <xf numFmtId="0" fontId="11" fillId="0" borderId="113" xfId="0" applyFont="1" applyBorder="1" applyAlignment="1">
      <alignment horizontal="center"/>
    </xf>
    <xf numFmtId="0" fontId="11" fillId="23" borderId="177" xfId="0" applyFont="1" applyFill="1" applyBorder="1" applyAlignment="1">
      <alignment horizontal="center"/>
    </xf>
    <xf numFmtId="12" fontId="11" fillId="23" borderId="177" xfId="0" applyNumberFormat="1" applyFont="1" applyFill="1" applyBorder="1"/>
    <xf numFmtId="2" fontId="11" fillId="23" borderId="177" xfId="0" applyNumberFormat="1" applyFont="1" applyFill="1" applyBorder="1" applyAlignment="1">
      <alignment horizontal="center"/>
    </xf>
    <xf numFmtId="2" fontId="11" fillId="17" borderId="177" xfId="0" applyNumberFormat="1" applyFont="1" applyFill="1" applyBorder="1" applyAlignment="1">
      <alignment horizontal="center"/>
    </xf>
    <xf numFmtId="2" fontId="11" fillId="17" borderId="178" xfId="0" applyNumberFormat="1" applyFont="1" applyFill="1" applyBorder="1" applyAlignment="1">
      <alignment horizontal="center"/>
    </xf>
    <xf numFmtId="0" fontId="30" fillId="23" borderId="26" xfId="0" applyFont="1" applyFill="1" applyBorder="1" applyAlignment="1">
      <alignment horizontal="center" vertical="center" wrapText="1"/>
    </xf>
    <xf numFmtId="0" fontId="11" fillId="0" borderId="84" xfId="0" applyFont="1" applyBorder="1" applyAlignment="1">
      <alignment horizontal="center"/>
    </xf>
    <xf numFmtId="0" fontId="11" fillId="23" borderId="84" xfId="0" applyFont="1" applyFill="1" applyBorder="1" applyAlignment="1">
      <alignment horizontal="center"/>
    </xf>
    <xf numFmtId="12" fontId="11" fillId="23" borderId="84" xfId="0" applyNumberFormat="1" applyFont="1" applyFill="1" applyBorder="1"/>
    <xf numFmtId="2" fontId="11" fillId="23" borderId="84" xfId="0" applyNumberFormat="1" applyFont="1" applyFill="1" applyBorder="1" applyAlignment="1">
      <alignment horizontal="center"/>
    </xf>
    <xf numFmtId="2" fontId="11" fillId="17" borderId="84" xfId="0" applyNumberFormat="1" applyFont="1" applyFill="1" applyBorder="1" applyAlignment="1">
      <alignment horizontal="center"/>
    </xf>
    <xf numFmtId="2" fontId="11" fillId="17" borderId="85" xfId="0" applyNumberFormat="1" applyFont="1" applyFill="1" applyBorder="1" applyAlignment="1">
      <alignment horizontal="center"/>
    </xf>
    <xf numFmtId="2" fontId="11" fillId="5" borderId="31" xfId="0" applyNumberFormat="1" applyFont="1" applyFill="1" applyBorder="1" applyAlignment="1">
      <alignment horizontal="center"/>
    </xf>
    <xf numFmtId="4" fontId="52" fillId="0" borderId="92" xfId="0" applyNumberFormat="1" applyFont="1" applyBorder="1" applyAlignment="1">
      <alignment horizontal="center"/>
    </xf>
    <xf numFmtId="9" fontId="52" fillId="0" borderId="54" xfId="0" applyNumberFormat="1" applyFont="1" applyBorder="1" applyAlignment="1">
      <alignment horizontal="center"/>
    </xf>
    <xf numFmtId="4" fontId="64" fillId="0" borderId="85" xfId="0" applyNumberFormat="1" applyFont="1" applyBorder="1" applyAlignment="1">
      <alignment horizontal="center"/>
    </xf>
    <xf numFmtId="0" fontId="5" fillId="0" borderId="4" xfId="0" applyFont="1" applyBorder="1"/>
    <xf numFmtId="0" fontId="5" fillId="0" borderId="56" xfId="0" applyFont="1" applyBorder="1"/>
    <xf numFmtId="0" fontId="69" fillId="19" borderId="14" xfId="0" applyFont="1" applyFill="1" applyBorder="1" applyAlignment="1">
      <alignment horizontal="left" vertical="center" wrapText="1"/>
    </xf>
    <xf numFmtId="0" fontId="70" fillId="9" borderId="88" xfId="0" applyFont="1" applyFill="1" applyBorder="1" applyAlignment="1">
      <alignment vertical="center"/>
    </xf>
    <xf numFmtId="0" fontId="69" fillId="18" borderId="109" xfId="0" quotePrefix="1" applyFont="1" applyFill="1" applyBorder="1" applyAlignment="1">
      <alignment horizontal="left" vertical="center"/>
    </xf>
    <xf numFmtId="49" fontId="70" fillId="20" borderId="14" xfId="0" quotePrefix="1" applyNumberFormat="1" applyFont="1" applyFill="1" applyBorder="1" applyAlignment="1">
      <alignment horizontal="center" vertical="center" wrapText="1"/>
    </xf>
    <xf numFmtId="0" fontId="69" fillId="18" borderId="87" xfId="0" quotePrefix="1" applyFont="1" applyFill="1" applyBorder="1" applyAlignment="1">
      <alignment horizontal="left" vertical="center"/>
    </xf>
    <xf numFmtId="0" fontId="69" fillId="18" borderId="30" xfId="0" quotePrefix="1" applyFont="1" applyFill="1" applyBorder="1" applyAlignment="1">
      <alignment horizontal="left" vertical="center"/>
    </xf>
    <xf numFmtId="0" fontId="69" fillId="18" borderId="87" xfId="0" quotePrefix="1" applyFont="1" applyFill="1" applyBorder="1" applyAlignment="1">
      <alignment vertical="center"/>
    </xf>
    <xf numFmtId="0" fontId="35" fillId="0" borderId="43" xfId="0" applyFont="1" applyBorder="1" applyAlignment="1">
      <alignment vertical="center"/>
    </xf>
    <xf numFmtId="0" fontId="17" fillId="0" borderId="135" xfId="0" applyFont="1" applyBorder="1" applyAlignment="1">
      <alignment horizontal="center" vertical="center"/>
    </xf>
    <xf numFmtId="0" fontId="17" fillId="0" borderId="82" xfId="0" applyFont="1" applyBorder="1" applyAlignment="1">
      <alignment vertical="center"/>
    </xf>
    <xf numFmtId="0" fontId="17" fillId="0" borderId="82" xfId="0" applyFont="1" applyBorder="1" applyAlignment="1">
      <alignment horizontal="left" vertical="center" wrapText="1"/>
    </xf>
    <xf numFmtId="169" fontId="17" fillId="0" borderId="82" xfId="0" applyNumberFormat="1" applyFont="1" applyBorder="1" applyAlignment="1">
      <alignment vertical="center"/>
    </xf>
    <xf numFmtId="0" fontId="17" fillId="0" borderId="82" xfId="0" applyFont="1" applyBorder="1" applyAlignment="1">
      <alignment horizontal="center" vertical="center"/>
    </xf>
    <xf numFmtId="169" fontId="17" fillId="0" borderId="24" xfId="0" applyNumberFormat="1" applyFont="1" applyBorder="1" applyAlignment="1">
      <alignment vertical="center"/>
    </xf>
    <xf numFmtId="169" fontId="17" fillId="11" borderId="82" xfId="0" applyNumberFormat="1" applyFont="1" applyFill="1" applyBorder="1" applyAlignment="1">
      <alignment horizontal="right" vertical="center"/>
    </xf>
    <xf numFmtId="169" fontId="17" fillId="4" borderId="82" xfId="0" applyNumberFormat="1" applyFont="1" applyFill="1" applyBorder="1" applyAlignment="1">
      <alignment vertical="center"/>
    </xf>
    <xf numFmtId="169" fontId="20" fillId="4" borderId="82" xfId="0" applyNumberFormat="1" applyFont="1" applyFill="1" applyBorder="1" applyAlignment="1">
      <alignment vertical="center"/>
    </xf>
    <xf numFmtId="0" fontId="17" fillId="0" borderId="104" xfId="0" applyFont="1" applyBorder="1" applyAlignment="1">
      <alignment vertical="center"/>
    </xf>
    <xf numFmtId="0" fontId="11" fillId="0" borderId="105" xfId="0" applyFont="1" applyBorder="1"/>
    <xf numFmtId="0" fontId="3" fillId="0" borderId="104" xfId="0" applyFont="1" applyBorder="1"/>
    <xf numFmtId="0" fontId="3" fillId="0" borderId="69" xfId="0" applyFont="1" applyBorder="1" applyAlignment="1">
      <alignment horizontal="center" vertical="center" wrapText="1"/>
    </xf>
    <xf numFmtId="0" fontId="3" fillId="0" borderId="69" xfId="0" applyFont="1" applyBorder="1" applyAlignment="1">
      <alignment horizontal="left" vertical="center" wrapText="1"/>
    </xf>
    <xf numFmtId="0" fontId="3" fillId="0" borderId="105" xfId="0" applyFont="1" applyBorder="1" applyAlignment="1">
      <alignment wrapText="1"/>
    </xf>
    <xf numFmtId="0" fontId="3" fillId="0" borderId="153" xfId="0" applyFont="1" applyBorder="1" applyAlignment="1">
      <alignment horizontal="left" vertical="center" wrapText="1"/>
    </xf>
    <xf numFmtId="0" fontId="11" fillId="0" borderId="69" xfId="0" applyFont="1" applyBorder="1"/>
    <xf numFmtId="169" fontId="17" fillId="5" borderId="82" xfId="0" applyNumberFormat="1" applyFont="1" applyFill="1" applyBorder="1" applyAlignment="1">
      <alignment vertical="center"/>
    </xf>
    <xf numFmtId="0" fontId="17" fillId="5" borderId="82" xfId="0" applyFont="1" applyFill="1" applyBorder="1" applyAlignment="1">
      <alignment vertical="center"/>
    </xf>
    <xf numFmtId="169" fontId="17" fillId="22" borderId="82" xfId="0" applyNumberFormat="1" applyFont="1" applyFill="1" applyBorder="1" applyAlignment="1">
      <alignment horizontal="right" vertical="center"/>
    </xf>
    <xf numFmtId="4" fontId="3" fillId="0" borderId="69" xfId="0" applyNumberFormat="1" applyFont="1" applyBorder="1" applyAlignment="1">
      <alignment horizontal="center" vertical="center" wrapText="1"/>
    </xf>
    <xf numFmtId="180" fontId="3" fillId="0" borderId="69" xfId="0" applyNumberFormat="1" applyFont="1" applyBorder="1" applyAlignment="1">
      <alignment horizontal="right" vertical="center" wrapText="1"/>
    </xf>
    <xf numFmtId="174" fontId="13" fillId="0" borderId="66" xfId="0" applyNumberFormat="1" applyFont="1" applyBorder="1" applyAlignment="1">
      <alignment horizontal="right" vertical="center" wrapText="1"/>
    </xf>
    <xf numFmtId="0" fontId="72" fillId="0" borderId="91" xfId="0" quotePrefix="1" applyFont="1" applyBorder="1" applyAlignment="1">
      <alignment horizontal="center" vertical="center" wrapText="1"/>
    </xf>
    <xf numFmtId="0" fontId="72" fillId="0" borderId="14" xfId="0" quotePrefix="1" applyFont="1" applyBorder="1" applyAlignment="1">
      <alignment horizontal="center" vertical="center" wrapText="1"/>
    </xf>
    <xf numFmtId="44" fontId="75" fillId="0" borderId="185" xfId="2" applyNumberFormat="1" applyFont="1" applyBorder="1" applyAlignment="1">
      <alignment horizontal="center" vertical="center"/>
    </xf>
    <xf numFmtId="9" fontId="74" fillId="0" borderId="188" xfId="1" applyNumberFormat="1" applyFont="1" applyBorder="1" applyAlignment="1">
      <alignment horizontal="center" vertical="center"/>
    </xf>
    <xf numFmtId="44" fontId="74" fillId="0" borderId="189" xfId="2" applyNumberFormat="1" applyFont="1" applyBorder="1" applyAlignment="1">
      <alignment horizontal="center" vertical="center"/>
    </xf>
    <xf numFmtId="44" fontId="75" fillId="0" borderId="193" xfId="2" applyNumberFormat="1" applyFont="1" applyBorder="1" applyAlignment="1">
      <alignment horizontal="center" vertical="center"/>
    </xf>
    <xf numFmtId="0" fontId="75" fillId="0" borderId="194" xfId="1" applyFont="1" applyBorder="1" applyAlignment="1">
      <alignment horizontal="left" vertical="center"/>
    </xf>
    <xf numFmtId="9" fontId="74" fillId="0" borderId="195" xfId="2" applyNumberFormat="1" applyFont="1" applyBorder="1" applyAlignment="1">
      <alignment horizontal="center" vertical="center"/>
    </xf>
    <xf numFmtId="183" fontId="75" fillId="0" borderId="195" xfId="2" applyNumberFormat="1" applyFont="1" applyBorder="1" applyAlignment="1">
      <alignment horizontal="center" vertical="center"/>
    </xf>
    <xf numFmtId="0" fontId="74" fillId="0" borderId="196" xfId="1" applyFont="1" applyBorder="1" applyAlignment="1">
      <alignment horizontal="center" vertical="center"/>
    </xf>
    <xf numFmtId="44" fontId="75" fillId="31" borderId="197" xfId="3" applyNumberFormat="1" applyFont="1" applyFill="1" applyBorder="1" applyAlignment="1">
      <alignment horizontal="center" vertical="center"/>
    </xf>
    <xf numFmtId="0" fontId="75" fillId="0" borderId="182" xfId="4" applyFont="1" applyBorder="1" applyAlignment="1">
      <alignment vertical="center"/>
    </xf>
    <xf numFmtId="182" fontId="75" fillId="0" borderId="201" xfId="6" applyNumberFormat="1" applyFont="1" applyFill="1" applyBorder="1" applyAlignment="1">
      <alignment horizontal="center" vertical="center"/>
    </xf>
    <xf numFmtId="182" fontId="75" fillId="0" borderId="188" xfId="6" applyNumberFormat="1" applyFont="1" applyFill="1" applyBorder="1" applyAlignment="1">
      <alignment horizontal="center" vertical="center"/>
    </xf>
    <xf numFmtId="9" fontId="74" fillId="0" borderId="203" xfId="7" applyFont="1" applyFill="1" applyBorder="1" applyAlignment="1">
      <alignment horizontal="center" vertical="center"/>
    </xf>
    <xf numFmtId="0" fontId="3" fillId="0" borderId="213" xfId="0" applyFont="1" applyBorder="1"/>
    <xf numFmtId="0" fontId="3" fillId="0" borderId="69" xfId="0" applyFont="1" applyBorder="1"/>
    <xf numFmtId="0" fontId="3" fillId="0" borderId="214" xfId="0" applyFont="1" applyBorder="1"/>
    <xf numFmtId="0" fontId="69" fillId="18" borderId="150" xfId="0" applyFont="1" applyFill="1" applyBorder="1" applyAlignment="1">
      <alignment vertical="center"/>
    </xf>
    <xf numFmtId="0" fontId="29" fillId="18" borderId="150" xfId="0" applyFont="1" applyFill="1" applyBorder="1" applyAlignment="1">
      <alignment vertical="center"/>
    </xf>
    <xf numFmtId="0" fontId="3" fillId="0" borderId="135" xfId="0" applyFont="1" applyBorder="1" applyAlignment="1">
      <alignment horizontal="left" vertical="center" wrapText="1"/>
    </xf>
    <xf numFmtId="0" fontId="3" fillId="0" borderId="82" xfId="0" applyFont="1" applyBorder="1" applyAlignment="1">
      <alignment horizontal="center" vertical="center" wrapText="1"/>
    </xf>
    <xf numFmtId="0" fontId="3" fillId="0" borderId="82" xfId="0" applyFont="1" applyBorder="1" applyAlignment="1">
      <alignment horizontal="left" vertical="center" wrapText="1"/>
    </xf>
    <xf numFmtId="4" fontId="3" fillId="0" borderId="82" xfId="0" applyNumberFormat="1" applyFont="1" applyBorder="1" applyAlignment="1">
      <alignment horizontal="center" vertical="center" wrapText="1"/>
    </xf>
    <xf numFmtId="180" fontId="3" fillId="0" borderId="77" xfId="0" applyNumberFormat="1" applyFont="1" applyBorder="1" applyAlignment="1">
      <alignment horizontal="right" vertical="center" wrapText="1"/>
    </xf>
    <xf numFmtId="0" fontId="3" fillId="0" borderId="215" xfId="0" applyFont="1" applyBorder="1"/>
    <xf numFmtId="0" fontId="3" fillId="0" borderId="216" xfId="0" applyFont="1" applyBorder="1"/>
    <xf numFmtId="0" fontId="3" fillId="0" borderId="217" xfId="0" applyFont="1" applyBorder="1"/>
    <xf numFmtId="0" fontId="77" fillId="0" borderId="69" xfId="8" applyFont="1" applyAlignment="1">
      <alignment horizontal="left"/>
    </xf>
    <xf numFmtId="0" fontId="74" fillId="0" borderId="69" xfId="9" applyFont="1"/>
    <xf numFmtId="0" fontId="78" fillId="0" borderId="69" xfId="8" applyFont="1" applyAlignment="1">
      <alignment horizontal="left"/>
    </xf>
    <xf numFmtId="0" fontId="74" fillId="0" borderId="213" xfId="9" applyFont="1" applyBorder="1"/>
    <xf numFmtId="0" fontId="74" fillId="0" borderId="214" xfId="9" applyFont="1" applyBorder="1"/>
    <xf numFmtId="0" fontId="74" fillId="32" borderId="213" xfId="9" applyFont="1" applyFill="1" applyBorder="1"/>
    <xf numFmtId="0" fontId="74" fillId="32" borderId="214" xfId="9" applyFont="1" applyFill="1" applyBorder="1"/>
    <xf numFmtId="0" fontId="74" fillId="32" borderId="69" xfId="9" applyFont="1" applyFill="1"/>
    <xf numFmtId="0" fontId="75" fillId="0" borderId="212" xfId="11" applyFont="1" applyBorder="1" applyAlignment="1">
      <alignment horizontal="center" vertical="center" wrapText="1"/>
    </xf>
    <xf numFmtId="0" fontId="75" fillId="31" borderId="195" xfId="3" applyFont="1" applyFill="1" applyBorder="1" applyAlignment="1">
      <alignment horizontal="center" vertical="center"/>
    </xf>
    <xf numFmtId="10" fontId="74" fillId="0" borderId="69" xfId="9" applyNumberFormat="1" applyFont="1"/>
    <xf numFmtId="0" fontId="74" fillId="0" borderId="229" xfId="3" applyFont="1" applyBorder="1" applyAlignment="1">
      <alignment horizontal="center" vertical="center"/>
    </xf>
    <xf numFmtId="0" fontId="74" fillId="0" borderId="188" xfId="11" applyFont="1" applyBorder="1" applyAlignment="1">
      <alignment horizontal="center" vertical="center"/>
    </xf>
    <xf numFmtId="0" fontId="74" fillId="0" borderId="188" xfId="11" applyFont="1" applyBorder="1" applyAlignment="1">
      <alignment horizontal="left" vertical="center" wrapText="1"/>
    </xf>
    <xf numFmtId="4" fontId="74" fillId="0" borderId="188" xfId="12" applyNumberFormat="1" applyFont="1" applyBorder="1" applyAlignment="1">
      <alignment horizontal="center" vertical="center" wrapText="1"/>
    </xf>
    <xf numFmtId="193" fontId="74" fillId="0" borderId="188" xfId="2" applyNumberFormat="1" applyFont="1" applyFill="1" applyBorder="1" applyAlignment="1">
      <alignment horizontal="center" vertical="center" wrapText="1"/>
    </xf>
    <xf numFmtId="44" fontId="74" fillId="0" borderId="201" xfId="13" applyNumberFormat="1" applyFont="1" applyBorder="1" applyAlignment="1">
      <alignment horizontal="center" vertical="center" wrapText="1"/>
    </xf>
    <xf numFmtId="0" fontId="79" fillId="0" borderId="202" xfId="8" applyFont="1" applyBorder="1" applyAlignment="1">
      <alignment horizontal="center" vertical="center" wrapText="1"/>
    </xf>
    <xf numFmtId="192" fontId="74" fillId="0" borderId="188" xfId="14" applyFont="1" applyFill="1" applyBorder="1" applyAlignment="1">
      <alignment horizontal="left" vertical="center" wrapText="1"/>
    </xf>
    <xf numFmtId="0" fontId="74" fillId="0" borderId="188" xfId="8" applyFont="1" applyBorder="1" applyAlignment="1">
      <alignment horizontal="center" vertical="center"/>
    </xf>
    <xf numFmtId="4" fontId="74" fillId="0" borderId="188" xfId="15" applyNumberFormat="1" applyFont="1" applyFill="1" applyBorder="1" applyAlignment="1">
      <alignment horizontal="center" vertical="center"/>
    </xf>
    <xf numFmtId="0" fontId="74" fillId="0" borderId="209" xfId="3" applyFont="1" applyBorder="1" applyAlignment="1">
      <alignment horizontal="center" vertical="center"/>
    </xf>
    <xf numFmtId="0" fontId="74" fillId="0" borderId="210" xfId="11" applyFont="1" applyBorder="1" applyAlignment="1">
      <alignment horizontal="center" vertical="center"/>
    </xf>
    <xf numFmtId="0" fontId="74" fillId="0" borderId="210" xfId="11" applyFont="1" applyBorder="1" applyAlignment="1">
      <alignment horizontal="left" vertical="center" wrapText="1"/>
    </xf>
    <xf numFmtId="181" fontId="74" fillId="0" borderId="211" xfId="13" applyNumberFormat="1" applyFont="1" applyBorder="1" applyAlignment="1">
      <alignment horizontal="center" vertical="center" wrapText="1"/>
    </xf>
    <xf numFmtId="44" fontId="75" fillId="0" borderId="230" xfId="12" applyNumberFormat="1" applyFont="1" applyBorder="1" applyAlignment="1">
      <alignment horizontal="center" vertical="center"/>
    </xf>
    <xf numFmtId="0" fontId="74" fillId="0" borderId="210" xfId="9" applyFont="1" applyBorder="1" applyAlignment="1">
      <alignment horizontal="center" vertical="center"/>
    </xf>
    <xf numFmtId="0" fontId="74" fillId="0" borderId="210" xfId="9" applyFont="1" applyBorder="1" applyAlignment="1">
      <alignment horizontal="left" vertical="center"/>
    </xf>
    <xf numFmtId="0" fontId="74" fillId="0" borderId="188" xfId="3" applyFont="1" applyBorder="1" applyAlignment="1">
      <alignment horizontal="center" vertical="center"/>
    </xf>
    <xf numFmtId="0" fontId="74" fillId="0" borderId="231" xfId="3" applyFont="1" applyBorder="1" applyAlignment="1">
      <alignment horizontal="center" vertical="center"/>
    </xf>
    <xf numFmtId="0" fontId="74" fillId="0" borderId="69" xfId="3" applyFont="1" applyAlignment="1">
      <alignment horizontal="center" vertical="center"/>
    </xf>
    <xf numFmtId="0" fontId="74" fillId="0" borderId="69" xfId="3" applyFont="1" applyAlignment="1">
      <alignment horizontal="left" vertical="center" wrapText="1"/>
    </xf>
    <xf numFmtId="181" fontId="74" fillId="0" borderId="208" xfId="13" applyNumberFormat="1" applyFont="1" applyBorder="1" applyAlignment="1">
      <alignment horizontal="center" vertical="center" wrapText="1"/>
    </xf>
    <xf numFmtId="2" fontId="74" fillId="0" borderId="210" xfId="3" applyNumberFormat="1" applyFont="1" applyBorder="1" applyAlignment="1">
      <alignment horizontal="center" vertical="center"/>
    </xf>
    <xf numFmtId="0" fontId="74" fillId="0" borderId="210" xfId="3" applyFont="1" applyBorder="1" applyAlignment="1">
      <alignment horizontal="left" vertical="center"/>
    </xf>
    <xf numFmtId="0" fontId="74" fillId="0" borderId="210" xfId="3" applyFont="1" applyBorder="1" applyAlignment="1">
      <alignment horizontal="center" vertical="center"/>
    </xf>
    <xf numFmtId="49" fontId="74" fillId="0" borderId="188" xfId="14" applyNumberFormat="1" applyFont="1" applyFill="1" applyBorder="1" applyAlignment="1">
      <alignment horizontal="left" vertical="center" wrapText="1"/>
    </xf>
    <xf numFmtId="0" fontId="80" fillId="0" borderId="188" xfId="8" applyFont="1" applyBorder="1" applyAlignment="1">
      <alignment horizontal="center" vertical="center"/>
    </xf>
    <xf numFmtId="0" fontId="74" fillId="0" borderId="188" xfId="14" applyNumberFormat="1" applyFont="1" applyFill="1" applyBorder="1" applyAlignment="1">
      <alignment horizontal="left" vertical="center" wrapText="1"/>
    </xf>
    <xf numFmtId="0" fontId="79" fillId="0" borderId="188" xfId="8" applyFont="1" applyBorder="1" applyAlignment="1">
      <alignment horizontal="left" vertical="center" wrapText="1"/>
    </xf>
    <xf numFmtId="0" fontId="80" fillId="0" borderId="188" xfId="8" applyFont="1" applyBorder="1" applyAlignment="1">
      <alignment horizontal="left" vertical="center" wrapText="1"/>
    </xf>
    <xf numFmtId="0" fontId="79" fillId="0" borderId="226" xfId="8" applyFont="1" applyBorder="1" applyAlignment="1">
      <alignment horizontal="center" vertical="center" wrapText="1"/>
    </xf>
    <xf numFmtId="0" fontId="74" fillId="0" borderId="227" xfId="11" applyFont="1" applyBorder="1" applyAlignment="1">
      <alignment horizontal="center" vertical="center"/>
    </xf>
    <xf numFmtId="49" fontId="74" fillId="0" borderId="227" xfId="14" applyNumberFormat="1" applyFont="1" applyFill="1" applyBorder="1" applyAlignment="1">
      <alignment horizontal="left" vertical="center" wrapText="1"/>
    </xf>
    <xf numFmtId="0" fontId="74" fillId="0" borderId="227" xfId="8" applyFont="1" applyBorder="1" applyAlignment="1">
      <alignment horizontal="center" vertical="center"/>
    </xf>
    <xf numFmtId="4" fontId="74" fillId="0" borderId="227" xfId="15" applyNumberFormat="1" applyFont="1" applyFill="1" applyBorder="1" applyAlignment="1">
      <alignment horizontal="center" vertical="center"/>
    </xf>
    <xf numFmtId="4" fontId="74" fillId="0" borderId="212" xfId="12" applyNumberFormat="1" applyFont="1" applyBorder="1" applyAlignment="1">
      <alignment horizontal="center" vertical="center" wrapText="1"/>
    </xf>
    <xf numFmtId="2" fontId="74" fillId="0" borderId="69" xfId="3" applyNumberFormat="1" applyFont="1" applyAlignment="1">
      <alignment horizontal="center" vertical="center"/>
    </xf>
    <xf numFmtId="0" fontId="74" fillId="0" borderId="69" xfId="3" applyFont="1" applyAlignment="1">
      <alignment horizontal="left" vertical="center"/>
    </xf>
    <xf numFmtId="4" fontId="74" fillId="0" borderId="69" xfId="12" applyNumberFormat="1" applyFont="1" applyBorder="1" applyAlignment="1">
      <alignment horizontal="center" vertical="center" wrapText="1"/>
    </xf>
    <xf numFmtId="181" fontId="74" fillId="0" borderId="69" xfId="13" applyNumberFormat="1" applyFont="1" applyBorder="1" applyAlignment="1">
      <alignment horizontal="center" vertical="center" wrapText="1"/>
    </xf>
    <xf numFmtId="44" fontId="75" fillId="0" borderId="69" xfId="12" applyNumberFormat="1" applyFont="1" applyBorder="1" applyAlignment="1">
      <alignment horizontal="center" vertical="center"/>
    </xf>
    <xf numFmtId="0" fontId="74" fillId="0" borderId="213" xfId="1" applyFont="1" applyBorder="1"/>
    <xf numFmtId="0" fontId="74" fillId="0" borderId="69" xfId="1" applyFont="1" applyAlignment="1">
      <alignment horizontal="center" vertical="center"/>
    </xf>
    <xf numFmtId="0" fontId="74" fillId="0" borderId="214" xfId="1" applyFont="1" applyBorder="1"/>
    <xf numFmtId="0" fontId="74" fillId="0" borderId="69" xfId="1" applyFont="1"/>
    <xf numFmtId="0" fontId="74" fillId="0" borderId="69" xfId="11" applyFont="1" applyAlignment="1">
      <alignment horizontal="center" vertical="center"/>
    </xf>
    <xf numFmtId="49" fontId="75" fillId="0" borderId="69" xfId="16" applyNumberFormat="1" applyFont="1" applyAlignment="1">
      <alignment horizontal="center" vertical="center"/>
    </xf>
    <xf numFmtId="49" fontId="75" fillId="0" borderId="69" xfId="16" applyNumberFormat="1" applyFont="1" applyAlignment="1">
      <alignment horizontal="left" vertical="center"/>
    </xf>
    <xf numFmtId="44" fontId="75" fillId="0" borderId="69" xfId="16" applyNumberFormat="1" applyFont="1" applyAlignment="1">
      <alignment horizontal="center" vertical="center"/>
    </xf>
    <xf numFmtId="0" fontId="74" fillId="0" borderId="69" xfId="1" applyFont="1" applyAlignment="1">
      <alignment horizontal="center" vertical="center" wrapText="1"/>
    </xf>
    <xf numFmtId="0" fontId="74" fillId="0" borderId="69" xfId="1" applyFont="1" applyAlignment="1">
      <alignment horizontal="left" vertical="center" wrapText="1"/>
    </xf>
    <xf numFmtId="9" fontId="74" fillId="0" borderId="69" xfId="2" applyNumberFormat="1" applyFont="1" applyBorder="1" applyAlignment="1">
      <alignment horizontal="center" vertical="center"/>
    </xf>
    <xf numFmtId="183" fontId="74" fillId="0" borderId="69" xfId="2" applyNumberFormat="1" applyFont="1" applyBorder="1" applyAlignment="1">
      <alignment horizontal="center" vertical="center"/>
    </xf>
    <xf numFmtId="44" fontId="75" fillId="0" borderId="69" xfId="2" applyNumberFormat="1" applyFont="1" applyBorder="1" applyAlignment="1">
      <alignment horizontal="center" vertical="center"/>
    </xf>
    <xf numFmtId="195" fontId="74" fillId="0" borderId="214" xfId="1" applyNumberFormat="1" applyFont="1" applyBorder="1"/>
    <xf numFmtId="196" fontId="74" fillId="0" borderId="214" xfId="1" applyNumberFormat="1" applyFont="1" applyBorder="1"/>
    <xf numFmtId="0" fontId="74" fillId="32" borderId="69" xfId="10" applyFont="1" applyFill="1" applyAlignment="1">
      <alignment horizontal="center" vertical="center" wrapText="1"/>
    </xf>
    <xf numFmtId="0" fontId="74" fillId="0" borderId="69" xfId="9" applyFont="1" applyAlignment="1">
      <alignment horizontal="center"/>
    </xf>
    <xf numFmtId="0" fontId="75" fillId="32" borderId="205" xfId="10" applyFont="1" applyFill="1" applyBorder="1" applyAlignment="1">
      <alignment horizontal="center" vertical="center" wrapText="1"/>
    </xf>
    <xf numFmtId="0" fontId="74" fillId="0" borderId="215" xfId="1" applyFont="1" applyBorder="1"/>
    <xf numFmtId="0" fontId="74" fillId="0" borderId="216" xfId="9" applyFont="1" applyBorder="1"/>
    <xf numFmtId="0" fontId="74" fillId="0" borderId="216" xfId="9" applyFont="1" applyBorder="1" applyAlignment="1">
      <alignment horizontal="center"/>
    </xf>
    <xf numFmtId="197" fontId="74" fillId="0" borderId="216" xfId="17" applyNumberFormat="1" applyFont="1" applyBorder="1"/>
    <xf numFmtId="0" fontId="74" fillId="0" borderId="217" xfId="9" applyFont="1" applyBorder="1"/>
    <xf numFmtId="0" fontId="79" fillId="0" borderId="202" xfId="8" quotePrefix="1" applyFont="1" applyBorder="1" applyAlignment="1">
      <alignment horizontal="center" vertical="center" wrapText="1"/>
    </xf>
    <xf numFmtId="0" fontId="3" fillId="0" borderId="4" xfId="0" applyFont="1" applyBorder="1" applyAlignment="1">
      <alignment horizontal="center" vertical="center"/>
    </xf>
    <xf numFmtId="0" fontId="5" fillId="0" borderId="4" xfId="0" applyFont="1" applyBorder="1"/>
    <xf numFmtId="0" fontId="3" fillId="0" borderId="0" xfId="0" applyFont="1" applyAlignment="1">
      <alignment horizontal="center" vertical="center"/>
    </xf>
    <xf numFmtId="0" fontId="0" fillId="0" borderId="0" xfId="0"/>
    <xf numFmtId="0" fontId="3" fillId="0" borderId="5" xfId="0" applyFont="1" applyBorder="1" applyAlignment="1">
      <alignment horizontal="center" vertical="center"/>
    </xf>
    <xf numFmtId="0" fontId="5" fillId="0" borderId="5" xfId="0" applyFont="1" applyBorder="1"/>
    <xf numFmtId="0" fontId="13" fillId="0" borderId="43" xfId="0" applyFont="1" applyBorder="1" applyAlignment="1">
      <alignment horizontal="center" vertical="center"/>
    </xf>
    <xf numFmtId="0" fontId="5" fillId="0" borderId="44" xfId="0" applyFont="1" applyBorder="1"/>
    <xf numFmtId="0" fontId="5" fillId="0" borderId="47" xfId="0" applyFont="1" applyBorder="1"/>
    <xf numFmtId="1" fontId="3" fillId="0" borderId="4" xfId="0" applyNumberFormat="1" applyFont="1" applyBorder="1" applyAlignment="1">
      <alignment horizontal="center" vertical="center"/>
    </xf>
    <xf numFmtId="0" fontId="5" fillId="0" borderId="56" xfId="0" applyFont="1" applyBorder="1"/>
    <xf numFmtId="0" fontId="49" fillId="2" borderId="0" xfId="0" applyFont="1" applyFill="1" applyAlignment="1">
      <alignment horizontal="center"/>
    </xf>
    <xf numFmtId="0" fontId="5" fillId="0" borderId="83" xfId="0" applyFont="1" applyBorder="1"/>
    <xf numFmtId="0" fontId="5" fillId="0" borderId="72" xfId="0" applyFont="1" applyBorder="1"/>
    <xf numFmtId="0" fontId="3" fillId="0" borderId="64" xfId="0" applyFont="1" applyBorder="1" applyAlignment="1">
      <alignment horizontal="center" vertical="center"/>
    </xf>
    <xf numFmtId="0" fontId="5" fillId="0" borderId="114" xfId="0" applyFont="1" applyBorder="1"/>
    <xf numFmtId="1" fontId="3" fillId="0" borderId="0" xfId="0" applyNumberFormat="1" applyFont="1" applyAlignment="1">
      <alignment horizontal="center" vertical="center"/>
    </xf>
    <xf numFmtId="0" fontId="5" fillId="0" borderId="57" xfId="0" applyFont="1" applyBorder="1"/>
    <xf numFmtId="1" fontId="3" fillId="0" borderId="5" xfId="0" applyNumberFormat="1" applyFont="1" applyBorder="1" applyAlignment="1">
      <alignment horizontal="center" vertical="center"/>
    </xf>
    <xf numFmtId="0" fontId="5" fillId="0" borderId="58" xfId="0" applyFont="1" applyBorder="1"/>
    <xf numFmtId="0" fontId="48" fillId="20" borderId="18" xfId="0" applyFont="1" applyFill="1" applyBorder="1"/>
    <xf numFmtId="0" fontId="5" fillId="0" borderId="19" xfId="0" applyFont="1" applyBorder="1"/>
    <xf numFmtId="0" fontId="5" fillId="0" borderId="22" xfId="0" applyFont="1" applyBorder="1"/>
    <xf numFmtId="0" fontId="48" fillId="0" borderId="18" xfId="0" applyFont="1" applyBorder="1"/>
    <xf numFmtId="0" fontId="48" fillId="28" borderId="18" xfId="0" applyFont="1" applyFill="1" applyBorder="1"/>
    <xf numFmtId="0" fontId="48" fillId="0" borderId="74" xfId="0" applyFont="1" applyBorder="1"/>
    <xf numFmtId="0" fontId="5" fillId="0" borderId="11" xfId="0" applyFont="1" applyBorder="1"/>
    <xf numFmtId="0" fontId="5" fillId="0" borderId="75" xfId="0" applyFont="1" applyBorder="1"/>
    <xf numFmtId="0" fontId="5" fillId="0" borderId="71" xfId="0" applyFont="1" applyBorder="1"/>
    <xf numFmtId="0" fontId="5" fillId="0" borderId="48" xfId="0" applyFont="1" applyBorder="1"/>
    <xf numFmtId="0" fontId="5" fillId="0" borderId="49" xfId="0" applyFont="1" applyBorder="1"/>
    <xf numFmtId="0" fontId="5" fillId="0" borderId="73" xfId="0" applyFont="1" applyBorder="1"/>
    <xf numFmtId="0" fontId="48" fillId="5" borderId="18" xfId="0" applyFont="1" applyFill="1" applyBorder="1"/>
    <xf numFmtId="0" fontId="7" fillId="0" borderId="165" xfId="0" applyFont="1" applyBorder="1" applyAlignment="1">
      <alignment horizontal="center" vertical="center"/>
    </xf>
    <xf numFmtId="0" fontId="7" fillId="0" borderId="111" xfId="0" applyFont="1" applyBorder="1" applyAlignment="1">
      <alignment horizontal="center" vertical="center"/>
    </xf>
    <xf numFmtId="0" fontId="7" fillId="0" borderId="69" xfId="0" applyFont="1" applyBorder="1" applyAlignment="1">
      <alignment horizontal="center" vertical="center"/>
    </xf>
    <xf numFmtId="0" fontId="7" fillId="0" borderId="154" xfId="0" applyFont="1" applyBorder="1" applyAlignment="1">
      <alignment horizontal="center" vertical="center"/>
    </xf>
    <xf numFmtId="0" fontId="3" fillId="0" borderId="69" xfId="0" applyFont="1" applyBorder="1" applyAlignment="1">
      <alignment horizontal="center" wrapText="1"/>
    </xf>
    <xf numFmtId="0" fontId="3" fillId="0" borderId="154" xfId="0" applyFont="1" applyBorder="1" applyAlignment="1">
      <alignment horizontal="center" wrapText="1"/>
    </xf>
    <xf numFmtId="0" fontId="7" fillId="0" borderId="162" xfId="0" applyFont="1" applyBorder="1" applyAlignment="1">
      <alignment horizontal="center" vertical="center"/>
    </xf>
    <xf numFmtId="0" fontId="7" fillId="0" borderId="66" xfId="0" applyFont="1" applyBorder="1" applyAlignment="1">
      <alignment horizontal="center" vertical="center"/>
    </xf>
    <xf numFmtId="0" fontId="3" fillId="0" borderId="69" xfId="0" applyFont="1" applyBorder="1" applyAlignment="1">
      <alignment horizontal="center" vertical="center"/>
    </xf>
    <xf numFmtId="0" fontId="3" fillId="0" borderId="154" xfId="0" applyFont="1" applyBorder="1" applyAlignment="1">
      <alignment horizontal="center" vertical="center"/>
    </xf>
    <xf numFmtId="0" fontId="5" fillId="0" borderId="69" xfId="0" applyFont="1" applyBorder="1" applyAlignment="1">
      <alignment horizontal="center"/>
    </xf>
    <xf numFmtId="0" fontId="5" fillId="0" borderId="154" xfId="0" applyFont="1" applyBorder="1" applyAlignment="1">
      <alignment horizontal="center"/>
    </xf>
    <xf numFmtId="0" fontId="4" fillId="2" borderId="1" xfId="0" applyFont="1" applyFill="1" applyBorder="1" applyAlignment="1">
      <alignment horizontal="center" vertical="center" wrapText="1"/>
    </xf>
    <xf numFmtId="0" fontId="5" fillId="0" borderId="2" xfId="0" applyFont="1" applyBorder="1"/>
    <xf numFmtId="0" fontId="5" fillId="0" borderId="3" xfId="0" applyFont="1" applyBorder="1"/>
    <xf numFmtId="0" fontId="6" fillId="4" borderId="7" xfId="0" applyFont="1" applyFill="1" applyBorder="1" applyAlignment="1">
      <alignment horizontal="center" vertical="center" wrapText="1"/>
    </xf>
    <xf numFmtId="0" fontId="5" fillId="0" borderId="8" xfId="0" applyFont="1" applyBorder="1"/>
    <xf numFmtId="0" fontId="5" fillId="0" borderId="9" xfId="0" applyFont="1" applyBorder="1"/>
    <xf numFmtId="0" fontId="7" fillId="3" borderId="13" xfId="0" applyFont="1" applyFill="1" applyBorder="1" applyAlignment="1">
      <alignment horizontal="center" vertical="center" wrapText="1"/>
    </xf>
    <xf numFmtId="0" fontId="5" fillId="0" borderId="16" xfId="0" applyFont="1" applyBorder="1"/>
    <xf numFmtId="0" fontId="6" fillId="4" borderId="18" xfId="0" applyFont="1" applyFill="1" applyBorder="1" applyAlignment="1">
      <alignment horizontal="center" vertical="center" wrapText="1"/>
    </xf>
    <xf numFmtId="0" fontId="5" fillId="0" borderId="20" xfId="0" applyFont="1" applyBorder="1"/>
    <xf numFmtId="0" fontId="3" fillId="4" borderId="18" xfId="0" applyFont="1" applyFill="1" applyBorder="1" applyAlignment="1">
      <alignment horizontal="center" vertical="center" wrapText="1"/>
    </xf>
    <xf numFmtId="0" fontId="7" fillId="3" borderId="21" xfId="0" applyFont="1" applyFill="1" applyBorder="1" applyAlignment="1">
      <alignment vertical="center"/>
    </xf>
    <xf numFmtId="0" fontId="6" fillId="0" borderId="21" xfId="0" applyFont="1" applyBorder="1" applyAlignment="1">
      <alignment vertical="center"/>
    </xf>
    <xf numFmtId="0" fontId="6" fillId="0" borderId="4" xfId="0" applyFont="1" applyBorder="1" applyAlignment="1">
      <alignment horizontal="center" vertical="center" wrapText="1"/>
    </xf>
    <xf numFmtId="0" fontId="6" fillId="4" borderId="27" xfId="0" applyFont="1" applyFill="1" applyBorder="1" applyAlignment="1">
      <alignment horizontal="center" vertical="center" wrapText="1"/>
    </xf>
    <xf numFmtId="0" fontId="5" fillId="0" borderId="28" xfId="0" applyFont="1" applyBorder="1"/>
    <xf numFmtId="0" fontId="5" fillId="0" borderId="29" xfId="0" applyFont="1" applyBorder="1"/>
    <xf numFmtId="0" fontId="9" fillId="6" borderId="32" xfId="0" applyFont="1" applyFill="1" applyBorder="1" applyAlignment="1">
      <alignment horizontal="center" vertical="center" wrapText="1"/>
    </xf>
    <xf numFmtId="0" fontId="5" fillId="0" borderId="33" xfId="0" applyFont="1" applyBorder="1"/>
    <xf numFmtId="0" fontId="5" fillId="0" borderId="34" xfId="0" applyFont="1" applyBorder="1"/>
    <xf numFmtId="0" fontId="5" fillId="0" borderId="35" xfId="0" applyFont="1" applyBorder="1"/>
    <xf numFmtId="0" fontId="5" fillId="0" borderId="36" xfId="0" applyFont="1" applyBorder="1"/>
    <xf numFmtId="0" fontId="5" fillId="0" borderId="37" xfId="0" applyFont="1" applyBorder="1"/>
    <xf numFmtId="0" fontId="5" fillId="0" borderId="38" xfId="0" applyFont="1" applyBorder="1"/>
    <xf numFmtId="0" fontId="5" fillId="0" borderId="39" xfId="0" applyFont="1" applyBorder="1"/>
    <xf numFmtId="169" fontId="17" fillId="0" borderId="43" xfId="0" applyNumberFormat="1" applyFont="1" applyBorder="1" applyAlignment="1">
      <alignment horizontal="center" vertical="center" wrapText="1"/>
    </xf>
    <xf numFmtId="0" fontId="41" fillId="0" borderId="44" xfId="0" applyFont="1" applyBorder="1" applyAlignment="1">
      <alignment horizontal="center" vertical="center"/>
    </xf>
    <xf numFmtId="0" fontId="45" fillId="5" borderId="32" xfId="0" applyFont="1" applyFill="1" applyBorder="1" applyAlignment="1">
      <alignment horizontal="center" vertical="center" wrapText="1"/>
    </xf>
    <xf numFmtId="0" fontId="5" fillId="0" borderId="140" xfId="0" applyFont="1" applyBorder="1"/>
    <xf numFmtId="0" fontId="5" fillId="0" borderId="141" xfId="0" applyFont="1" applyBorder="1"/>
    <xf numFmtId="0" fontId="13" fillId="26" borderId="138" xfId="0" applyFont="1" applyFill="1" applyBorder="1" applyAlignment="1">
      <alignment horizontal="center" vertical="center"/>
    </xf>
    <xf numFmtId="0" fontId="5" fillId="0" borderId="68" xfId="0" applyFont="1" applyBorder="1"/>
    <xf numFmtId="0" fontId="5" fillId="0" borderId="69" xfId="0" applyFont="1" applyBorder="1"/>
    <xf numFmtId="0" fontId="3" fillId="0" borderId="43" xfId="0" applyFont="1" applyBorder="1" applyAlignment="1">
      <alignment horizontal="center"/>
    </xf>
    <xf numFmtId="0" fontId="18" fillId="0" borderId="43" xfId="0" applyFont="1" applyBorder="1" applyAlignment="1">
      <alignment horizontal="center" wrapText="1"/>
    </xf>
    <xf numFmtId="0" fontId="13" fillId="5" borderId="115" xfId="0" applyFont="1" applyFill="1" applyBorder="1" applyAlignment="1">
      <alignment horizontal="center" vertical="center"/>
    </xf>
    <xf numFmtId="0" fontId="5" fillId="0" borderId="108" xfId="0" applyFont="1" applyBorder="1"/>
    <xf numFmtId="0" fontId="13" fillId="5" borderId="21" xfId="0" applyFont="1" applyFill="1" applyBorder="1" applyAlignment="1">
      <alignment horizontal="center" vertical="center"/>
    </xf>
    <xf numFmtId="0" fontId="6" fillId="0" borderId="4" xfId="0" applyFont="1" applyBorder="1" applyAlignment="1">
      <alignment horizontal="center" vertical="top" wrapText="1"/>
    </xf>
    <xf numFmtId="0" fontId="5" fillId="0" borderId="78" xfId="0" applyFont="1" applyBorder="1"/>
    <xf numFmtId="0" fontId="5" fillId="0" borderId="50" xfId="0" applyFont="1" applyBorder="1"/>
    <xf numFmtId="0" fontId="7" fillId="0" borderId="10" xfId="0" applyFont="1" applyBorder="1" applyAlignment="1">
      <alignment horizontal="center" vertical="center" wrapText="1"/>
    </xf>
    <xf numFmtId="0" fontId="5" fillId="0" borderId="12" xfId="0" applyFont="1" applyBorder="1"/>
    <xf numFmtId="0" fontId="3" fillId="0" borderId="51" xfId="0" applyFont="1" applyBorder="1" applyAlignment="1">
      <alignment horizontal="center" vertical="center"/>
    </xf>
    <xf numFmtId="0" fontId="5" fillId="0" borderId="53" xfId="0" applyFont="1" applyBorder="1"/>
    <xf numFmtId="0" fontId="3" fillId="0" borderId="52" xfId="0" applyFont="1" applyBorder="1" applyAlignment="1">
      <alignment horizontal="center" vertical="center"/>
    </xf>
    <xf numFmtId="0" fontId="5" fillId="0" borderId="54" xfId="0" applyFont="1" applyBorder="1"/>
    <xf numFmtId="0" fontId="14" fillId="0" borderId="10" xfId="0" applyFont="1" applyBorder="1" applyAlignment="1">
      <alignment horizontal="center" vertical="center"/>
    </xf>
    <xf numFmtId="1" fontId="3" fillId="0" borderId="51" xfId="0" applyNumberFormat="1" applyFont="1" applyBorder="1" applyAlignment="1">
      <alignment horizontal="center" vertical="center"/>
    </xf>
    <xf numFmtId="0" fontId="5" fillId="0" borderId="60" xfId="0" applyFont="1" applyBorder="1"/>
    <xf numFmtId="0" fontId="7" fillId="0" borderId="43" xfId="0" applyFont="1" applyBorder="1" applyAlignment="1">
      <alignment horizontal="center" vertical="center"/>
    </xf>
    <xf numFmtId="0" fontId="16" fillId="8" borderId="64" xfId="0" applyFont="1" applyFill="1" applyBorder="1" applyAlignment="1">
      <alignment horizontal="center" vertical="center"/>
    </xf>
    <xf numFmtId="0" fontId="5" fillId="0" borderId="61" xfId="0" applyFont="1" applyBorder="1"/>
    <xf numFmtId="0" fontId="12" fillId="0" borderId="43" xfId="0" applyFont="1" applyBorder="1" applyAlignment="1">
      <alignment horizontal="center" vertical="center" wrapText="1"/>
    </xf>
    <xf numFmtId="0" fontId="13" fillId="0" borderId="45" xfId="0" applyFont="1" applyBorder="1" applyAlignment="1">
      <alignment horizontal="center" vertical="center"/>
    </xf>
    <xf numFmtId="0" fontId="3" fillId="0" borderId="46" xfId="0" applyFont="1" applyBorder="1" applyAlignment="1">
      <alignment horizontal="center" vertical="center"/>
    </xf>
    <xf numFmtId="0" fontId="13" fillId="0" borderId="13" xfId="0" applyFont="1" applyBorder="1" applyAlignment="1">
      <alignment horizontal="center" vertical="center"/>
    </xf>
    <xf numFmtId="0" fontId="5" fillId="0" borderId="55" xfId="0" applyFont="1" applyBorder="1"/>
    <xf numFmtId="0" fontId="5" fillId="0" borderId="59" xfId="0" applyFont="1" applyBorder="1"/>
    <xf numFmtId="1" fontId="3" fillId="0" borderId="52" xfId="0" applyNumberFormat="1" applyFont="1" applyBorder="1" applyAlignment="1">
      <alignment horizontal="center" vertical="center"/>
    </xf>
    <xf numFmtId="0" fontId="6" fillId="0" borderId="43" xfId="0" applyFont="1" applyBorder="1" applyAlignment="1">
      <alignment horizontal="center"/>
    </xf>
    <xf numFmtId="0" fontId="6" fillId="0" borderId="4" xfId="0" applyFont="1" applyBorder="1"/>
    <xf numFmtId="0" fontId="13" fillId="0" borderId="4" xfId="0" applyFont="1" applyBorder="1" applyAlignment="1">
      <alignment horizontal="right" vertical="center"/>
    </xf>
    <xf numFmtId="0" fontId="7" fillId="0" borderId="43" xfId="0" applyFont="1" applyBorder="1" applyAlignment="1">
      <alignment horizontal="left" vertical="center"/>
    </xf>
    <xf numFmtId="168" fontId="16" fillId="8" borderId="62" xfId="0" applyNumberFormat="1" applyFont="1" applyFill="1" applyBorder="1" applyAlignment="1">
      <alignment vertical="center"/>
    </xf>
    <xf numFmtId="0" fontId="5" fillId="0" borderId="63" xfId="0" applyFont="1" applyBorder="1"/>
    <xf numFmtId="3" fontId="7" fillId="0" borderId="43" xfId="0" applyNumberFormat="1" applyFont="1" applyBorder="1" applyAlignment="1">
      <alignment horizontal="right" vertical="center"/>
    </xf>
    <xf numFmtId="168" fontId="6" fillId="0" borderId="44" xfId="0" applyNumberFormat="1" applyFont="1" applyBorder="1" applyAlignment="1">
      <alignment vertical="center"/>
    </xf>
    <xf numFmtId="0" fontId="7" fillId="0" borderId="56" xfId="0" applyFont="1" applyBorder="1" applyAlignment="1">
      <alignment horizontal="left" vertical="center"/>
    </xf>
    <xf numFmtId="168" fontId="16" fillId="8" borderId="65" xfId="0" applyNumberFormat="1" applyFont="1" applyFill="1" applyBorder="1" applyAlignment="1">
      <alignment vertical="center"/>
    </xf>
    <xf numFmtId="0" fontId="5" fillId="0" borderId="66" xfId="0" applyFont="1" applyBorder="1"/>
    <xf numFmtId="3" fontId="7" fillId="0" borderId="56" xfId="0" applyNumberFormat="1" applyFont="1" applyBorder="1" applyAlignment="1">
      <alignment horizontal="right" vertical="center"/>
    </xf>
    <xf numFmtId="168" fontId="6" fillId="0" borderId="57" xfId="0" applyNumberFormat="1" applyFont="1" applyBorder="1" applyAlignment="1">
      <alignment vertical="center"/>
    </xf>
    <xf numFmtId="0" fontId="7" fillId="7" borderId="67" xfId="0" applyFont="1" applyFill="1" applyBorder="1" applyAlignment="1">
      <alignment horizontal="left" vertical="center"/>
    </xf>
    <xf numFmtId="3" fontId="13" fillId="3" borderId="7" xfId="0" applyNumberFormat="1" applyFont="1" applyFill="1" applyBorder="1" applyAlignment="1">
      <alignment horizontal="center" vertical="center"/>
    </xf>
    <xf numFmtId="0" fontId="5" fillId="0" borderId="70" xfId="0" applyFont="1" applyBorder="1"/>
    <xf numFmtId="3" fontId="7" fillId="3" borderId="7" xfId="0" applyNumberFormat="1" applyFont="1" applyFill="1" applyBorder="1" applyAlignment="1">
      <alignment horizontal="center" vertical="center"/>
    </xf>
    <xf numFmtId="167" fontId="7" fillId="3" borderId="18" xfId="0" applyNumberFormat="1" applyFont="1" applyFill="1" applyBorder="1" applyAlignment="1">
      <alignment horizontal="center" vertical="center"/>
    </xf>
    <xf numFmtId="167" fontId="6" fillId="0" borderId="48" xfId="0" applyNumberFormat="1" applyFont="1" applyBorder="1" applyAlignment="1">
      <alignment vertical="center"/>
    </xf>
    <xf numFmtId="0" fontId="7" fillId="3" borderId="74" xfId="0" applyFont="1" applyFill="1" applyBorder="1" applyAlignment="1">
      <alignment horizontal="center" vertical="center" wrapText="1"/>
    </xf>
    <xf numFmtId="0" fontId="6" fillId="0" borderId="18" xfId="0" applyFont="1" applyBorder="1" applyAlignment="1">
      <alignment vertical="center" wrapText="1"/>
    </xf>
    <xf numFmtId="10" fontId="7" fillId="0" borderId="11" xfId="0" applyNumberFormat="1" applyFont="1" applyBorder="1" applyAlignment="1">
      <alignment horizontal="center" vertical="center"/>
    </xf>
    <xf numFmtId="0" fontId="7" fillId="3" borderId="18" xfId="0" applyFont="1" applyFill="1" applyBorder="1" applyAlignment="1">
      <alignment horizontal="center" vertical="center" wrapText="1"/>
    </xf>
    <xf numFmtId="0" fontId="5" fillId="0" borderId="79" xfId="0" applyFont="1" applyBorder="1"/>
    <xf numFmtId="0" fontId="7" fillId="3" borderId="7" xfId="0" applyFont="1" applyFill="1" applyBorder="1" applyAlignment="1">
      <alignment horizontal="center" vertical="center" wrapText="1"/>
    </xf>
    <xf numFmtId="0" fontId="6" fillId="0" borderId="74" xfId="0" applyFont="1" applyBorder="1" applyAlignment="1">
      <alignment vertical="center"/>
    </xf>
    <xf numFmtId="0" fontId="6" fillId="0" borderId="71" xfId="0" applyFont="1" applyBorder="1" applyAlignment="1">
      <alignment vertical="center"/>
    </xf>
    <xf numFmtId="10" fontId="6" fillId="0" borderId="4" xfId="0" applyNumberFormat="1" applyFont="1" applyBorder="1" applyAlignment="1">
      <alignment horizontal="center" vertical="center"/>
    </xf>
    <xf numFmtId="0" fontId="7" fillId="0" borderId="48" xfId="0" applyFont="1" applyBorder="1" applyAlignment="1">
      <alignment vertical="center"/>
    </xf>
    <xf numFmtId="10" fontId="7" fillId="0" borderId="78" xfId="0" applyNumberFormat="1" applyFont="1" applyBorder="1" applyAlignment="1">
      <alignment horizontal="center" vertical="center"/>
    </xf>
    <xf numFmtId="0" fontId="7" fillId="0" borderId="18" xfId="0" applyFont="1" applyBorder="1" applyAlignment="1">
      <alignment vertical="center" wrapText="1"/>
    </xf>
    <xf numFmtId="0" fontId="7" fillId="3" borderId="18" xfId="0" applyFont="1" applyFill="1" applyBorder="1" applyAlignment="1">
      <alignment horizontal="center"/>
    </xf>
    <xf numFmtId="3" fontId="6" fillId="0" borderId="71" xfId="0" applyNumberFormat="1" applyFont="1" applyBorder="1" applyAlignment="1">
      <alignment horizontal="center" vertical="center"/>
    </xf>
    <xf numFmtId="3" fontId="6" fillId="0" borderId="48" xfId="0" applyNumberFormat="1" applyFont="1" applyBorder="1" applyAlignment="1">
      <alignment horizontal="center" vertical="center"/>
    </xf>
    <xf numFmtId="0" fontId="7" fillId="3" borderId="18" xfId="0" applyFont="1" applyFill="1" applyBorder="1" applyAlignment="1">
      <alignment horizontal="center" vertical="center"/>
    </xf>
    <xf numFmtId="167" fontId="7" fillId="0" borderId="74" xfId="0" applyNumberFormat="1" applyFont="1" applyBorder="1" applyAlignment="1">
      <alignment horizontal="center" vertical="center"/>
    </xf>
    <xf numFmtId="0" fontId="6" fillId="0" borderId="18" xfId="0" applyFont="1" applyBorder="1" applyAlignment="1">
      <alignment vertical="center"/>
    </xf>
    <xf numFmtId="167" fontId="6" fillId="0" borderId="18" xfId="0" applyNumberFormat="1" applyFont="1" applyBorder="1" applyAlignment="1">
      <alignment vertical="center" wrapText="1"/>
    </xf>
    <xf numFmtId="167" fontId="6" fillId="0" borderId="18" xfId="0" applyNumberFormat="1" applyFont="1" applyBorder="1" applyAlignment="1">
      <alignment vertical="center"/>
    </xf>
    <xf numFmtId="10" fontId="6" fillId="0" borderId="10" xfId="0" applyNumberFormat="1" applyFont="1" applyBorder="1" applyAlignment="1">
      <alignment horizontal="center" vertical="center"/>
    </xf>
    <xf numFmtId="0" fontId="7" fillId="3" borderId="82" xfId="0" applyFont="1" applyFill="1" applyBorder="1" applyAlignment="1">
      <alignment horizontal="center" vertical="center" wrapText="1"/>
    </xf>
    <xf numFmtId="0" fontId="17" fillId="0" borderId="43" xfId="0" applyFont="1" applyBorder="1" applyAlignment="1">
      <alignment horizontal="center" vertical="center" wrapText="1"/>
    </xf>
    <xf numFmtId="0" fontId="18" fillId="0" borderId="43" xfId="0" applyFont="1" applyBorder="1" applyAlignment="1">
      <alignment horizontal="center" vertical="center" wrapText="1"/>
    </xf>
    <xf numFmtId="0" fontId="13" fillId="5" borderId="43" xfId="0" applyFont="1" applyFill="1" applyBorder="1" applyAlignment="1">
      <alignment horizontal="center" vertical="center"/>
    </xf>
    <xf numFmtId="0" fontId="3" fillId="5" borderId="64" xfId="0" applyFont="1" applyFill="1" applyBorder="1" applyAlignment="1">
      <alignment horizontal="center" vertical="center"/>
    </xf>
    <xf numFmtId="0" fontId="17" fillId="0" borderId="10" xfId="0" applyFont="1" applyBorder="1" applyAlignment="1">
      <alignment horizontal="center" vertical="center" wrapText="1"/>
    </xf>
    <xf numFmtId="0" fontId="5" fillId="0" borderId="94" xfId="0" applyFont="1" applyBorder="1"/>
    <xf numFmtId="0" fontId="74" fillId="0" borderId="182" xfId="1" applyFont="1" applyBorder="1" applyAlignment="1">
      <alignment horizontal="right" vertical="center" wrapText="1"/>
    </xf>
    <xf numFmtId="0" fontId="74" fillId="0" borderId="183" xfId="1" applyFont="1" applyBorder="1" applyAlignment="1">
      <alignment horizontal="right" vertical="center" wrapText="1"/>
    </xf>
    <xf numFmtId="0" fontId="74" fillId="0" borderId="184" xfId="1" applyFont="1" applyBorder="1" applyAlignment="1">
      <alignment horizontal="right" vertical="center" wrapText="1"/>
    </xf>
    <xf numFmtId="0" fontId="74" fillId="0" borderId="186" xfId="1" applyFont="1" applyBorder="1" applyAlignment="1">
      <alignment horizontal="right" vertical="center"/>
    </xf>
    <xf numFmtId="0" fontId="74" fillId="0" borderId="187" xfId="1" applyFont="1" applyBorder="1" applyAlignment="1">
      <alignment horizontal="right" vertical="center"/>
    </xf>
    <xf numFmtId="0" fontId="13" fillId="5" borderId="45" xfId="0" applyFont="1" applyFill="1" applyBorder="1" applyAlignment="1">
      <alignment horizontal="center" vertical="center" wrapText="1"/>
    </xf>
    <xf numFmtId="0" fontId="13" fillId="5" borderId="106" xfId="0" applyFont="1" applyFill="1" applyBorder="1" applyAlignment="1">
      <alignment horizontal="center" vertical="center" wrapText="1"/>
    </xf>
    <xf numFmtId="0" fontId="3" fillId="0" borderId="99" xfId="0" applyFont="1" applyBorder="1" applyAlignment="1">
      <alignment horizontal="center" vertical="center" wrapText="1"/>
    </xf>
    <xf numFmtId="0" fontId="5" fillId="0" borderId="100" xfId="0" applyFont="1" applyBorder="1"/>
    <xf numFmtId="0" fontId="5" fillId="0" borderId="101" xfId="0" applyFont="1" applyBorder="1"/>
    <xf numFmtId="0" fontId="13" fillId="0" borderId="43" xfId="0" applyFont="1" applyBorder="1" applyAlignment="1">
      <alignment horizontal="center" vertical="center" wrapText="1"/>
    </xf>
    <xf numFmtId="0" fontId="14" fillId="0" borderId="4" xfId="0" applyFont="1" applyBorder="1" applyAlignment="1">
      <alignment horizontal="center" vertical="center" wrapText="1"/>
    </xf>
    <xf numFmtId="0" fontId="14" fillId="17" borderId="10" xfId="0" applyFont="1" applyFill="1" applyBorder="1" applyAlignment="1">
      <alignment horizontal="center" vertical="center" wrapText="1"/>
    </xf>
    <xf numFmtId="0" fontId="13" fillId="0" borderId="107" xfId="0" applyFont="1" applyBorder="1" applyAlignment="1">
      <alignment horizontal="center" vertical="center" wrapText="1"/>
    </xf>
    <xf numFmtId="4" fontId="13" fillId="5" borderId="64" xfId="0" applyNumberFormat="1" applyFont="1" applyFill="1" applyBorder="1" applyAlignment="1">
      <alignment horizontal="center" vertical="center" wrapText="1"/>
    </xf>
    <xf numFmtId="4" fontId="13" fillId="5" borderId="106" xfId="0" applyNumberFormat="1" applyFont="1" applyFill="1" applyBorder="1" applyAlignment="1">
      <alignment horizontal="center" vertical="center" wrapText="1"/>
    </xf>
    <xf numFmtId="0" fontId="13" fillId="5" borderId="166" xfId="0" applyFont="1" applyFill="1" applyBorder="1" applyAlignment="1">
      <alignment horizontal="center" vertical="center" wrapText="1"/>
    </xf>
    <xf numFmtId="0" fontId="13" fillId="5" borderId="167" xfId="0" applyFont="1" applyFill="1" applyBorder="1" applyAlignment="1">
      <alignment horizontal="center" vertical="center" wrapText="1"/>
    </xf>
    <xf numFmtId="0" fontId="13" fillId="0" borderId="130" xfId="0" applyFont="1" applyBorder="1" applyAlignment="1">
      <alignment horizontal="center" vertical="center" wrapText="1"/>
    </xf>
    <xf numFmtId="0" fontId="5" fillId="0" borderId="134" xfId="0" applyFont="1" applyBorder="1"/>
    <xf numFmtId="0" fontId="75" fillId="0" borderId="186" xfId="1" applyFont="1" applyBorder="1" applyAlignment="1">
      <alignment horizontal="right" vertical="center"/>
    </xf>
    <xf numFmtId="0" fontId="75" fillId="0" borderId="187" xfId="1" applyFont="1" applyBorder="1" applyAlignment="1">
      <alignment horizontal="right" vertical="center"/>
    </xf>
    <xf numFmtId="0" fontId="75" fillId="0" borderId="190" xfId="1" applyFont="1" applyBorder="1" applyAlignment="1">
      <alignment horizontal="right" vertical="center" wrapText="1"/>
    </xf>
    <xf numFmtId="0" fontId="75" fillId="0" borderId="191" xfId="1" applyFont="1" applyBorder="1" applyAlignment="1">
      <alignment horizontal="right" vertical="center" wrapText="1"/>
    </xf>
    <xf numFmtId="0" fontId="75" fillId="0" borderId="192" xfId="1" applyFont="1" applyBorder="1" applyAlignment="1">
      <alignment horizontal="right" vertical="center" wrapText="1"/>
    </xf>
    <xf numFmtId="4" fontId="13" fillId="5" borderId="167" xfId="0" applyNumberFormat="1" applyFont="1" applyFill="1" applyBorder="1" applyAlignment="1">
      <alignment horizontal="center" vertical="center" wrapText="1"/>
    </xf>
    <xf numFmtId="0" fontId="74" fillId="0" borderId="183" xfId="4" applyFont="1" applyBorder="1" applyAlignment="1">
      <alignment horizontal="center" vertical="center"/>
    </xf>
    <xf numFmtId="0" fontId="74" fillId="0" borderId="198" xfId="4" applyFont="1" applyBorder="1" applyAlignment="1">
      <alignment horizontal="center" vertical="center"/>
    </xf>
    <xf numFmtId="0" fontId="74" fillId="0" borderId="186" xfId="5" applyFont="1" applyBorder="1" applyAlignment="1">
      <alignment horizontal="center" vertical="center" wrapText="1"/>
    </xf>
    <xf numFmtId="0" fontId="74" fillId="0" borderId="187" xfId="5" applyFont="1" applyBorder="1" applyAlignment="1">
      <alignment horizontal="center" vertical="center" wrapText="1"/>
    </xf>
    <xf numFmtId="0" fontId="74" fillId="0" borderId="199" xfId="5" applyFont="1" applyBorder="1" applyAlignment="1">
      <alignment horizontal="center" vertical="center" wrapText="1"/>
    </xf>
    <xf numFmtId="3" fontId="75" fillId="0" borderId="200" xfId="5" applyNumberFormat="1" applyFont="1" applyBorder="1" applyAlignment="1">
      <alignment horizontal="center" vertical="center" wrapText="1"/>
    </xf>
    <xf numFmtId="0" fontId="74" fillId="0" borderId="202" xfId="5" applyFont="1" applyBorder="1" applyAlignment="1">
      <alignment vertical="center" wrapText="1"/>
    </xf>
    <xf numFmtId="0" fontId="74" fillId="0" borderId="188" xfId="5" applyFont="1" applyBorder="1" applyAlignment="1">
      <alignment vertical="center" wrapText="1"/>
    </xf>
    <xf numFmtId="3" fontId="75" fillId="0" borderId="188" xfId="5" applyNumberFormat="1" applyFont="1" applyBorder="1" applyAlignment="1">
      <alignment horizontal="center" vertical="center"/>
    </xf>
    <xf numFmtId="0" fontId="75" fillId="0" borderId="188" xfId="5" applyFont="1" applyBorder="1" applyAlignment="1">
      <alignment horizontal="center" vertical="center" wrapText="1"/>
    </xf>
    <xf numFmtId="0" fontId="75" fillId="0" borderId="188" xfId="5" applyFont="1" applyBorder="1" applyAlignment="1">
      <alignment horizontal="center" vertical="center"/>
    </xf>
    <xf numFmtId="0" fontId="74" fillId="0" borderId="204" xfId="0" applyFont="1" applyBorder="1" applyAlignment="1">
      <alignment horizontal="center" vertical="center" wrapText="1"/>
    </xf>
    <xf numFmtId="0" fontId="74" fillId="0" borderId="205" xfId="0" applyFont="1" applyBorder="1" applyAlignment="1">
      <alignment horizontal="center" vertical="center" wrapText="1"/>
    </xf>
    <xf numFmtId="0" fontId="74" fillId="0" borderId="206" xfId="0" applyFont="1" applyBorder="1" applyAlignment="1">
      <alignment horizontal="center" vertical="center" wrapText="1"/>
    </xf>
    <xf numFmtId="0" fontId="74" fillId="0" borderId="207" xfId="0" applyFont="1" applyBorder="1" applyAlignment="1">
      <alignment horizontal="center" vertical="center" wrapText="1"/>
    </xf>
    <xf numFmtId="0" fontId="74" fillId="0" borderId="69" xfId="0" applyFont="1" applyBorder="1" applyAlignment="1">
      <alignment horizontal="center" vertical="center" wrapText="1"/>
    </xf>
    <xf numFmtId="0" fontId="74" fillId="0" borderId="208" xfId="0" applyFont="1" applyBorder="1" applyAlignment="1">
      <alignment horizontal="center" vertical="center" wrapText="1"/>
    </xf>
    <xf numFmtId="0" fontId="74" fillId="0" borderId="209" xfId="0" applyFont="1" applyBorder="1" applyAlignment="1">
      <alignment horizontal="center" vertical="center" wrapText="1"/>
    </xf>
    <xf numFmtId="0" fontId="74" fillId="0" borderId="210" xfId="0" applyFont="1" applyBorder="1" applyAlignment="1">
      <alignment horizontal="center" vertical="center" wrapText="1"/>
    </xf>
    <xf numFmtId="0" fontId="74" fillId="0" borderId="211" xfId="0" applyFont="1" applyBorder="1" applyAlignment="1">
      <alignment horizontal="center" vertical="center" wrapText="1"/>
    </xf>
    <xf numFmtId="3" fontId="75" fillId="0" borderId="188" xfId="5" applyNumberFormat="1" applyFont="1" applyBorder="1" applyAlignment="1">
      <alignment horizontal="center" vertical="center" wrapText="1"/>
    </xf>
    <xf numFmtId="0" fontId="74" fillId="32" borderId="212" xfId="5" applyFont="1" applyFill="1" applyBorder="1" applyAlignment="1">
      <alignment horizontal="center" vertical="center" wrapText="1"/>
    </xf>
    <xf numFmtId="0" fontId="74" fillId="32" borderId="193" xfId="5" applyFont="1" applyFill="1" applyBorder="1" applyAlignment="1">
      <alignment horizontal="center" vertical="center" wrapText="1"/>
    </xf>
    <xf numFmtId="0" fontId="3" fillId="0" borderId="43" xfId="0" applyFont="1" applyBorder="1" applyAlignment="1">
      <alignment horizontal="center" vertical="center" wrapText="1"/>
    </xf>
    <xf numFmtId="169" fontId="3" fillId="5" borderId="64" xfId="0" applyNumberFormat="1" applyFont="1" applyFill="1" applyBorder="1" applyAlignment="1">
      <alignment horizontal="center" vertical="center"/>
    </xf>
    <xf numFmtId="0" fontId="2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5" fillId="0" borderId="43" xfId="0" applyFont="1" applyBorder="1" applyAlignment="1">
      <alignment horizontal="center" vertical="center"/>
    </xf>
    <xf numFmtId="0" fontId="7" fillId="0" borderId="10" xfId="0" applyFont="1" applyBorder="1" applyAlignment="1">
      <alignment horizontal="center" vertical="center"/>
    </xf>
    <xf numFmtId="0" fontId="3" fillId="0" borderId="0" xfId="0" applyFont="1" applyAlignment="1">
      <alignment vertical="center"/>
    </xf>
    <xf numFmtId="0" fontId="13" fillId="0" borderId="1" xfId="0" applyFont="1" applyBorder="1" applyAlignment="1">
      <alignment horizontal="right" vertical="center"/>
    </xf>
    <xf numFmtId="0" fontId="3" fillId="0" borderId="21" xfId="0" applyFont="1" applyBorder="1" applyAlignment="1">
      <alignment vertical="center"/>
    </xf>
    <xf numFmtId="0" fontId="13" fillId="0" borderId="43" xfId="0" applyFont="1" applyBorder="1" applyAlignment="1">
      <alignment horizontal="left" vertical="center"/>
    </xf>
    <xf numFmtId="0" fontId="13" fillId="18" borderId="115" xfId="0" applyFont="1" applyFill="1" applyBorder="1" applyAlignment="1">
      <alignment horizontal="center" vertical="center"/>
    </xf>
    <xf numFmtId="0" fontId="5" fillId="0" borderId="116" xfId="0" applyFont="1" applyBorder="1"/>
    <xf numFmtId="0" fontId="5" fillId="0" borderId="131" xfId="0" applyFont="1" applyBorder="1"/>
    <xf numFmtId="0" fontId="13" fillId="18" borderId="107" xfId="0" applyFont="1" applyFill="1" applyBorder="1" applyAlignment="1">
      <alignment horizontal="center" vertical="center" wrapText="1"/>
    </xf>
    <xf numFmtId="174" fontId="3" fillId="0" borderId="18" xfId="0" applyNumberFormat="1" applyFont="1" applyBorder="1" applyAlignment="1">
      <alignment horizontal="center" vertical="center"/>
    </xf>
    <xf numFmtId="0" fontId="13" fillId="18" borderId="107" xfId="0" applyFont="1" applyFill="1" applyBorder="1" applyAlignment="1">
      <alignment horizontal="center" vertical="center"/>
    </xf>
    <xf numFmtId="0" fontId="13" fillId="18" borderId="115" xfId="0" applyFont="1" applyFill="1" applyBorder="1" applyAlignment="1">
      <alignment horizontal="center" vertical="center" wrapText="1"/>
    </xf>
    <xf numFmtId="0" fontId="5" fillId="0" borderId="119" xfId="0" applyFont="1" applyBorder="1"/>
    <xf numFmtId="0" fontId="3" fillId="5" borderId="117" xfId="0" applyFont="1" applyFill="1" applyBorder="1" applyAlignment="1">
      <alignment horizontal="center" vertical="center"/>
    </xf>
    <xf numFmtId="0" fontId="13" fillId="18" borderId="120" xfId="0" applyFont="1" applyFill="1" applyBorder="1" applyAlignment="1">
      <alignment horizontal="center" vertical="center"/>
    </xf>
    <xf numFmtId="0" fontId="5" fillId="0" borderId="122" xfId="0" applyFont="1" applyBorder="1"/>
    <xf numFmtId="0" fontId="3" fillId="12" borderId="18" xfId="0" applyFont="1" applyFill="1" applyBorder="1" applyAlignment="1">
      <alignment horizontal="center" vertical="center"/>
    </xf>
    <xf numFmtId="0" fontId="3" fillId="0" borderId="18" xfId="0" applyFont="1" applyBorder="1" applyAlignment="1">
      <alignment vertical="center"/>
    </xf>
    <xf numFmtId="9" fontId="3" fillId="12" borderId="18" xfId="0" applyNumberFormat="1" applyFont="1" applyFill="1" applyBorder="1" applyAlignment="1">
      <alignment horizontal="center" vertical="center"/>
    </xf>
    <xf numFmtId="0" fontId="3" fillId="0" borderId="27" xfId="0" applyFont="1" applyBorder="1" applyAlignment="1">
      <alignment vertical="center"/>
    </xf>
    <xf numFmtId="0" fontId="5" fillId="0" borderId="118" xfId="0" applyFont="1" applyBorder="1"/>
    <xf numFmtId="2" fontId="3" fillId="12" borderId="18" xfId="0" applyNumberFormat="1" applyFont="1" applyFill="1" applyBorder="1" applyAlignment="1">
      <alignment horizontal="center" vertical="center"/>
    </xf>
    <xf numFmtId="0" fontId="13" fillId="18" borderId="1" xfId="0" applyFont="1" applyFill="1" applyBorder="1" applyAlignment="1">
      <alignment horizontal="right" vertical="center"/>
    </xf>
    <xf numFmtId="9" fontId="3" fillId="0" borderId="18" xfId="0" applyNumberFormat="1" applyFont="1" applyBorder="1" applyAlignment="1">
      <alignment horizontal="center" vertical="center"/>
    </xf>
    <xf numFmtId="0" fontId="3" fillId="0" borderId="0" xfId="0" applyFont="1" applyAlignment="1">
      <alignment horizontal="right" vertical="center"/>
    </xf>
    <xf numFmtId="0" fontId="3" fillId="0" borderId="56" xfId="0" applyFont="1" applyBorder="1" applyAlignment="1">
      <alignment horizontal="left" vertical="center"/>
    </xf>
    <xf numFmtId="0" fontId="3" fillId="0" borderId="117" xfId="0" applyFont="1" applyBorder="1" applyAlignment="1">
      <alignment horizontal="center" vertical="center"/>
    </xf>
    <xf numFmtId="0" fontId="3" fillId="0" borderId="10" xfId="0" applyFont="1" applyBorder="1" applyAlignment="1">
      <alignment vertical="center"/>
    </xf>
    <xf numFmtId="2" fontId="3" fillId="12" borderId="7" xfId="0" applyNumberFormat="1" applyFont="1" applyFill="1" applyBorder="1" applyAlignment="1">
      <alignment horizontal="center" vertical="center"/>
    </xf>
    <xf numFmtId="0" fontId="36" fillId="0" borderId="99" xfId="0" applyFont="1" applyBorder="1" applyAlignment="1">
      <alignment horizontal="center" vertical="center" wrapText="1"/>
    </xf>
    <xf numFmtId="0" fontId="21" fillId="5" borderId="148" xfId="0" applyFont="1" applyFill="1" applyBorder="1" applyAlignment="1">
      <alignment horizontal="center" vertical="center" wrapText="1"/>
    </xf>
    <xf numFmtId="0" fontId="5" fillId="0" borderId="152" xfId="0" applyFont="1" applyBorder="1"/>
    <xf numFmtId="0" fontId="40" fillId="5" borderId="138" xfId="0" applyFont="1" applyFill="1" applyBorder="1" applyAlignment="1">
      <alignment horizontal="center" vertical="center" wrapText="1"/>
    </xf>
    <xf numFmtId="0" fontId="5" fillId="0" borderId="145" xfId="0" applyFont="1" applyBorder="1"/>
    <xf numFmtId="0" fontId="21" fillId="3" borderId="43" xfId="0" applyFont="1" applyFill="1" applyBorder="1" applyAlignment="1">
      <alignment horizontal="center" vertical="center" wrapText="1"/>
    </xf>
    <xf numFmtId="0" fontId="5" fillId="0" borderId="147" xfId="0" applyFont="1" applyBorder="1"/>
    <xf numFmtId="0" fontId="5" fillId="0" borderId="151" xfId="0" applyFont="1" applyBorder="1"/>
    <xf numFmtId="0" fontId="21" fillId="5" borderId="43" xfId="0" applyFont="1" applyFill="1" applyBorder="1" applyAlignment="1">
      <alignment horizontal="center" vertical="center" wrapText="1"/>
    </xf>
    <xf numFmtId="0" fontId="5" fillId="0" borderId="153" xfId="0" applyFont="1" applyBorder="1"/>
    <xf numFmtId="0" fontId="5" fillId="0" borderId="154" xfId="0" applyFont="1" applyBorder="1"/>
    <xf numFmtId="0" fontId="21" fillId="5" borderId="149" xfId="0" applyFont="1" applyFill="1" applyBorder="1" applyAlignment="1">
      <alignment horizontal="center" vertical="center" wrapText="1"/>
    </xf>
    <xf numFmtId="0" fontId="5" fillId="0" borderId="150" xfId="0" applyFont="1" applyBorder="1"/>
    <xf numFmtId="0" fontId="17" fillId="5" borderId="18" xfId="0" applyFont="1" applyFill="1" applyBorder="1" applyAlignment="1">
      <alignment horizontal="center" vertical="center"/>
    </xf>
    <xf numFmtId="0" fontId="29" fillId="27" borderId="67" xfId="0" applyFont="1" applyFill="1" applyBorder="1" applyAlignment="1">
      <alignment horizontal="center" vertical="center" wrapText="1"/>
    </xf>
    <xf numFmtId="0" fontId="46" fillId="3" borderId="43" xfId="0" applyFont="1" applyFill="1" applyBorder="1" applyAlignment="1">
      <alignment horizontal="center" vertical="center" wrapText="1"/>
    </xf>
    <xf numFmtId="0" fontId="21" fillId="3" borderId="115" xfId="0" applyFont="1" applyFill="1" applyBorder="1" applyAlignment="1">
      <alignment horizontal="center" vertical="center" wrapText="1"/>
    </xf>
    <xf numFmtId="0" fontId="21" fillId="3" borderId="107" xfId="0" applyFont="1" applyFill="1" applyBorder="1" applyAlignment="1">
      <alignment horizontal="center" vertical="center" wrapText="1"/>
    </xf>
    <xf numFmtId="0" fontId="17" fillId="5" borderId="107" xfId="0" applyFont="1" applyFill="1" applyBorder="1" applyAlignment="1">
      <alignment horizontal="center" vertical="center" wrapText="1"/>
    </xf>
    <xf numFmtId="165" fontId="20" fillId="5" borderId="107" xfId="0" applyNumberFormat="1" applyFont="1" applyFill="1" applyBorder="1" applyAlignment="1">
      <alignment horizontal="center" vertical="center" wrapText="1"/>
    </xf>
    <xf numFmtId="0" fontId="21" fillId="3" borderId="21" xfId="0" applyFont="1" applyFill="1" applyBorder="1" applyAlignment="1">
      <alignment horizontal="center" vertical="center" wrapText="1"/>
    </xf>
    <xf numFmtId="0" fontId="17" fillId="5" borderId="18" xfId="0" applyFont="1" applyFill="1" applyBorder="1" applyAlignment="1">
      <alignment horizontal="left" vertical="center" wrapText="1"/>
    </xf>
    <xf numFmtId="0" fontId="21" fillId="3" borderId="142" xfId="0" applyFont="1" applyFill="1" applyBorder="1" applyAlignment="1">
      <alignment horizontal="center" vertical="center" wrapText="1"/>
    </xf>
    <xf numFmtId="0" fontId="17" fillId="5" borderId="143" xfId="0" applyFont="1" applyFill="1" applyBorder="1" applyAlignment="1">
      <alignment horizontal="left" vertical="center" wrapText="1"/>
    </xf>
    <xf numFmtId="0" fontId="5" fillId="0" borderId="144" xfId="0" applyFont="1" applyBorder="1"/>
    <xf numFmtId="0" fontId="21" fillId="3" borderId="143" xfId="0" applyFont="1" applyFill="1" applyBorder="1" applyAlignment="1">
      <alignment horizontal="center" vertical="center" wrapText="1"/>
    </xf>
    <xf numFmtId="165" fontId="17" fillId="5" borderId="143" xfId="0" applyNumberFormat="1" applyFont="1" applyFill="1" applyBorder="1" applyAlignment="1">
      <alignment horizontal="center" vertical="center" wrapText="1"/>
    </xf>
    <xf numFmtId="0" fontId="17" fillId="0" borderId="107" xfId="0" applyFont="1" applyBorder="1" applyAlignment="1">
      <alignment horizontal="center" vertical="center" wrapText="1"/>
    </xf>
    <xf numFmtId="0" fontId="47" fillId="5" borderId="18" xfId="0" applyFont="1" applyFill="1" applyBorder="1" applyAlignment="1">
      <alignment horizontal="center" vertical="center"/>
    </xf>
    <xf numFmtId="0" fontId="17" fillId="5" borderId="138" xfId="0" applyFont="1" applyFill="1" applyBorder="1" applyAlignment="1">
      <alignment horizontal="left" vertical="center" wrapText="1"/>
    </xf>
    <xf numFmtId="0" fontId="17" fillId="5" borderId="160" xfId="0" applyFont="1" applyFill="1" applyBorder="1" applyAlignment="1">
      <alignment horizontal="left" vertical="center" wrapText="1"/>
    </xf>
    <xf numFmtId="0" fontId="5" fillId="0" borderId="161" xfId="0" applyFont="1" applyBorder="1"/>
    <xf numFmtId="0" fontId="5" fillId="0" borderId="162" xfId="0" applyFont="1" applyBorder="1"/>
    <xf numFmtId="185" fontId="17" fillId="5" borderId="18" xfId="0" applyNumberFormat="1" applyFont="1" applyFill="1" applyBorder="1" applyAlignment="1">
      <alignment horizontal="center" vertical="center"/>
    </xf>
    <xf numFmtId="185" fontId="17" fillId="5" borderId="27" xfId="0" applyNumberFormat="1" applyFont="1" applyFill="1" applyBorder="1" applyAlignment="1">
      <alignment horizontal="center" vertical="center"/>
    </xf>
    <xf numFmtId="0" fontId="5" fillId="0" borderId="157" xfId="0" applyFont="1" applyBorder="1"/>
    <xf numFmtId="0" fontId="21" fillId="5" borderId="158" xfId="0" applyFont="1" applyFill="1" applyBorder="1" applyAlignment="1">
      <alignment horizontal="right" vertical="center" wrapText="1"/>
    </xf>
    <xf numFmtId="0" fontId="5" fillId="0" borderId="121" xfId="0" applyFont="1" applyBorder="1"/>
    <xf numFmtId="0" fontId="21" fillId="5" borderId="21" xfId="0" applyFont="1" applyFill="1" applyBorder="1" applyAlignment="1">
      <alignment horizontal="right" vertical="center" wrapText="1"/>
    </xf>
    <xf numFmtId="0" fontId="21" fillId="5" borderId="117" xfId="0" applyFont="1" applyFill="1" applyBorder="1" applyAlignment="1">
      <alignment horizontal="right" vertical="center" wrapText="1"/>
    </xf>
    <xf numFmtId="0" fontId="21" fillId="5" borderId="43" xfId="0" applyFont="1" applyFill="1" applyBorder="1" applyAlignment="1">
      <alignment horizontal="left" vertical="top" wrapText="1"/>
    </xf>
    <xf numFmtId="0" fontId="17" fillId="5" borderId="67" xfId="0" applyFont="1" applyFill="1" applyBorder="1" applyAlignment="1">
      <alignment horizontal="left" vertical="center" wrapText="1"/>
    </xf>
    <xf numFmtId="0" fontId="17" fillId="5" borderId="65" xfId="0" applyFont="1" applyFill="1" applyBorder="1" applyAlignment="1">
      <alignment horizontal="left" vertical="center" wrapText="1"/>
    </xf>
    <xf numFmtId="0" fontId="3" fillId="0" borderId="4" xfId="0" applyFont="1" applyBorder="1" applyAlignment="1">
      <alignment horizontal="center" wrapText="1"/>
    </xf>
    <xf numFmtId="0" fontId="29" fillId="18" borderId="1" xfId="0" applyFont="1" applyFill="1" applyBorder="1" applyAlignment="1">
      <alignment horizontal="right" vertical="center"/>
    </xf>
    <xf numFmtId="49" fontId="3" fillId="0" borderId="0" xfId="0" applyNumberFormat="1" applyFont="1" applyAlignment="1">
      <alignment vertical="center"/>
    </xf>
    <xf numFmtId="0" fontId="29" fillId="18" borderId="115" xfId="0" applyFont="1" applyFill="1" applyBorder="1" applyAlignment="1">
      <alignment horizontal="center" vertical="center" wrapText="1"/>
    </xf>
    <xf numFmtId="0" fontId="29" fillId="18" borderId="115" xfId="0" applyFont="1" applyFill="1" applyBorder="1" applyAlignment="1">
      <alignment horizontal="center" vertical="center"/>
    </xf>
    <xf numFmtId="49" fontId="3" fillId="5" borderId="117" xfId="0" applyNumberFormat="1" applyFont="1" applyFill="1" applyBorder="1" applyAlignment="1">
      <alignment horizontal="left" vertical="center" wrapText="1"/>
    </xf>
    <xf numFmtId="49" fontId="3" fillId="5" borderId="117" xfId="0" applyNumberFormat="1" applyFont="1" applyFill="1" applyBorder="1" applyAlignment="1">
      <alignment horizontal="center" vertical="center"/>
    </xf>
    <xf numFmtId="0" fontId="29" fillId="18" borderId="107" xfId="0" applyFont="1" applyFill="1" applyBorder="1" applyAlignment="1">
      <alignment horizontal="center" vertical="center"/>
    </xf>
    <xf numFmtId="174" fontId="3" fillId="0" borderId="27" xfId="0" applyNumberFormat="1" applyFont="1" applyBorder="1" applyAlignment="1">
      <alignment horizontal="center" vertical="center"/>
    </xf>
    <xf numFmtId="0" fontId="29" fillId="18" borderId="107" xfId="0" applyFont="1" applyFill="1" applyBorder="1" applyAlignment="1">
      <alignment horizontal="center" vertical="center" wrapText="1"/>
    </xf>
    <xf numFmtId="0" fontId="7" fillId="0" borderId="43" xfId="0" applyFont="1" applyBorder="1" applyAlignment="1">
      <alignment horizontal="center" vertical="center" wrapText="1"/>
    </xf>
    <xf numFmtId="0" fontId="3" fillId="12" borderId="27" xfId="0" applyFont="1" applyFill="1" applyBorder="1" applyAlignment="1">
      <alignment horizontal="center" vertical="center"/>
    </xf>
    <xf numFmtId="174" fontId="3" fillId="5" borderId="18" xfId="0" applyNumberFormat="1" applyFont="1" applyFill="1" applyBorder="1" applyAlignment="1">
      <alignment horizontal="center" vertical="center"/>
    </xf>
    <xf numFmtId="0" fontId="3" fillId="5" borderId="21" xfId="0" applyFont="1" applyFill="1" applyBorder="1" applyAlignment="1">
      <alignment vertical="center"/>
    </xf>
    <xf numFmtId="0" fontId="3" fillId="0" borderId="21" xfId="0" applyFont="1" applyBorder="1"/>
    <xf numFmtId="186" fontId="3" fillId="12" borderId="18" xfId="0" applyNumberFormat="1" applyFont="1" applyFill="1" applyBorder="1" applyAlignment="1">
      <alignment horizontal="center" vertical="center"/>
    </xf>
    <xf numFmtId="186" fontId="5" fillId="0" borderId="22" xfId="0" applyNumberFormat="1" applyFont="1" applyBorder="1"/>
    <xf numFmtId="2" fontId="3" fillId="0" borderId="18" xfId="0" applyNumberFormat="1" applyFont="1" applyBorder="1" applyAlignment="1">
      <alignment horizontal="center" vertical="center"/>
    </xf>
    <xf numFmtId="0" fontId="66" fillId="0" borderId="4" xfId="0" applyFont="1" applyBorder="1" applyAlignment="1">
      <alignment horizontal="center" wrapText="1"/>
    </xf>
    <xf numFmtId="0" fontId="67" fillId="0" borderId="0" xfId="0" applyFont="1"/>
    <xf numFmtId="0" fontId="68" fillId="0" borderId="5" xfId="0" applyFont="1" applyBorder="1"/>
    <xf numFmtId="0" fontId="68" fillId="0" borderId="4" xfId="0" applyFont="1" applyBorder="1"/>
    <xf numFmtId="49" fontId="3" fillId="5" borderId="117" xfId="0" applyNumberFormat="1" applyFont="1" applyFill="1" applyBorder="1" applyAlignment="1">
      <alignment horizontal="left" vertical="center"/>
    </xf>
    <xf numFmtId="0" fontId="75" fillId="31" borderId="209" xfId="3" applyFont="1" applyFill="1" applyBorder="1" applyAlignment="1">
      <alignment horizontal="left" vertical="center"/>
    </xf>
    <xf numFmtId="0" fontId="75" fillId="31" borderId="210" xfId="3" applyFont="1" applyFill="1" applyBorder="1" applyAlignment="1">
      <alignment horizontal="left" vertical="center"/>
    </xf>
    <xf numFmtId="0" fontId="75" fillId="31" borderId="225" xfId="3" applyFont="1" applyFill="1" applyBorder="1" applyAlignment="1">
      <alignment horizontal="left" vertical="center"/>
    </xf>
    <xf numFmtId="0" fontId="77" fillId="0" borderId="69" xfId="8" applyFont="1" applyAlignment="1">
      <alignment horizontal="left"/>
    </xf>
    <xf numFmtId="0" fontId="74" fillId="0" borderId="218" xfId="9" applyFont="1" applyBorder="1" applyAlignment="1">
      <alignment horizontal="center"/>
    </xf>
    <xf numFmtId="0" fontId="74" fillId="0" borderId="219" xfId="9" applyFont="1" applyBorder="1" applyAlignment="1">
      <alignment horizontal="center"/>
    </xf>
    <xf numFmtId="0" fontId="74" fillId="0" borderId="220" xfId="9" applyFont="1" applyBorder="1" applyAlignment="1">
      <alignment horizontal="center"/>
    </xf>
    <xf numFmtId="0" fontId="75" fillId="0" borderId="221" xfId="10" applyFont="1" applyBorder="1" applyAlignment="1">
      <alignment horizontal="center"/>
    </xf>
    <xf numFmtId="0" fontId="75" fillId="0" borderId="222" xfId="10" applyFont="1" applyBorder="1" applyAlignment="1">
      <alignment horizontal="center"/>
    </xf>
    <xf numFmtId="0" fontId="75" fillId="0" borderId="223" xfId="10" applyFont="1" applyBorder="1" applyAlignment="1">
      <alignment horizontal="center"/>
    </xf>
    <xf numFmtId="0" fontId="75" fillId="0" borderId="207" xfId="10" applyFont="1" applyBorder="1" applyAlignment="1">
      <alignment horizontal="center"/>
    </xf>
    <xf numFmtId="0" fontId="75" fillId="0" borderId="69" xfId="10" applyFont="1" applyAlignment="1">
      <alignment horizontal="center"/>
    </xf>
    <xf numFmtId="0" fontId="75" fillId="0" borderId="224" xfId="10" applyFont="1" applyBorder="1" applyAlignment="1">
      <alignment horizontal="center"/>
    </xf>
    <xf numFmtId="0" fontId="75" fillId="31" borderId="194" xfId="3" applyFont="1" applyFill="1" applyBorder="1" applyAlignment="1">
      <alignment horizontal="left" vertical="center"/>
    </xf>
    <xf numFmtId="0" fontId="75" fillId="31" borderId="195" xfId="3" applyFont="1" applyFill="1" applyBorder="1" applyAlignment="1">
      <alignment horizontal="left" vertical="center"/>
    </xf>
    <xf numFmtId="0" fontId="75" fillId="32" borderId="226" xfId="3" applyFont="1" applyFill="1" applyBorder="1" applyAlignment="1">
      <alignment horizontal="center" vertical="center" wrapText="1"/>
    </xf>
    <xf numFmtId="0" fontId="75" fillId="32" borderId="228" xfId="3" applyFont="1" applyFill="1" applyBorder="1" applyAlignment="1">
      <alignment horizontal="center" vertical="center" wrapText="1"/>
    </xf>
    <xf numFmtId="0" fontId="75" fillId="32" borderId="227" xfId="3" applyFont="1" applyFill="1" applyBorder="1" applyAlignment="1">
      <alignment horizontal="center" vertical="center" wrapText="1"/>
    </xf>
    <xf numFmtId="0" fontId="75" fillId="32" borderId="212" xfId="3" applyFont="1" applyFill="1" applyBorder="1" applyAlignment="1">
      <alignment horizontal="center" vertical="center" wrapText="1"/>
    </xf>
    <xf numFmtId="0" fontId="75" fillId="0" borderId="227" xfId="11" applyFont="1" applyBorder="1" applyAlignment="1">
      <alignment horizontal="center" vertical="center" wrapText="1"/>
    </xf>
    <xf numFmtId="4" fontId="75" fillId="32" borderId="227" xfId="3" applyNumberFormat="1" applyFont="1" applyFill="1" applyBorder="1" applyAlignment="1">
      <alignment horizontal="center" vertical="center" wrapText="1"/>
    </xf>
    <xf numFmtId="4" fontId="75" fillId="32" borderId="212" xfId="3" applyNumberFormat="1" applyFont="1" applyFill="1" applyBorder="1" applyAlignment="1">
      <alignment horizontal="center" vertical="center" wrapText="1"/>
    </xf>
    <xf numFmtId="44" fontId="75" fillId="32" borderId="185" xfId="3" applyNumberFormat="1" applyFont="1" applyFill="1" applyBorder="1" applyAlignment="1">
      <alignment horizontal="center" vertical="center" wrapText="1"/>
    </xf>
    <xf numFmtId="44" fontId="75" fillId="32" borderId="193" xfId="3" applyNumberFormat="1" applyFont="1" applyFill="1" applyBorder="1" applyAlignment="1">
      <alignment horizontal="center" vertical="center" wrapText="1"/>
    </xf>
    <xf numFmtId="0" fontId="74" fillId="0" borderId="204" xfId="8" applyFont="1" applyBorder="1" applyAlignment="1">
      <alignment horizontal="center" vertical="center" wrapText="1"/>
    </xf>
    <xf numFmtId="0" fontId="74" fillId="0" borderId="205" xfId="8" applyFont="1" applyBorder="1" applyAlignment="1">
      <alignment horizontal="center" vertical="center" wrapText="1"/>
    </xf>
    <xf numFmtId="0" fontId="74" fillId="0" borderId="206" xfId="8" applyFont="1" applyBorder="1" applyAlignment="1">
      <alignment horizontal="center" vertical="center" wrapText="1"/>
    </xf>
    <xf numFmtId="0" fontId="74" fillId="0" borderId="207" xfId="8" applyFont="1" applyBorder="1" applyAlignment="1">
      <alignment horizontal="center" vertical="center" wrapText="1"/>
    </xf>
    <xf numFmtId="0" fontId="74" fillId="0" borderId="69" xfId="8" applyFont="1" applyAlignment="1">
      <alignment horizontal="center" vertical="center" wrapText="1"/>
    </xf>
    <xf numFmtId="0" fontId="74" fillId="0" borderId="208" xfId="8" applyFont="1" applyBorder="1" applyAlignment="1">
      <alignment horizontal="center" vertical="center" wrapText="1"/>
    </xf>
    <xf numFmtId="0" fontId="74" fillId="0" borderId="209" xfId="8" applyFont="1" applyBorder="1" applyAlignment="1">
      <alignment horizontal="center" vertical="center" wrapText="1"/>
    </xf>
    <xf numFmtId="0" fontId="74" fillId="0" borderId="210" xfId="8" applyFont="1" applyBorder="1" applyAlignment="1">
      <alignment horizontal="center" vertical="center" wrapText="1"/>
    </xf>
    <xf numFmtId="0" fontId="74" fillId="0" borderId="211" xfId="8" applyFont="1" applyBorder="1" applyAlignment="1">
      <alignment horizontal="center" vertical="center" wrapText="1"/>
    </xf>
    <xf numFmtId="3" fontId="75" fillId="0" borderId="188" xfId="10" applyNumberFormat="1" applyFont="1" applyBorder="1" applyAlignment="1">
      <alignment horizontal="center" vertical="center" wrapText="1"/>
    </xf>
    <xf numFmtId="3" fontId="75" fillId="0" borderId="188" xfId="10" applyNumberFormat="1" applyFont="1" applyBorder="1" applyAlignment="1">
      <alignment horizontal="center" vertical="center"/>
    </xf>
    <xf numFmtId="0" fontId="74" fillId="32" borderId="212" xfId="10" applyFont="1" applyFill="1" applyBorder="1" applyAlignment="1">
      <alignment horizontal="center" vertical="center" wrapText="1"/>
    </xf>
    <xf numFmtId="0" fontId="74" fillId="32" borderId="193" xfId="10" applyFont="1" applyFill="1" applyBorder="1" applyAlignment="1">
      <alignment horizontal="center" vertical="center" wrapText="1"/>
    </xf>
    <xf numFmtId="0" fontId="74" fillId="0" borderId="186" xfId="10" applyFont="1" applyBorder="1" applyAlignment="1">
      <alignment horizontal="center" vertical="center" wrapText="1"/>
    </xf>
    <xf numFmtId="0" fontId="74" fillId="0" borderId="187" xfId="10" applyFont="1" applyBorder="1" applyAlignment="1">
      <alignment horizontal="center" vertical="center" wrapText="1"/>
    </xf>
    <xf numFmtId="0" fontId="74" fillId="0" borderId="199" xfId="10" applyFont="1" applyBorder="1" applyAlignment="1">
      <alignment horizontal="center" vertical="center" wrapText="1"/>
    </xf>
    <xf numFmtId="3" fontId="75" fillId="0" borderId="200" xfId="10" applyNumberFormat="1" applyFont="1" applyBorder="1" applyAlignment="1">
      <alignment horizontal="center" vertical="center" wrapText="1"/>
    </xf>
    <xf numFmtId="0" fontId="74" fillId="0" borderId="202" xfId="10" applyFont="1" applyBorder="1" applyAlignment="1">
      <alignment vertical="center" wrapText="1"/>
    </xf>
    <xf numFmtId="0" fontId="74" fillId="0" borderId="188" xfId="10" applyFont="1" applyBorder="1" applyAlignment="1">
      <alignment vertical="center" wrapText="1"/>
    </xf>
    <xf numFmtId="0" fontId="75" fillId="0" borderId="188" xfId="10" applyFont="1" applyBorder="1" applyAlignment="1">
      <alignment horizontal="center" vertical="center" wrapText="1"/>
    </xf>
    <xf numFmtId="0" fontId="75" fillId="0" borderId="188" xfId="10" applyFont="1" applyBorder="1" applyAlignment="1">
      <alignment horizontal="center" vertical="center"/>
    </xf>
    <xf numFmtId="0" fontId="11" fillId="5" borderId="120" xfId="0" applyFont="1" applyFill="1" applyBorder="1" applyAlignment="1">
      <alignment horizontal="center"/>
    </xf>
    <xf numFmtId="0" fontId="11" fillId="5" borderId="173" xfId="0" applyFont="1" applyFill="1" applyBorder="1" applyAlignment="1">
      <alignment horizontal="center"/>
    </xf>
    <xf numFmtId="12" fontId="11" fillId="5" borderId="74" xfId="0" applyNumberFormat="1" applyFont="1" applyFill="1" applyBorder="1" applyAlignment="1">
      <alignment horizontal="center"/>
    </xf>
    <xf numFmtId="0" fontId="5" fillId="0" borderId="174" xfId="0" applyFont="1" applyBorder="1"/>
    <xf numFmtId="0" fontId="11" fillId="5" borderId="74" xfId="0" applyFont="1" applyFill="1" applyBorder="1" applyAlignment="1">
      <alignment horizontal="center"/>
    </xf>
    <xf numFmtId="0" fontId="11" fillId="0" borderId="52" xfId="0" applyFont="1" applyBorder="1" applyAlignment="1">
      <alignment horizontal="center"/>
    </xf>
    <xf numFmtId="0" fontId="21" fillId="0" borderId="106" xfId="0" applyFont="1" applyBorder="1" applyAlignment="1">
      <alignment horizontal="center" textRotation="90" wrapText="1"/>
    </xf>
    <xf numFmtId="0" fontId="13" fillId="29" borderId="1" xfId="0" applyFont="1" applyFill="1" applyBorder="1" applyAlignment="1">
      <alignment horizontal="center" wrapText="1"/>
    </xf>
    <xf numFmtId="0" fontId="21" fillId="5" borderId="45" xfId="0" applyFont="1" applyFill="1" applyBorder="1" applyAlignment="1">
      <alignment horizontal="center" textRotation="90" wrapText="1"/>
    </xf>
    <xf numFmtId="0" fontId="5" fillId="0" borderId="175" xfId="0" applyFont="1" applyBorder="1"/>
    <xf numFmtId="0" fontId="21" fillId="5" borderId="106" xfId="0" applyFont="1" applyFill="1" applyBorder="1" applyAlignment="1">
      <alignment horizontal="center" textRotation="90" wrapText="1"/>
    </xf>
    <xf numFmtId="0" fontId="5" fillId="0" borderId="176" xfId="0" applyFont="1" applyBorder="1"/>
    <xf numFmtId="12" fontId="21" fillId="5" borderId="106" xfId="0" applyNumberFormat="1" applyFont="1" applyFill="1" applyBorder="1" applyAlignment="1">
      <alignment textRotation="90" wrapText="1"/>
    </xf>
    <xf numFmtId="0" fontId="55" fillId="0" borderId="18" xfId="0" applyFont="1" applyBorder="1" applyAlignment="1">
      <alignment horizontal="center"/>
    </xf>
    <xf numFmtId="0" fontId="58" fillId="0" borderId="18" xfId="0" applyFont="1" applyBorder="1" applyAlignment="1">
      <alignment horizontal="center" vertical="center" wrapText="1"/>
    </xf>
    <xf numFmtId="0" fontId="59" fillId="0" borderId="27" xfId="0" applyFont="1" applyBorder="1" applyAlignment="1">
      <alignment horizontal="center" vertical="center"/>
    </xf>
    <xf numFmtId="0" fontId="55" fillId="0" borderId="170" xfId="0" applyFont="1" applyBorder="1" applyAlignment="1">
      <alignment horizontal="center" vertical="center" wrapText="1"/>
    </xf>
    <xf numFmtId="0" fontId="5" fillId="0" borderId="169" xfId="0" applyFont="1" applyBorder="1"/>
    <xf numFmtId="0" fontId="11" fillId="5" borderId="163" xfId="0" applyFont="1" applyFill="1" applyBorder="1" applyAlignment="1">
      <alignment horizontal="center"/>
    </xf>
    <xf numFmtId="12" fontId="11" fillId="5" borderId="120" xfId="0" applyNumberFormat="1" applyFont="1" applyFill="1" applyBorder="1" applyAlignment="1">
      <alignment horizontal="center"/>
    </xf>
    <xf numFmtId="0" fontId="21" fillId="5" borderId="107" xfId="0" applyFont="1" applyFill="1" applyBorder="1" applyAlignment="1">
      <alignment horizontal="center" wrapText="1"/>
    </xf>
    <xf numFmtId="0" fontId="21" fillId="0" borderId="64" xfId="0" applyFont="1" applyBorder="1" applyAlignment="1">
      <alignment horizontal="center" textRotation="90" wrapText="1"/>
    </xf>
    <xf numFmtId="0" fontId="21" fillId="5" borderId="171" xfId="0" applyFont="1" applyFill="1" applyBorder="1" applyAlignment="1">
      <alignment horizontal="center" textRotation="90" wrapText="1"/>
    </xf>
    <xf numFmtId="0" fontId="5" fillId="0" borderId="172" xfId="0" applyFont="1" applyBorder="1"/>
    <xf numFmtId="0" fontId="50" fillId="0" borderId="43" xfId="0" applyFont="1" applyBorder="1" applyAlignment="1">
      <alignment horizontal="center" vertical="center" wrapText="1"/>
    </xf>
    <xf numFmtId="0" fontId="51" fillId="0" borderId="43" xfId="0" applyFont="1" applyBorder="1" applyAlignment="1">
      <alignment horizontal="center" vertical="center"/>
    </xf>
    <xf numFmtId="0" fontId="52" fillId="0" borderId="115" xfId="0" applyFont="1" applyBorder="1" applyAlignment="1">
      <alignment horizontal="center" vertical="center"/>
    </xf>
    <xf numFmtId="0" fontId="53" fillId="0" borderId="107" xfId="0" applyFont="1" applyBorder="1" applyAlignment="1">
      <alignment horizontal="center" vertical="center"/>
    </xf>
    <xf numFmtId="0" fontId="53" fillId="0" borderId="46" xfId="0" applyFont="1" applyBorder="1" applyAlignment="1">
      <alignment horizontal="center" vertical="center"/>
    </xf>
    <xf numFmtId="188" fontId="53" fillId="0" borderId="18" xfId="0" applyNumberFormat="1" applyFont="1" applyBorder="1" applyAlignment="1">
      <alignment horizontal="center" vertical="center"/>
    </xf>
    <xf numFmtId="0" fontId="52" fillId="0" borderId="21" xfId="0" applyFont="1" applyBorder="1" applyAlignment="1">
      <alignment horizontal="center" vertical="center"/>
    </xf>
    <xf numFmtId="0" fontId="54" fillId="0" borderId="4" xfId="0" applyFont="1" applyBorder="1" applyAlignment="1">
      <alignment horizontal="center" vertical="center" wrapText="1"/>
    </xf>
    <xf numFmtId="0" fontId="52" fillId="29" borderId="1" xfId="0" applyFont="1" applyFill="1" applyBorder="1" applyAlignment="1">
      <alignment horizontal="center" vertical="center"/>
    </xf>
    <xf numFmtId="0" fontId="54" fillId="29" borderId="1" xfId="0" applyFont="1" applyFill="1" applyBorder="1" applyAlignment="1">
      <alignment horizontal="center" vertical="center"/>
    </xf>
    <xf numFmtId="0" fontId="61" fillId="3" borderId="74" xfId="0" applyFont="1" applyFill="1" applyBorder="1" applyAlignment="1">
      <alignment horizontal="center" vertical="center"/>
    </xf>
    <xf numFmtId="0" fontId="52" fillId="29" borderId="21" xfId="0" applyFont="1" applyFill="1" applyBorder="1" applyAlignment="1">
      <alignment horizontal="center"/>
    </xf>
    <xf numFmtId="0" fontId="52" fillId="29" borderId="18" xfId="0" applyFont="1" applyFill="1" applyBorder="1" applyAlignment="1">
      <alignment horizontal="center"/>
    </xf>
    <xf numFmtId="0" fontId="57" fillId="29" borderId="21" xfId="0" applyFont="1" applyFill="1" applyBorder="1" applyAlignment="1">
      <alignment horizontal="center" vertical="center" wrapText="1"/>
    </xf>
    <xf numFmtId="0" fontId="57" fillId="29" borderId="117" xfId="0" applyFont="1" applyFill="1" applyBorder="1" applyAlignment="1">
      <alignment horizontal="center" vertical="center"/>
    </xf>
    <xf numFmtId="0" fontId="55" fillId="0" borderId="170" xfId="0" applyFont="1" applyBorder="1" applyAlignment="1">
      <alignment horizontal="center" vertical="center"/>
    </xf>
    <xf numFmtId="0" fontId="63" fillId="0" borderId="43" xfId="0" applyFont="1" applyBorder="1" applyAlignment="1">
      <alignment horizontal="left" vertical="top"/>
    </xf>
    <xf numFmtId="0" fontId="5" fillId="0" borderId="179" xfId="0" applyFont="1" applyBorder="1"/>
    <xf numFmtId="0" fontId="5" fillId="0" borderId="180" xfId="0" applyFont="1" applyBorder="1"/>
    <xf numFmtId="0" fontId="5" fillId="0" borderId="181" xfId="0" applyFont="1" applyBorder="1"/>
    <xf numFmtId="0" fontId="52" fillId="0" borderId="115" xfId="0" applyFont="1" applyBorder="1" applyAlignment="1">
      <alignment horizontal="center"/>
    </xf>
    <xf numFmtId="0" fontId="52" fillId="0" borderId="78" xfId="0" applyFont="1" applyBorder="1" applyAlignment="1">
      <alignment horizontal="center" vertical="center" wrapText="1"/>
    </xf>
    <xf numFmtId="0" fontId="52" fillId="0" borderId="56" xfId="0" applyFont="1" applyBorder="1" applyAlignment="1">
      <alignment horizontal="center" vertical="center" wrapText="1"/>
    </xf>
    <xf numFmtId="2" fontId="3" fillId="12" borderId="80" xfId="0" applyNumberFormat="1" applyFont="1" applyFill="1" applyBorder="1" applyAlignment="1">
      <alignment horizontal="center" vertical="center"/>
    </xf>
    <xf numFmtId="0" fontId="5" fillId="0" borderId="77" xfId="0" applyFont="1" applyBorder="1"/>
    <xf numFmtId="0" fontId="17" fillId="0" borderId="31" xfId="0" applyFont="1" applyFill="1" applyBorder="1" applyAlignment="1">
      <alignment horizontal="right" vertical="center"/>
    </xf>
    <xf numFmtId="0" fontId="17" fillId="0" borderId="98" xfId="0" applyFont="1" applyFill="1" applyBorder="1" applyAlignment="1">
      <alignment vertical="center"/>
    </xf>
    <xf numFmtId="0" fontId="3" fillId="0" borderId="21" xfId="0" applyFont="1" applyFill="1" applyBorder="1" applyAlignment="1">
      <alignment vertical="center"/>
    </xf>
    <xf numFmtId="0" fontId="5" fillId="0" borderId="19" xfId="0" applyFont="1" applyFill="1" applyBorder="1"/>
    <xf numFmtId="0" fontId="5" fillId="0" borderId="22" xfId="0" applyFont="1" applyFill="1" applyBorder="1"/>
    <xf numFmtId="0" fontId="3" fillId="0" borderId="19" xfId="0" applyFont="1" applyFill="1" applyBorder="1" applyAlignment="1">
      <alignment horizontal="center" vertical="center"/>
    </xf>
    <xf numFmtId="174" fontId="3" fillId="0" borderId="18" xfId="0" applyNumberFormat="1" applyFont="1" applyFill="1" applyBorder="1" applyAlignment="1">
      <alignment horizontal="center" vertical="center"/>
    </xf>
    <xf numFmtId="174" fontId="3" fillId="0" borderId="15" xfId="0" applyNumberFormat="1" applyFont="1" applyFill="1" applyBorder="1" applyAlignment="1">
      <alignment vertical="center"/>
    </xf>
    <xf numFmtId="0" fontId="11" fillId="0" borderId="102" xfId="0" applyFont="1" applyFill="1" applyBorder="1"/>
    <xf numFmtId="0" fontId="0" fillId="0" borderId="0" xfId="0" applyFill="1"/>
  </cellXfs>
  <cellStyles count="18">
    <cellStyle name="Comma" xfId="17" xr:uid="{5A79F23E-B3AC-46F8-B15D-21D43F92EBA7}"/>
    <cellStyle name="Millares 2" xfId="12" xr:uid="{B2CABB32-F1E8-4F64-BF45-D285E79535B7}"/>
    <cellStyle name="Millares 2 2" xfId="14" xr:uid="{3BEDE82F-D1BD-4106-9474-87E0D7DF4A6A}"/>
    <cellStyle name="Millares 2 3" xfId="15" xr:uid="{BC1B7EC1-E996-4482-87BB-5072CB9B5367}"/>
    <cellStyle name="Millares_FORMULARIO 4 - M-OFERENTE PPTA ECONOMICA" xfId="6" xr:uid="{FAD02EC8-C053-4AB7-98B5-EA94E7012E90}"/>
    <cellStyle name="Moneda 2" xfId="13" xr:uid="{5DC6ECA2-8260-4971-B64C-596B816E8C4B}"/>
    <cellStyle name="Moneda 2 2 2 2 2" xfId="2" xr:uid="{EAB2B9ED-0418-4B72-AFA6-1787C33391B7}"/>
    <cellStyle name="Normal" xfId="0" builtinId="0"/>
    <cellStyle name="Normal 2" xfId="3" xr:uid="{F292836C-936B-4F51-9C32-358C4ED5FB93}"/>
    <cellStyle name="Normal 2 10 3" xfId="11" xr:uid="{690E95C6-2D6C-4348-ABE5-74F50651E10C}"/>
    <cellStyle name="Normal 2 2" xfId="4" xr:uid="{A83A3E19-6DC2-41D4-A651-B81249A3DC84}"/>
    <cellStyle name="Normal 3" xfId="8" xr:uid="{45054974-FA0B-472F-841D-DF6ED9DC4A29}"/>
    <cellStyle name="Normal 3 11" xfId="5" xr:uid="{400D649D-1143-4CA4-AA4F-5D6F668844E0}"/>
    <cellStyle name="Normal 3 11 2" xfId="10" xr:uid="{A792D353-FE9B-454C-9D4C-BEDDAE314C31}"/>
    <cellStyle name="Normal 3 2" xfId="9" xr:uid="{AB93390C-66D7-40C8-BB93-C7642F5FCADD}"/>
    <cellStyle name="Normal 3 2 2" xfId="1" xr:uid="{C261F2D7-B2EC-401F-B2A9-CCC1CF51664F}"/>
    <cellStyle name="Normal_PTO OFICIAL PREPLIEGO (CORREGIDO) 2" xfId="16" xr:uid="{1C35096A-3369-4EAA-9A22-C980F3513597}"/>
    <cellStyle name="Percent" xfId="7" xr:uid="{47323EBC-247A-4D4E-81E7-D2F01B367BF4}"/>
  </cellStyles>
  <dxfs count="127">
    <dxf>
      <font>
        <color theme="0"/>
      </font>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DDD9C3"/>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rgb="FFD5F4FF"/>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34" Type="http://schemas.openxmlformats.org/officeDocument/2006/relationships/calcChain" Target="calcChain.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130"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styles" Target="styles.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externalLink" Target="externalLinks/externalLink99.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sharedStrings" Target="sharedStrings.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9.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hyperlink" Target="#Actividades!A1"/><Relationship Id="rId1" Type="http://schemas.openxmlformats.org/officeDocument/2006/relationships/hyperlink" Target="#Presupuesto!A1"/></Relationships>
</file>

<file path=xl/drawings/_rels/drawing2.xml.rels><?xml version="1.0" encoding="UTF-8" standalone="yes"?>
<Relationships xmlns="http://schemas.openxmlformats.org/package/2006/relationships"><Relationship Id="rId2" Type="http://schemas.openxmlformats.org/officeDocument/2006/relationships/hyperlink" Target="#Presupuesto!A1"/><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2" Type="http://schemas.openxmlformats.org/officeDocument/2006/relationships/hyperlink" Target="#Presupuesto!A1"/><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2" Type="http://schemas.openxmlformats.org/officeDocument/2006/relationships/hyperlink" Target="#Presupuesto!A1"/><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7" Type="http://schemas.openxmlformats.org/officeDocument/2006/relationships/image" Target="../media/image5.png"/><Relationship Id="rId2" Type="http://schemas.openxmlformats.org/officeDocument/2006/relationships/hyperlink" Target="#Presupuesto!A1"/><Relationship Id="rId1" Type="http://schemas.openxmlformats.org/officeDocument/2006/relationships/hyperlink" Target="#Menu!A1"/><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hyperlink" Target="#Presupuesto!A1"/><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Actividades!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Presupuesto!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hyperlink" Target="#Presupuesto!A1"/></Relationships>
</file>

<file path=xl/drawings/_rels/drawing10.xml.rels><?xml version="1.0" encoding="UTF-8" standalone="yes"?>
<Relationships xmlns="http://schemas.openxmlformats.org/package/2006/relationships"><Relationship Id="rId1" Type="http://schemas.openxmlformats.org/officeDocument/2006/relationships/hyperlink" Target="#Presupuesto!A1"/></Relationships>
</file>

<file path=xl/drawings/_rels/drawing11.xml.rels><?xml version="1.0" encoding="UTF-8" standalone="yes"?>
<Relationships xmlns="http://schemas.openxmlformats.org/package/2006/relationships"><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oneCellAnchor>
    <xdr:from>
      <xdr:col>7</xdr:col>
      <xdr:colOff>504825</xdr:colOff>
      <xdr:row>7</xdr:row>
      <xdr:rowOff>0</xdr:rowOff>
    </xdr:from>
    <xdr:ext cx="2076450" cy="323850"/>
    <xdr:sp macro="" textlink="">
      <xdr:nvSpPr>
        <xdr:cNvPr id="3" name="Shape 3">
          <a:extLst>
            <a:ext uri="{FF2B5EF4-FFF2-40B4-BE49-F238E27FC236}">
              <a16:creationId xmlns:a16="http://schemas.microsoft.com/office/drawing/2014/main" id="{00000000-0008-0000-0100-000003000000}"/>
            </a:ext>
          </a:extLst>
        </xdr:cNvPr>
        <xdr:cNvSpPr/>
      </xdr:nvSpPr>
      <xdr:spPr>
        <a:xfrm>
          <a:off x="4311000" y="3623813"/>
          <a:ext cx="2070000" cy="312374"/>
        </a:xfrm>
        <a:prstGeom prst="roundRect">
          <a:avLst>
            <a:gd name="adj" fmla="val 16667"/>
          </a:avLst>
        </a:prstGeom>
        <a:solidFill>
          <a:srgbClr val="C4E0B2"/>
        </a:solidFill>
        <a:ln w="12700" cap="flat" cmpd="sng">
          <a:solidFill>
            <a:srgbClr val="375623"/>
          </a:solidFill>
          <a:prstDash val="solid"/>
          <a:round/>
          <a:headEnd type="none" w="sm" len="sm"/>
          <a:tailEnd type="none" w="sm" len="sm"/>
        </a:ln>
        <a:effectLst>
          <a:outerShdw blurRad="50800" dist="76200" dir="2700000" algn="tl"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000" b="0" cap="none">
              <a:solidFill>
                <a:schemeClr val="dk1"/>
              </a:solidFill>
              <a:latin typeface="Arial"/>
              <a:ea typeface="Arial"/>
              <a:cs typeface="Arial"/>
              <a:sym typeface="Arial"/>
            </a:rPr>
            <a:t>LISTADO DE MANO DE OBRA</a:t>
          </a:r>
          <a:endParaRPr sz="1000" b="0" cap="none">
            <a:solidFill>
              <a:schemeClr val="dk1"/>
            </a:solidFill>
          </a:endParaRPr>
        </a:p>
      </xdr:txBody>
    </xdr:sp>
    <xdr:clientData fLocksWithSheet="0"/>
  </xdr:oneCellAnchor>
  <xdr:oneCellAnchor>
    <xdr:from>
      <xdr:col>7</xdr:col>
      <xdr:colOff>504825</xdr:colOff>
      <xdr:row>11</xdr:row>
      <xdr:rowOff>9525</xdr:rowOff>
    </xdr:from>
    <xdr:ext cx="2076450" cy="323850"/>
    <xdr:sp macro="" textlink="">
      <xdr:nvSpPr>
        <xdr:cNvPr id="4" name="Shape 4">
          <a:extLst>
            <a:ext uri="{FF2B5EF4-FFF2-40B4-BE49-F238E27FC236}">
              <a16:creationId xmlns:a16="http://schemas.microsoft.com/office/drawing/2014/main" id="{00000000-0008-0000-0100-000004000000}"/>
            </a:ext>
          </a:extLst>
        </xdr:cNvPr>
        <xdr:cNvSpPr/>
      </xdr:nvSpPr>
      <xdr:spPr>
        <a:xfrm>
          <a:off x="4311000" y="3623400"/>
          <a:ext cx="2070000" cy="313200"/>
        </a:xfrm>
        <a:prstGeom prst="roundRect">
          <a:avLst>
            <a:gd name="adj" fmla="val 16667"/>
          </a:avLst>
        </a:prstGeom>
        <a:solidFill>
          <a:srgbClr val="C4E0B2"/>
        </a:solidFill>
        <a:ln w="12700" cap="flat" cmpd="sng">
          <a:solidFill>
            <a:srgbClr val="375623"/>
          </a:solidFill>
          <a:prstDash val="solid"/>
          <a:round/>
          <a:headEnd type="none" w="sm" len="sm"/>
          <a:tailEnd type="none" w="sm" len="sm"/>
        </a:ln>
        <a:effectLst>
          <a:outerShdw blurRad="50800" dist="76200" dir="2700000" algn="tl"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000" b="0" cap="none">
              <a:solidFill>
                <a:schemeClr val="dk1"/>
              </a:solidFill>
              <a:latin typeface="Arial"/>
              <a:ea typeface="Arial"/>
              <a:cs typeface="Arial"/>
              <a:sym typeface="Arial"/>
            </a:rPr>
            <a:t>LISTADO DE EQUIPOS</a:t>
          </a:r>
          <a:endParaRPr sz="1000" b="0" cap="none">
            <a:solidFill>
              <a:schemeClr val="dk1"/>
            </a:solidFill>
          </a:endParaRPr>
        </a:p>
      </xdr:txBody>
    </xdr:sp>
    <xdr:clientData fLocksWithSheet="0"/>
  </xdr:oneCellAnchor>
  <xdr:oneCellAnchor>
    <xdr:from>
      <xdr:col>7</xdr:col>
      <xdr:colOff>504825</xdr:colOff>
      <xdr:row>9</xdr:row>
      <xdr:rowOff>0</xdr:rowOff>
    </xdr:from>
    <xdr:ext cx="2076450" cy="323850"/>
    <xdr:sp macro="" textlink="">
      <xdr:nvSpPr>
        <xdr:cNvPr id="5" name="Shape 5">
          <a:extLst>
            <a:ext uri="{FF2B5EF4-FFF2-40B4-BE49-F238E27FC236}">
              <a16:creationId xmlns:a16="http://schemas.microsoft.com/office/drawing/2014/main" id="{00000000-0008-0000-0100-000005000000}"/>
            </a:ext>
          </a:extLst>
        </xdr:cNvPr>
        <xdr:cNvSpPr/>
      </xdr:nvSpPr>
      <xdr:spPr>
        <a:xfrm>
          <a:off x="4311000" y="3623400"/>
          <a:ext cx="2070000" cy="313200"/>
        </a:xfrm>
        <a:prstGeom prst="roundRect">
          <a:avLst>
            <a:gd name="adj" fmla="val 16667"/>
          </a:avLst>
        </a:prstGeom>
        <a:solidFill>
          <a:srgbClr val="C4E0B2"/>
        </a:solidFill>
        <a:ln w="12700" cap="flat" cmpd="sng">
          <a:solidFill>
            <a:srgbClr val="375623"/>
          </a:solidFill>
          <a:prstDash val="solid"/>
          <a:round/>
          <a:headEnd type="none" w="sm" len="sm"/>
          <a:tailEnd type="none" w="sm" len="sm"/>
        </a:ln>
        <a:effectLst>
          <a:outerShdw blurRad="50800" dist="76200" dir="2700000" algn="tl"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000" b="0" cap="none">
              <a:solidFill>
                <a:schemeClr val="dk1"/>
              </a:solidFill>
              <a:latin typeface="Arial"/>
              <a:ea typeface="Arial"/>
              <a:cs typeface="Arial"/>
              <a:sym typeface="Arial"/>
            </a:rPr>
            <a:t>LISTADO DE MATERIALES</a:t>
          </a:r>
          <a:endParaRPr sz="1000" b="0" cap="none">
            <a:solidFill>
              <a:schemeClr val="dk1"/>
            </a:solidFill>
          </a:endParaRPr>
        </a:p>
      </xdr:txBody>
    </xdr:sp>
    <xdr:clientData fLocksWithSheet="0"/>
  </xdr:oneCellAnchor>
  <xdr:oneCellAnchor>
    <xdr:from>
      <xdr:col>7</xdr:col>
      <xdr:colOff>504825</xdr:colOff>
      <xdr:row>13</xdr:row>
      <xdr:rowOff>28575</xdr:rowOff>
    </xdr:from>
    <xdr:ext cx="2076450" cy="323850"/>
    <xdr:sp macro="" textlink="">
      <xdr:nvSpPr>
        <xdr:cNvPr id="6" name="Shape 6">
          <a:extLst>
            <a:ext uri="{FF2B5EF4-FFF2-40B4-BE49-F238E27FC236}">
              <a16:creationId xmlns:a16="http://schemas.microsoft.com/office/drawing/2014/main" id="{00000000-0008-0000-0100-000006000000}"/>
            </a:ext>
          </a:extLst>
        </xdr:cNvPr>
        <xdr:cNvSpPr/>
      </xdr:nvSpPr>
      <xdr:spPr>
        <a:xfrm>
          <a:off x="4311000" y="3623813"/>
          <a:ext cx="2070000" cy="312374"/>
        </a:xfrm>
        <a:prstGeom prst="roundRect">
          <a:avLst>
            <a:gd name="adj" fmla="val 16667"/>
          </a:avLst>
        </a:prstGeom>
        <a:solidFill>
          <a:srgbClr val="C4E0B2"/>
        </a:solidFill>
        <a:ln w="12700" cap="flat" cmpd="sng">
          <a:solidFill>
            <a:srgbClr val="375623"/>
          </a:solidFill>
          <a:prstDash val="solid"/>
          <a:round/>
          <a:headEnd type="none" w="sm" len="sm"/>
          <a:tailEnd type="none" w="sm" len="sm"/>
        </a:ln>
        <a:effectLst>
          <a:outerShdw blurRad="50800" dist="76200" dir="2700000" algn="tl"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000" b="0" cap="none">
              <a:solidFill>
                <a:schemeClr val="dk1"/>
              </a:solidFill>
              <a:latin typeface="Arial"/>
              <a:ea typeface="Arial"/>
              <a:cs typeface="Arial"/>
              <a:sym typeface="Arial"/>
            </a:rPr>
            <a:t>LISTADO DE TRANSPORTE</a:t>
          </a:r>
          <a:endParaRPr sz="1000" b="0" cap="none">
            <a:solidFill>
              <a:schemeClr val="dk1"/>
            </a:solidFill>
          </a:endParaRPr>
        </a:p>
      </xdr:txBody>
    </xdr:sp>
    <xdr:clientData fLocksWithSheet="0"/>
  </xdr:oneCellAnchor>
  <xdr:oneCellAnchor>
    <xdr:from>
      <xdr:col>4</xdr:col>
      <xdr:colOff>676275</xdr:colOff>
      <xdr:row>7</xdr:row>
      <xdr:rowOff>0</xdr:rowOff>
    </xdr:from>
    <xdr:ext cx="1533525" cy="657225"/>
    <xdr:sp macro="" textlink="">
      <xdr:nvSpPr>
        <xdr:cNvPr id="7" name="Shape 7">
          <a:hlinkClick xmlns:r="http://schemas.openxmlformats.org/officeDocument/2006/relationships" r:id="rId1"/>
          <a:extLst>
            <a:ext uri="{FF2B5EF4-FFF2-40B4-BE49-F238E27FC236}">
              <a16:creationId xmlns:a16="http://schemas.microsoft.com/office/drawing/2014/main" id="{00000000-0008-0000-0100-000007000000}"/>
            </a:ext>
          </a:extLst>
        </xdr:cNvPr>
        <xdr:cNvSpPr/>
      </xdr:nvSpPr>
      <xdr:spPr>
        <a:xfrm>
          <a:off x="4579238" y="3451918"/>
          <a:ext cx="1533524" cy="656165"/>
        </a:xfrm>
        <a:prstGeom prst="roundRect">
          <a:avLst>
            <a:gd name="adj" fmla="val 16667"/>
          </a:avLst>
        </a:prstGeom>
        <a:solidFill>
          <a:srgbClr val="0070C0"/>
        </a:solidFill>
        <a:ln w="9525" cap="flat" cmpd="sng">
          <a:solidFill>
            <a:schemeClr val="dk1"/>
          </a:solidFill>
          <a:prstDash val="solid"/>
          <a:round/>
          <a:headEnd type="none" w="sm" len="sm"/>
          <a:tailEnd type="none" w="sm" len="sm"/>
        </a:ln>
        <a:effectLst>
          <a:outerShdw blurRad="63500" dist="63500" dir="7200000" algn="t"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400" b="0" cap="none">
              <a:solidFill>
                <a:schemeClr val="lt1"/>
              </a:solidFill>
              <a:latin typeface="Play"/>
              <a:ea typeface="Play"/>
              <a:cs typeface="Play"/>
              <a:sym typeface="Play"/>
            </a:rPr>
            <a:t>PRESUPUESTO </a:t>
          </a:r>
          <a:endParaRPr sz="2400" b="0" cap="none">
            <a:solidFill>
              <a:schemeClr val="lt1"/>
            </a:solidFill>
            <a:latin typeface="Play"/>
            <a:ea typeface="Play"/>
            <a:cs typeface="Play"/>
            <a:sym typeface="Play"/>
          </a:endParaRPr>
        </a:p>
      </xdr:txBody>
    </xdr:sp>
    <xdr:clientData fLocksWithSheet="0"/>
  </xdr:oneCellAnchor>
  <xdr:oneCellAnchor>
    <xdr:from>
      <xdr:col>2</xdr:col>
      <xdr:colOff>85725</xdr:colOff>
      <xdr:row>7</xdr:row>
      <xdr:rowOff>0</xdr:rowOff>
    </xdr:from>
    <xdr:ext cx="1562100" cy="657225"/>
    <xdr:sp macro="" textlink="">
      <xdr:nvSpPr>
        <xdr:cNvPr id="8" name="Shape 8">
          <a:extLst>
            <a:ext uri="{FF2B5EF4-FFF2-40B4-BE49-F238E27FC236}">
              <a16:creationId xmlns:a16="http://schemas.microsoft.com/office/drawing/2014/main" id="{00000000-0008-0000-0100-000008000000}"/>
            </a:ext>
          </a:extLst>
        </xdr:cNvPr>
        <xdr:cNvSpPr/>
      </xdr:nvSpPr>
      <xdr:spPr>
        <a:xfrm>
          <a:off x="4568288" y="3451918"/>
          <a:ext cx="1555424" cy="656165"/>
        </a:xfrm>
        <a:prstGeom prst="roundRect">
          <a:avLst>
            <a:gd name="adj" fmla="val 16667"/>
          </a:avLst>
        </a:prstGeom>
        <a:solidFill>
          <a:srgbClr val="002060"/>
        </a:solidFill>
        <a:ln w="9525" cap="flat" cmpd="sng">
          <a:solidFill>
            <a:schemeClr val="dk1"/>
          </a:solidFill>
          <a:prstDash val="solid"/>
          <a:round/>
          <a:headEnd type="none" w="sm" len="sm"/>
          <a:tailEnd type="none" w="sm" len="sm"/>
        </a:ln>
        <a:effectLst>
          <a:outerShdw blurRad="63500" dist="63500" dir="7200000" algn="t"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600" b="1" cap="none">
              <a:solidFill>
                <a:schemeClr val="lt1"/>
              </a:solidFill>
              <a:latin typeface="Play"/>
              <a:ea typeface="Play"/>
              <a:cs typeface="Play"/>
              <a:sym typeface="Play"/>
            </a:rPr>
            <a:t>DATOS</a:t>
          </a:r>
          <a:endParaRPr sz="1400"/>
        </a:p>
      </xdr:txBody>
    </xdr:sp>
    <xdr:clientData fLocksWithSheet="0"/>
  </xdr:oneCellAnchor>
  <xdr:oneCellAnchor>
    <xdr:from>
      <xdr:col>4</xdr:col>
      <xdr:colOff>676275</xdr:colOff>
      <xdr:row>11</xdr:row>
      <xdr:rowOff>28575</xdr:rowOff>
    </xdr:from>
    <xdr:ext cx="1562100" cy="657225"/>
    <xdr:sp macro="" textlink="">
      <xdr:nvSpPr>
        <xdr:cNvPr id="9" name="Shape 9">
          <a:hlinkClick xmlns:r="http://schemas.openxmlformats.org/officeDocument/2006/relationships" r:id="rId2"/>
          <a:extLst>
            <a:ext uri="{FF2B5EF4-FFF2-40B4-BE49-F238E27FC236}">
              <a16:creationId xmlns:a16="http://schemas.microsoft.com/office/drawing/2014/main" id="{00000000-0008-0000-0100-000009000000}"/>
            </a:ext>
          </a:extLst>
        </xdr:cNvPr>
        <xdr:cNvSpPr/>
      </xdr:nvSpPr>
      <xdr:spPr>
        <a:xfrm>
          <a:off x="4568288" y="3451918"/>
          <a:ext cx="1555424" cy="656165"/>
        </a:xfrm>
        <a:prstGeom prst="roundRect">
          <a:avLst>
            <a:gd name="adj" fmla="val 16667"/>
          </a:avLst>
        </a:prstGeom>
        <a:solidFill>
          <a:srgbClr val="0070C0"/>
        </a:solidFill>
        <a:ln w="9525" cap="flat" cmpd="sng">
          <a:solidFill>
            <a:schemeClr val="dk1"/>
          </a:solidFill>
          <a:prstDash val="solid"/>
          <a:round/>
          <a:headEnd type="none" w="sm" len="sm"/>
          <a:tailEnd type="none" w="sm" len="sm"/>
        </a:ln>
        <a:effectLst>
          <a:outerShdw blurRad="63500" dist="63500" dir="7200000" algn="t" rotWithShape="0">
            <a:srgbClr val="000000">
              <a:alpha val="40000"/>
            </a:srgbClr>
          </a:outerShdw>
        </a:effectLst>
      </xdr:spPr>
      <xdr:txBody>
        <a:bodyPr spcFirstLastPara="1" wrap="square" lIns="36000" tIns="0" rIns="36000" bIns="0" anchor="ctr" anchorCtr="0">
          <a:noAutofit/>
        </a:bodyPr>
        <a:lstStyle/>
        <a:p>
          <a:pPr marL="0" marR="0" lvl="0" indent="0" algn="ctr" rtl="0">
            <a:lnSpc>
              <a:spcPct val="100000"/>
            </a:lnSpc>
            <a:spcBef>
              <a:spcPts val="0"/>
            </a:spcBef>
            <a:spcAft>
              <a:spcPts val="0"/>
            </a:spcAft>
            <a:buClr>
              <a:srgbClr val="DFEDEB"/>
            </a:buClr>
            <a:buSzPts val="1000"/>
            <a:buFont typeface="Arial"/>
            <a:buNone/>
          </a:pPr>
          <a:r>
            <a:rPr lang="en-US" sz="1400" b="0" cap="none">
              <a:solidFill>
                <a:schemeClr val="lt1"/>
              </a:solidFill>
              <a:latin typeface="Play"/>
              <a:ea typeface="Play"/>
              <a:cs typeface="Play"/>
              <a:sym typeface="Play"/>
            </a:rPr>
            <a:t>ACTIVIDADES</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95250</xdr:colOff>
      <xdr:row>4</xdr:row>
      <xdr:rowOff>28575</xdr:rowOff>
    </xdr:from>
    <xdr:ext cx="2028825" cy="504825"/>
    <xdr:sp macro="" textlink="">
      <xdr:nvSpPr>
        <xdr:cNvPr id="43" name="Shape 43">
          <a:hlinkClick xmlns:r="http://schemas.openxmlformats.org/officeDocument/2006/relationships" r:id="rId1"/>
          <a:extLst>
            <a:ext uri="{FF2B5EF4-FFF2-40B4-BE49-F238E27FC236}">
              <a16:creationId xmlns:a16="http://schemas.microsoft.com/office/drawing/2014/main" id="{00000000-0008-0000-0900-00002B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8</xdr:col>
      <xdr:colOff>85725</xdr:colOff>
      <xdr:row>1</xdr:row>
      <xdr:rowOff>200025</xdr:rowOff>
    </xdr:from>
    <xdr:ext cx="2028825" cy="504825"/>
    <xdr:sp macro="" textlink="">
      <xdr:nvSpPr>
        <xdr:cNvPr id="44" name="Shape 44">
          <a:hlinkClick xmlns:r="http://schemas.openxmlformats.org/officeDocument/2006/relationships" r:id="rId2"/>
          <a:extLst>
            <a:ext uri="{FF2B5EF4-FFF2-40B4-BE49-F238E27FC236}">
              <a16:creationId xmlns:a16="http://schemas.microsoft.com/office/drawing/2014/main" id="{00000000-0008-0000-0900-00002C000000}"/>
            </a:ext>
          </a:extLst>
        </xdr:cNvPr>
        <xdr:cNvSpPr/>
      </xdr:nvSpPr>
      <xdr:spPr>
        <a:xfrm>
          <a:off x="4341113" y="3537113"/>
          <a:ext cx="2009775" cy="4857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295275</xdr:colOff>
      <xdr:row>4</xdr:row>
      <xdr:rowOff>142875</xdr:rowOff>
    </xdr:from>
    <xdr:ext cx="2028825" cy="504825"/>
    <xdr:sp macro="" textlink="">
      <xdr:nvSpPr>
        <xdr:cNvPr id="10" name="Shape 10">
          <a:hlinkClick xmlns:r="http://schemas.openxmlformats.org/officeDocument/2006/relationships" r:id="rId1"/>
          <a:extLst>
            <a:ext uri="{FF2B5EF4-FFF2-40B4-BE49-F238E27FC236}">
              <a16:creationId xmlns:a16="http://schemas.microsoft.com/office/drawing/2014/main" id="{00000000-0008-0000-0200-00000A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19</xdr:col>
      <xdr:colOff>285750</xdr:colOff>
      <xdr:row>1</xdr:row>
      <xdr:rowOff>114300</xdr:rowOff>
    </xdr:from>
    <xdr:ext cx="2028825" cy="504825"/>
    <xdr:sp macro="" textlink="">
      <xdr:nvSpPr>
        <xdr:cNvPr id="11" name="Shape 11">
          <a:hlinkClick xmlns:r="http://schemas.openxmlformats.org/officeDocument/2006/relationships" r:id="rId2"/>
          <a:extLst>
            <a:ext uri="{FF2B5EF4-FFF2-40B4-BE49-F238E27FC236}">
              <a16:creationId xmlns:a16="http://schemas.microsoft.com/office/drawing/2014/main" id="{00000000-0008-0000-0200-00000B000000}"/>
            </a:ext>
          </a:extLst>
        </xdr:cNvPr>
        <xdr:cNvSpPr/>
      </xdr:nvSpPr>
      <xdr:spPr>
        <a:xfrm>
          <a:off x="4341113" y="3537113"/>
          <a:ext cx="2009775" cy="4857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9</xdr:col>
      <xdr:colOff>57150</xdr:colOff>
      <xdr:row>4</xdr:row>
      <xdr:rowOff>123825</xdr:rowOff>
    </xdr:from>
    <xdr:ext cx="2028825" cy="504825"/>
    <xdr:sp macro="" textlink="">
      <xdr:nvSpPr>
        <xdr:cNvPr id="12" name="Shape 12">
          <a:hlinkClick xmlns:r="http://schemas.openxmlformats.org/officeDocument/2006/relationships" r:id="rId1"/>
          <a:extLst>
            <a:ext uri="{FF2B5EF4-FFF2-40B4-BE49-F238E27FC236}">
              <a16:creationId xmlns:a16="http://schemas.microsoft.com/office/drawing/2014/main" id="{00000000-0008-0000-0300-00000C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9</xdr:col>
      <xdr:colOff>47625</xdr:colOff>
      <xdr:row>2</xdr:row>
      <xdr:rowOff>19050</xdr:rowOff>
    </xdr:from>
    <xdr:ext cx="2028825" cy="504825"/>
    <xdr:sp macro="" textlink="">
      <xdr:nvSpPr>
        <xdr:cNvPr id="13" name="Shape 13">
          <a:hlinkClick xmlns:r="http://schemas.openxmlformats.org/officeDocument/2006/relationships" r:id="rId2"/>
          <a:extLst>
            <a:ext uri="{FF2B5EF4-FFF2-40B4-BE49-F238E27FC236}">
              <a16:creationId xmlns:a16="http://schemas.microsoft.com/office/drawing/2014/main" id="{00000000-0008-0000-0300-00000D000000}"/>
            </a:ext>
          </a:extLst>
        </xdr:cNvPr>
        <xdr:cNvSpPr/>
      </xdr:nvSpPr>
      <xdr:spPr>
        <a:xfrm>
          <a:off x="4341113" y="3537113"/>
          <a:ext cx="2009775" cy="4857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9</xdr:col>
      <xdr:colOff>0</xdr:colOff>
      <xdr:row>5</xdr:row>
      <xdr:rowOff>38100</xdr:rowOff>
    </xdr:from>
    <xdr:ext cx="2028825" cy="504825"/>
    <xdr:sp macro="" textlink="">
      <xdr:nvSpPr>
        <xdr:cNvPr id="14" name="Shape 14">
          <a:hlinkClick xmlns:r="http://schemas.openxmlformats.org/officeDocument/2006/relationships" r:id="rId1"/>
          <a:extLst>
            <a:ext uri="{FF2B5EF4-FFF2-40B4-BE49-F238E27FC236}">
              <a16:creationId xmlns:a16="http://schemas.microsoft.com/office/drawing/2014/main" id="{00000000-0008-0000-0400-00000E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9</xdr:col>
      <xdr:colOff>0</xdr:colOff>
      <xdr:row>1</xdr:row>
      <xdr:rowOff>57150</xdr:rowOff>
    </xdr:from>
    <xdr:ext cx="2028825" cy="504825"/>
    <xdr:sp macro="" textlink="">
      <xdr:nvSpPr>
        <xdr:cNvPr id="15" name="Shape 15">
          <a:hlinkClick xmlns:r="http://schemas.openxmlformats.org/officeDocument/2006/relationships" r:id="rId2"/>
          <a:extLst>
            <a:ext uri="{FF2B5EF4-FFF2-40B4-BE49-F238E27FC236}">
              <a16:creationId xmlns:a16="http://schemas.microsoft.com/office/drawing/2014/main" id="{00000000-0008-0000-0400-00000F000000}"/>
            </a:ext>
          </a:extLst>
        </xdr:cNvPr>
        <xdr:cNvSpPr/>
      </xdr:nvSpPr>
      <xdr:spPr>
        <a:xfrm>
          <a:off x="4341113" y="3537113"/>
          <a:ext cx="2009775" cy="4857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xdr:col>
      <xdr:colOff>76200</xdr:colOff>
      <xdr:row>2</xdr:row>
      <xdr:rowOff>104775</xdr:rowOff>
    </xdr:from>
    <xdr:ext cx="1905000" cy="942975"/>
    <xdr:grpSp>
      <xdr:nvGrpSpPr>
        <xdr:cNvPr id="2" name="Shape 2">
          <a:extLst>
            <a:ext uri="{FF2B5EF4-FFF2-40B4-BE49-F238E27FC236}">
              <a16:creationId xmlns:a16="http://schemas.microsoft.com/office/drawing/2014/main" id="{00000000-0008-0000-0400-000002000000}"/>
            </a:ext>
          </a:extLst>
        </xdr:cNvPr>
        <xdr:cNvGrpSpPr/>
      </xdr:nvGrpSpPr>
      <xdr:grpSpPr>
        <a:xfrm>
          <a:off x="428625" y="457200"/>
          <a:ext cx="1905000" cy="942975"/>
          <a:chOff x="4393500" y="3308513"/>
          <a:chExt cx="1905000" cy="942975"/>
        </a:xfrm>
      </xdr:grpSpPr>
      <xdr:grpSp>
        <xdr:nvGrpSpPr>
          <xdr:cNvPr id="16" name="Shape 16">
            <a:extLst>
              <a:ext uri="{FF2B5EF4-FFF2-40B4-BE49-F238E27FC236}">
                <a16:creationId xmlns:a16="http://schemas.microsoft.com/office/drawing/2014/main" id="{00000000-0008-0000-0400-000010000000}"/>
              </a:ext>
            </a:extLst>
          </xdr:cNvPr>
          <xdr:cNvGrpSpPr/>
        </xdr:nvGrpSpPr>
        <xdr:grpSpPr>
          <a:xfrm>
            <a:off x="4393500" y="3308513"/>
            <a:ext cx="1905000" cy="942975"/>
            <a:chOff x="1030163" y="840443"/>
            <a:chExt cx="2323757" cy="1165412"/>
          </a:xfrm>
        </xdr:grpSpPr>
        <xdr:sp macro="" textlink="">
          <xdr:nvSpPr>
            <xdr:cNvPr id="17" name="Shape 17">
              <a:extLst>
                <a:ext uri="{FF2B5EF4-FFF2-40B4-BE49-F238E27FC236}">
                  <a16:creationId xmlns:a16="http://schemas.microsoft.com/office/drawing/2014/main" id="{00000000-0008-0000-0400-000011000000}"/>
                </a:ext>
              </a:extLst>
            </xdr:cNvPr>
            <xdr:cNvSpPr/>
          </xdr:nvSpPr>
          <xdr:spPr>
            <a:xfrm>
              <a:off x="1030163" y="840443"/>
              <a:ext cx="2323750" cy="1165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8" name="Shape 18">
              <a:extLst>
                <a:ext uri="{FF2B5EF4-FFF2-40B4-BE49-F238E27FC236}">
                  <a16:creationId xmlns:a16="http://schemas.microsoft.com/office/drawing/2014/main" id="{00000000-0008-0000-0400-000012000000}"/>
                </a:ext>
              </a:extLst>
            </xdr:cNvPr>
            <xdr:cNvPicPr preferRelativeResize="0"/>
          </xdr:nvPicPr>
          <xdr:blipFill rotWithShape="1">
            <a:blip xmlns:r="http://schemas.openxmlformats.org/officeDocument/2006/relationships" r:embed="rId3">
              <a:alphaModFix/>
            </a:blip>
            <a:srcRect/>
            <a:stretch/>
          </xdr:blipFill>
          <xdr:spPr>
            <a:xfrm>
              <a:off x="1030163" y="840443"/>
              <a:ext cx="1055812" cy="1165412"/>
            </a:xfrm>
            <a:prstGeom prst="rect">
              <a:avLst/>
            </a:prstGeom>
            <a:noFill/>
            <a:ln>
              <a:noFill/>
            </a:ln>
          </xdr:spPr>
        </xdr:pic>
        <xdr:pic>
          <xdr:nvPicPr>
            <xdr:cNvPr id="19" name="Shape 19">
              <a:extLst>
                <a:ext uri="{FF2B5EF4-FFF2-40B4-BE49-F238E27FC236}">
                  <a16:creationId xmlns:a16="http://schemas.microsoft.com/office/drawing/2014/main" id="{00000000-0008-0000-0400-000013000000}"/>
                </a:ext>
              </a:extLst>
            </xdr:cNvPr>
            <xdr:cNvPicPr preferRelativeResize="0"/>
          </xdr:nvPicPr>
          <xdr:blipFill rotWithShape="1">
            <a:blip xmlns:r="http://schemas.openxmlformats.org/officeDocument/2006/relationships" r:embed="rId4">
              <a:alphaModFix/>
            </a:blip>
            <a:srcRect/>
            <a:stretch/>
          </xdr:blipFill>
          <xdr:spPr>
            <a:xfrm>
              <a:off x="2059818" y="1008530"/>
              <a:ext cx="1294102" cy="862853"/>
            </a:xfrm>
            <a:prstGeom prst="rect">
              <a:avLst/>
            </a:prstGeom>
            <a:noFill/>
            <a:ln>
              <a:noFill/>
            </a:ln>
          </xdr:spPr>
        </xdr:pic>
      </xdr:grpSp>
    </xdr:grpSp>
    <xdr:clientData fLocksWithSheet="0"/>
  </xdr:oneCellAnchor>
  <xdr:oneCellAnchor>
    <xdr:from>
      <xdr:col>9</xdr:col>
      <xdr:colOff>981075</xdr:colOff>
      <xdr:row>15</xdr:row>
      <xdr:rowOff>0</xdr:rowOff>
    </xdr:from>
    <xdr:ext cx="1924050" cy="290512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695325</xdr:colOff>
      <xdr:row>40</xdr:row>
      <xdr:rowOff>114300</xdr:rowOff>
    </xdr:from>
    <xdr:ext cx="3638550" cy="2190750"/>
    <xdr:pic>
      <xdr:nvPicPr>
        <xdr:cNvPr id="4" name="image3.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9</xdr:col>
      <xdr:colOff>47625</xdr:colOff>
      <xdr:row>60</xdr:row>
      <xdr:rowOff>19050</xdr:rowOff>
    </xdr:from>
    <xdr:ext cx="3152775" cy="2971800"/>
    <xdr:pic>
      <xdr:nvPicPr>
        <xdr:cNvPr id="5" name="image1.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57150</xdr:colOff>
      <xdr:row>4</xdr:row>
      <xdr:rowOff>123825</xdr:rowOff>
    </xdr:from>
    <xdr:ext cx="2028825" cy="504825"/>
    <xdr:sp macro="" textlink="">
      <xdr:nvSpPr>
        <xdr:cNvPr id="20" name="Shape 20">
          <a:hlinkClick xmlns:r="http://schemas.openxmlformats.org/officeDocument/2006/relationships" r:id="rId1"/>
          <a:extLst>
            <a:ext uri="{FF2B5EF4-FFF2-40B4-BE49-F238E27FC236}">
              <a16:creationId xmlns:a16="http://schemas.microsoft.com/office/drawing/2014/main" id="{00000000-0008-0000-0500-000014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8</xdr:col>
      <xdr:colOff>47625</xdr:colOff>
      <xdr:row>2</xdr:row>
      <xdr:rowOff>19050</xdr:rowOff>
    </xdr:from>
    <xdr:ext cx="2028825" cy="504825"/>
    <xdr:sp macro="" textlink="">
      <xdr:nvSpPr>
        <xdr:cNvPr id="21" name="Shape 21">
          <a:hlinkClick xmlns:r="http://schemas.openxmlformats.org/officeDocument/2006/relationships" r:id="rId2"/>
          <a:extLst>
            <a:ext uri="{FF2B5EF4-FFF2-40B4-BE49-F238E27FC236}">
              <a16:creationId xmlns:a16="http://schemas.microsoft.com/office/drawing/2014/main" id="{00000000-0008-0000-0500-000015000000}"/>
            </a:ext>
          </a:extLst>
        </xdr:cNvPr>
        <xdr:cNvSpPr/>
      </xdr:nvSpPr>
      <xdr:spPr>
        <a:xfrm>
          <a:off x="4341113" y="3537113"/>
          <a:ext cx="2009775" cy="4857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12</xdr:col>
      <xdr:colOff>219075</xdr:colOff>
      <xdr:row>5</xdr:row>
      <xdr:rowOff>0</xdr:rowOff>
    </xdr:from>
    <xdr:ext cx="2028825" cy="504825"/>
    <xdr:sp macro="" textlink="">
      <xdr:nvSpPr>
        <xdr:cNvPr id="22" name="Shape 22">
          <a:hlinkClick xmlns:r="http://schemas.openxmlformats.org/officeDocument/2006/relationships" r:id="rId1"/>
          <a:extLst>
            <a:ext uri="{FF2B5EF4-FFF2-40B4-BE49-F238E27FC236}">
              <a16:creationId xmlns:a16="http://schemas.microsoft.com/office/drawing/2014/main" id="{00000000-0008-0000-0600-000016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12</xdr:col>
      <xdr:colOff>219075</xdr:colOff>
      <xdr:row>1</xdr:row>
      <xdr:rowOff>85725</xdr:rowOff>
    </xdr:from>
    <xdr:ext cx="2028825" cy="504825"/>
    <xdr:sp macro="" textlink="">
      <xdr:nvSpPr>
        <xdr:cNvPr id="23" name="Shape 23">
          <a:hlinkClick xmlns:r="http://schemas.openxmlformats.org/officeDocument/2006/relationships" r:id="rId2"/>
          <a:extLst>
            <a:ext uri="{FF2B5EF4-FFF2-40B4-BE49-F238E27FC236}">
              <a16:creationId xmlns:a16="http://schemas.microsoft.com/office/drawing/2014/main" id="{00000000-0008-0000-0600-000017000000}"/>
            </a:ext>
          </a:extLst>
        </xdr:cNvPr>
        <xdr:cNvSpPr/>
      </xdr:nvSpPr>
      <xdr:spPr>
        <a:xfrm>
          <a:off x="4341113" y="3537113"/>
          <a:ext cx="2009775" cy="485775"/>
        </a:xfrm>
        <a:prstGeom prst="roundRect">
          <a:avLst>
            <a:gd name="adj" fmla="val 16667"/>
          </a:avLst>
        </a:prstGeom>
        <a:solidFill>
          <a:srgbClr val="C59EE2"/>
        </a:solidFill>
        <a:ln w="25400" cap="flat" cmpd="sng">
          <a:solidFill>
            <a:srgbClr val="7030A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 ACTIVIDADES</a:t>
          </a:r>
          <a:endParaRPr sz="1400"/>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11</xdr:col>
      <xdr:colOff>152400</xdr:colOff>
      <xdr:row>4</xdr:row>
      <xdr:rowOff>219075</xdr:rowOff>
    </xdr:from>
    <xdr:ext cx="2028825" cy="504825"/>
    <xdr:sp macro="" textlink="">
      <xdr:nvSpPr>
        <xdr:cNvPr id="24" name="Shape 24">
          <a:hlinkClick xmlns:r="http://schemas.openxmlformats.org/officeDocument/2006/relationships" r:id="rId1"/>
          <a:extLst>
            <a:ext uri="{FF2B5EF4-FFF2-40B4-BE49-F238E27FC236}">
              <a16:creationId xmlns:a16="http://schemas.microsoft.com/office/drawing/2014/main" id="{00000000-0008-0000-0700-000018000000}"/>
            </a:ext>
          </a:extLst>
        </xdr:cNvPr>
        <xdr:cNvSpPr/>
      </xdr:nvSpPr>
      <xdr:spPr>
        <a:xfrm>
          <a:off x="4341113" y="3537113"/>
          <a:ext cx="2009775" cy="485775"/>
        </a:xfrm>
        <a:prstGeom prst="roundRect">
          <a:avLst>
            <a:gd name="adj" fmla="val 16667"/>
          </a:avLst>
        </a:prstGeom>
        <a:solidFill>
          <a:srgbClr val="BBD6EE"/>
        </a:solidFill>
        <a:ln w="25400" cap="flat" cmpd="sng">
          <a:solidFill>
            <a:srgbClr val="0070C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rgbClr val="000000"/>
              </a:solidFill>
              <a:latin typeface="Arial"/>
              <a:ea typeface="Arial"/>
              <a:cs typeface="Arial"/>
              <a:sym typeface="Arial"/>
            </a:rPr>
            <a:t>IR A MENÚ</a:t>
          </a:r>
          <a:endParaRPr sz="1400">
            <a:solidFill>
              <a:srgbClr val="000000"/>
            </a:solidFill>
          </a:endParaRPr>
        </a:p>
      </xdr:txBody>
    </xdr:sp>
    <xdr:clientData fLocksWithSheet="0"/>
  </xdr:oneCellAnchor>
  <xdr:oneCellAnchor>
    <xdr:from>
      <xdr:col>11</xdr:col>
      <xdr:colOff>142875</xdr:colOff>
      <xdr:row>2</xdr:row>
      <xdr:rowOff>-9525</xdr:rowOff>
    </xdr:from>
    <xdr:ext cx="2028825" cy="504825"/>
    <xdr:sp macro="" textlink="">
      <xdr:nvSpPr>
        <xdr:cNvPr id="25" name="Shape 25">
          <a:hlinkClick xmlns:r="http://schemas.openxmlformats.org/officeDocument/2006/relationships" r:id="rId2"/>
          <a:extLst>
            <a:ext uri="{FF2B5EF4-FFF2-40B4-BE49-F238E27FC236}">
              <a16:creationId xmlns:a16="http://schemas.microsoft.com/office/drawing/2014/main" id="{00000000-0008-0000-0700-000019000000}"/>
            </a:ext>
          </a:extLst>
        </xdr:cNvPr>
        <xdr:cNvSpPr/>
      </xdr:nvSpPr>
      <xdr:spPr>
        <a:xfrm>
          <a:off x="4341113" y="3537113"/>
          <a:ext cx="2009775" cy="4857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12</xdr:col>
      <xdr:colOff>114300</xdr:colOff>
      <xdr:row>14</xdr:row>
      <xdr:rowOff>19050</xdr:rowOff>
    </xdr:from>
    <xdr:ext cx="1876425" cy="314325"/>
    <xdr:sp macro="" textlink="">
      <xdr:nvSpPr>
        <xdr:cNvPr id="26" name="Shape 26">
          <a:hlinkClick xmlns:r="http://schemas.openxmlformats.org/officeDocument/2006/relationships" r:id="rId1"/>
          <a:extLst>
            <a:ext uri="{FF2B5EF4-FFF2-40B4-BE49-F238E27FC236}">
              <a16:creationId xmlns:a16="http://schemas.microsoft.com/office/drawing/2014/main" id="{00000000-0008-0000-0800-00001A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96</xdr:row>
      <xdr:rowOff>19050</xdr:rowOff>
    </xdr:from>
    <xdr:ext cx="1876425" cy="314325"/>
    <xdr:sp macro="" textlink="">
      <xdr:nvSpPr>
        <xdr:cNvPr id="27" name="Shape 27">
          <a:hlinkClick xmlns:r="http://schemas.openxmlformats.org/officeDocument/2006/relationships" r:id="rId1"/>
          <a:extLst>
            <a:ext uri="{FF2B5EF4-FFF2-40B4-BE49-F238E27FC236}">
              <a16:creationId xmlns:a16="http://schemas.microsoft.com/office/drawing/2014/main" id="{00000000-0008-0000-0800-00001B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262</xdr:row>
      <xdr:rowOff>19050</xdr:rowOff>
    </xdr:from>
    <xdr:ext cx="1876425" cy="314325"/>
    <xdr:sp macro="" textlink="">
      <xdr:nvSpPr>
        <xdr:cNvPr id="28" name="Shape 28">
          <a:hlinkClick xmlns:r="http://schemas.openxmlformats.org/officeDocument/2006/relationships" r:id="rId1"/>
          <a:extLst>
            <a:ext uri="{FF2B5EF4-FFF2-40B4-BE49-F238E27FC236}">
              <a16:creationId xmlns:a16="http://schemas.microsoft.com/office/drawing/2014/main" id="{00000000-0008-0000-0800-00001C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344</xdr:row>
      <xdr:rowOff>19050</xdr:rowOff>
    </xdr:from>
    <xdr:ext cx="1876425" cy="314325"/>
    <xdr:sp macro="" textlink="">
      <xdr:nvSpPr>
        <xdr:cNvPr id="29" name="Shape 29">
          <a:hlinkClick xmlns:r="http://schemas.openxmlformats.org/officeDocument/2006/relationships" r:id="rId1"/>
          <a:extLst>
            <a:ext uri="{FF2B5EF4-FFF2-40B4-BE49-F238E27FC236}">
              <a16:creationId xmlns:a16="http://schemas.microsoft.com/office/drawing/2014/main" id="{00000000-0008-0000-0800-00001D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426</xdr:row>
      <xdr:rowOff>19050</xdr:rowOff>
    </xdr:from>
    <xdr:ext cx="1876425" cy="314325"/>
    <xdr:sp macro="" textlink="">
      <xdr:nvSpPr>
        <xdr:cNvPr id="30" name="Shape 30">
          <a:hlinkClick xmlns:r="http://schemas.openxmlformats.org/officeDocument/2006/relationships" r:id="rId1"/>
          <a:extLst>
            <a:ext uri="{FF2B5EF4-FFF2-40B4-BE49-F238E27FC236}">
              <a16:creationId xmlns:a16="http://schemas.microsoft.com/office/drawing/2014/main" id="{00000000-0008-0000-0800-00001E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510</xdr:row>
      <xdr:rowOff>19050</xdr:rowOff>
    </xdr:from>
    <xdr:ext cx="1876425" cy="314325"/>
    <xdr:sp macro="" textlink="">
      <xdr:nvSpPr>
        <xdr:cNvPr id="31" name="Shape 31">
          <a:hlinkClick xmlns:r="http://schemas.openxmlformats.org/officeDocument/2006/relationships" r:id="rId1"/>
          <a:extLst>
            <a:ext uri="{FF2B5EF4-FFF2-40B4-BE49-F238E27FC236}">
              <a16:creationId xmlns:a16="http://schemas.microsoft.com/office/drawing/2014/main" id="{00000000-0008-0000-0800-00001F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592</xdr:row>
      <xdr:rowOff>19050</xdr:rowOff>
    </xdr:from>
    <xdr:ext cx="1876425" cy="314325"/>
    <xdr:sp macro="" textlink="">
      <xdr:nvSpPr>
        <xdr:cNvPr id="32" name="Shape 32">
          <a:hlinkClick xmlns:r="http://schemas.openxmlformats.org/officeDocument/2006/relationships" r:id="rId1"/>
          <a:extLst>
            <a:ext uri="{FF2B5EF4-FFF2-40B4-BE49-F238E27FC236}">
              <a16:creationId xmlns:a16="http://schemas.microsoft.com/office/drawing/2014/main" id="{00000000-0008-0000-0800-000020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674</xdr:row>
      <xdr:rowOff>19050</xdr:rowOff>
    </xdr:from>
    <xdr:ext cx="1876425" cy="314325"/>
    <xdr:sp macro="" textlink="">
      <xdr:nvSpPr>
        <xdr:cNvPr id="33" name="Shape 33">
          <a:hlinkClick xmlns:r="http://schemas.openxmlformats.org/officeDocument/2006/relationships" r:id="rId1"/>
          <a:extLst>
            <a:ext uri="{FF2B5EF4-FFF2-40B4-BE49-F238E27FC236}">
              <a16:creationId xmlns:a16="http://schemas.microsoft.com/office/drawing/2014/main" id="{00000000-0008-0000-0800-000021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756</xdr:row>
      <xdr:rowOff>19050</xdr:rowOff>
    </xdr:from>
    <xdr:ext cx="1876425" cy="314325"/>
    <xdr:sp macro="" textlink="">
      <xdr:nvSpPr>
        <xdr:cNvPr id="34" name="Shape 34">
          <a:hlinkClick xmlns:r="http://schemas.openxmlformats.org/officeDocument/2006/relationships" r:id="rId1"/>
          <a:extLst>
            <a:ext uri="{FF2B5EF4-FFF2-40B4-BE49-F238E27FC236}">
              <a16:creationId xmlns:a16="http://schemas.microsoft.com/office/drawing/2014/main" id="{00000000-0008-0000-0800-000022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838</xdr:row>
      <xdr:rowOff>19050</xdr:rowOff>
    </xdr:from>
    <xdr:ext cx="1876425" cy="314325"/>
    <xdr:sp macro="" textlink="">
      <xdr:nvSpPr>
        <xdr:cNvPr id="35" name="Shape 35">
          <a:hlinkClick xmlns:r="http://schemas.openxmlformats.org/officeDocument/2006/relationships" r:id="rId1"/>
          <a:extLst>
            <a:ext uri="{FF2B5EF4-FFF2-40B4-BE49-F238E27FC236}">
              <a16:creationId xmlns:a16="http://schemas.microsoft.com/office/drawing/2014/main" id="{00000000-0008-0000-0800-000023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920</xdr:row>
      <xdr:rowOff>19050</xdr:rowOff>
    </xdr:from>
    <xdr:ext cx="1876425" cy="314325"/>
    <xdr:sp macro="" textlink="">
      <xdr:nvSpPr>
        <xdr:cNvPr id="36" name="Shape 36">
          <a:hlinkClick xmlns:r="http://schemas.openxmlformats.org/officeDocument/2006/relationships" r:id="rId1"/>
          <a:extLst>
            <a:ext uri="{FF2B5EF4-FFF2-40B4-BE49-F238E27FC236}">
              <a16:creationId xmlns:a16="http://schemas.microsoft.com/office/drawing/2014/main" id="{00000000-0008-0000-0800-000024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1002</xdr:row>
      <xdr:rowOff>19050</xdr:rowOff>
    </xdr:from>
    <xdr:ext cx="1876425" cy="314325"/>
    <xdr:sp macro="" textlink="">
      <xdr:nvSpPr>
        <xdr:cNvPr id="37" name="Shape 37">
          <a:hlinkClick xmlns:r="http://schemas.openxmlformats.org/officeDocument/2006/relationships" r:id="rId1"/>
          <a:extLst>
            <a:ext uri="{FF2B5EF4-FFF2-40B4-BE49-F238E27FC236}">
              <a16:creationId xmlns:a16="http://schemas.microsoft.com/office/drawing/2014/main" id="{00000000-0008-0000-0800-000025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1084</xdr:row>
      <xdr:rowOff>19050</xdr:rowOff>
    </xdr:from>
    <xdr:ext cx="1876425" cy="314325"/>
    <xdr:sp macro="" textlink="">
      <xdr:nvSpPr>
        <xdr:cNvPr id="38" name="Shape 38">
          <a:hlinkClick xmlns:r="http://schemas.openxmlformats.org/officeDocument/2006/relationships" r:id="rId1"/>
          <a:extLst>
            <a:ext uri="{FF2B5EF4-FFF2-40B4-BE49-F238E27FC236}">
              <a16:creationId xmlns:a16="http://schemas.microsoft.com/office/drawing/2014/main" id="{00000000-0008-0000-0800-000026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178</xdr:row>
      <xdr:rowOff>19050</xdr:rowOff>
    </xdr:from>
    <xdr:ext cx="1876425" cy="314325"/>
    <xdr:sp macro="" textlink="">
      <xdr:nvSpPr>
        <xdr:cNvPr id="42" name="Shape 42">
          <a:hlinkClick xmlns:r="http://schemas.openxmlformats.org/officeDocument/2006/relationships" r:id="rId1"/>
          <a:extLst>
            <a:ext uri="{FF2B5EF4-FFF2-40B4-BE49-F238E27FC236}">
              <a16:creationId xmlns:a16="http://schemas.microsoft.com/office/drawing/2014/main" id="{00000000-0008-0000-0800-00002A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15</xdr:col>
      <xdr:colOff>742950</xdr:colOff>
      <xdr:row>270</xdr:row>
      <xdr:rowOff>152400</xdr:rowOff>
    </xdr:from>
    <xdr:ext cx="6734175" cy="4295775"/>
    <xdr:pic>
      <xdr:nvPicPr>
        <xdr:cNvPr id="3" name="image4.pn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15</xdr:col>
      <xdr:colOff>409575</xdr:colOff>
      <xdr:row>23</xdr:row>
      <xdr:rowOff>85725</xdr:rowOff>
    </xdr:from>
    <xdr:ext cx="9601200" cy="2428875"/>
    <xdr:pic>
      <xdr:nvPicPr>
        <xdr:cNvPr id="4" name="image5.png">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15</xdr:col>
      <xdr:colOff>409575</xdr:colOff>
      <xdr:row>99</xdr:row>
      <xdr:rowOff>28575</xdr:rowOff>
    </xdr:from>
    <xdr:ext cx="9591675" cy="2428875"/>
    <xdr:pic>
      <xdr:nvPicPr>
        <xdr:cNvPr id="5" name="image5.png">
          <a:extLst>
            <a:ext uri="{FF2B5EF4-FFF2-40B4-BE49-F238E27FC236}">
              <a16:creationId xmlns:a16="http://schemas.microsoft.com/office/drawing/2014/main" id="{00000000-0008-0000-08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15</xdr:col>
      <xdr:colOff>276225</xdr:colOff>
      <xdr:row>1014</xdr:row>
      <xdr:rowOff>9525</xdr:rowOff>
    </xdr:from>
    <xdr:ext cx="9591675" cy="2428875"/>
    <xdr:pic>
      <xdr:nvPicPr>
        <xdr:cNvPr id="6" name="image5.png">
          <a:extLst>
            <a:ext uri="{FF2B5EF4-FFF2-40B4-BE49-F238E27FC236}">
              <a16:creationId xmlns:a16="http://schemas.microsoft.com/office/drawing/2014/main" id="{00000000-0008-0000-08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15</xdr:col>
      <xdr:colOff>781050</xdr:colOff>
      <xdr:row>166</xdr:row>
      <xdr:rowOff>0</xdr:rowOff>
    </xdr:from>
    <xdr:ext cx="6734175" cy="4295775"/>
    <xdr:pic>
      <xdr:nvPicPr>
        <xdr:cNvPr id="7" name="image4.png">
          <a:extLst>
            <a:ext uri="{FF2B5EF4-FFF2-40B4-BE49-F238E27FC236}">
              <a16:creationId xmlns:a16="http://schemas.microsoft.com/office/drawing/2014/main" id="{00000000-0008-0000-08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12</xdr:col>
      <xdr:colOff>114300</xdr:colOff>
      <xdr:row>12</xdr:row>
      <xdr:rowOff>19050</xdr:rowOff>
    </xdr:from>
    <xdr:ext cx="1876425" cy="314325"/>
    <xdr:sp macro="" textlink="">
      <xdr:nvSpPr>
        <xdr:cNvPr id="107" name="Shape 107">
          <a:hlinkClick xmlns:r="http://schemas.openxmlformats.org/officeDocument/2006/relationships" r:id="rId1"/>
          <a:extLst>
            <a:ext uri="{FF2B5EF4-FFF2-40B4-BE49-F238E27FC236}">
              <a16:creationId xmlns:a16="http://schemas.microsoft.com/office/drawing/2014/main" id="{00000000-0008-0000-0B00-00006B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98</xdr:row>
      <xdr:rowOff>19050</xdr:rowOff>
    </xdr:from>
    <xdr:ext cx="1876425" cy="314325"/>
    <xdr:sp macro="" textlink="">
      <xdr:nvSpPr>
        <xdr:cNvPr id="108" name="Shape 108">
          <a:hlinkClick xmlns:r="http://schemas.openxmlformats.org/officeDocument/2006/relationships" r:id="rId1"/>
          <a:extLst>
            <a:ext uri="{FF2B5EF4-FFF2-40B4-BE49-F238E27FC236}">
              <a16:creationId xmlns:a16="http://schemas.microsoft.com/office/drawing/2014/main" id="{00000000-0008-0000-0B00-00006C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183</xdr:row>
      <xdr:rowOff>19050</xdr:rowOff>
    </xdr:from>
    <xdr:ext cx="1876425" cy="314325"/>
    <xdr:sp macro="" textlink="">
      <xdr:nvSpPr>
        <xdr:cNvPr id="109" name="Shape 109">
          <a:hlinkClick xmlns:r="http://schemas.openxmlformats.org/officeDocument/2006/relationships" r:id="rId1"/>
          <a:extLst>
            <a:ext uri="{FF2B5EF4-FFF2-40B4-BE49-F238E27FC236}">
              <a16:creationId xmlns:a16="http://schemas.microsoft.com/office/drawing/2014/main" id="{00000000-0008-0000-0B00-00006D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268</xdr:row>
      <xdr:rowOff>19050</xdr:rowOff>
    </xdr:from>
    <xdr:ext cx="1876425" cy="314325"/>
    <xdr:sp macro="" textlink="">
      <xdr:nvSpPr>
        <xdr:cNvPr id="110" name="Shape 110">
          <a:hlinkClick xmlns:r="http://schemas.openxmlformats.org/officeDocument/2006/relationships" r:id="rId1"/>
          <a:extLst>
            <a:ext uri="{FF2B5EF4-FFF2-40B4-BE49-F238E27FC236}">
              <a16:creationId xmlns:a16="http://schemas.microsoft.com/office/drawing/2014/main" id="{00000000-0008-0000-0B00-00006E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353</xdr:row>
      <xdr:rowOff>19050</xdr:rowOff>
    </xdr:from>
    <xdr:ext cx="1876425" cy="314325"/>
    <xdr:sp macro="" textlink="">
      <xdr:nvSpPr>
        <xdr:cNvPr id="111" name="Shape 111">
          <a:hlinkClick xmlns:r="http://schemas.openxmlformats.org/officeDocument/2006/relationships" r:id="rId1"/>
          <a:extLst>
            <a:ext uri="{FF2B5EF4-FFF2-40B4-BE49-F238E27FC236}">
              <a16:creationId xmlns:a16="http://schemas.microsoft.com/office/drawing/2014/main" id="{00000000-0008-0000-0B00-00006F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438</xdr:row>
      <xdr:rowOff>19050</xdr:rowOff>
    </xdr:from>
    <xdr:ext cx="1876425" cy="314325"/>
    <xdr:sp macro="" textlink="">
      <xdr:nvSpPr>
        <xdr:cNvPr id="112" name="Shape 112">
          <a:hlinkClick xmlns:r="http://schemas.openxmlformats.org/officeDocument/2006/relationships" r:id="rId1"/>
          <a:extLst>
            <a:ext uri="{FF2B5EF4-FFF2-40B4-BE49-F238E27FC236}">
              <a16:creationId xmlns:a16="http://schemas.microsoft.com/office/drawing/2014/main" id="{00000000-0008-0000-0B00-000070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523</xdr:row>
      <xdr:rowOff>19050</xdr:rowOff>
    </xdr:from>
    <xdr:ext cx="1876425" cy="314325"/>
    <xdr:sp macro="" textlink="">
      <xdr:nvSpPr>
        <xdr:cNvPr id="113" name="Shape 113">
          <a:hlinkClick xmlns:r="http://schemas.openxmlformats.org/officeDocument/2006/relationships" r:id="rId1"/>
          <a:extLst>
            <a:ext uri="{FF2B5EF4-FFF2-40B4-BE49-F238E27FC236}">
              <a16:creationId xmlns:a16="http://schemas.microsoft.com/office/drawing/2014/main" id="{00000000-0008-0000-0B00-000071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608</xdr:row>
      <xdr:rowOff>19050</xdr:rowOff>
    </xdr:from>
    <xdr:ext cx="1876425" cy="314325"/>
    <xdr:sp macro="" textlink="">
      <xdr:nvSpPr>
        <xdr:cNvPr id="114" name="Shape 114">
          <a:hlinkClick xmlns:r="http://schemas.openxmlformats.org/officeDocument/2006/relationships" r:id="rId1"/>
          <a:extLst>
            <a:ext uri="{FF2B5EF4-FFF2-40B4-BE49-F238E27FC236}">
              <a16:creationId xmlns:a16="http://schemas.microsoft.com/office/drawing/2014/main" id="{00000000-0008-0000-0B00-000072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693</xdr:row>
      <xdr:rowOff>19050</xdr:rowOff>
    </xdr:from>
    <xdr:ext cx="1876425" cy="314325"/>
    <xdr:sp macro="" textlink="">
      <xdr:nvSpPr>
        <xdr:cNvPr id="115" name="Shape 115">
          <a:hlinkClick xmlns:r="http://schemas.openxmlformats.org/officeDocument/2006/relationships" r:id="rId1"/>
          <a:extLst>
            <a:ext uri="{FF2B5EF4-FFF2-40B4-BE49-F238E27FC236}">
              <a16:creationId xmlns:a16="http://schemas.microsoft.com/office/drawing/2014/main" id="{00000000-0008-0000-0B00-000073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778</xdr:row>
      <xdr:rowOff>19050</xdr:rowOff>
    </xdr:from>
    <xdr:ext cx="1876425" cy="314325"/>
    <xdr:sp macro="" textlink="">
      <xdr:nvSpPr>
        <xdr:cNvPr id="116" name="Shape 116">
          <a:hlinkClick xmlns:r="http://schemas.openxmlformats.org/officeDocument/2006/relationships" r:id="rId1"/>
          <a:extLst>
            <a:ext uri="{FF2B5EF4-FFF2-40B4-BE49-F238E27FC236}">
              <a16:creationId xmlns:a16="http://schemas.microsoft.com/office/drawing/2014/main" id="{00000000-0008-0000-0B00-000074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863</xdr:row>
      <xdr:rowOff>19050</xdr:rowOff>
    </xdr:from>
    <xdr:ext cx="1876425" cy="314325"/>
    <xdr:sp macro="" textlink="">
      <xdr:nvSpPr>
        <xdr:cNvPr id="117" name="Shape 117">
          <a:hlinkClick xmlns:r="http://schemas.openxmlformats.org/officeDocument/2006/relationships" r:id="rId1"/>
          <a:extLst>
            <a:ext uri="{FF2B5EF4-FFF2-40B4-BE49-F238E27FC236}">
              <a16:creationId xmlns:a16="http://schemas.microsoft.com/office/drawing/2014/main" id="{00000000-0008-0000-0B00-000075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948</xdr:row>
      <xdr:rowOff>19050</xdr:rowOff>
    </xdr:from>
    <xdr:ext cx="1876425" cy="314325"/>
    <xdr:sp macro="" textlink="">
      <xdr:nvSpPr>
        <xdr:cNvPr id="118" name="Shape 118">
          <a:hlinkClick xmlns:r="http://schemas.openxmlformats.org/officeDocument/2006/relationships" r:id="rId1"/>
          <a:extLst>
            <a:ext uri="{FF2B5EF4-FFF2-40B4-BE49-F238E27FC236}">
              <a16:creationId xmlns:a16="http://schemas.microsoft.com/office/drawing/2014/main" id="{00000000-0008-0000-0B00-000076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1033</xdr:row>
      <xdr:rowOff>19050</xdr:rowOff>
    </xdr:from>
    <xdr:ext cx="1876425" cy="314325"/>
    <xdr:sp macro="" textlink="">
      <xdr:nvSpPr>
        <xdr:cNvPr id="119" name="Shape 119">
          <a:hlinkClick xmlns:r="http://schemas.openxmlformats.org/officeDocument/2006/relationships" r:id="rId1"/>
          <a:extLst>
            <a:ext uri="{FF2B5EF4-FFF2-40B4-BE49-F238E27FC236}">
              <a16:creationId xmlns:a16="http://schemas.microsoft.com/office/drawing/2014/main" id="{00000000-0008-0000-0B00-000077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1118</xdr:row>
      <xdr:rowOff>19050</xdr:rowOff>
    </xdr:from>
    <xdr:ext cx="1876425" cy="314325"/>
    <xdr:sp macro="" textlink="">
      <xdr:nvSpPr>
        <xdr:cNvPr id="120" name="Shape 120">
          <a:hlinkClick xmlns:r="http://schemas.openxmlformats.org/officeDocument/2006/relationships" r:id="rId1"/>
          <a:extLst>
            <a:ext uri="{FF2B5EF4-FFF2-40B4-BE49-F238E27FC236}">
              <a16:creationId xmlns:a16="http://schemas.microsoft.com/office/drawing/2014/main" id="{00000000-0008-0000-0B00-000078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1203</xdr:row>
      <xdr:rowOff>19050</xdr:rowOff>
    </xdr:from>
    <xdr:ext cx="1876425" cy="314325"/>
    <xdr:sp macro="" textlink="">
      <xdr:nvSpPr>
        <xdr:cNvPr id="121" name="Shape 121">
          <a:hlinkClick xmlns:r="http://schemas.openxmlformats.org/officeDocument/2006/relationships" r:id="rId1"/>
          <a:extLst>
            <a:ext uri="{FF2B5EF4-FFF2-40B4-BE49-F238E27FC236}">
              <a16:creationId xmlns:a16="http://schemas.microsoft.com/office/drawing/2014/main" id="{00000000-0008-0000-0B00-000079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1288</xdr:row>
      <xdr:rowOff>19050</xdr:rowOff>
    </xdr:from>
    <xdr:ext cx="1876425" cy="314325"/>
    <xdr:sp macro="" textlink="">
      <xdr:nvSpPr>
        <xdr:cNvPr id="122" name="Shape 122">
          <a:hlinkClick xmlns:r="http://schemas.openxmlformats.org/officeDocument/2006/relationships" r:id="rId1"/>
          <a:extLst>
            <a:ext uri="{FF2B5EF4-FFF2-40B4-BE49-F238E27FC236}">
              <a16:creationId xmlns:a16="http://schemas.microsoft.com/office/drawing/2014/main" id="{00000000-0008-0000-0B00-00007A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1373</xdr:row>
      <xdr:rowOff>19050</xdr:rowOff>
    </xdr:from>
    <xdr:ext cx="1876425" cy="314325"/>
    <xdr:sp macro="" textlink="">
      <xdr:nvSpPr>
        <xdr:cNvPr id="123" name="Shape 123">
          <a:hlinkClick xmlns:r="http://schemas.openxmlformats.org/officeDocument/2006/relationships" r:id="rId1"/>
          <a:extLst>
            <a:ext uri="{FF2B5EF4-FFF2-40B4-BE49-F238E27FC236}">
              <a16:creationId xmlns:a16="http://schemas.microsoft.com/office/drawing/2014/main" id="{00000000-0008-0000-0B00-00007B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1458</xdr:row>
      <xdr:rowOff>19050</xdr:rowOff>
    </xdr:from>
    <xdr:ext cx="1876425" cy="314325"/>
    <xdr:sp macro="" textlink="">
      <xdr:nvSpPr>
        <xdr:cNvPr id="124" name="Shape 124">
          <a:hlinkClick xmlns:r="http://schemas.openxmlformats.org/officeDocument/2006/relationships" r:id="rId1"/>
          <a:extLst>
            <a:ext uri="{FF2B5EF4-FFF2-40B4-BE49-F238E27FC236}">
              <a16:creationId xmlns:a16="http://schemas.microsoft.com/office/drawing/2014/main" id="{00000000-0008-0000-0B00-00007C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1543</xdr:row>
      <xdr:rowOff>19050</xdr:rowOff>
    </xdr:from>
    <xdr:ext cx="1876425" cy="314325"/>
    <xdr:sp macro="" textlink="">
      <xdr:nvSpPr>
        <xdr:cNvPr id="125" name="Shape 125">
          <a:hlinkClick xmlns:r="http://schemas.openxmlformats.org/officeDocument/2006/relationships" r:id="rId1"/>
          <a:extLst>
            <a:ext uri="{FF2B5EF4-FFF2-40B4-BE49-F238E27FC236}">
              <a16:creationId xmlns:a16="http://schemas.microsoft.com/office/drawing/2014/main" id="{00000000-0008-0000-0B00-00007D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1628</xdr:row>
      <xdr:rowOff>19050</xdr:rowOff>
    </xdr:from>
    <xdr:ext cx="1876425" cy="314325"/>
    <xdr:sp macro="" textlink="">
      <xdr:nvSpPr>
        <xdr:cNvPr id="126" name="Shape 126">
          <a:hlinkClick xmlns:r="http://schemas.openxmlformats.org/officeDocument/2006/relationships" r:id="rId1"/>
          <a:extLst>
            <a:ext uri="{FF2B5EF4-FFF2-40B4-BE49-F238E27FC236}">
              <a16:creationId xmlns:a16="http://schemas.microsoft.com/office/drawing/2014/main" id="{00000000-0008-0000-0B00-00007E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1713</xdr:row>
      <xdr:rowOff>19050</xdr:rowOff>
    </xdr:from>
    <xdr:ext cx="1876425" cy="314325"/>
    <xdr:sp macro="" textlink="">
      <xdr:nvSpPr>
        <xdr:cNvPr id="127" name="Shape 127">
          <a:hlinkClick xmlns:r="http://schemas.openxmlformats.org/officeDocument/2006/relationships" r:id="rId1"/>
          <a:extLst>
            <a:ext uri="{FF2B5EF4-FFF2-40B4-BE49-F238E27FC236}">
              <a16:creationId xmlns:a16="http://schemas.microsoft.com/office/drawing/2014/main" id="{00000000-0008-0000-0B00-00007F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1798</xdr:row>
      <xdr:rowOff>19050</xdr:rowOff>
    </xdr:from>
    <xdr:ext cx="1876425" cy="314325"/>
    <xdr:sp macro="" textlink="">
      <xdr:nvSpPr>
        <xdr:cNvPr id="128" name="Shape 128">
          <a:hlinkClick xmlns:r="http://schemas.openxmlformats.org/officeDocument/2006/relationships" r:id="rId1"/>
          <a:extLst>
            <a:ext uri="{FF2B5EF4-FFF2-40B4-BE49-F238E27FC236}">
              <a16:creationId xmlns:a16="http://schemas.microsoft.com/office/drawing/2014/main" id="{00000000-0008-0000-0B00-000080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oneCellAnchor>
    <xdr:from>
      <xdr:col>12</xdr:col>
      <xdr:colOff>114300</xdr:colOff>
      <xdr:row>1883</xdr:row>
      <xdr:rowOff>19050</xdr:rowOff>
    </xdr:from>
    <xdr:ext cx="1876425" cy="314325"/>
    <xdr:sp macro="" textlink="">
      <xdr:nvSpPr>
        <xdr:cNvPr id="129" name="Shape 129">
          <a:hlinkClick xmlns:r="http://schemas.openxmlformats.org/officeDocument/2006/relationships" r:id="rId1"/>
          <a:extLst>
            <a:ext uri="{FF2B5EF4-FFF2-40B4-BE49-F238E27FC236}">
              <a16:creationId xmlns:a16="http://schemas.microsoft.com/office/drawing/2014/main" id="{00000000-0008-0000-0B00-000081000000}"/>
            </a:ext>
          </a:extLst>
        </xdr:cNvPr>
        <xdr:cNvSpPr/>
      </xdr:nvSpPr>
      <xdr:spPr>
        <a:xfrm>
          <a:off x="4415912" y="3632363"/>
          <a:ext cx="1860176" cy="295275"/>
        </a:xfrm>
        <a:prstGeom prst="roundRect">
          <a:avLst>
            <a:gd name="adj" fmla="val 16667"/>
          </a:avLst>
        </a:prstGeom>
        <a:solidFill>
          <a:srgbClr val="C4E0B2"/>
        </a:solidFill>
        <a:ln w="25400" cap="flat" cmpd="sng">
          <a:solidFill>
            <a:srgbClr val="538135"/>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dk1"/>
            </a:buClr>
            <a:buSzPts val="1200"/>
            <a:buFont typeface="Arial"/>
            <a:buNone/>
          </a:pPr>
          <a:r>
            <a:rPr lang="en-US" sz="1200" b="1">
              <a:solidFill>
                <a:schemeClr val="dk1"/>
              </a:solidFill>
              <a:latin typeface="Arial"/>
              <a:ea typeface="Arial"/>
              <a:cs typeface="Arial"/>
              <a:sym typeface="Arial"/>
            </a:rPr>
            <a:t>IR AL PRESUPUESTO</a:t>
          </a:r>
          <a:endParaRPr sz="1400"/>
        </a:p>
      </xdr:txBody>
    </xdr:sp>
    <xdr:clientData fLocksWithSheet="0"/>
  </xdr:oneCellAnchor>
</xdr:wsDr>
</file>

<file path=xl/drawings/drawing11.xml><?xml version="1.0" encoding="utf-8"?>
<xdr:wsDr xmlns:xdr="http://schemas.openxmlformats.org/drawingml/2006/spreadsheetDrawing" xmlns:a="http://schemas.openxmlformats.org/drawingml/2006/main">
  <xdr:twoCellAnchor editAs="oneCell">
    <xdr:from>
      <xdr:col>6</xdr:col>
      <xdr:colOff>1567544</xdr:colOff>
      <xdr:row>125</xdr:row>
      <xdr:rowOff>217715</xdr:rowOff>
    </xdr:from>
    <xdr:to>
      <xdr:col>6</xdr:col>
      <xdr:colOff>3471609</xdr:colOff>
      <xdr:row>126</xdr:row>
      <xdr:rowOff>303777</xdr:rowOff>
    </xdr:to>
    <xdr:pic>
      <xdr:nvPicPr>
        <xdr:cNvPr id="2" name="Imagen 1">
          <a:extLst>
            <a:ext uri="{FF2B5EF4-FFF2-40B4-BE49-F238E27FC236}">
              <a16:creationId xmlns:a16="http://schemas.microsoft.com/office/drawing/2014/main" id="{B8AFCBD3-EFE6-4DA5-9996-F3D6C92BF7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19375" y="54157790"/>
          <a:ext cx="1904065" cy="89568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12</xdr:col>
      <xdr:colOff>123825</xdr:colOff>
      <xdr:row>18</xdr:row>
      <xdr:rowOff>133350</xdr:rowOff>
    </xdr:from>
    <xdr:ext cx="971550" cy="38100"/>
    <xdr:grpSp>
      <xdr:nvGrpSpPr>
        <xdr:cNvPr id="2" name="Shape 2">
          <a:extLst>
            <a:ext uri="{FF2B5EF4-FFF2-40B4-BE49-F238E27FC236}">
              <a16:creationId xmlns:a16="http://schemas.microsoft.com/office/drawing/2014/main" id="{00000000-0008-0000-0F00-000002000000}"/>
            </a:ext>
          </a:extLst>
        </xdr:cNvPr>
        <xdr:cNvGrpSpPr/>
      </xdr:nvGrpSpPr>
      <xdr:grpSpPr>
        <a:xfrm>
          <a:off x="10229850" y="4629150"/>
          <a:ext cx="971550" cy="38100"/>
          <a:chOff x="4860225" y="3780000"/>
          <a:chExt cx="971550" cy="0"/>
        </a:xfrm>
      </xdr:grpSpPr>
      <xdr:cxnSp macro="">
        <xdr:nvCxnSpPr>
          <xdr:cNvPr id="130" name="Shape 130">
            <a:extLst>
              <a:ext uri="{FF2B5EF4-FFF2-40B4-BE49-F238E27FC236}">
                <a16:creationId xmlns:a16="http://schemas.microsoft.com/office/drawing/2014/main" id="{00000000-0008-0000-0F00-000082000000}"/>
              </a:ext>
            </a:extLst>
          </xdr:cNvPr>
          <xdr:cNvCxnSpPr/>
        </xdr:nvCxnSpPr>
        <xdr:spPr>
          <a:xfrm>
            <a:off x="4860225" y="3780000"/>
            <a:ext cx="971550"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12</xdr:col>
      <xdr:colOff>104775</xdr:colOff>
      <xdr:row>18</xdr:row>
      <xdr:rowOff>152400</xdr:rowOff>
    </xdr:from>
    <xdr:ext cx="38100" cy="95250"/>
    <xdr:grpSp>
      <xdr:nvGrpSpPr>
        <xdr:cNvPr id="3" name="Shape 2">
          <a:extLst>
            <a:ext uri="{FF2B5EF4-FFF2-40B4-BE49-F238E27FC236}">
              <a16:creationId xmlns:a16="http://schemas.microsoft.com/office/drawing/2014/main" id="{00000000-0008-0000-0F00-000003000000}"/>
            </a:ext>
          </a:extLst>
        </xdr:cNvPr>
        <xdr:cNvGrpSpPr/>
      </xdr:nvGrpSpPr>
      <xdr:grpSpPr>
        <a:xfrm>
          <a:off x="10210800" y="4648200"/>
          <a:ext cx="38100" cy="95250"/>
          <a:chOff x="5346000" y="3732375"/>
          <a:chExt cx="0" cy="95250"/>
        </a:xfrm>
      </xdr:grpSpPr>
      <xdr:cxnSp macro="">
        <xdr:nvCxnSpPr>
          <xdr:cNvPr id="131" name="Shape 131">
            <a:extLst>
              <a:ext uri="{FF2B5EF4-FFF2-40B4-BE49-F238E27FC236}">
                <a16:creationId xmlns:a16="http://schemas.microsoft.com/office/drawing/2014/main" id="{00000000-0008-0000-0F00-000083000000}"/>
              </a:ext>
            </a:extLst>
          </xdr:cNvPr>
          <xdr:cNvCxnSpPr/>
        </xdr:nvCxnSpPr>
        <xdr:spPr>
          <a:xfrm>
            <a:off x="5346000" y="3732375"/>
            <a:ext cx="0" cy="9525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14</xdr:col>
      <xdr:colOff>485775</xdr:colOff>
      <xdr:row>18</xdr:row>
      <xdr:rowOff>57150</xdr:rowOff>
    </xdr:from>
    <xdr:ext cx="228600" cy="66675"/>
    <xdr:grpSp>
      <xdr:nvGrpSpPr>
        <xdr:cNvPr id="4" name="Shape 2">
          <a:extLst>
            <a:ext uri="{FF2B5EF4-FFF2-40B4-BE49-F238E27FC236}">
              <a16:creationId xmlns:a16="http://schemas.microsoft.com/office/drawing/2014/main" id="{00000000-0008-0000-0F00-000004000000}"/>
            </a:ext>
          </a:extLst>
        </xdr:cNvPr>
        <xdr:cNvGrpSpPr/>
      </xdr:nvGrpSpPr>
      <xdr:grpSpPr>
        <a:xfrm>
          <a:off x="12134850" y="4552950"/>
          <a:ext cx="228600" cy="66675"/>
          <a:chOff x="5236463" y="3751425"/>
          <a:chExt cx="219075" cy="57150"/>
        </a:xfrm>
      </xdr:grpSpPr>
      <xdr:cxnSp macro="">
        <xdr:nvCxnSpPr>
          <xdr:cNvPr id="132" name="Shape 132">
            <a:extLst>
              <a:ext uri="{FF2B5EF4-FFF2-40B4-BE49-F238E27FC236}">
                <a16:creationId xmlns:a16="http://schemas.microsoft.com/office/drawing/2014/main" id="{00000000-0008-0000-0F00-000084000000}"/>
              </a:ext>
            </a:extLst>
          </xdr:cNvPr>
          <xdr:cNvCxnSpPr/>
        </xdr:nvCxnSpPr>
        <xdr:spPr>
          <a:xfrm rot="10800000" flipH="1">
            <a:off x="5236463" y="3751425"/>
            <a:ext cx="219075" cy="5715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15</xdr:col>
      <xdr:colOff>19050</xdr:colOff>
      <xdr:row>18</xdr:row>
      <xdr:rowOff>57150</xdr:rowOff>
    </xdr:from>
    <xdr:ext cx="85725" cy="95250"/>
    <xdr:grpSp>
      <xdr:nvGrpSpPr>
        <xdr:cNvPr id="5" name="Shape 2">
          <a:extLst>
            <a:ext uri="{FF2B5EF4-FFF2-40B4-BE49-F238E27FC236}">
              <a16:creationId xmlns:a16="http://schemas.microsoft.com/office/drawing/2014/main" id="{00000000-0008-0000-0F00-000005000000}"/>
            </a:ext>
          </a:extLst>
        </xdr:cNvPr>
        <xdr:cNvGrpSpPr/>
      </xdr:nvGrpSpPr>
      <xdr:grpSpPr>
        <a:xfrm>
          <a:off x="12334875" y="4552950"/>
          <a:ext cx="85725" cy="95250"/>
          <a:chOff x="5307900" y="3737138"/>
          <a:chExt cx="76200" cy="85725"/>
        </a:xfrm>
      </xdr:grpSpPr>
      <xdr:cxnSp macro="">
        <xdr:nvCxnSpPr>
          <xdr:cNvPr id="133" name="Shape 133">
            <a:extLst>
              <a:ext uri="{FF2B5EF4-FFF2-40B4-BE49-F238E27FC236}">
                <a16:creationId xmlns:a16="http://schemas.microsoft.com/office/drawing/2014/main" id="{00000000-0008-0000-0F00-000085000000}"/>
              </a:ext>
            </a:extLst>
          </xdr:cNvPr>
          <xdr:cNvCxnSpPr/>
        </xdr:nvCxnSpPr>
        <xdr:spPr>
          <a:xfrm rot="10800000" flipH="1">
            <a:off x="5307900" y="3737138"/>
            <a:ext cx="76200" cy="85725"/>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14</xdr:col>
      <xdr:colOff>352425</xdr:colOff>
      <xdr:row>18</xdr:row>
      <xdr:rowOff>57150</xdr:rowOff>
    </xdr:from>
    <xdr:ext cx="409575" cy="238125"/>
    <xdr:sp macro="" textlink="">
      <xdr:nvSpPr>
        <xdr:cNvPr id="134" name="Shape 134">
          <a:extLst>
            <a:ext uri="{FF2B5EF4-FFF2-40B4-BE49-F238E27FC236}">
              <a16:creationId xmlns:a16="http://schemas.microsoft.com/office/drawing/2014/main" id="{00000000-0008-0000-0F00-000086000000}"/>
            </a:ext>
          </a:extLst>
        </xdr:cNvPr>
        <xdr:cNvSpPr/>
      </xdr:nvSpPr>
      <xdr:spPr>
        <a:xfrm>
          <a:off x="5150738" y="3665700"/>
          <a:ext cx="390525" cy="228600"/>
        </a:xfrm>
        <a:prstGeom prst="roundRect">
          <a:avLst>
            <a:gd name="adj" fmla="val 16667"/>
          </a:avLst>
        </a:prstGeom>
        <a:noFill/>
        <a:ln w="12700" cap="flat" cmpd="sng">
          <a:solidFill>
            <a:srgbClr val="000000"/>
          </a:solidFill>
          <a:prstDash val="solid"/>
          <a:miter lim="8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None/>
          </a:pPr>
          <a:endParaRPr sz="1100"/>
        </a:p>
      </xdr:txBody>
    </xdr:sp>
    <xdr:clientData fLocksWithSheet="0"/>
  </xdr:oneCellAnchor>
  <xdr:oneCellAnchor>
    <xdr:from>
      <xdr:col>12</xdr:col>
      <xdr:colOff>266700</xdr:colOff>
      <xdr:row>17</xdr:row>
      <xdr:rowOff>180975</xdr:rowOff>
    </xdr:from>
    <xdr:ext cx="180975" cy="219075"/>
    <xdr:sp macro="" textlink="">
      <xdr:nvSpPr>
        <xdr:cNvPr id="135" name="Shape 135">
          <a:extLst>
            <a:ext uri="{FF2B5EF4-FFF2-40B4-BE49-F238E27FC236}">
              <a16:creationId xmlns:a16="http://schemas.microsoft.com/office/drawing/2014/main" id="{00000000-0008-0000-0F00-000087000000}"/>
            </a:ext>
          </a:extLst>
        </xdr:cNvPr>
        <xdr:cNvSpPr txBox="1"/>
      </xdr:nvSpPr>
      <xdr:spPr>
        <a:xfrm>
          <a:off x="5257331" y="3671220"/>
          <a:ext cx="177339" cy="217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clientData fLocksWithSheet="0"/>
  </xdr:oneCellAnchor>
  <xdr:oneCellAnchor>
    <xdr:from>
      <xdr:col>12</xdr:col>
      <xdr:colOff>76200</xdr:colOff>
      <xdr:row>18</xdr:row>
      <xdr:rowOff>114300</xdr:rowOff>
    </xdr:from>
    <xdr:ext cx="266700" cy="161925"/>
    <xdr:sp macro="" textlink="">
      <xdr:nvSpPr>
        <xdr:cNvPr id="136" name="Shape 136">
          <a:extLst>
            <a:ext uri="{FF2B5EF4-FFF2-40B4-BE49-F238E27FC236}">
              <a16:creationId xmlns:a16="http://schemas.microsoft.com/office/drawing/2014/main" id="{00000000-0008-0000-0F00-000088000000}"/>
            </a:ext>
          </a:extLst>
        </xdr:cNvPr>
        <xdr:cNvSpPr txBox="1"/>
      </xdr:nvSpPr>
      <xdr:spPr>
        <a:xfrm>
          <a:off x="5215887" y="3703416"/>
          <a:ext cx="260226" cy="153169"/>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13</xdr:col>
      <xdr:colOff>123825</xdr:colOff>
      <xdr:row>18</xdr:row>
      <xdr:rowOff>114300</xdr:rowOff>
    </xdr:from>
    <xdr:ext cx="219075" cy="228600"/>
    <xdr:sp macro="" textlink="">
      <xdr:nvSpPr>
        <xdr:cNvPr id="137" name="Shape 137">
          <a:extLst>
            <a:ext uri="{FF2B5EF4-FFF2-40B4-BE49-F238E27FC236}">
              <a16:creationId xmlns:a16="http://schemas.microsoft.com/office/drawing/2014/main" id="{00000000-0008-0000-0F00-000089000000}"/>
            </a:ext>
          </a:extLst>
        </xdr:cNvPr>
        <xdr:cNvSpPr txBox="1"/>
      </xdr:nvSpPr>
      <xdr:spPr>
        <a:xfrm>
          <a:off x="5238574" y="3667335"/>
          <a:ext cx="214853" cy="22533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14</xdr:col>
      <xdr:colOff>142875</xdr:colOff>
      <xdr:row>18</xdr:row>
      <xdr:rowOff>95250</xdr:rowOff>
    </xdr:from>
    <xdr:ext cx="266700" cy="228600"/>
    <xdr:sp macro="" textlink="">
      <xdr:nvSpPr>
        <xdr:cNvPr id="138" name="Shape 138">
          <a:extLst>
            <a:ext uri="{FF2B5EF4-FFF2-40B4-BE49-F238E27FC236}">
              <a16:creationId xmlns:a16="http://schemas.microsoft.com/office/drawing/2014/main" id="{00000000-0008-0000-0F00-00008A000000}"/>
            </a:ext>
          </a:extLst>
        </xdr:cNvPr>
        <xdr:cNvSpPr txBox="1"/>
      </xdr:nvSpPr>
      <xdr:spPr>
        <a:xfrm>
          <a:off x="5214923" y="3667469"/>
          <a:ext cx="262154" cy="22506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14</xdr:col>
      <xdr:colOff>333375</xdr:colOff>
      <xdr:row>19</xdr:row>
      <xdr:rowOff>38100</xdr:rowOff>
    </xdr:from>
    <xdr:ext cx="161925" cy="228600"/>
    <xdr:sp macro="" textlink="">
      <xdr:nvSpPr>
        <xdr:cNvPr id="139" name="Shape 139">
          <a:extLst>
            <a:ext uri="{FF2B5EF4-FFF2-40B4-BE49-F238E27FC236}">
              <a16:creationId xmlns:a16="http://schemas.microsoft.com/office/drawing/2014/main" id="{00000000-0008-0000-0F00-00008B000000}"/>
            </a:ext>
          </a:extLst>
        </xdr:cNvPr>
        <xdr:cNvSpPr txBox="1"/>
      </xdr:nvSpPr>
      <xdr:spPr>
        <a:xfrm>
          <a:off x="5267932" y="3667469"/>
          <a:ext cx="156136" cy="22506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clientData fLocksWithSheet="0"/>
  </xdr:oneCellAnchor>
  <xdr:oneCellAnchor>
    <xdr:from>
      <xdr:col>14</xdr:col>
      <xdr:colOff>333375</xdr:colOff>
      <xdr:row>18</xdr:row>
      <xdr:rowOff>47625</xdr:rowOff>
    </xdr:from>
    <xdr:ext cx="161925" cy="190500"/>
    <xdr:sp macro="" textlink="">
      <xdr:nvSpPr>
        <xdr:cNvPr id="140" name="Shape 140">
          <a:extLst>
            <a:ext uri="{FF2B5EF4-FFF2-40B4-BE49-F238E27FC236}">
              <a16:creationId xmlns:a16="http://schemas.microsoft.com/office/drawing/2014/main" id="{00000000-0008-0000-0F00-00008C000000}"/>
            </a:ext>
          </a:extLst>
        </xdr:cNvPr>
        <xdr:cNvSpPr txBox="1"/>
      </xdr:nvSpPr>
      <xdr:spPr>
        <a:xfrm>
          <a:off x="5266231" y="3689348"/>
          <a:ext cx="159539" cy="18130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C</a:t>
          </a:r>
          <a:endParaRPr sz="1400"/>
        </a:p>
      </xdr:txBody>
    </xdr:sp>
    <xdr:clientData fLocksWithSheet="0"/>
  </xdr:oneCellAnchor>
  <xdr:oneCellAnchor>
    <xdr:from>
      <xdr:col>17</xdr:col>
      <xdr:colOff>266700</xdr:colOff>
      <xdr:row>18</xdr:row>
      <xdr:rowOff>66675</xdr:rowOff>
    </xdr:from>
    <xdr:ext cx="323850" cy="238125"/>
    <xdr:grpSp>
      <xdr:nvGrpSpPr>
        <xdr:cNvPr id="6" name="Shape 2">
          <a:extLst>
            <a:ext uri="{FF2B5EF4-FFF2-40B4-BE49-F238E27FC236}">
              <a16:creationId xmlns:a16="http://schemas.microsoft.com/office/drawing/2014/main" id="{00000000-0008-0000-0F00-000006000000}"/>
            </a:ext>
          </a:extLst>
        </xdr:cNvPr>
        <xdr:cNvGrpSpPr/>
      </xdr:nvGrpSpPr>
      <xdr:grpSpPr>
        <a:xfrm>
          <a:off x="14125575" y="4562475"/>
          <a:ext cx="323850" cy="238125"/>
          <a:chOff x="5184075" y="3660938"/>
          <a:chExt cx="323850" cy="238125"/>
        </a:xfrm>
      </xdr:grpSpPr>
      <xdr:grpSp>
        <xdr:nvGrpSpPr>
          <xdr:cNvPr id="141" name="Shape 141">
            <a:extLst>
              <a:ext uri="{FF2B5EF4-FFF2-40B4-BE49-F238E27FC236}">
                <a16:creationId xmlns:a16="http://schemas.microsoft.com/office/drawing/2014/main" id="{00000000-0008-0000-0F00-00008D000000}"/>
              </a:ext>
            </a:extLst>
          </xdr:cNvPr>
          <xdr:cNvGrpSpPr/>
        </xdr:nvGrpSpPr>
        <xdr:grpSpPr>
          <a:xfrm>
            <a:off x="5184075" y="3660938"/>
            <a:ext cx="323850" cy="238125"/>
            <a:chOff x="10104120" y="1858242"/>
            <a:chExt cx="324275" cy="225062"/>
          </a:xfrm>
        </xdr:grpSpPr>
        <xdr:sp macro="" textlink="">
          <xdr:nvSpPr>
            <xdr:cNvPr id="17" name="Shape 17">
              <a:extLst>
                <a:ext uri="{FF2B5EF4-FFF2-40B4-BE49-F238E27FC236}">
                  <a16:creationId xmlns:a16="http://schemas.microsoft.com/office/drawing/2014/main" id="{00000000-0008-0000-0F00-000011000000}"/>
                </a:ext>
              </a:extLst>
            </xdr:cNvPr>
            <xdr:cNvSpPr/>
          </xdr:nvSpPr>
          <xdr:spPr>
            <a:xfrm>
              <a:off x="10104120" y="1858242"/>
              <a:ext cx="324275" cy="2250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142" name="Shape 142">
              <a:extLst>
                <a:ext uri="{FF2B5EF4-FFF2-40B4-BE49-F238E27FC236}">
                  <a16:creationId xmlns:a16="http://schemas.microsoft.com/office/drawing/2014/main" id="{00000000-0008-0000-0F00-00008E000000}"/>
                </a:ext>
              </a:extLst>
            </xdr:cNvPr>
            <xdr:cNvCxnSpPr/>
          </xdr:nvCxnSpPr>
          <xdr:spPr>
            <a:xfrm rot="10800000" flipH="1">
              <a:off x="10104120" y="2015136"/>
              <a:ext cx="324275" cy="2852"/>
            </a:xfrm>
            <a:prstGeom prst="straightConnector1">
              <a:avLst/>
            </a:prstGeom>
            <a:noFill/>
            <a:ln w="9525" cap="flat" cmpd="sng">
              <a:solidFill>
                <a:srgbClr val="000000"/>
              </a:solidFill>
              <a:prstDash val="solid"/>
              <a:miter lim="8000"/>
              <a:headEnd type="none" w="sm" len="sm"/>
              <a:tailEnd type="none" w="sm" len="sm"/>
            </a:ln>
          </xdr:spPr>
        </xdr:cxnSp>
        <xdr:sp macro="" textlink="">
          <xdr:nvSpPr>
            <xdr:cNvPr id="143" name="Shape 143">
              <a:extLst>
                <a:ext uri="{FF2B5EF4-FFF2-40B4-BE49-F238E27FC236}">
                  <a16:creationId xmlns:a16="http://schemas.microsoft.com/office/drawing/2014/main" id="{00000000-0008-0000-0F00-00008F000000}"/>
                </a:ext>
              </a:extLst>
            </xdr:cNvPr>
            <xdr:cNvSpPr txBox="1"/>
          </xdr:nvSpPr>
          <xdr:spPr>
            <a:xfrm>
              <a:off x="10104120" y="1858242"/>
              <a:ext cx="146886" cy="22506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grpSp>
    </xdr:grpSp>
    <xdr:clientData fLocksWithSheet="0"/>
  </xdr:oneCellAnchor>
  <xdr:oneCellAnchor>
    <xdr:from>
      <xdr:col>18</xdr:col>
      <xdr:colOff>314325</xdr:colOff>
      <xdr:row>19</xdr:row>
      <xdr:rowOff>19050</xdr:rowOff>
    </xdr:from>
    <xdr:ext cx="752475" cy="38100"/>
    <xdr:grpSp>
      <xdr:nvGrpSpPr>
        <xdr:cNvPr id="7" name="Shape 2">
          <a:extLst>
            <a:ext uri="{FF2B5EF4-FFF2-40B4-BE49-F238E27FC236}">
              <a16:creationId xmlns:a16="http://schemas.microsoft.com/office/drawing/2014/main" id="{00000000-0008-0000-0F00-000007000000}"/>
            </a:ext>
          </a:extLst>
        </xdr:cNvPr>
        <xdr:cNvGrpSpPr/>
      </xdr:nvGrpSpPr>
      <xdr:grpSpPr>
        <a:xfrm>
          <a:off x="15363825" y="4705350"/>
          <a:ext cx="752475" cy="38100"/>
          <a:chOff x="4969763" y="3780000"/>
          <a:chExt cx="752475" cy="0"/>
        </a:xfrm>
      </xdr:grpSpPr>
      <xdr:cxnSp macro="">
        <xdr:nvCxnSpPr>
          <xdr:cNvPr id="144" name="Shape 144">
            <a:extLst>
              <a:ext uri="{FF2B5EF4-FFF2-40B4-BE49-F238E27FC236}">
                <a16:creationId xmlns:a16="http://schemas.microsoft.com/office/drawing/2014/main" id="{00000000-0008-0000-0F00-000090000000}"/>
              </a:ext>
            </a:extLst>
          </xdr:cNvPr>
          <xdr:cNvCxnSpPr/>
        </xdr:nvCxnSpPr>
        <xdr:spPr>
          <a:xfrm>
            <a:off x="4969763" y="3780000"/>
            <a:ext cx="752475"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18</xdr:col>
      <xdr:colOff>295275</xdr:colOff>
      <xdr:row>18</xdr:row>
      <xdr:rowOff>114300</xdr:rowOff>
    </xdr:from>
    <xdr:ext cx="38100" cy="123825"/>
    <xdr:grpSp>
      <xdr:nvGrpSpPr>
        <xdr:cNvPr id="8" name="Shape 2">
          <a:extLst>
            <a:ext uri="{FF2B5EF4-FFF2-40B4-BE49-F238E27FC236}">
              <a16:creationId xmlns:a16="http://schemas.microsoft.com/office/drawing/2014/main" id="{00000000-0008-0000-0F00-000008000000}"/>
            </a:ext>
          </a:extLst>
        </xdr:cNvPr>
        <xdr:cNvGrpSpPr/>
      </xdr:nvGrpSpPr>
      <xdr:grpSpPr>
        <a:xfrm>
          <a:off x="15344775" y="4610100"/>
          <a:ext cx="38100" cy="123825"/>
          <a:chOff x="5284088" y="3780000"/>
          <a:chExt cx="123825" cy="0"/>
        </a:xfrm>
      </xdr:grpSpPr>
      <xdr:cxnSp macro="">
        <xdr:nvCxnSpPr>
          <xdr:cNvPr id="145" name="Shape 145">
            <a:extLst>
              <a:ext uri="{FF2B5EF4-FFF2-40B4-BE49-F238E27FC236}">
                <a16:creationId xmlns:a16="http://schemas.microsoft.com/office/drawing/2014/main" id="{00000000-0008-0000-0F00-000091000000}"/>
              </a:ext>
            </a:extLst>
          </xdr:cNvPr>
          <xdr:cNvCxnSpPr/>
        </xdr:nvCxnSpPr>
        <xdr:spPr>
          <a:xfrm rot="5400000">
            <a:off x="5284088" y="3780000"/>
            <a:ext cx="123825"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18</xdr:col>
      <xdr:colOff>457200</xdr:colOff>
      <xdr:row>18</xdr:row>
      <xdr:rowOff>47625</xdr:rowOff>
    </xdr:from>
    <xdr:ext cx="123825" cy="228600"/>
    <xdr:sp macro="" textlink="">
      <xdr:nvSpPr>
        <xdr:cNvPr id="146" name="Shape 146">
          <a:extLst>
            <a:ext uri="{FF2B5EF4-FFF2-40B4-BE49-F238E27FC236}">
              <a16:creationId xmlns:a16="http://schemas.microsoft.com/office/drawing/2014/main" id="{00000000-0008-0000-0F00-000092000000}"/>
            </a:ext>
          </a:extLst>
        </xdr:cNvPr>
        <xdr:cNvSpPr txBox="1"/>
      </xdr:nvSpPr>
      <xdr:spPr>
        <a:xfrm>
          <a:off x="5284153" y="3667469"/>
          <a:ext cx="123694" cy="22506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clientData fLocksWithSheet="0"/>
  </xdr:oneCellAnchor>
  <xdr:oneCellAnchor>
    <xdr:from>
      <xdr:col>18</xdr:col>
      <xdr:colOff>76200</xdr:colOff>
      <xdr:row>18</xdr:row>
      <xdr:rowOff>66675</xdr:rowOff>
    </xdr:from>
    <xdr:ext cx="285750" cy="228600"/>
    <xdr:sp macro="" textlink="">
      <xdr:nvSpPr>
        <xdr:cNvPr id="147" name="Shape 147">
          <a:extLst>
            <a:ext uri="{FF2B5EF4-FFF2-40B4-BE49-F238E27FC236}">
              <a16:creationId xmlns:a16="http://schemas.microsoft.com/office/drawing/2014/main" id="{00000000-0008-0000-0F00-000093000000}"/>
            </a:ext>
          </a:extLst>
        </xdr:cNvPr>
        <xdr:cNvSpPr txBox="1"/>
      </xdr:nvSpPr>
      <xdr:spPr>
        <a:xfrm>
          <a:off x="5203527" y="3667335"/>
          <a:ext cx="284946" cy="22533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20</xdr:col>
      <xdr:colOff>304800</xdr:colOff>
      <xdr:row>18</xdr:row>
      <xdr:rowOff>142875</xdr:rowOff>
    </xdr:from>
    <xdr:ext cx="171450" cy="219075"/>
    <xdr:sp macro="" textlink="">
      <xdr:nvSpPr>
        <xdr:cNvPr id="148" name="Shape 148">
          <a:extLst>
            <a:ext uri="{FF2B5EF4-FFF2-40B4-BE49-F238E27FC236}">
              <a16:creationId xmlns:a16="http://schemas.microsoft.com/office/drawing/2014/main" id="{00000000-0008-0000-0F00-000094000000}"/>
            </a:ext>
          </a:extLst>
        </xdr:cNvPr>
        <xdr:cNvSpPr txBox="1"/>
      </xdr:nvSpPr>
      <xdr:spPr>
        <a:xfrm>
          <a:off x="5261395" y="3671220"/>
          <a:ext cx="169211" cy="217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clientData fLocksWithSheet="0"/>
  </xdr:oneCellAnchor>
  <xdr:oneCellAnchor>
    <xdr:from>
      <xdr:col>20</xdr:col>
      <xdr:colOff>76200</xdr:colOff>
      <xdr:row>18</xdr:row>
      <xdr:rowOff>0</xdr:rowOff>
    </xdr:from>
    <xdr:ext cx="266700" cy="219075"/>
    <xdr:sp macro="" textlink="">
      <xdr:nvSpPr>
        <xdr:cNvPr id="149" name="Shape 149">
          <a:extLst>
            <a:ext uri="{FF2B5EF4-FFF2-40B4-BE49-F238E27FC236}">
              <a16:creationId xmlns:a16="http://schemas.microsoft.com/office/drawing/2014/main" id="{00000000-0008-0000-0F00-000095000000}"/>
            </a:ext>
          </a:extLst>
        </xdr:cNvPr>
        <xdr:cNvSpPr txBox="1"/>
      </xdr:nvSpPr>
      <xdr:spPr>
        <a:xfrm>
          <a:off x="5215979" y="3671220"/>
          <a:ext cx="260042" cy="217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21</xdr:col>
      <xdr:colOff>76200</xdr:colOff>
      <xdr:row>18</xdr:row>
      <xdr:rowOff>171450</xdr:rowOff>
    </xdr:from>
    <xdr:ext cx="276225" cy="219075"/>
    <xdr:sp macro="" textlink="">
      <xdr:nvSpPr>
        <xdr:cNvPr id="150" name="Shape 150">
          <a:extLst>
            <a:ext uri="{FF2B5EF4-FFF2-40B4-BE49-F238E27FC236}">
              <a16:creationId xmlns:a16="http://schemas.microsoft.com/office/drawing/2014/main" id="{00000000-0008-0000-0F00-000096000000}"/>
            </a:ext>
          </a:extLst>
        </xdr:cNvPr>
        <xdr:cNvSpPr txBox="1"/>
      </xdr:nvSpPr>
      <xdr:spPr>
        <a:xfrm>
          <a:off x="5208331" y="3671220"/>
          <a:ext cx="275338" cy="217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C</a:t>
          </a:r>
          <a:endParaRPr sz="1400"/>
        </a:p>
      </xdr:txBody>
    </xdr:sp>
    <xdr:clientData fLocksWithSheet="0"/>
  </xdr:oneCellAnchor>
  <xdr:oneCellAnchor>
    <xdr:from>
      <xdr:col>22</xdr:col>
      <xdr:colOff>276225</xdr:colOff>
      <xdr:row>19</xdr:row>
      <xdr:rowOff>19050</xdr:rowOff>
    </xdr:from>
    <xdr:ext cx="438150" cy="38100"/>
    <xdr:grpSp>
      <xdr:nvGrpSpPr>
        <xdr:cNvPr id="9" name="Shape 2">
          <a:extLst>
            <a:ext uri="{FF2B5EF4-FFF2-40B4-BE49-F238E27FC236}">
              <a16:creationId xmlns:a16="http://schemas.microsoft.com/office/drawing/2014/main" id="{00000000-0008-0000-0F00-000009000000}"/>
            </a:ext>
          </a:extLst>
        </xdr:cNvPr>
        <xdr:cNvGrpSpPr/>
      </xdr:nvGrpSpPr>
      <xdr:grpSpPr>
        <a:xfrm>
          <a:off x="18554700" y="4705350"/>
          <a:ext cx="438150" cy="38100"/>
          <a:chOff x="5126925" y="3780000"/>
          <a:chExt cx="438150" cy="0"/>
        </a:xfrm>
      </xdr:grpSpPr>
      <xdr:cxnSp macro="">
        <xdr:nvCxnSpPr>
          <xdr:cNvPr id="151" name="Shape 151">
            <a:extLst>
              <a:ext uri="{FF2B5EF4-FFF2-40B4-BE49-F238E27FC236}">
                <a16:creationId xmlns:a16="http://schemas.microsoft.com/office/drawing/2014/main" id="{00000000-0008-0000-0F00-000097000000}"/>
              </a:ext>
            </a:extLst>
          </xdr:cNvPr>
          <xdr:cNvCxnSpPr/>
        </xdr:nvCxnSpPr>
        <xdr:spPr>
          <a:xfrm>
            <a:off x="5126925" y="3780000"/>
            <a:ext cx="438150"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22</xdr:col>
      <xdr:colOff>266700</xdr:colOff>
      <xdr:row>19</xdr:row>
      <xdr:rowOff>0</xdr:rowOff>
    </xdr:from>
    <xdr:ext cx="38100" cy="38100"/>
    <xdr:grpSp>
      <xdr:nvGrpSpPr>
        <xdr:cNvPr id="10" name="Shape 2">
          <a:extLst>
            <a:ext uri="{FF2B5EF4-FFF2-40B4-BE49-F238E27FC236}">
              <a16:creationId xmlns:a16="http://schemas.microsoft.com/office/drawing/2014/main" id="{00000000-0008-0000-0F00-00000A000000}"/>
            </a:ext>
          </a:extLst>
        </xdr:cNvPr>
        <xdr:cNvGrpSpPr/>
      </xdr:nvGrpSpPr>
      <xdr:grpSpPr>
        <a:xfrm>
          <a:off x="18545175" y="4686300"/>
          <a:ext cx="38100" cy="38100"/>
          <a:chOff x="5326950" y="3780000"/>
          <a:chExt cx="38100" cy="0"/>
        </a:xfrm>
      </xdr:grpSpPr>
      <xdr:cxnSp macro="">
        <xdr:nvCxnSpPr>
          <xdr:cNvPr id="152" name="Shape 152">
            <a:extLst>
              <a:ext uri="{FF2B5EF4-FFF2-40B4-BE49-F238E27FC236}">
                <a16:creationId xmlns:a16="http://schemas.microsoft.com/office/drawing/2014/main" id="{00000000-0008-0000-0F00-000098000000}"/>
              </a:ext>
            </a:extLst>
          </xdr:cNvPr>
          <xdr:cNvCxnSpPr/>
        </xdr:nvCxnSpPr>
        <xdr:spPr>
          <a:xfrm rot="5400000">
            <a:off x="5326950" y="3780000"/>
            <a:ext cx="38100"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22</xdr:col>
      <xdr:colOff>371475</xdr:colOff>
      <xdr:row>19</xdr:row>
      <xdr:rowOff>0</xdr:rowOff>
    </xdr:from>
    <xdr:ext cx="257175" cy="228600"/>
    <xdr:sp macro="" textlink="">
      <xdr:nvSpPr>
        <xdr:cNvPr id="153" name="Shape 153">
          <a:extLst>
            <a:ext uri="{FF2B5EF4-FFF2-40B4-BE49-F238E27FC236}">
              <a16:creationId xmlns:a16="http://schemas.microsoft.com/office/drawing/2014/main" id="{00000000-0008-0000-0F00-000099000000}"/>
            </a:ext>
          </a:extLst>
        </xdr:cNvPr>
        <xdr:cNvSpPr txBox="1"/>
      </xdr:nvSpPr>
      <xdr:spPr>
        <a:xfrm>
          <a:off x="5220224" y="3670260"/>
          <a:ext cx="251553" cy="21948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clientData fLocksWithSheet="0"/>
  </xdr:oneCellAnchor>
  <xdr:oneCellAnchor>
    <xdr:from>
      <xdr:col>22</xdr:col>
      <xdr:colOff>200025</xdr:colOff>
      <xdr:row>18</xdr:row>
      <xdr:rowOff>57150</xdr:rowOff>
    </xdr:from>
    <xdr:ext cx="276225" cy="228600"/>
    <xdr:sp macro="" textlink="">
      <xdr:nvSpPr>
        <xdr:cNvPr id="154" name="Shape 154">
          <a:extLst>
            <a:ext uri="{FF2B5EF4-FFF2-40B4-BE49-F238E27FC236}">
              <a16:creationId xmlns:a16="http://schemas.microsoft.com/office/drawing/2014/main" id="{00000000-0008-0000-0F00-00009A000000}"/>
            </a:ext>
          </a:extLst>
        </xdr:cNvPr>
        <xdr:cNvSpPr txBox="1"/>
      </xdr:nvSpPr>
      <xdr:spPr>
        <a:xfrm>
          <a:off x="5208277" y="3667325"/>
          <a:ext cx="275447" cy="2253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22</xdr:col>
      <xdr:colOff>647700</xdr:colOff>
      <xdr:row>18</xdr:row>
      <xdr:rowOff>66675</xdr:rowOff>
    </xdr:from>
    <xdr:ext cx="161925" cy="228600"/>
    <xdr:sp macro="" textlink="">
      <xdr:nvSpPr>
        <xdr:cNvPr id="155" name="Shape 155">
          <a:extLst>
            <a:ext uri="{FF2B5EF4-FFF2-40B4-BE49-F238E27FC236}">
              <a16:creationId xmlns:a16="http://schemas.microsoft.com/office/drawing/2014/main" id="{00000000-0008-0000-0F00-00009B000000}"/>
            </a:ext>
          </a:extLst>
        </xdr:cNvPr>
        <xdr:cNvSpPr txBox="1"/>
      </xdr:nvSpPr>
      <xdr:spPr>
        <a:xfrm>
          <a:off x="5265224" y="3667335"/>
          <a:ext cx="161552" cy="22533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B</a:t>
          </a:r>
          <a:endParaRPr sz="1400"/>
        </a:p>
      </xdr:txBody>
    </xdr:sp>
    <xdr:clientData fLocksWithSheet="0"/>
  </xdr:oneCellAnchor>
  <xdr:oneCellAnchor>
    <xdr:from>
      <xdr:col>13</xdr:col>
      <xdr:colOff>314325</xdr:colOff>
      <xdr:row>18</xdr:row>
      <xdr:rowOff>152400</xdr:rowOff>
    </xdr:from>
    <xdr:ext cx="38100" cy="104775"/>
    <xdr:grpSp>
      <xdr:nvGrpSpPr>
        <xdr:cNvPr id="11" name="Shape 2">
          <a:extLst>
            <a:ext uri="{FF2B5EF4-FFF2-40B4-BE49-F238E27FC236}">
              <a16:creationId xmlns:a16="http://schemas.microsoft.com/office/drawing/2014/main" id="{00000000-0008-0000-0F00-00000B000000}"/>
            </a:ext>
          </a:extLst>
        </xdr:cNvPr>
        <xdr:cNvGrpSpPr/>
      </xdr:nvGrpSpPr>
      <xdr:grpSpPr>
        <a:xfrm>
          <a:off x="11191875" y="4648200"/>
          <a:ext cx="38100" cy="104775"/>
          <a:chOff x="5293613" y="3780000"/>
          <a:chExt cx="104775" cy="0"/>
        </a:xfrm>
      </xdr:grpSpPr>
      <xdr:cxnSp macro="">
        <xdr:nvCxnSpPr>
          <xdr:cNvPr id="156" name="Shape 156">
            <a:extLst>
              <a:ext uri="{FF2B5EF4-FFF2-40B4-BE49-F238E27FC236}">
                <a16:creationId xmlns:a16="http://schemas.microsoft.com/office/drawing/2014/main" id="{00000000-0008-0000-0F00-00009C000000}"/>
              </a:ext>
            </a:extLst>
          </xdr:cNvPr>
          <xdr:cNvCxnSpPr/>
        </xdr:nvCxnSpPr>
        <xdr:spPr>
          <a:xfrm rot="5400000">
            <a:off x="5293613" y="3780000"/>
            <a:ext cx="104775"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14</xdr:col>
      <xdr:colOff>333375</xdr:colOff>
      <xdr:row>19</xdr:row>
      <xdr:rowOff>38100</xdr:rowOff>
    </xdr:from>
    <xdr:ext cx="161925" cy="228600"/>
    <xdr:sp macro="" textlink="">
      <xdr:nvSpPr>
        <xdr:cNvPr id="157" name="Shape 157">
          <a:extLst>
            <a:ext uri="{FF2B5EF4-FFF2-40B4-BE49-F238E27FC236}">
              <a16:creationId xmlns:a16="http://schemas.microsoft.com/office/drawing/2014/main" id="{00000000-0008-0000-0F00-00009D000000}"/>
            </a:ext>
          </a:extLst>
        </xdr:cNvPr>
        <xdr:cNvSpPr txBox="1"/>
      </xdr:nvSpPr>
      <xdr:spPr>
        <a:xfrm>
          <a:off x="5267932" y="3667469"/>
          <a:ext cx="156136" cy="22506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800">
              <a:solidFill>
                <a:schemeClr val="dk1"/>
              </a:solidFill>
              <a:latin typeface="Calibri"/>
              <a:ea typeface="Calibri"/>
              <a:cs typeface="Calibri"/>
              <a:sym typeface="Calibri"/>
            </a:rPr>
            <a:t>A</a:t>
          </a:r>
          <a:endParaRPr sz="1400"/>
        </a:p>
      </xdr:txBody>
    </xdr:sp>
    <xdr:clientData fLocksWithSheet="0"/>
  </xdr:oneCellAnchor>
  <xdr:oneCellAnchor>
    <xdr:from>
      <xdr:col>18</xdr:col>
      <xdr:colOff>295275</xdr:colOff>
      <xdr:row>18</xdr:row>
      <xdr:rowOff>114300</xdr:rowOff>
    </xdr:from>
    <xdr:ext cx="38100" cy="123825"/>
    <xdr:grpSp>
      <xdr:nvGrpSpPr>
        <xdr:cNvPr id="12" name="Shape 2">
          <a:extLst>
            <a:ext uri="{FF2B5EF4-FFF2-40B4-BE49-F238E27FC236}">
              <a16:creationId xmlns:a16="http://schemas.microsoft.com/office/drawing/2014/main" id="{00000000-0008-0000-0F00-00000C000000}"/>
            </a:ext>
          </a:extLst>
        </xdr:cNvPr>
        <xdr:cNvGrpSpPr/>
      </xdr:nvGrpSpPr>
      <xdr:grpSpPr>
        <a:xfrm>
          <a:off x="15344775" y="4610100"/>
          <a:ext cx="38100" cy="123825"/>
          <a:chOff x="5284088" y="3780000"/>
          <a:chExt cx="123825" cy="0"/>
        </a:xfrm>
      </xdr:grpSpPr>
      <xdr:cxnSp macro="">
        <xdr:nvCxnSpPr>
          <xdr:cNvPr id="13" name="Shape 145">
            <a:extLst>
              <a:ext uri="{FF2B5EF4-FFF2-40B4-BE49-F238E27FC236}">
                <a16:creationId xmlns:a16="http://schemas.microsoft.com/office/drawing/2014/main" id="{00000000-0008-0000-0F00-00000D000000}"/>
              </a:ext>
            </a:extLst>
          </xdr:cNvPr>
          <xdr:cNvCxnSpPr/>
        </xdr:nvCxnSpPr>
        <xdr:spPr>
          <a:xfrm rot="5400000">
            <a:off x="5284088" y="3780000"/>
            <a:ext cx="123825" cy="0"/>
          </a:xfrm>
          <a:prstGeom prst="straightConnector1">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22</xdr:col>
      <xdr:colOff>600075</xdr:colOff>
      <xdr:row>18</xdr:row>
      <xdr:rowOff>171450</xdr:rowOff>
    </xdr:from>
    <xdr:ext cx="123825" cy="76200"/>
    <xdr:sp macro="" textlink="">
      <xdr:nvSpPr>
        <xdr:cNvPr id="158" name="Shape 158">
          <a:extLst>
            <a:ext uri="{FF2B5EF4-FFF2-40B4-BE49-F238E27FC236}">
              <a16:creationId xmlns:a16="http://schemas.microsoft.com/office/drawing/2014/main" id="{00000000-0008-0000-0F00-00009E000000}"/>
            </a:ext>
          </a:extLst>
        </xdr:cNvPr>
        <xdr:cNvSpPr/>
      </xdr:nvSpPr>
      <xdr:spPr>
        <a:xfrm>
          <a:off x="5288850" y="3746663"/>
          <a:ext cx="114300" cy="66675"/>
        </a:xfrm>
        <a:custGeom>
          <a:avLst/>
          <a:gdLst/>
          <a:ahLst/>
          <a:cxnLst/>
          <a:rect l="l" t="t" r="r" b="b"/>
          <a:pathLst>
            <a:path w="167781" h="138312" extrusionOk="0">
              <a:moveTo>
                <a:pt x="162553" y="138312"/>
              </a:moveTo>
              <a:cubicBezTo>
                <a:pt x="165167" y="123578"/>
                <a:pt x="167781" y="108844"/>
                <a:pt x="142590" y="86980"/>
              </a:cubicBezTo>
              <a:cubicBezTo>
                <a:pt x="117399" y="65116"/>
                <a:pt x="22814" y="14259"/>
                <a:pt x="11407" y="7129"/>
              </a:cubicBezTo>
              <a:cubicBezTo>
                <a:pt x="0" y="0"/>
                <a:pt x="66067" y="39925"/>
                <a:pt x="74147" y="44203"/>
              </a:cubicBezTo>
            </a:path>
          </a:pathLst>
        </a:custGeom>
        <a:noFill/>
        <a:ln w="9525" cap="flat" cmpd="sng">
          <a:solidFill>
            <a:srgbClr val="000000"/>
          </a:solidFill>
          <a:prstDash val="solid"/>
          <a:miter lim="8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None/>
          </a:pPr>
          <a:endParaRPr sz="1100"/>
        </a:p>
      </xdr:txBody>
    </xdr:sp>
    <xdr:clientData fLocksWithSheet="0"/>
  </xdr:oneCellAnchor>
  <xdr:oneCellAnchor>
    <xdr:from>
      <xdr:col>20</xdr:col>
      <xdr:colOff>323850</xdr:colOff>
      <xdr:row>18</xdr:row>
      <xdr:rowOff>38100</xdr:rowOff>
    </xdr:from>
    <xdr:ext cx="609600" cy="295275"/>
    <xdr:grpSp>
      <xdr:nvGrpSpPr>
        <xdr:cNvPr id="14" name="Shape 2">
          <a:extLst>
            <a:ext uri="{FF2B5EF4-FFF2-40B4-BE49-F238E27FC236}">
              <a16:creationId xmlns:a16="http://schemas.microsoft.com/office/drawing/2014/main" id="{00000000-0008-0000-0F00-00000E000000}"/>
            </a:ext>
          </a:extLst>
        </xdr:cNvPr>
        <xdr:cNvGrpSpPr/>
      </xdr:nvGrpSpPr>
      <xdr:grpSpPr>
        <a:xfrm>
          <a:off x="16916400" y="4533900"/>
          <a:ext cx="609600" cy="295275"/>
          <a:chOff x="5203125" y="3479963"/>
          <a:chExt cx="285750" cy="600075"/>
        </a:xfrm>
      </xdr:grpSpPr>
      <xdr:cxnSp macro="">
        <xdr:nvCxnSpPr>
          <xdr:cNvPr id="159" name="Shape 159">
            <a:extLst>
              <a:ext uri="{FF2B5EF4-FFF2-40B4-BE49-F238E27FC236}">
                <a16:creationId xmlns:a16="http://schemas.microsoft.com/office/drawing/2014/main" id="{00000000-0008-0000-0F00-00009F000000}"/>
              </a:ext>
            </a:extLst>
          </xdr:cNvPr>
          <xdr:cNvCxnSpPr/>
        </xdr:nvCxnSpPr>
        <xdr:spPr>
          <a:xfrm rot="-5400000" flipH="1">
            <a:off x="5203125" y="3479963"/>
            <a:ext cx="285750" cy="600075"/>
          </a:xfrm>
          <a:prstGeom prst="bentConnector3">
            <a:avLst>
              <a:gd name="adj1" fmla="val 50000"/>
            </a:avLst>
          </a:prstGeom>
          <a:noFill/>
          <a:ln w="9525" cap="flat" cmpd="sng">
            <a:solidFill>
              <a:srgbClr val="000000"/>
            </a:solidFill>
            <a:prstDash val="solid"/>
            <a:miter lim="8000"/>
            <a:headEnd type="none" w="sm" len="sm"/>
            <a:tailEnd type="none" w="sm" len="sm"/>
          </a:ln>
        </xdr:spPr>
      </xdr:cxnSp>
    </xdr:grpSp>
    <xdr:clientData fLocksWithSheet="0"/>
  </xdr:oneCellAnchor>
  <xdr:oneCellAnchor>
    <xdr:from>
      <xdr:col>1</xdr:col>
      <xdr:colOff>95250</xdr:colOff>
      <xdr:row>15</xdr:row>
      <xdr:rowOff>152400</xdr:rowOff>
    </xdr:from>
    <xdr:ext cx="4400550" cy="1133475"/>
    <xdr:pic>
      <xdr:nvPicPr>
        <xdr:cNvPr id="15" name="image25.png">
          <a:extLst>
            <a:ext uri="{FF2B5EF4-FFF2-40B4-BE49-F238E27FC236}">
              <a16:creationId xmlns:a16="http://schemas.microsoft.com/office/drawing/2014/main" id="{00000000-0008-0000-0F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676275</xdr:colOff>
      <xdr:row>15</xdr:row>
      <xdr:rowOff>95250</xdr:rowOff>
    </xdr:from>
    <xdr:ext cx="3086100" cy="2752725"/>
    <xdr:pic>
      <xdr:nvPicPr>
        <xdr:cNvPr id="16" name="image28.png">
          <a:extLst>
            <a:ext uri="{FF2B5EF4-FFF2-40B4-BE49-F238E27FC236}">
              <a16:creationId xmlns:a16="http://schemas.microsoft.com/office/drawing/2014/main" id="{00000000-0008-0000-0F00-00001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228600</xdr:colOff>
      <xdr:row>21</xdr:row>
      <xdr:rowOff>161925</xdr:rowOff>
    </xdr:from>
    <xdr:ext cx="3762375" cy="1343025"/>
    <xdr:pic>
      <xdr:nvPicPr>
        <xdr:cNvPr id="18" name="image26.png">
          <a:extLst>
            <a:ext uri="{FF2B5EF4-FFF2-40B4-BE49-F238E27FC236}">
              <a16:creationId xmlns:a16="http://schemas.microsoft.com/office/drawing/2014/main" id="{00000000-0008-0000-0F00-00001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26</xdr:row>
      <xdr:rowOff>276225</xdr:rowOff>
    </xdr:from>
    <xdr:ext cx="3771900" cy="971550"/>
    <xdr:pic>
      <xdr:nvPicPr>
        <xdr:cNvPr id="19" name="image29.png">
          <a:extLst>
            <a:ext uri="{FF2B5EF4-FFF2-40B4-BE49-F238E27FC236}">
              <a16:creationId xmlns:a16="http://schemas.microsoft.com/office/drawing/2014/main" id="{00000000-0008-0000-0F00-000013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26</xdr:row>
      <xdr:rowOff>304800</xdr:rowOff>
    </xdr:from>
    <xdr:ext cx="3771900" cy="971550"/>
    <xdr:pic>
      <xdr:nvPicPr>
        <xdr:cNvPr id="20" name="image23.png">
          <a:extLst>
            <a:ext uri="{FF2B5EF4-FFF2-40B4-BE49-F238E27FC236}">
              <a16:creationId xmlns:a16="http://schemas.microsoft.com/office/drawing/2014/main" id="{00000000-0008-0000-0F00-00001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209550</xdr:colOff>
      <xdr:row>32</xdr:row>
      <xdr:rowOff>104775</xdr:rowOff>
    </xdr:from>
    <xdr:ext cx="2371725" cy="3609975"/>
    <xdr:pic>
      <xdr:nvPicPr>
        <xdr:cNvPr id="21" name="image24.png">
          <a:extLst>
            <a:ext uri="{FF2B5EF4-FFF2-40B4-BE49-F238E27FC236}">
              <a16:creationId xmlns:a16="http://schemas.microsoft.com/office/drawing/2014/main" id="{00000000-0008-0000-0F00-00001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342900</xdr:colOff>
      <xdr:row>32</xdr:row>
      <xdr:rowOff>142875</xdr:rowOff>
    </xdr:from>
    <xdr:ext cx="2324100" cy="3571875"/>
    <xdr:pic>
      <xdr:nvPicPr>
        <xdr:cNvPr id="22" name="image30.png">
          <a:extLst>
            <a:ext uri="{FF2B5EF4-FFF2-40B4-BE49-F238E27FC236}">
              <a16:creationId xmlns:a16="http://schemas.microsoft.com/office/drawing/2014/main" id="{00000000-0008-0000-0F00-000016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7</xdr:col>
      <xdr:colOff>409575</xdr:colOff>
      <xdr:row>32</xdr:row>
      <xdr:rowOff>161925</xdr:rowOff>
    </xdr:from>
    <xdr:ext cx="1733550" cy="3543300"/>
    <xdr:pic>
      <xdr:nvPicPr>
        <xdr:cNvPr id="23" name="image27.png">
          <a:extLst>
            <a:ext uri="{FF2B5EF4-FFF2-40B4-BE49-F238E27FC236}">
              <a16:creationId xmlns:a16="http://schemas.microsoft.com/office/drawing/2014/main" id="{00000000-0008-0000-0F00-000017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https://d.docs.live.net/bc4fbed898a952f6/2026/2.%20RAMA%20JUDICIAL%20CONFINES/0.%20PLIEGOS/Presupuesto%20Oficial%20Obra%20Confines.xlsx" TargetMode="External"/><Relationship Id="rId1" Type="http://schemas.openxmlformats.org/officeDocument/2006/relationships/externalLinkPath" Target="https://d.docs.live.net/bc4fbed898a952f6/2026/2.%20RAMA%20JUDICIAL%20CONFINES/0.%20PLIEGOS/Presupuesto%20Oficial%20Obra%20Confine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SASERCO)"/>
    </sheetNames>
    <sheetDataSet>
      <sheetData sheetId="0">
        <row r="97">
          <cell r="K97">
            <v>156345784</v>
          </cell>
        </row>
        <row r="116">
          <cell r="K116">
            <v>9395835</v>
          </cell>
        </row>
      </sheetData>
      <sheetData sheetId="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ThinkPad" id="{438C1F76-9C1B-40E4-957C-4570782A5B4A}" userId="" providerId="google-sheets"/>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119" dT="2026-06-22T12:56:43.00" personId="{438C1F76-9C1B-40E4-957C-4570782A5B4A}" id="{5F79F5DA-BA4A-4138-82F8-415E670EC3E0}" done="1">
    <text>FALTA COTIZACIÓN FORMAL, SOLO CHAT CON CESAR</text>
  </threadedComment>
  <threadedComment ref="K120" dT="2026-06-22T12:56:43.00" personId="{438C1F76-9C1B-40E4-957C-4570782A5B4A}" id="{170363A4-0E63-4EF2-8732-F4571AF85D79}" done="1">
    <text>FALTA COTIZACIÓN FORMAL, SOLO CHAT CON CESAR</text>
  </threadedComment>
  <threadedComment ref="K121" dT="2026-06-22T12:56:43.00" personId="{438C1F76-9C1B-40E4-957C-4570782A5B4A}" id="{A37E117B-A594-4551-A4D9-37991054A042}" done="1">
    <text>FALTA COTIZACIÓN FORMAL, SOLO CHAT CON CESAR</text>
  </threadedComment>
  <threadedComment ref="K123" dT="2026-06-22T12:56:43.00" personId="{438C1F76-9C1B-40E4-957C-4570782A5B4A}" id="{C52646A8-2A17-4872-A237-B0DC8A975DB3}" done="1">
    <text>FALTA COTIZACIÓN FORMAL, SOLO CHAT CON CESAR</text>
  </threadedComment>
  <threadedComment ref="K132" dT="2026-06-22T12:56:43.00" personId="{438C1F76-9C1B-40E4-957C-4570782A5B4A}" id="{FAEA042B-BA5B-4310-B488-4384229F5F2E}" done="1">
    <text>FALTA COTIZACIÓN FORMAL, SOLO CHAT CON CESAR</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colombia.argos.co/asi-funciona-la-nueva-calculadora-de-dosificaciones-para-mortero-y-concreto-de-argos/" TargetMode="External"/><Relationship Id="rId1" Type="http://schemas.openxmlformats.org/officeDocument/2006/relationships/hyperlink" Target="https://colombia.argos.co/autoconstructores/aprende-a-dosificar-el-concreto-para-tus-proyectos-de-construccion-o-remodelacion/"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opLeftCell="A12" workbookViewId="0"/>
  </sheetViews>
  <sheetFormatPr baseColWidth="10" defaultColWidth="14.42578125" defaultRowHeight="15" customHeight="1"/>
  <cols>
    <col min="1" max="1" width="5.5703125" customWidth="1"/>
    <col min="2" max="2" width="24" customWidth="1"/>
    <col min="3" max="4" width="21.28515625" customWidth="1"/>
    <col min="5" max="5" width="29.42578125" customWidth="1"/>
    <col min="6" max="6" width="6.42578125" customWidth="1"/>
    <col min="7" max="7" width="12.140625" customWidth="1"/>
    <col min="8" max="8" width="19.140625" customWidth="1"/>
    <col min="9" max="9" width="15.5703125" customWidth="1"/>
    <col min="10" max="10" width="11.42578125" customWidth="1"/>
    <col min="11" max="11" width="14.5703125" customWidth="1"/>
    <col min="12" max="12" width="11.140625" customWidth="1"/>
    <col min="13" max="13" width="14.5703125" customWidth="1"/>
    <col min="14" max="15" width="11.42578125" customWidth="1"/>
    <col min="16" max="25" width="10.570312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ht="24" customHeight="1">
      <c r="A2" s="1"/>
      <c r="B2" s="964" t="s">
        <v>0</v>
      </c>
      <c r="C2" s="965"/>
      <c r="D2" s="965"/>
      <c r="E2" s="966"/>
      <c r="F2" s="1"/>
      <c r="G2" s="1"/>
      <c r="H2" s="1"/>
      <c r="I2" s="1"/>
      <c r="J2" s="1"/>
      <c r="K2" s="1"/>
      <c r="L2" s="1"/>
      <c r="M2" s="1"/>
      <c r="N2" s="1"/>
      <c r="O2" s="1"/>
      <c r="P2" s="1"/>
      <c r="Q2" s="1"/>
      <c r="R2" s="1"/>
      <c r="S2" s="1"/>
      <c r="T2" s="1"/>
      <c r="U2" s="1"/>
      <c r="V2" s="1"/>
      <c r="W2" s="1"/>
      <c r="X2" s="1"/>
      <c r="Y2" s="1"/>
      <c r="Z2" s="1"/>
    </row>
    <row r="3" spans="1:26">
      <c r="A3" s="1"/>
      <c r="B3" s="2"/>
      <c r="C3" s="3"/>
      <c r="D3" s="3"/>
      <c r="E3" s="4"/>
      <c r="F3" s="1"/>
      <c r="G3" s="1"/>
      <c r="H3" s="1"/>
      <c r="I3" s="1"/>
      <c r="J3" s="1"/>
      <c r="K3" s="1"/>
      <c r="L3" s="1"/>
      <c r="M3" s="1"/>
      <c r="N3" s="1"/>
      <c r="O3" s="1"/>
      <c r="P3" s="1"/>
      <c r="Q3" s="1"/>
      <c r="R3" s="1"/>
      <c r="S3" s="1"/>
      <c r="T3" s="1"/>
      <c r="U3" s="1"/>
      <c r="V3" s="1"/>
      <c r="W3" s="1"/>
      <c r="X3" s="1"/>
      <c r="Y3" s="1"/>
      <c r="Z3" s="1"/>
    </row>
    <row r="4" spans="1:26" ht="15.75">
      <c r="A4" s="1"/>
      <c r="B4" s="5" t="s">
        <v>1</v>
      </c>
      <c r="C4" s="967">
        <v>1</v>
      </c>
      <c r="D4" s="968"/>
      <c r="E4" s="969"/>
      <c r="F4" s="1"/>
      <c r="G4" s="1"/>
      <c r="H4" s="1"/>
      <c r="I4" s="1"/>
      <c r="J4" s="1"/>
      <c r="K4" s="1"/>
      <c r="L4" s="1"/>
      <c r="M4" s="1"/>
      <c r="N4" s="1"/>
      <c r="O4" s="1"/>
      <c r="P4" s="1"/>
      <c r="Q4" s="1"/>
      <c r="R4" s="1"/>
      <c r="S4" s="1"/>
      <c r="T4" s="1"/>
      <c r="U4" s="1"/>
      <c r="V4" s="1"/>
      <c r="W4" s="1"/>
      <c r="X4" s="1"/>
      <c r="Y4" s="1"/>
      <c r="Z4" s="1"/>
    </row>
    <row r="5" spans="1:26" ht="15.75">
      <c r="A5" s="1"/>
      <c r="B5" s="6"/>
      <c r="C5" s="7"/>
      <c r="D5" s="7"/>
      <c r="E5" s="8"/>
      <c r="F5" s="1"/>
      <c r="G5" s="1"/>
      <c r="H5" s="1"/>
      <c r="I5" s="1"/>
      <c r="J5" s="1"/>
      <c r="K5" s="1"/>
      <c r="L5" s="1"/>
      <c r="M5" s="1"/>
      <c r="N5" s="1"/>
      <c r="O5" s="1"/>
      <c r="P5" s="1"/>
      <c r="Q5" s="1"/>
      <c r="R5" s="1"/>
      <c r="S5" s="1"/>
      <c r="T5" s="1"/>
      <c r="U5" s="1"/>
      <c r="V5" s="1"/>
      <c r="W5" s="1"/>
      <c r="X5" s="1"/>
      <c r="Y5" s="1"/>
      <c r="Z5" s="1"/>
    </row>
    <row r="6" spans="1:26" ht="15.75">
      <c r="A6" s="1"/>
      <c r="B6" s="970" t="s">
        <v>2</v>
      </c>
      <c r="C6" s="9" t="s">
        <v>3</v>
      </c>
      <c r="D6" s="9" t="s">
        <v>4</v>
      </c>
      <c r="E6" s="10" t="s">
        <v>5</v>
      </c>
      <c r="F6" s="1"/>
      <c r="G6" s="1"/>
      <c r="H6" s="1"/>
      <c r="I6" s="1"/>
      <c r="J6" s="1"/>
      <c r="K6" s="1"/>
      <c r="L6" s="1"/>
      <c r="M6" s="1"/>
      <c r="N6" s="1"/>
      <c r="O6" s="1"/>
      <c r="P6" s="1"/>
      <c r="Q6" s="1"/>
      <c r="R6" s="1"/>
      <c r="S6" s="1"/>
      <c r="T6" s="1"/>
      <c r="U6" s="1"/>
      <c r="V6" s="1"/>
      <c r="W6" s="1"/>
      <c r="X6" s="1"/>
      <c r="Y6" s="1"/>
      <c r="Z6" s="1"/>
    </row>
    <row r="7" spans="1:26">
      <c r="A7" s="1"/>
      <c r="B7" s="971"/>
      <c r="C7" s="11">
        <v>19</v>
      </c>
      <c r="D7" s="11">
        <v>6</v>
      </c>
      <c r="E7" s="12">
        <v>2026</v>
      </c>
      <c r="F7" s="1"/>
      <c r="G7" s="1"/>
      <c r="H7" s="1"/>
      <c r="I7" s="1"/>
      <c r="J7" s="1"/>
      <c r="K7" s="1"/>
      <c r="L7" s="1"/>
      <c r="M7" s="1"/>
      <c r="N7" s="1"/>
      <c r="O7" s="1"/>
      <c r="P7" s="1"/>
      <c r="Q7" s="1"/>
      <c r="R7" s="1"/>
      <c r="S7" s="1"/>
      <c r="T7" s="1"/>
      <c r="U7" s="1"/>
      <c r="V7" s="1"/>
      <c r="W7" s="1"/>
      <c r="X7" s="1"/>
      <c r="Y7" s="1"/>
      <c r="Z7" s="1"/>
    </row>
    <row r="8" spans="1:26">
      <c r="A8" s="1"/>
      <c r="B8" s="2"/>
      <c r="C8" s="3"/>
      <c r="D8" s="3"/>
      <c r="E8" s="4"/>
      <c r="F8" s="1"/>
      <c r="G8" s="1"/>
      <c r="H8" s="1"/>
      <c r="I8" s="1"/>
      <c r="J8" s="1"/>
      <c r="K8" s="1"/>
      <c r="L8" s="1"/>
      <c r="M8" s="1"/>
      <c r="N8" s="1"/>
      <c r="O8" s="1"/>
      <c r="P8" s="1"/>
      <c r="Q8" s="1"/>
      <c r="R8" s="1"/>
      <c r="S8" s="1"/>
      <c r="T8" s="1"/>
      <c r="U8" s="1"/>
      <c r="V8" s="1"/>
      <c r="W8" s="1"/>
      <c r="X8" s="1"/>
      <c r="Y8" s="1"/>
      <c r="Z8" s="1"/>
    </row>
    <row r="9" spans="1:26" ht="31.5" customHeight="1">
      <c r="A9" s="1"/>
      <c r="B9" s="13" t="s">
        <v>6</v>
      </c>
      <c r="C9" s="972" t="s">
        <v>7</v>
      </c>
      <c r="D9" s="940"/>
      <c r="E9" s="973"/>
      <c r="F9" s="1"/>
      <c r="G9" s="1"/>
      <c r="H9" s="1"/>
      <c r="I9" s="1"/>
      <c r="J9" s="1"/>
      <c r="K9" s="1"/>
      <c r="L9" s="1"/>
      <c r="M9" s="1"/>
      <c r="N9" s="1"/>
      <c r="O9" s="1"/>
      <c r="P9" s="1"/>
      <c r="Q9" s="1"/>
      <c r="R9" s="1"/>
      <c r="S9" s="1"/>
      <c r="T9" s="1"/>
      <c r="U9" s="1"/>
      <c r="V9" s="1"/>
      <c r="W9" s="1"/>
      <c r="X9" s="1"/>
      <c r="Y9" s="1"/>
      <c r="Z9" s="1"/>
    </row>
    <row r="10" spans="1:26">
      <c r="A10" s="1"/>
      <c r="B10" s="2"/>
      <c r="C10" s="3"/>
      <c r="D10" s="3"/>
      <c r="E10" s="4"/>
      <c r="F10" s="1"/>
      <c r="G10" s="1"/>
      <c r="H10" s="1"/>
      <c r="I10" s="1"/>
      <c r="J10" s="1"/>
      <c r="K10" s="1"/>
      <c r="L10" s="1"/>
      <c r="M10" s="1"/>
      <c r="N10" s="1"/>
      <c r="O10" s="1"/>
      <c r="P10" s="1"/>
      <c r="Q10" s="1"/>
      <c r="R10" s="1"/>
      <c r="S10" s="1"/>
      <c r="T10" s="1"/>
      <c r="U10" s="1"/>
      <c r="V10" s="1"/>
      <c r="W10" s="1"/>
      <c r="X10" s="1"/>
      <c r="Y10" s="1"/>
      <c r="Z10" s="1"/>
    </row>
    <row r="11" spans="1:26" ht="31.5">
      <c r="A11" s="1"/>
      <c r="B11" s="13" t="s">
        <v>8</v>
      </c>
      <c r="C11" s="972" t="s">
        <v>9</v>
      </c>
      <c r="D11" s="940"/>
      <c r="E11" s="973"/>
      <c r="F11" s="1"/>
      <c r="G11" s="1"/>
      <c r="H11" s="1"/>
      <c r="I11" s="1"/>
      <c r="J11" s="1"/>
      <c r="K11" s="1"/>
      <c r="L11" s="1"/>
      <c r="M11" s="1"/>
      <c r="N11" s="1"/>
      <c r="O11" s="1"/>
      <c r="P11" s="1"/>
      <c r="Q11" s="1"/>
      <c r="R11" s="1"/>
      <c r="S11" s="1"/>
      <c r="T11" s="1"/>
      <c r="U11" s="1"/>
      <c r="V11" s="1"/>
      <c r="W11" s="1"/>
      <c r="X11" s="1"/>
      <c r="Y11" s="1"/>
      <c r="Z11" s="1"/>
    </row>
    <row r="12" spans="1:26" ht="132.75" customHeight="1">
      <c r="A12" s="1"/>
      <c r="B12" s="13" t="s">
        <v>10</v>
      </c>
      <c r="C12" s="974" t="s">
        <v>11</v>
      </c>
      <c r="D12" s="940"/>
      <c r="E12" s="973"/>
      <c r="F12" s="1"/>
      <c r="G12" s="1"/>
      <c r="H12" s="1"/>
      <c r="I12" s="1"/>
      <c r="J12" s="1"/>
      <c r="K12" s="1"/>
      <c r="L12" s="1"/>
      <c r="M12" s="1"/>
      <c r="N12" s="1"/>
      <c r="O12" s="1"/>
      <c r="P12" s="1"/>
      <c r="Q12" s="1"/>
      <c r="R12" s="1"/>
      <c r="S12" s="14"/>
      <c r="T12" s="14"/>
      <c r="U12" s="14"/>
      <c r="V12" s="14"/>
      <c r="W12" s="14"/>
      <c r="X12" s="14"/>
      <c r="Y12" s="14"/>
      <c r="Z12" s="14"/>
    </row>
    <row r="13" spans="1:26" ht="15.75">
      <c r="A13" s="1"/>
      <c r="B13" s="13" t="s">
        <v>12</v>
      </c>
      <c r="C13" s="972" t="s">
        <v>13</v>
      </c>
      <c r="D13" s="940"/>
      <c r="E13" s="973"/>
      <c r="F13" s="1"/>
      <c r="G13" s="1"/>
      <c r="H13" s="1"/>
      <c r="I13" s="1"/>
      <c r="J13" s="1"/>
      <c r="K13" s="1"/>
      <c r="L13" s="1"/>
      <c r="M13" s="1"/>
      <c r="N13" s="1"/>
      <c r="O13" s="1"/>
      <c r="P13" s="1"/>
      <c r="Q13" s="1"/>
      <c r="R13" s="1"/>
      <c r="S13" s="1"/>
      <c r="T13" s="1"/>
      <c r="U13" s="1"/>
      <c r="V13" s="1"/>
      <c r="W13" s="1"/>
      <c r="X13" s="1"/>
      <c r="Y13" s="1"/>
      <c r="Z13" s="1"/>
    </row>
    <row r="14" spans="1:26" ht="31.5">
      <c r="A14" s="1"/>
      <c r="B14" s="13" t="s">
        <v>14</v>
      </c>
      <c r="C14" s="972" t="s">
        <v>15</v>
      </c>
      <c r="D14" s="940"/>
      <c r="E14" s="973"/>
      <c r="F14" s="1"/>
      <c r="G14" s="1"/>
      <c r="H14" s="1"/>
      <c r="I14" s="1"/>
      <c r="J14" s="1"/>
      <c r="K14" s="1"/>
      <c r="L14" s="1"/>
      <c r="M14" s="1"/>
      <c r="N14" s="1"/>
      <c r="O14" s="1"/>
      <c r="P14" s="1"/>
      <c r="Q14" s="1"/>
      <c r="R14" s="1"/>
      <c r="S14" s="1"/>
      <c r="T14" s="1"/>
      <c r="U14" s="1"/>
      <c r="V14" s="1"/>
      <c r="W14" s="1"/>
      <c r="X14" s="1"/>
      <c r="Y14" s="1"/>
      <c r="Z14" s="1"/>
    </row>
    <row r="15" spans="1:26">
      <c r="A15" s="1"/>
      <c r="B15" s="2"/>
      <c r="C15" s="3"/>
      <c r="D15" s="3"/>
      <c r="E15" s="4"/>
      <c r="F15" s="1"/>
      <c r="G15" s="1"/>
      <c r="H15" s="1"/>
      <c r="I15" s="1"/>
      <c r="J15" s="1"/>
      <c r="K15" s="1"/>
      <c r="L15" s="1"/>
      <c r="M15" s="1"/>
      <c r="N15" s="1"/>
      <c r="O15" s="1"/>
      <c r="P15" s="1"/>
      <c r="Q15" s="1"/>
      <c r="R15" s="1"/>
      <c r="S15" s="1"/>
      <c r="T15" s="1"/>
      <c r="U15" s="1"/>
      <c r="V15" s="1"/>
      <c r="W15" s="1"/>
      <c r="X15" s="1"/>
      <c r="Y15" s="1"/>
      <c r="Z15" s="1"/>
    </row>
    <row r="16" spans="1:26" ht="15.75">
      <c r="A16" s="1"/>
      <c r="B16" s="975" t="s">
        <v>16</v>
      </c>
      <c r="C16" s="940"/>
      <c r="D16" s="941"/>
      <c r="E16" s="15">
        <f>+SUM(E18:E20)</f>
        <v>0.31</v>
      </c>
      <c r="F16" s="1"/>
      <c r="G16" s="1"/>
      <c r="H16" s="1"/>
      <c r="I16" s="1"/>
      <c r="J16" s="16"/>
      <c r="K16" s="16"/>
      <c r="L16" s="16"/>
      <c r="M16" s="16"/>
      <c r="N16" s="16"/>
      <c r="O16" s="16"/>
      <c r="P16" s="1"/>
      <c r="Q16" s="1"/>
      <c r="R16" s="1"/>
      <c r="S16" s="1"/>
      <c r="T16" s="1"/>
      <c r="U16" s="1"/>
      <c r="V16" s="1"/>
      <c r="W16" s="1"/>
      <c r="X16" s="1"/>
      <c r="Y16" s="1"/>
      <c r="Z16" s="1"/>
    </row>
    <row r="17" spans="1:26" ht="15.75">
      <c r="A17" s="1"/>
      <c r="B17" s="975" t="s">
        <v>17</v>
      </c>
      <c r="C17" s="940"/>
      <c r="D17" s="941"/>
      <c r="E17" s="17" t="s">
        <v>18</v>
      </c>
      <c r="F17" s="1"/>
      <c r="G17" s="1"/>
      <c r="H17" s="1"/>
      <c r="I17" s="1"/>
      <c r="J17" s="16"/>
      <c r="K17" s="16"/>
      <c r="L17" s="16"/>
      <c r="M17" s="16"/>
      <c r="N17" s="16"/>
      <c r="O17" s="16"/>
      <c r="P17" s="1"/>
      <c r="Q17" s="1"/>
      <c r="R17" s="1"/>
      <c r="S17" s="1"/>
      <c r="T17" s="1"/>
      <c r="U17" s="1"/>
      <c r="V17" s="1"/>
      <c r="W17" s="1"/>
      <c r="X17" s="1"/>
      <c r="Y17" s="1"/>
      <c r="Z17" s="1"/>
    </row>
    <row r="18" spans="1:26">
      <c r="A18" s="1"/>
      <c r="B18" s="976" t="s">
        <v>19</v>
      </c>
      <c r="C18" s="940"/>
      <c r="D18" s="941"/>
      <c r="E18" s="18">
        <v>0.25</v>
      </c>
      <c r="F18" s="1"/>
      <c r="G18" s="1"/>
      <c r="H18" s="1"/>
      <c r="I18" s="1"/>
      <c r="J18" s="16"/>
      <c r="K18" s="16"/>
      <c r="L18" s="16"/>
      <c r="M18" s="16"/>
      <c r="N18" s="16"/>
      <c r="O18" s="16"/>
      <c r="P18" s="16"/>
      <c r="Q18" s="16"/>
      <c r="R18" s="16"/>
      <c r="S18" s="16"/>
      <c r="T18" s="16"/>
      <c r="U18" s="16"/>
      <c r="V18" s="16"/>
      <c r="W18" s="16"/>
      <c r="X18" s="16"/>
      <c r="Y18" s="16"/>
      <c r="Z18" s="16"/>
    </row>
    <row r="19" spans="1:26">
      <c r="A19" s="1"/>
      <c r="B19" s="976" t="s">
        <v>20</v>
      </c>
      <c r="C19" s="940"/>
      <c r="D19" s="941"/>
      <c r="E19" s="18">
        <v>0.01</v>
      </c>
      <c r="F19" s="1"/>
      <c r="G19" s="1"/>
      <c r="H19" s="1"/>
      <c r="I19" s="1"/>
      <c r="J19" s="1"/>
      <c r="K19" s="19"/>
      <c r="L19" s="19"/>
      <c r="M19" s="19"/>
      <c r="N19" s="19"/>
      <c r="O19" s="19"/>
      <c r="P19" s="19"/>
      <c r="Q19" s="19"/>
      <c r="R19" s="19"/>
      <c r="S19" s="19"/>
      <c r="T19" s="19"/>
      <c r="U19" s="19"/>
      <c r="V19" s="19"/>
      <c r="W19" s="19"/>
      <c r="X19" s="19"/>
      <c r="Y19" s="19"/>
      <c r="Z19" s="19"/>
    </row>
    <row r="20" spans="1:26">
      <c r="A20" s="1"/>
      <c r="B20" s="976" t="s">
        <v>21</v>
      </c>
      <c r="C20" s="940"/>
      <c r="D20" s="941"/>
      <c r="E20" s="18">
        <v>0.05</v>
      </c>
      <c r="F20" s="1"/>
      <c r="G20" s="1"/>
      <c r="H20" s="1"/>
      <c r="I20" s="1"/>
      <c r="J20" s="1"/>
      <c r="K20" s="19"/>
      <c r="L20" s="19"/>
      <c r="M20" s="19"/>
      <c r="N20" s="19"/>
      <c r="O20" s="19"/>
      <c r="P20" s="19"/>
      <c r="Q20" s="19"/>
      <c r="R20" s="19"/>
      <c r="S20" s="19"/>
      <c r="T20" s="19"/>
      <c r="U20" s="19"/>
      <c r="V20" s="19"/>
      <c r="W20" s="19"/>
      <c r="X20" s="19"/>
      <c r="Y20" s="19"/>
      <c r="Z20" s="19"/>
    </row>
    <row r="21" spans="1:26" ht="15.75" customHeight="1">
      <c r="A21" s="1"/>
      <c r="B21" s="977"/>
      <c r="C21" s="922"/>
      <c r="D21" s="922"/>
      <c r="E21" s="4"/>
      <c r="F21" s="1"/>
      <c r="G21" s="1"/>
      <c r="H21" s="1"/>
      <c r="I21" s="1"/>
      <c r="J21" s="1"/>
      <c r="K21" s="1"/>
      <c r="L21" s="1"/>
      <c r="M21" s="1"/>
      <c r="N21" s="1"/>
      <c r="O21" s="1"/>
      <c r="P21" s="1"/>
      <c r="Q21" s="16"/>
      <c r="R21" s="16"/>
      <c r="S21" s="16"/>
      <c r="T21" s="16"/>
      <c r="U21" s="16"/>
      <c r="V21" s="16"/>
      <c r="W21" s="16"/>
      <c r="X21" s="16"/>
      <c r="Y21" s="16"/>
      <c r="Z21" s="16"/>
    </row>
    <row r="22" spans="1:26" ht="15.75" customHeight="1">
      <c r="A22" s="1"/>
      <c r="B22" s="975" t="s">
        <v>22</v>
      </c>
      <c r="C22" s="940"/>
      <c r="D22" s="941"/>
      <c r="E22" s="20">
        <f>E23</f>
        <v>0</v>
      </c>
      <c r="F22" s="1"/>
      <c r="G22" s="1"/>
      <c r="H22" s="1"/>
      <c r="I22" s="1"/>
      <c r="J22" s="1"/>
      <c r="K22" s="1"/>
      <c r="L22" s="1"/>
      <c r="M22" s="1"/>
      <c r="N22" s="1"/>
      <c r="O22" s="1"/>
      <c r="P22" s="1"/>
      <c r="Q22" s="1"/>
      <c r="R22" s="1"/>
      <c r="S22" s="1"/>
      <c r="T22" s="1"/>
      <c r="U22" s="1"/>
      <c r="V22" s="1"/>
      <c r="W22" s="1"/>
      <c r="X22" s="1"/>
      <c r="Y22" s="1"/>
      <c r="Z22" s="1"/>
    </row>
    <row r="23" spans="1:26" ht="15.75" customHeight="1">
      <c r="A23" s="1"/>
      <c r="B23" s="976" t="s">
        <v>23</v>
      </c>
      <c r="C23" s="940"/>
      <c r="D23" s="941"/>
      <c r="E23" s="18">
        <v>0</v>
      </c>
      <c r="F23" s="1"/>
      <c r="G23" s="1"/>
      <c r="H23" s="1"/>
      <c r="I23" s="1"/>
      <c r="J23" s="1"/>
      <c r="K23" s="1"/>
      <c r="L23" s="1"/>
      <c r="M23" s="1"/>
      <c r="N23" s="1"/>
      <c r="O23" s="1"/>
      <c r="P23" s="1"/>
      <c r="Q23" s="1"/>
      <c r="R23" s="1"/>
      <c r="S23" s="1"/>
      <c r="T23" s="1"/>
      <c r="U23" s="1"/>
      <c r="V23" s="1"/>
      <c r="W23" s="1"/>
      <c r="X23" s="1"/>
      <c r="Y23" s="1"/>
      <c r="Z23" s="1"/>
    </row>
    <row r="24" spans="1:26" ht="15.75" customHeight="1">
      <c r="A24" s="1"/>
      <c r="B24" s="977"/>
      <c r="C24" s="922"/>
      <c r="D24" s="922"/>
      <c r="E24" s="4"/>
      <c r="F24" s="1"/>
      <c r="G24" s="1"/>
      <c r="H24" s="1"/>
      <c r="I24" s="1"/>
      <c r="J24" s="1"/>
      <c r="K24" s="1"/>
      <c r="L24" s="1"/>
      <c r="M24" s="1"/>
      <c r="N24" s="1"/>
      <c r="O24" s="1"/>
      <c r="P24" s="1"/>
      <c r="Q24" s="1"/>
      <c r="R24" s="1"/>
      <c r="S24" s="1"/>
      <c r="T24" s="1"/>
      <c r="U24" s="1"/>
      <c r="V24" s="1"/>
      <c r="W24" s="1"/>
      <c r="X24" s="1"/>
      <c r="Y24" s="1"/>
      <c r="Z24" s="1"/>
    </row>
    <row r="25" spans="1:26" ht="15.75" customHeight="1">
      <c r="A25" s="1"/>
      <c r="B25" s="975" t="s">
        <v>24</v>
      </c>
      <c r="C25" s="940"/>
      <c r="D25" s="941"/>
      <c r="E25" s="21">
        <v>3</v>
      </c>
      <c r="F25" s="1"/>
      <c r="G25" s="1"/>
      <c r="H25" s="1"/>
      <c r="I25" s="1"/>
      <c r="J25" s="1"/>
      <c r="K25" s="1"/>
      <c r="L25" s="1"/>
      <c r="M25" s="1"/>
      <c r="N25" s="1"/>
      <c r="O25" s="1"/>
      <c r="P25" s="1"/>
      <c r="Q25" s="1"/>
      <c r="R25" s="1"/>
      <c r="S25" s="1"/>
      <c r="T25" s="1"/>
      <c r="U25" s="1"/>
      <c r="V25" s="1"/>
      <c r="W25" s="1"/>
      <c r="X25" s="1"/>
      <c r="Y25" s="1"/>
      <c r="Z25" s="1"/>
    </row>
    <row r="26" spans="1:26" ht="15.75" customHeight="1">
      <c r="A26" s="1"/>
      <c r="B26" s="2"/>
      <c r="C26" s="3"/>
      <c r="D26" s="3"/>
      <c r="E26" s="22"/>
      <c r="F26" s="1"/>
      <c r="G26" s="1"/>
      <c r="H26" s="1"/>
      <c r="I26" s="1"/>
      <c r="J26" s="1"/>
      <c r="K26" s="1"/>
      <c r="L26" s="1"/>
      <c r="M26" s="1"/>
      <c r="N26" s="1"/>
      <c r="O26" s="1"/>
      <c r="P26" s="1"/>
      <c r="Q26" s="1"/>
      <c r="R26" s="1"/>
      <c r="S26" s="1"/>
      <c r="T26" s="1"/>
      <c r="U26" s="1"/>
      <c r="V26" s="1"/>
      <c r="W26" s="1"/>
      <c r="X26" s="1"/>
      <c r="Y26" s="1"/>
      <c r="Z26" s="1"/>
    </row>
    <row r="27" spans="1:26" ht="31.5" customHeight="1">
      <c r="A27" s="1"/>
      <c r="B27" s="23" t="s">
        <v>25</v>
      </c>
      <c r="C27" s="978" t="s">
        <v>26</v>
      </c>
      <c r="D27" s="979"/>
      <c r="E27" s="980"/>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9">
    <mergeCell ref="B25:D25"/>
    <mergeCell ref="C27:E27"/>
    <mergeCell ref="C14:E14"/>
    <mergeCell ref="B16:D16"/>
    <mergeCell ref="B17:D17"/>
    <mergeCell ref="B18:D18"/>
    <mergeCell ref="B19:D19"/>
    <mergeCell ref="B20:D20"/>
    <mergeCell ref="B21:D21"/>
    <mergeCell ref="C12:E12"/>
    <mergeCell ref="C13:E13"/>
    <mergeCell ref="B22:D22"/>
    <mergeCell ref="B23:D23"/>
    <mergeCell ref="B24:D24"/>
    <mergeCell ref="B2:E2"/>
    <mergeCell ref="C4:E4"/>
    <mergeCell ref="B6:B7"/>
    <mergeCell ref="C9:E9"/>
    <mergeCell ref="C11:E11"/>
  </mergeCells>
  <pageMargins left="0.70866141732283472" right="0.70866141732283472" top="0.74803149606299213" bottom="0.74803149606299213"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54275"/>
    <pageSetUpPr fitToPage="1"/>
  </sheetPr>
  <dimension ref="A1:Z1000"/>
  <sheetViews>
    <sheetView workbookViewId="0"/>
  </sheetViews>
  <sheetFormatPr baseColWidth="10" defaultColWidth="14.42578125" defaultRowHeight="15" customHeight="1"/>
  <cols>
    <col min="1" max="1" width="5.42578125" customWidth="1"/>
    <col min="2" max="2" width="3.5703125" customWidth="1"/>
    <col min="3" max="7" width="11" customWidth="1"/>
    <col min="8" max="8" width="16.5703125" customWidth="1"/>
    <col min="9" max="9" width="11" customWidth="1"/>
    <col min="10" max="10" width="5.5703125" customWidth="1"/>
    <col min="11" max="11" width="8" customWidth="1"/>
    <col min="12" max="12" width="3.570312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c r="A2" s="1"/>
      <c r="B2" s="24"/>
      <c r="C2" s="25"/>
      <c r="D2" s="25"/>
      <c r="E2" s="25"/>
      <c r="F2" s="25"/>
      <c r="G2" s="25"/>
      <c r="H2" s="25"/>
      <c r="I2" s="25"/>
      <c r="J2" s="25"/>
      <c r="K2" s="25"/>
      <c r="L2" s="26"/>
      <c r="M2" s="1"/>
      <c r="N2" s="1"/>
      <c r="O2" s="1"/>
      <c r="P2" s="1"/>
      <c r="Q2" s="1"/>
      <c r="R2" s="1"/>
      <c r="S2" s="1"/>
      <c r="T2" s="1"/>
      <c r="U2" s="1"/>
      <c r="V2" s="1"/>
      <c r="W2" s="1"/>
      <c r="X2" s="1"/>
      <c r="Y2" s="1"/>
      <c r="Z2" s="1"/>
    </row>
    <row r="3" spans="1:26" ht="20.25" customHeight="1">
      <c r="A3" s="1"/>
      <c r="B3" s="24"/>
      <c r="C3" s="981" t="str">
        <f>+CONCATENATE("PRESUPUESTO DEL PROYECTO A PARTIR DE LOS ",Datos!C12)</f>
        <v>PRESUPUESTO DEL PROYECTO A PARTIR DE LOS 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D3" s="982"/>
      <c r="E3" s="982"/>
      <c r="F3" s="982"/>
      <c r="G3" s="982"/>
      <c r="H3" s="982"/>
      <c r="I3" s="982"/>
      <c r="J3" s="982"/>
      <c r="K3" s="983"/>
      <c r="L3" s="26"/>
      <c r="M3" s="1"/>
      <c r="N3" s="1"/>
      <c r="O3" s="1"/>
      <c r="P3" s="1"/>
      <c r="Q3" s="1"/>
      <c r="R3" s="1"/>
      <c r="S3" s="1"/>
      <c r="T3" s="1"/>
      <c r="U3" s="1"/>
      <c r="V3" s="1"/>
      <c r="W3" s="1"/>
      <c r="X3" s="1"/>
      <c r="Y3" s="1"/>
      <c r="Z3" s="1"/>
    </row>
    <row r="4" spans="1:26" ht="20.25" customHeight="1">
      <c r="A4" s="1"/>
      <c r="B4" s="24"/>
      <c r="C4" s="984"/>
      <c r="D4" s="922"/>
      <c r="E4" s="922"/>
      <c r="F4" s="922"/>
      <c r="G4" s="922"/>
      <c r="H4" s="922"/>
      <c r="I4" s="922"/>
      <c r="J4" s="922"/>
      <c r="K4" s="985"/>
      <c r="L4" s="26"/>
      <c r="M4" s="1"/>
      <c r="N4" s="1"/>
      <c r="O4" s="1"/>
      <c r="P4" s="1"/>
      <c r="Q4" s="1"/>
      <c r="R4" s="1"/>
      <c r="S4" s="1"/>
      <c r="T4" s="1"/>
      <c r="U4" s="1"/>
      <c r="V4" s="1"/>
      <c r="W4" s="1"/>
      <c r="X4" s="1"/>
      <c r="Y4" s="1"/>
      <c r="Z4" s="1"/>
    </row>
    <row r="5" spans="1:26" ht="20.25" customHeight="1">
      <c r="A5" s="1"/>
      <c r="B5" s="24"/>
      <c r="C5" s="984"/>
      <c r="D5" s="922"/>
      <c r="E5" s="922"/>
      <c r="F5" s="922"/>
      <c r="G5" s="922"/>
      <c r="H5" s="922"/>
      <c r="I5" s="922"/>
      <c r="J5" s="922"/>
      <c r="K5" s="985"/>
      <c r="L5" s="26"/>
      <c r="M5" s="1"/>
      <c r="N5" s="1"/>
      <c r="O5" s="1"/>
      <c r="P5" s="1"/>
      <c r="Q5" s="1"/>
      <c r="R5" s="1"/>
      <c r="S5" s="1"/>
      <c r="T5" s="1"/>
      <c r="U5" s="1"/>
      <c r="V5" s="1"/>
      <c r="W5" s="1"/>
      <c r="X5" s="1"/>
      <c r="Y5" s="1"/>
      <c r="Z5" s="1"/>
    </row>
    <row r="6" spans="1:26" ht="20.25" customHeight="1">
      <c r="A6" s="1"/>
      <c r="B6" s="24"/>
      <c r="C6" s="986"/>
      <c r="D6" s="987"/>
      <c r="E6" s="987"/>
      <c r="F6" s="987"/>
      <c r="G6" s="987"/>
      <c r="H6" s="987"/>
      <c r="I6" s="987"/>
      <c r="J6" s="987"/>
      <c r="K6" s="988"/>
      <c r="L6" s="26"/>
      <c r="M6" s="1"/>
      <c r="N6" s="1"/>
      <c r="O6" s="1"/>
      <c r="P6" s="1"/>
      <c r="Q6" s="1"/>
      <c r="R6" s="1"/>
      <c r="S6" s="1"/>
      <c r="T6" s="1"/>
      <c r="U6" s="1"/>
      <c r="V6" s="1"/>
      <c r="W6" s="1"/>
      <c r="X6" s="1"/>
      <c r="Y6" s="1"/>
      <c r="Z6" s="1"/>
    </row>
    <row r="7" spans="1:26">
      <c r="A7" s="1"/>
      <c r="B7" s="24"/>
      <c r="C7" s="25"/>
      <c r="D7" s="25"/>
      <c r="E7" s="25"/>
      <c r="F7" s="25"/>
      <c r="G7" s="25"/>
      <c r="H7" s="25"/>
      <c r="I7" s="25"/>
      <c r="J7" s="25"/>
      <c r="K7" s="25"/>
      <c r="L7" s="26"/>
      <c r="M7" s="1"/>
      <c r="N7" s="1"/>
      <c r="O7" s="1"/>
      <c r="P7" s="1"/>
      <c r="Q7" s="1"/>
      <c r="R7" s="1"/>
      <c r="S7" s="1"/>
      <c r="T7" s="1"/>
      <c r="U7" s="1"/>
      <c r="V7" s="1"/>
      <c r="W7" s="1"/>
      <c r="X7" s="1"/>
      <c r="Y7" s="1"/>
      <c r="Z7" s="1"/>
    </row>
    <row r="8" spans="1:26">
      <c r="A8" s="1"/>
      <c r="B8" s="24"/>
      <c r="C8" s="25"/>
      <c r="D8" s="25"/>
      <c r="E8" s="25"/>
      <c r="F8" s="25"/>
      <c r="G8" s="25"/>
      <c r="H8" s="25"/>
      <c r="I8" s="25"/>
      <c r="J8" s="25"/>
      <c r="K8" s="25"/>
      <c r="L8" s="26"/>
      <c r="M8" s="1"/>
      <c r="N8" s="1"/>
      <c r="O8" s="1"/>
      <c r="P8" s="1"/>
      <c r="Q8" s="1"/>
      <c r="R8" s="1"/>
      <c r="S8" s="1"/>
      <c r="T8" s="1"/>
      <c r="U8" s="1"/>
      <c r="V8" s="1"/>
      <c r="W8" s="1"/>
      <c r="X8" s="1"/>
      <c r="Y8" s="1"/>
      <c r="Z8" s="1"/>
    </row>
    <row r="9" spans="1:26">
      <c r="A9" s="1"/>
      <c r="B9" s="24"/>
      <c r="C9" s="25"/>
      <c r="D9" s="25"/>
      <c r="E9" s="25"/>
      <c r="F9" s="25"/>
      <c r="G9" s="25"/>
      <c r="H9" s="25"/>
      <c r="I9" s="25"/>
      <c r="J9" s="25"/>
      <c r="K9" s="25"/>
      <c r="L9" s="26"/>
      <c r="M9" s="1"/>
      <c r="N9" s="1"/>
      <c r="O9" s="1"/>
      <c r="P9" s="1"/>
      <c r="Q9" s="1"/>
      <c r="R9" s="1"/>
      <c r="S9" s="1"/>
      <c r="T9" s="1"/>
      <c r="U9" s="1"/>
      <c r="V9" s="1"/>
      <c r="W9" s="1"/>
      <c r="X9" s="1"/>
      <c r="Y9" s="1"/>
      <c r="Z9" s="1"/>
    </row>
    <row r="10" spans="1:26">
      <c r="A10" s="1"/>
      <c r="B10" s="24"/>
      <c r="C10" s="25"/>
      <c r="D10" s="25"/>
      <c r="E10" s="25"/>
      <c r="F10" s="25"/>
      <c r="G10" s="25"/>
      <c r="H10" s="25"/>
      <c r="I10" s="25"/>
      <c r="J10" s="25"/>
      <c r="K10" s="25"/>
      <c r="L10" s="26"/>
      <c r="M10" s="1"/>
      <c r="N10" s="1"/>
      <c r="O10" s="1"/>
      <c r="P10" s="1"/>
      <c r="Q10" s="1"/>
      <c r="R10" s="1"/>
      <c r="S10" s="1"/>
      <c r="T10" s="1"/>
      <c r="U10" s="1"/>
      <c r="V10" s="1"/>
      <c r="W10" s="1"/>
      <c r="X10" s="1"/>
      <c r="Y10" s="1"/>
      <c r="Z10" s="1"/>
    </row>
    <row r="11" spans="1:26">
      <c r="A11" s="1"/>
      <c r="B11" s="24"/>
      <c r="C11" s="25"/>
      <c r="D11" s="25"/>
      <c r="E11" s="25"/>
      <c r="F11" s="25"/>
      <c r="G11" s="25"/>
      <c r="H11" s="25"/>
      <c r="I11" s="25"/>
      <c r="J11" s="25"/>
      <c r="K11" s="25"/>
      <c r="L11" s="26"/>
      <c r="M11" s="1"/>
      <c r="N11" s="1"/>
      <c r="O11" s="1"/>
      <c r="P11" s="1"/>
      <c r="Q11" s="1"/>
      <c r="R11" s="1"/>
      <c r="S11" s="1"/>
      <c r="T11" s="1"/>
      <c r="U11" s="1"/>
      <c r="V11" s="1"/>
      <c r="W11" s="1"/>
      <c r="X11" s="1"/>
      <c r="Y11" s="1"/>
      <c r="Z11" s="1"/>
    </row>
    <row r="12" spans="1:26">
      <c r="A12" s="1"/>
      <c r="B12" s="24"/>
      <c r="C12" s="25"/>
      <c r="D12" s="25"/>
      <c r="E12" s="25"/>
      <c r="F12" s="25"/>
      <c r="G12" s="25"/>
      <c r="H12" s="25"/>
      <c r="I12" s="25"/>
      <c r="J12" s="25"/>
      <c r="K12" s="25"/>
      <c r="L12" s="26"/>
      <c r="M12" s="1"/>
      <c r="N12" s="1"/>
      <c r="O12" s="1"/>
      <c r="P12" s="1"/>
      <c r="Q12" s="1"/>
      <c r="R12" s="1"/>
      <c r="S12" s="1"/>
      <c r="T12" s="1"/>
      <c r="U12" s="1"/>
      <c r="V12" s="1"/>
      <c r="W12" s="1"/>
      <c r="X12" s="1"/>
      <c r="Y12" s="1"/>
      <c r="Z12" s="1"/>
    </row>
    <row r="13" spans="1:26">
      <c r="A13" s="1"/>
      <c r="B13" s="24"/>
      <c r="C13" s="25"/>
      <c r="D13" s="25"/>
      <c r="E13" s="25"/>
      <c r="F13" s="25"/>
      <c r="G13" s="25"/>
      <c r="H13" s="25"/>
      <c r="I13" s="25"/>
      <c r="J13" s="25"/>
      <c r="K13" s="25"/>
      <c r="L13" s="26"/>
      <c r="M13" s="1"/>
      <c r="N13" s="1"/>
      <c r="O13" s="1"/>
      <c r="P13" s="1"/>
      <c r="Q13" s="1"/>
      <c r="R13" s="1"/>
      <c r="S13" s="1"/>
      <c r="T13" s="1"/>
      <c r="U13" s="1"/>
      <c r="V13" s="1"/>
      <c r="W13" s="1"/>
      <c r="X13" s="1"/>
      <c r="Y13" s="1"/>
      <c r="Z13" s="1"/>
    </row>
    <row r="14" spans="1:26">
      <c r="A14" s="1"/>
      <c r="B14" s="24"/>
      <c r="C14" s="25"/>
      <c r="D14" s="25"/>
      <c r="E14" s="25"/>
      <c r="F14" s="25"/>
      <c r="G14" s="25"/>
      <c r="H14" s="25"/>
      <c r="I14" s="25"/>
      <c r="J14" s="25"/>
      <c r="K14" s="25"/>
      <c r="L14" s="26"/>
      <c r="M14" s="1"/>
      <c r="N14" s="1"/>
      <c r="O14" s="1"/>
      <c r="P14" s="1"/>
      <c r="Q14" s="1"/>
      <c r="R14" s="1"/>
      <c r="S14" s="1"/>
      <c r="T14" s="1"/>
      <c r="U14" s="1"/>
      <c r="V14" s="1"/>
      <c r="W14" s="1"/>
      <c r="X14" s="1"/>
      <c r="Y14" s="1"/>
      <c r="Z14" s="1"/>
    </row>
    <row r="15" spans="1:26">
      <c r="A15" s="1"/>
      <c r="B15" s="24"/>
      <c r="C15" s="25"/>
      <c r="D15" s="25"/>
      <c r="E15" s="25"/>
      <c r="F15" s="25"/>
      <c r="G15" s="25"/>
      <c r="H15" s="25"/>
      <c r="I15" s="25"/>
      <c r="J15" s="25"/>
      <c r="K15" s="25"/>
      <c r="L15" s="26"/>
      <c r="M15" s="1"/>
      <c r="N15" s="1"/>
      <c r="O15" s="1"/>
      <c r="P15" s="1"/>
      <c r="Q15" s="1"/>
      <c r="R15" s="1"/>
      <c r="S15" s="1"/>
      <c r="T15" s="1"/>
      <c r="U15" s="1"/>
      <c r="V15" s="1"/>
      <c r="W15" s="1"/>
      <c r="X15" s="1"/>
      <c r="Y15" s="1"/>
      <c r="Z15" s="1"/>
    </row>
    <row r="16" spans="1:26">
      <c r="A16" s="1"/>
      <c r="B16" s="24"/>
      <c r="C16" s="25"/>
      <c r="D16" s="25"/>
      <c r="E16" s="25"/>
      <c r="F16" s="25"/>
      <c r="G16" s="25"/>
      <c r="H16" s="25"/>
      <c r="I16" s="25"/>
      <c r="J16" s="25"/>
      <c r="K16" s="25"/>
      <c r="L16" s="26"/>
      <c r="M16" s="1"/>
      <c r="N16" s="1"/>
      <c r="O16" s="1"/>
      <c r="P16" s="1"/>
      <c r="Q16" s="1"/>
      <c r="R16" s="1"/>
      <c r="S16" s="1"/>
      <c r="T16" s="1"/>
      <c r="U16" s="1"/>
      <c r="V16" s="1"/>
      <c r="W16" s="1"/>
      <c r="X16" s="1"/>
      <c r="Y16" s="1"/>
      <c r="Z16" s="1"/>
    </row>
    <row r="17" spans="1:26">
      <c r="A17" s="1"/>
      <c r="B17" s="24"/>
      <c r="C17" s="25"/>
      <c r="D17" s="25"/>
      <c r="E17" s="25"/>
      <c r="F17" s="25"/>
      <c r="G17" s="25"/>
      <c r="H17" s="25"/>
      <c r="I17" s="25"/>
      <c r="J17" s="25"/>
      <c r="K17" s="25"/>
      <c r="L17" s="26"/>
      <c r="M17" s="1"/>
      <c r="N17" s="1"/>
      <c r="O17" s="1"/>
      <c r="P17" s="1"/>
      <c r="Q17" s="1"/>
      <c r="R17" s="1"/>
      <c r="S17" s="1"/>
      <c r="T17" s="1"/>
      <c r="U17" s="1"/>
      <c r="V17" s="1"/>
      <c r="W17" s="1"/>
      <c r="X17" s="1"/>
      <c r="Y17" s="1"/>
      <c r="Z17" s="1"/>
    </row>
    <row r="18" spans="1:26" ht="15.75" customHeight="1">
      <c r="A18" s="1"/>
      <c r="B18" s="24"/>
      <c r="C18" s="25" t="s">
        <v>27</v>
      </c>
      <c r="D18" s="27">
        <f>+Datos!$C$4</f>
        <v>1</v>
      </c>
      <c r="E18" s="25"/>
      <c r="F18" s="25"/>
      <c r="G18" s="25"/>
      <c r="H18" s="25"/>
      <c r="I18" s="25"/>
      <c r="J18" s="25"/>
      <c r="K18" s="25"/>
      <c r="L18" s="26"/>
      <c r="M18" s="1"/>
      <c r="N18" s="1"/>
      <c r="O18" s="1"/>
      <c r="P18" s="1"/>
      <c r="Q18" s="1"/>
      <c r="R18" s="1"/>
      <c r="S18" s="1"/>
      <c r="T18" s="1"/>
      <c r="U18" s="1"/>
      <c r="V18" s="1"/>
      <c r="W18" s="1"/>
      <c r="X18" s="1"/>
      <c r="Y18" s="1"/>
      <c r="Z18" s="1"/>
    </row>
    <row r="19" spans="1:26">
      <c r="A19" s="1"/>
      <c r="B19" s="24"/>
      <c r="C19" s="27" t="s">
        <v>28</v>
      </c>
      <c r="D19" s="28" t="e">
        <f ca="1">_xludf.CONCAT(Datos!C7,"/",Datos!D7,"/",Datos!E7)</f>
        <v>#NAME?</v>
      </c>
      <c r="E19" s="25"/>
      <c r="F19" s="25"/>
      <c r="G19" s="25"/>
      <c r="H19" s="25"/>
      <c r="I19" s="29" t="str">
        <f>+Datos!$C$27</f>
        <v>SASERCO SAS</v>
      </c>
      <c r="J19" s="25"/>
      <c r="K19" s="25"/>
      <c r="L19" s="26"/>
      <c r="M19" s="1"/>
      <c r="N19" s="1"/>
      <c r="O19" s="1"/>
      <c r="P19" s="1"/>
      <c r="Q19" s="1"/>
      <c r="R19" s="1"/>
      <c r="S19" s="1"/>
      <c r="T19" s="1"/>
      <c r="U19" s="1"/>
      <c r="V19" s="1"/>
      <c r="W19" s="1"/>
      <c r="X19" s="1"/>
      <c r="Y19" s="1"/>
      <c r="Z19" s="1"/>
    </row>
    <row r="20" spans="1:26" ht="14.25" customHeight="1">
      <c r="A20" s="1"/>
      <c r="B20" s="30"/>
      <c r="C20" s="31"/>
      <c r="D20" s="31"/>
      <c r="E20" s="31"/>
      <c r="F20" s="31"/>
      <c r="G20" s="31"/>
      <c r="H20" s="31"/>
      <c r="I20" s="31"/>
      <c r="J20" s="31"/>
      <c r="K20" s="31"/>
      <c r="L20" s="32"/>
      <c r="M20" s="1"/>
      <c r="N20" s="1"/>
      <c r="O20" s="1"/>
      <c r="P20" s="1"/>
      <c r="Q20" s="1"/>
      <c r="R20" s="1"/>
      <c r="S20" s="1"/>
      <c r="T20" s="1"/>
      <c r="U20" s="1"/>
      <c r="V20" s="1"/>
      <c r="W20" s="1"/>
      <c r="X20" s="1"/>
      <c r="Y20" s="1"/>
      <c r="Z20" s="1"/>
    </row>
    <row r="21" spans="1:26"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C3:K6"/>
  </mergeCells>
  <printOptions horizontalCentered="1" verticalCentered="1"/>
  <pageMargins left="0.11811023622047245" right="0.11811023622047245" top="0.74803149606299213" bottom="0.55118110236220474" header="0" footer="0"/>
  <pageSetup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2CB"/>
    <pageSetUpPr fitToPage="1"/>
  </sheetPr>
  <dimension ref="A1:AA1031"/>
  <sheetViews>
    <sheetView topLeftCell="A546" zoomScale="70" zoomScaleNormal="70" workbookViewId="0">
      <selection activeCell="D588" sqref="D588"/>
    </sheetView>
  </sheetViews>
  <sheetFormatPr baseColWidth="10" defaultColWidth="14.42578125" defaultRowHeight="15" customHeight="1"/>
  <cols>
    <col min="1" max="1" width="4.42578125" customWidth="1"/>
    <col min="2" max="2" width="17.5703125" customWidth="1"/>
    <col min="3" max="3" width="30.5703125" hidden="1" customWidth="1"/>
    <col min="4" max="4" width="91.85546875" customWidth="1"/>
    <col min="5" max="5" width="15.140625" customWidth="1"/>
    <col min="6" max="6" width="13.140625" customWidth="1"/>
    <col min="7" max="7" width="16.85546875" customWidth="1"/>
    <col min="8" max="8" width="17.5703125" customWidth="1"/>
    <col min="9" max="9" width="16.42578125" customWidth="1"/>
    <col min="10" max="10" width="17.140625" customWidth="1"/>
    <col min="11" max="11" width="26.28515625" customWidth="1"/>
    <col min="12" max="12" width="19.5703125" customWidth="1"/>
    <col min="13" max="13" width="26.42578125" customWidth="1"/>
    <col min="14" max="14" width="17.140625" customWidth="1"/>
    <col min="15" max="15" width="26.42578125" customWidth="1"/>
    <col min="16" max="16" width="17.140625" customWidth="1"/>
    <col min="17" max="27" width="12.5703125" customWidth="1"/>
  </cols>
  <sheetData>
    <row r="1" spans="1:27">
      <c r="A1" s="1"/>
      <c r="B1" s="1"/>
      <c r="C1" s="1"/>
      <c r="D1" s="1"/>
      <c r="E1" s="1"/>
      <c r="F1" s="1"/>
      <c r="G1" s="1"/>
      <c r="H1" s="1"/>
      <c r="I1" s="1"/>
      <c r="J1" s="1"/>
      <c r="K1" s="1"/>
      <c r="L1" s="1"/>
      <c r="M1" s="1"/>
      <c r="N1" s="1"/>
      <c r="O1" s="1"/>
      <c r="P1" s="1"/>
      <c r="Q1" s="1"/>
      <c r="R1" s="1"/>
      <c r="S1" s="1"/>
      <c r="T1" s="1"/>
      <c r="U1" s="1"/>
      <c r="V1" s="1"/>
      <c r="W1" s="1"/>
      <c r="X1" s="1"/>
      <c r="Y1" s="1"/>
      <c r="Z1" s="1"/>
      <c r="AA1" s="1"/>
    </row>
    <row r="2" spans="1:27" ht="20.25" customHeight="1">
      <c r="A2" s="1"/>
      <c r="B2" s="997"/>
      <c r="C2" s="927"/>
      <c r="D2" s="998" t="str">
        <f>+Datos!$C$9</f>
        <v>CONSEJO SUPERIOR  DE  JUDICATURA– DIRECCIÓN  EJECUTIVA  SECCIONAL  DE ADMINISTRACIÓN JUDICIAL DE BUCARAMANGA</v>
      </c>
      <c r="E2" s="927"/>
      <c r="F2" s="999" t="s">
        <v>1</v>
      </c>
      <c r="G2" s="1000"/>
      <c r="H2" s="479">
        <f>Datos!C4</f>
        <v>1</v>
      </c>
      <c r="I2" s="989"/>
      <c r="J2" s="927"/>
      <c r="K2" s="180"/>
      <c r="L2" s="480"/>
      <c r="M2" s="481"/>
      <c r="N2" s="482"/>
      <c r="O2" s="481"/>
      <c r="P2" s="482"/>
      <c r="Q2" s="483"/>
      <c r="R2" s="483"/>
      <c r="S2" s="483"/>
      <c r="T2" s="483"/>
      <c r="U2" s="483"/>
      <c r="V2" s="483"/>
      <c r="W2" s="483"/>
      <c r="X2" s="483"/>
      <c r="Y2" s="483"/>
      <c r="Z2" s="483"/>
      <c r="AA2" s="483"/>
    </row>
    <row r="3" spans="1:27" ht="62.25" customHeight="1">
      <c r="A3" s="1"/>
      <c r="B3" s="920"/>
      <c r="C3" s="924"/>
      <c r="D3" s="920"/>
      <c r="E3" s="924"/>
      <c r="F3" s="1001" t="s">
        <v>29</v>
      </c>
      <c r="G3" s="940"/>
      <c r="H3" s="973"/>
      <c r="I3" s="920"/>
      <c r="J3" s="924"/>
      <c r="K3" s="180"/>
      <c r="L3" s="480"/>
      <c r="M3" s="481"/>
      <c r="N3" s="482"/>
      <c r="O3" s="481"/>
      <c r="P3" s="482"/>
      <c r="Q3" s="483"/>
      <c r="R3" s="483"/>
      <c r="S3" s="483"/>
      <c r="T3" s="483"/>
      <c r="U3" s="483"/>
      <c r="V3" s="483"/>
      <c r="W3" s="483"/>
      <c r="X3" s="483"/>
      <c r="Y3" s="483"/>
      <c r="Z3" s="483"/>
      <c r="AA3" s="483"/>
    </row>
    <row r="4" spans="1:27" ht="29.25" customHeight="1">
      <c r="A4" s="1"/>
      <c r="B4" s="920"/>
      <c r="C4" s="924"/>
      <c r="D4" s="1002"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E4" s="924"/>
      <c r="F4" s="162">
        <v>1</v>
      </c>
      <c r="G4" s="163" t="s">
        <v>30</v>
      </c>
      <c r="H4" s="164">
        <v>1</v>
      </c>
      <c r="I4" s="920"/>
      <c r="J4" s="924"/>
      <c r="K4" s="180"/>
      <c r="L4" s="480"/>
      <c r="M4" s="481"/>
      <c r="N4" s="482"/>
      <c r="O4" s="481"/>
      <c r="P4" s="482"/>
      <c r="Q4" s="483"/>
      <c r="R4" s="483"/>
      <c r="S4" s="483"/>
      <c r="T4" s="483"/>
      <c r="U4" s="483"/>
      <c r="V4" s="483"/>
      <c r="W4" s="483"/>
      <c r="X4" s="483"/>
      <c r="Y4" s="483"/>
      <c r="Z4" s="483"/>
      <c r="AA4" s="483"/>
    </row>
    <row r="5" spans="1:27" ht="77.25" customHeight="1">
      <c r="A5" s="1"/>
      <c r="B5" s="920"/>
      <c r="C5" s="924"/>
      <c r="D5" s="1003"/>
      <c r="E5" s="1004"/>
      <c r="F5" s="1001" t="s">
        <v>2</v>
      </c>
      <c r="G5" s="940"/>
      <c r="H5" s="973"/>
      <c r="I5" s="920"/>
      <c r="J5" s="924"/>
      <c r="K5" s="180"/>
      <c r="L5" s="480"/>
      <c r="M5" s="481"/>
      <c r="N5" s="482"/>
      <c r="O5" s="481"/>
      <c r="P5" s="482"/>
      <c r="Q5" s="483"/>
      <c r="R5" s="483"/>
      <c r="S5" s="483"/>
      <c r="T5" s="483"/>
      <c r="U5" s="483"/>
      <c r="V5" s="483"/>
      <c r="W5" s="483"/>
      <c r="X5" s="483"/>
      <c r="Y5" s="483"/>
      <c r="Z5" s="483"/>
      <c r="AA5" s="483"/>
    </row>
    <row r="6" spans="1:27" ht="20.25" customHeight="1">
      <c r="A6" s="1"/>
      <c r="B6" s="920"/>
      <c r="C6" s="924"/>
      <c r="D6" s="1005" t="s">
        <v>1265</v>
      </c>
      <c r="E6" s="1006"/>
      <c r="F6" s="162" t="s">
        <v>3</v>
      </c>
      <c r="G6" s="163" t="s">
        <v>4</v>
      </c>
      <c r="H6" s="164" t="s">
        <v>5</v>
      </c>
      <c r="I6" s="920"/>
      <c r="J6" s="924"/>
      <c r="K6" s="180"/>
      <c r="L6" s="480"/>
      <c r="M6" s="481"/>
      <c r="N6" s="482"/>
      <c r="O6" s="481"/>
      <c r="P6" s="482"/>
      <c r="Q6" s="483"/>
      <c r="R6" s="483"/>
      <c r="S6" s="483"/>
      <c r="T6" s="483"/>
      <c r="U6" s="483"/>
      <c r="V6" s="483"/>
      <c r="W6" s="483"/>
      <c r="X6" s="483"/>
      <c r="Y6" s="483"/>
      <c r="Z6" s="483"/>
      <c r="AA6" s="483"/>
    </row>
    <row r="7" spans="1:27" ht="20.25" customHeight="1">
      <c r="A7" s="1"/>
      <c r="B7" s="929"/>
      <c r="C7" s="938"/>
      <c r="D7" s="929"/>
      <c r="E7" s="938"/>
      <c r="F7" s="165">
        <f>+Datos!$C$7</f>
        <v>19</v>
      </c>
      <c r="G7" s="166">
        <f>+Datos!$D$7</f>
        <v>6</v>
      </c>
      <c r="H7" s="167">
        <f>+Datos!$E$7</f>
        <v>2026</v>
      </c>
      <c r="I7" s="929"/>
      <c r="J7" s="938"/>
      <c r="K7" s="180"/>
      <c r="L7" s="480"/>
      <c r="M7" s="481"/>
      <c r="N7" s="482"/>
      <c r="O7" s="481"/>
      <c r="P7" s="482"/>
      <c r="Q7" s="483"/>
      <c r="R7" s="483"/>
      <c r="S7" s="483"/>
      <c r="T7" s="483"/>
      <c r="U7" s="483"/>
      <c r="V7" s="483"/>
      <c r="W7" s="483"/>
      <c r="X7" s="483"/>
      <c r="Y7" s="483"/>
      <c r="Z7" s="483"/>
      <c r="AA7" s="483"/>
    </row>
    <row r="8" spans="1:27" ht="14.25" customHeight="1">
      <c r="A8" s="1"/>
      <c r="B8" s="168"/>
      <c r="C8" s="169"/>
      <c r="D8" s="161"/>
      <c r="E8" s="1"/>
      <c r="F8" s="1"/>
      <c r="G8" s="1"/>
      <c r="H8" s="1"/>
      <c r="I8" s="178"/>
      <c r="J8" s="178"/>
      <c r="K8" s="180"/>
      <c r="L8" s="480"/>
      <c r="M8" s="481"/>
      <c r="N8" s="482"/>
      <c r="O8" s="481"/>
      <c r="P8" s="482"/>
      <c r="Q8" s="483"/>
      <c r="R8" s="483"/>
      <c r="S8" s="483"/>
      <c r="T8" s="483"/>
      <c r="U8" s="483"/>
      <c r="V8" s="483"/>
      <c r="W8" s="483"/>
      <c r="X8" s="483"/>
      <c r="Y8" s="483"/>
      <c r="Z8" s="483"/>
      <c r="AA8" s="483"/>
    </row>
    <row r="9" spans="1:27" ht="14.25" customHeight="1">
      <c r="A9" s="1"/>
      <c r="B9" s="484" t="s">
        <v>852</v>
      </c>
      <c r="C9" s="485">
        <v>46054</v>
      </c>
      <c r="D9" s="161"/>
      <c r="E9" s="1"/>
      <c r="F9" s="1"/>
      <c r="G9" s="1"/>
      <c r="H9" s="1"/>
      <c r="I9" s="178"/>
      <c r="J9" s="178"/>
      <c r="K9" s="180"/>
      <c r="L9" s="480"/>
      <c r="M9" s="481"/>
      <c r="N9" s="482"/>
      <c r="O9" s="481"/>
      <c r="P9" s="482"/>
      <c r="Q9" s="483"/>
      <c r="R9" s="483"/>
      <c r="S9" s="483"/>
      <c r="T9" s="483"/>
      <c r="U9" s="483"/>
      <c r="V9" s="483"/>
      <c r="W9" s="483"/>
      <c r="X9" s="483"/>
      <c r="Y9" s="483"/>
      <c r="Z9" s="483"/>
      <c r="AA9" s="483"/>
    </row>
    <row r="10" spans="1:27" ht="14.25" customHeight="1">
      <c r="A10" s="1"/>
      <c r="B10" s="484" t="s">
        <v>1266</v>
      </c>
      <c r="C10" s="486">
        <v>0</v>
      </c>
      <c r="D10" s="161"/>
      <c r="E10" s="1"/>
      <c r="F10" s="1"/>
      <c r="G10" s="1"/>
      <c r="H10" s="1"/>
      <c r="I10" s="178"/>
      <c r="J10" s="178"/>
      <c r="K10" s="180"/>
      <c r="L10" s="480"/>
      <c r="M10" s="481"/>
      <c r="N10" s="482"/>
      <c r="O10" s="481"/>
      <c r="P10" s="482"/>
      <c r="Q10" s="483"/>
      <c r="R10" s="483"/>
      <c r="S10" s="483"/>
      <c r="T10" s="483"/>
      <c r="U10" s="483"/>
      <c r="V10" s="483"/>
      <c r="W10" s="483"/>
      <c r="X10" s="483"/>
      <c r="Y10" s="483"/>
      <c r="Z10" s="483"/>
      <c r="AA10" s="483"/>
    </row>
    <row r="11" spans="1:27" ht="14.25" customHeight="1">
      <c r="A11" s="1"/>
      <c r="B11" s="1"/>
      <c r="C11" s="1"/>
      <c r="D11" s="170"/>
      <c r="E11" s="184"/>
      <c r="F11" s="487"/>
      <c r="G11" s="184"/>
      <c r="H11" s="184"/>
      <c r="I11" s="488"/>
      <c r="J11" s="488"/>
      <c r="K11" s="489"/>
      <c r="L11" s="490"/>
      <c r="M11" s="481"/>
      <c r="N11" s="482"/>
      <c r="O11" s="481"/>
      <c r="P11" s="482"/>
      <c r="Q11" s="483"/>
      <c r="R11" s="483"/>
      <c r="S11" s="483"/>
      <c r="T11" s="483"/>
      <c r="U11" s="483"/>
      <c r="V11" s="483"/>
      <c r="W11" s="483"/>
      <c r="X11" s="483"/>
      <c r="Y11" s="483"/>
      <c r="Z11" s="483"/>
      <c r="AA11" s="483"/>
    </row>
    <row r="12" spans="1:27" ht="14.25" customHeight="1">
      <c r="A12" s="1"/>
      <c r="B12" s="487">
        <v>1</v>
      </c>
      <c r="C12" s="487">
        <v>2</v>
      </c>
      <c r="D12" s="168">
        <v>3</v>
      </c>
      <c r="E12" s="487">
        <v>4</v>
      </c>
      <c r="F12" s="487">
        <v>5</v>
      </c>
      <c r="G12" s="487">
        <v>6</v>
      </c>
      <c r="H12" s="487">
        <v>7</v>
      </c>
      <c r="I12" s="491"/>
      <c r="J12" s="492" t="s">
        <v>1267</v>
      </c>
      <c r="K12" s="990" t="s">
        <v>1268</v>
      </c>
      <c r="L12" s="927"/>
      <c r="M12" s="990" t="s">
        <v>1269</v>
      </c>
      <c r="N12" s="927"/>
      <c r="O12" s="990" t="s">
        <v>1270</v>
      </c>
      <c r="P12" s="927"/>
      <c r="Q12" s="483"/>
      <c r="R12" s="483"/>
      <c r="S12" s="483"/>
      <c r="T12" s="483"/>
      <c r="U12" s="483"/>
      <c r="V12" s="483"/>
      <c r="W12" s="483"/>
      <c r="X12" s="483"/>
      <c r="Y12" s="483"/>
      <c r="Z12" s="483"/>
      <c r="AA12" s="483"/>
    </row>
    <row r="13" spans="1:27" ht="21" customHeight="1">
      <c r="A13" s="1"/>
      <c r="B13" s="493" t="s">
        <v>260</v>
      </c>
      <c r="C13" s="494" t="s">
        <v>1271</v>
      </c>
      <c r="D13" s="495" t="s">
        <v>262</v>
      </c>
      <c r="E13" s="494" t="s">
        <v>263</v>
      </c>
      <c r="F13" s="494" t="s">
        <v>264</v>
      </c>
      <c r="G13" s="494" t="s">
        <v>1196</v>
      </c>
      <c r="H13" s="496" t="s">
        <v>266</v>
      </c>
      <c r="I13" s="497" t="s">
        <v>1272</v>
      </c>
      <c r="J13" s="498" t="s">
        <v>266</v>
      </c>
      <c r="K13" s="499" t="s">
        <v>1273</v>
      </c>
      <c r="L13" s="500" t="s">
        <v>266</v>
      </c>
      <c r="M13" s="499" t="s">
        <v>1273</v>
      </c>
      <c r="N13" s="500" t="s">
        <v>266</v>
      </c>
      <c r="O13" s="499" t="s">
        <v>1273</v>
      </c>
      <c r="P13" s="500" t="s">
        <v>266</v>
      </c>
      <c r="Q13" s="483"/>
      <c r="R13" s="483"/>
      <c r="S13" s="483"/>
      <c r="T13" s="483"/>
      <c r="U13" s="483"/>
      <c r="V13" s="483"/>
      <c r="W13" s="483"/>
      <c r="X13" s="483"/>
      <c r="Y13" s="483"/>
      <c r="Z13" s="483"/>
      <c r="AA13" s="483"/>
    </row>
    <row r="14" spans="1:27" ht="19.5" customHeight="1">
      <c r="A14" s="1"/>
      <c r="B14" s="501" t="s">
        <v>1274</v>
      </c>
      <c r="C14" s="502"/>
      <c r="D14" s="503"/>
      <c r="E14" s="504"/>
      <c r="F14" s="505"/>
      <c r="G14" s="505"/>
      <c r="H14" s="506"/>
      <c r="I14" s="507"/>
      <c r="J14" s="508"/>
      <c r="K14" s="509"/>
      <c r="L14" s="510"/>
      <c r="M14" s="509"/>
      <c r="N14" s="510"/>
      <c r="O14" s="509"/>
      <c r="P14" s="510"/>
      <c r="Q14" s="483"/>
      <c r="R14" s="483"/>
      <c r="S14" s="483"/>
      <c r="T14" s="483"/>
      <c r="U14" s="483"/>
      <c r="V14" s="483"/>
      <c r="W14" s="483"/>
      <c r="X14" s="483"/>
      <c r="Y14" s="483"/>
      <c r="Z14" s="483"/>
      <c r="AA14" s="483"/>
    </row>
    <row r="15" spans="1:27">
      <c r="A15" s="1"/>
      <c r="B15" s="511" t="s">
        <v>1275</v>
      </c>
      <c r="C15" s="512" t="s">
        <v>1276</v>
      </c>
      <c r="D15" s="208" t="s">
        <v>1205</v>
      </c>
      <c r="E15" s="513">
        <f t="shared" ref="E15:E21" si="0">+H15/1.19</f>
        <v>38.655462184873954</v>
      </c>
      <c r="F15" s="514" t="s">
        <v>1277</v>
      </c>
      <c r="G15" s="512"/>
      <c r="H15" s="515">
        <f t="shared" ref="H15:H115" si="1">ROUNDUP($J15*(1+$C$10),0)</f>
        <v>46</v>
      </c>
      <c r="I15" s="516"/>
      <c r="J15" s="517">
        <f t="shared" ref="J15:J95" si="2">IFERROR(AVERAGEIF($K$13:$P$13,"PRECIO IVA INC.",K15:P15),)</f>
        <v>45.575000000000003</v>
      </c>
      <c r="K15" s="518" t="s">
        <v>1278</v>
      </c>
      <c r="L15" s="519">
        <v>50</v>
      </c>
      <c r="M15" s="518" t="s">
        <v>1279</v>
      </c>
      <c r="N15" s="519">
        <v>41.15</v>
      </c>
      <c r="O15" s="518"/>
      <c r="P15" s="519"/>
      <c r="Q15" s="483"/>
      <c r="R15" s="483"/>
      <c r="S15" s="483"/>
      <c r="T15" s="483"/>
      <c r="U15" s="483"/>
      <c r="V15" s="483"/>
      <c r="W15" s="483"/>
      <c r="X15" s="483"/>
      <c r="Y15" s="483"/>
      <c r="Z15" s="483"/>
      <c r="AA15" s="483"/>
    </row>
    <row r="16" spans="1:27">
      <c r="A16" s="1"/>
      <c r="B16" s="511" t="s">
        <v>1280</v>
      </c>
      <c r="C16" s="512" t="s">
        <v>1276</v>
      </c>
      <c r="D16" s="208" t="s">
        <v>2579</v>
      </c>
      <c r="E16" s="513">
        <f t="shared" si="0"/>
        <v>69815.126050420178</v>
      </c>
      <c r="F16" s="514" t="s">
        <v>741</v>
      </c>
      <c r="G16" s="512"/>
      <c r="H16" s="515">
        <f t="shared" si="1"/>
        <v>83080</v>
      </c>
      <c r="I16" s="520"/>
      <c r="J16" s="517">
        <f t="shared" si="2"/>
        <v>83080</v>
      </c>
      <c r="K16" s="518" t="s">
        <v>1282</v>
      </c>
      <c r="L16" s="519">
        <f>40000*1.19</f>
        <v>47600</v>
      </c>
      <c r="M16" s="521" t="s">
        <v>1283</v>
      </c>
      <c r="N16" s="522">
        <v>135000</v>
      </c>
      <c r="O16" s="521" t="s">
        <v>1284</v>
      </c>
      <c r="P16" s="522">
        <v>66640</v>
      </c>
      <c r="Q16" s="483"/>
      <c r="R16" s="483"/>
      <c r="S16" s="483"/>
      <c r="T16" s="483"/>
      <c r="U16" s="483"/>
      <c r="V16" s="483"/>
      <c r="W16" s="483"/>
      <c r="X16" s="483"/>
      <c r="Y16" s="483"/>
      <c r="Z16" s="483"/>
      <c r="AA16" s="483"/>
    </row>
    <row r="17" spans="1:27">
      <c r="A17" s="1"/>
      <c r="B17" s="511" t="s">
        <v>1285</v>
      </c>
      <c r="C17" s="512" t="s">
        <v>1276</v>
      </c>
      <c r="D17" s="208" t="s">
        <v>1206</v>
      </c>
      <c r="E17" s="513">
        <f t="shared" si="0"/>
        <v>72616.806722689085</v>
      </c>
      <c r="F17" s="514" t="s">
        <v>741</v>
      </c>
      <c r="G17" s="512"/>
      <c r="H17" s="515">
        <f t="shared" si="1"/>
        <v>86414</v>
      </c>
      <c r="I17" s="520"/>
      <c r="J17" s="517">
        <f t="shared" si="2"/>
        <v>86413.333333333328</v>
      </c>
      <c r="K17" s="518" t="s">
        <v>1286</v>
      </c>
      <c r="L17" s="519">
        <v>57600</v>
      </c>
      <c r="M17" s="521" t="s">
        <v>1283</v>
      </c>
      <c r="N17" s="522">
        <v>135000</v>
      </c>
      <c r="O17" s="521" t="s">
        <v>1284</v>
      </c>
      <c r="P17" s="522">
        <v>66640</v>
      </c>
      <c r="Q17" s="483"/>
      <c r="R17" s="1"/>
      <c r="S17" s="1"/>
      <c r="T17" s="1"/>
      <c r="U17" s="1"/>
      <c r="V17" s="1"/>
      <c r="W17" s="1"/>
      <c r="X17" s="1"/>
      <c r="Y17" s="1"/>
      <c r="Z17" s="1"/>
      <c r="AA17" s="1"/>
    </row>
    <row r="18" spans="1:27">
      <c r="A18" s="1"/>
      <c r="B18" s="511" t="s">
        <v>1287</v>
      </c>
      <c r="C18" s="512" t="s">
        <v>1276</v>
      </c>
      <c r="D18" s="208" t="s">
        <v>1288</v>
      </c>
      <c r="E18" s="513">
        <f t="shared" si="0"/>
        <v>0</v>
      </c>
      <c r="F18" s="514" t="s">
        <v>741</v>
      </c>
      <c r="G18" s="512"/>
      <c r="H18" s="515">
        <f t="shared" si="1"/>
        <v>0</v>
      </c>
      <c r="I18" s="523"/>
      <c r="J18" s="524">
        <f t="shared" si="2"/>
        <v>0</v>
      </c>
      <c r="K18" s="518"/>
      <c r="L18" s="519"/>
      <c r="M18" s="518"/>
      <c r="N18" s="519"/>
      <c r="O18" s="518"/>
      <c r="P18" s="519"/>
      <c r="Q18" s="483"/>
      <c r="R18" s="1"/>
      <c r="S18" s="1"/>
      <c r="T18" s="1"/>
      <c r="U18" s="1"/>
      <c r="V18" s="1"/>
      <c r="W18" s="1"/>
      <c r="X18" s="1"/>
      <c r="Y18" s="1"/>
      <c r="Z18" s="1"/>
      <c r="AA18" s="1"/>
    </row>
    <row r="19" spans="1:27">
      <c r="A19" s="1"/>
      <c r="B19" s="511" t="s">
        <v>1289</v>
      </c>
      <c r="C19" s="512" t="s">
        <v>1276</v>
      </c>
      <c r="D19" s="208" t="s">
        <v>1290</v>
      </c>
      <c r="E19" s="513">
        <f t="shared" si="0"/>
        <v>19243.697478991598</v>
      </c>
      <c r="F19" s="514" t="s">
        <v>1291</v>
      </c>
      <c r="G19" s="512"/>
      <c r="H19" s="515">
        <f t="shared" si="1"/>
        <v>22900</v>
      </c>
      <c r="I19" s="520"/>
      <c r="J19" s="517">
        <f t="shared" si="2"/>
        <v>22900</v>
      </c>
      <c r="K19" s="521" t="s">
        <v>1292</v>
      </c>
      <c r="L19" s="522">
        <v>22900</v>
      </c>
      <c r="M19" s="518"/>
      <c r="N19" s="525"/>
      <c r="O19" s="518"/>
      <c r="P19" s="519"/>
      <c r="Q19" s="483"/>
      <c r="R19" s="1"/>
      <c r="S19" s="1"/>
      <c r="T19" s="1"/>
      <c r="U19" s="1"/>
      <c r="V19" s="1"/>
      <c r="W19" s="1"/>
      <c r="X19" s="1"/>
      <c r="Y19" s="1"/>
      <c r="Z19" s="1"/>
      <c r="AA19" s="1"/>
    </row>
    <row r="20" spans="1:27">
      <c r="A20" s="1"/>
      <c r="B20" s="511" t="s">
        <v>1293</v>
      </c>
      <c r="C20" s="512" t="s">
        <v>1276</v>
      </c>
      <c r="D20" s="208" t="s">
        <v>1294</v>
      </c>
      <c r="E20" s="513">
        <f t="shared" si="0"/>
        <v>65200</v>
      </c>
      <c r="F20" s="514" t="s">
        <v>741</v>
      </c>
      <c r="G20" s="512"/>
      <c r="H20" s="515">
        <f t="shared" si="1"/>
        <v>77588</v>
      </c>
      <c r="I20" s="520"/>
      <c r="J20" s="517">
        <f t="shared" si="2"/>
        <v>77588</v>
      </c>
      <c r="K20" s="518" t="s">
        <v>1282</v>
      </c>
      <c r="L20" s="519">
        <f>75000*1.19</f>
        <v>89250</v>
      </c>
      <c r="M20" s="521" t="s">
        <v>1284</v>
      </c>
      <c r="N20" s="522">
        <v>65926</v>
      </c>
      <c r="O20" s="518"/>
      <c r="P20" s="519"/>
      <c r="Q20" s="483"/>
      <c r="R20" s="1"/>
      <c r="S20" s="1"/>
      <c r="T20" s="1"/>
      <c r="U20" s="1"/>
      <c r="V20" s="1"/>
      <c r="W20" s="1"/>
      <c r="X20" s="1"/>
      <c r="Y20" s="1"/>
      <c r="Z20" s="1"/>
      <c r="AA20" s="1"/>
    </row>
    <row r="21" spans="1:27" ht="15.75" customHeight="1">
      <c r="A21" s="1"/>
      <c r="B21" s="511" t="s">
        <v>1295</v>
      </c>
      <c r="C21" s="512" t="s">
        <v>1276</v>
      </c>
      <c r="D21" s="208" t="s">
        <v>1296</v>
      </c>
      <c r="E21" s="513">
        <f t="shared" si="0"/>
        <v>0</v>
      </c>
      <c r="F21" s="514" t="s">
        <v>1291</v>
      </c>
      <c r="G21" s="512"/>
      <c r="H21" s="515">
        <f t="shared" si="1"/>
        <v>0</v>
      </c>
      <c r="I21" s="523"/>
      <c r="J21" s="524">
        <f t="shared" si="2"/>
        <v>0</v>
      </c>
      <c r="K21" s="518"/>
      <c r="L21" s="519"/>
      <c r="M21" s="518"/>
      <c r="N21" s="519"/>
      <c r="O21" s="518"/>
      <c r="P21" s="519"/>
      <c r="Q21" s="483"/>
      <c r="R21" s="1"/>
      <c r="S21" s="1"/>
      <c r="T21" s="1"/>
      <c r="U21" s="1"/>
      <c r="V21" s="1"/>
      <c r="W21" s="1"/>
      <c r="X21" s="1"/>
      <c r="Y21" s="1"/>
      <c r="Z21" s="1"/>
      <c r="AA21" s="1"/>
    </row>
    <row r="22" spans="1:27" ht="15.75" customHeight="1">
      <c r="A22" s="1"/>
      <c r="B22" s="511" t="s">
        <v>1297</v>
      </c>
      <c r="C22" s="512" t="s">
        <v>1276</v>
      </c>
      <c r="D22" s="208" t="s">
        <v>1298</v>
      </c>
      <c r="E22" s="513">
        <f t="shared" ref="E22:E24" si="3">+IF(H22="","",H22/1.19)</f>
        <v>49300</v>
      </c>
      <c r="F22" s="514" t="s">
        <v>741</v>
      </c>
      <c r="G22" s="512"/>
      <c r="H22" s="515">
        <f t="shared" si="1"/>
        <v>58667</v>
      </c>
      <c r="I22" s="520"/>
      <c r="J22" s="517">
        <f t="shared" si="2"/>
        <v>58667</v>
      </c>
      <c r="K22" s="521" t="s">
        <v>1284</v>
      </c>
      <c r="L22" s="522">
        <v>58667</v>
      </c>
      <c r="M22" s="518"/>
      <c r="N22" s="519"/>
      <c r="O22" s="518"/>
      <c r="P22" s="519"/>
      <c r="Q22" s="483"/>
      <c r="R22" s="1"/>
      <c r="S22" s="1"/>
      <c r="T22" s="1"/>
      <c r="U22" s="1"/>
      <c r="V22" s="1"/>
      <c r="W22" s="1"/>
      <c r="X22" s="1"/>
      <c r="Y22" s="1"/>
      <c r="Z22" s="1"/>
      <c r="AA22" s="1"/>
    </row>
    <row r="23" spans="1:27" ht="15.75" customHeight="1">
      <c r="A23" s="1"/>
      <c r="B23" s="511" t="s">
        <v>1299</v>
      </c>
      <c r="C23" s="512" t="s">
        <v>1276</v>
      </c>
      <c r="D23" s="208" t="s">
        <v>1300</v>
      </c>
      <c r="E23" s="513">
        <f t="shared" si="3"/>
        <v>54600</v>
      </c>
      <c r="F23" s="514" t="s">
        <v>741</v>
      </c>
      <c r="G23" s="512"/>
      <c r="H23" s="515">
        <f t="shared" si="1"/>
        <v>64974</v>
      </c>
      <c r="I23" s="520"/>
      <c r="J23" s="517">
        <f t="shared" si="2"/>
        <v>64974</v>
      </c>
      <c r="K23" s="521" t="s">
        <v>1284</v>
      </c>
      <c r="L23" s="522">
        <f>56000*1.19</f>
        <v>66640</v>
      </c>
      <c r="M23" s="518" t="s">
        <v>1284</v>
      </c>
      <c r="N23" s="519">
        <f>53200*1.19</f>
        <v>63308</v>
      </c>
      <c r="O23" s="518"/>
      <c r="P23" s="519"/>
      <c r="Q23" s="483"/>
      <c r="R23" s="1"/>
      <c r="S23" s="1"/>
      <c r="T23" s="1"/>
      <c r="U23" s="1"/>
      <c r="V23" s="1"/>
      <c r="W23" s="1"/>
      <c r="X23" s="1"/>
      <c r="Y23" s="1"/>
      <c r="Z23" s="1"/>
      <c r="AA23" s="1"/>
    </row>
    <row r="24" spans="1:27" ht="15.75" customHeight="1">
      <c r="A24" s="1"/>
      <c r="B24" s="511" t="s">
        <v>1301</v>
      </c>
      <c r="C24" s="512" t="s">
        <v>1276</v>
      </c>
      <c r="D24" s="208" t="s">
        <v>1302</v>
      </c>
      <c r="E24" s="513">
        <f t="shared" si="3"/>
        <v>428.57142857142861</v>
      </c>
      <c r="F24" s="514" t="s">
        <v>1291</v>
      </c>
      <c r="G24" s="512"/>
      <c r="H24" s="515">
        <f t="shared" si="1"/>
        <v>510</v>
      </c>
      <c r="I24" s="520"/>
      <c r="J24" s="517">
        <f t="shared" si="2"/>
        <v>510</v>
      </c>
      <c r="K24" s="521" t="s">
        <v>1292</v>
      </c>
      <c r="L24" s="522">
        <v>510</v>
      </c>
      <c r="M24" s="518"/>
      <c r="N24" s="519"/>
      <c r="O24" s="518"/>
      <c r="P24" s="519"/>
      <c r="Q24" s="483"/>
      <c r="R24" s="1"/>
      <c r="S24" s="1"/>
      <c r="T24" s="1"/>
      <c r="U24" s="1"/>
      <c r="V24" s="1"/>
      <c r="W24" s="1"/>
      <c r="X24" s="1"/>
      <c r="Y24" s="1"/>
      <c r="Z24" s="1"/>
      <c r="AA24" s="1"/>
    </row>
    <row r="25" spans="1:27" ht="15.75" customHeight="1">
      <c r="A25" s="1"/>
      <c r="B25" s="511" t="s">
        <v>1303</v>
      </c>
      <c r="C25" s="512" t="s">
        <v>1276</v>
      </c>
      <c r="D25" s="208" t="s">
        <v>1304</v>
      </c>
      <c r="E25" s="513">
        <f t="shared" ref="E25:E92" si="4">+H25/1.19</f>
        <v>2295.7983193277314</v>
      </c>
      <c r="F25" s="514" t="s">
        <v>454</v>
      </c>
      <c r="G25" s="512"/>
      <c r="H25" s="515">
        <f t="shared" si="1"/>
        <v>2732</v>
      </c>
      <c r="I25" s="520"/>
      <c r="J25" s="517">
        <f t="shared" si="2"/>
        <v>2731.6666666666665</v>
      </c>
      <c r="K25" s="521" t="s">
        <v>1292</v>
      </c>
      <c r="L25" s="522">
        <f>39900/20</f>
        <v>1995</v>
      </c>
      <c r="M25" s="521" t="s">
        <v>1305</v>
      </c>
      <c r="N25" s="522">
        <v>2800</v>
      </c>
      <c r="O25" s="518" t="s">
        <v>1306</v>
      </c>
      <c r="P25" s="519">
        <v>3400</v>
      </c>
      <c r="Q25" s="483"/>
      <c r="R25" s="1"/>
      <c r="S25" s="1"/>
      <c r="T25" s="1"/>
      <c r="U25" s="1"/>
      <c r="V25" s="1"/>
      <c r="W25" s="1"/>
      <c r="X25" s="1"/>
      <c r="Y25" s="1"/>
      <c r="Z25" s="1"/>
      <c r="AA25" s="1"/>
    </row>
    <row r="26" spans="1:27" ht="15.75" customHeight="1">
      <c r="A26" s="526"/>
      <c r="B26" s="527" t="s">
        <v>1307</v>
      </c>
      <c r="C26" s="528" t="s">
        <v>1276</v>
      </c>
      <c r="D26" s="529" t="s">
        <v>1207</v>
      </c>
      <c r="E26" s="530">
        <f t="shared" si="4"/>
        <v>978.15126050420167</v>
      </c>
      <c r="F26" s="531" t="s">
        <v>454</v>
      </c>
      <c r="G26" s="528"/>
      <c r="H26" s="532">
        <f t="shared" si="1"/>
        <v>1164</v>
      </c>
      <c r="I26" s="533"/>
      <c r="J26" s="532">
        <f t="shared" si="2"/>
        <v>1163.53</v>
      </c>
      <c r="K26" s="534" t="s">
        <v>1292</v>
      </c>
      <c r="L26" s="532">
        <v>790.59</v>
      </c>
      <c r="M26" s="534" t="s">
        <v>1305</v>
      </c>
      <c r="N26" s="532">
        <v>1200</v>
      </c>
      <c r="O26" s="535" t="s">
        <v>1306</v>
      </c>
      <c r="P26" s="536">
        <v>1500</v>
      </c>
      <c r="Q26" s="537"/>
      <c r="R26" s="526"/>
      <c r="S26" s="526"/>
      <c r="T26" s="526"/>
      <c r="U26" s="526"/>
      <c r="V26" s="526"/>
      <c r="W26" s="526"/>
      <c r="X26" s="526"/>
      <c r="Y26" s="526"/>
      <c r="Z26" s="526"/>
      <c r="AA26" s="526"/>
    </row>
    <row r="27" spans="1:27" ht="15.75" customHeight="1">
      <c r="A27" s="1"/>
      <c r="B27" s="511" t="s">
        <v>1308</v>
      </c>
      <c r="C27" s="512" t="s">
        <v>1276</v>
      </c>
      <c r="D27" s="208" t="s">
        <v>1309</v>
      </c>
      <c r="E27" s="513">
        <f t="shared" si="4"/>
        <v>31736.974789915967</v>
      </c>
      <c r="F27" s="514" t="s">
        <v>1291</v>
      </c>
      <c r="G27" s="512"/>
      <c r="H27" s="515">
        <f t="shared" si="1"/>
        <v>37767</v>
      </c>
      <c r="I27" s="520"/>
      <c r="J27" s="517">
        <f t="shared" si="2"/>
        <v>37766.666666666664</v>
      </c>
      <c r="K27" s="521" t="s">
        <v>1292</v>
      </c>
      <c r="L27" s="522">
        <v>33500</v>
      </c>
      <c r="M27" s="521" t="s">
        <v>1305</v>
      </c>
      <c r="N27" s="522">
        <v>34900</v>
      </c>
      <c r="O27" s="518" t="s">
        <v>1306</v>
      </c>
      <c r="P27" s="519">
        <v>44900</v>
      </c>
      <c r="Q27" s="538"/>
      <c r="R27" s="1"/>
      <c r="S27" s="1"/>
      <c r="T27" s="1"/>
      <c r="U27" s="1"/>
      <c r="V27" s="1"/>
      <c r="W27" s="1"/>
      <c r="X27" s="1"/>
      <c r="Y27" s="1"/>
      <c r="Z27" s="1"/>
      <c r="AA27" s="1"/>
    </row>
    <row r="28" spans="1:27" ht="15.75" customHeight="1">
      <c r="A28" s="1"/>
      <c r="B28" s="511" t="s">
        <v>1310</v>
      </c>
      <c r="C28" s="512" t="s">
        <v>1276</v>
      </c>
      <c r="D28" s="208" t="s">
        <v>1311</v>
      </c>
      <c r="E28" s="513">
        <f t="shared" si="4"/>
        <v>47357.142857142862</v>
      </c>
      <c r="F28" s="514" t="s">
        <v>1291</v>
      </c>
      <c r="G28" s="512"/>
      <c r="H28" s="515">
        <f t="shared" si="1"/>
        <v>56355</v>
      </c>
      <c r="I28" s="520"/>
      <c r="J28" s="517">
        <f t="shared" si="2"/>
        <v>56355</v>
      </c>
      <c r="K28" s="521" t="s">
        <v>1292</v>
      </c>
      <c r="L28" s="522">
        <v>2610</v>
      </c>
      <c r="M28" s="521" t="s">
        <v>1305</v>
      </c>
      <c r="N28" s="522">
        <v>110100</v>
      </c>
      <c r="O28" s="518"/>
      <c r="P28" s="519"/>
      <c r="Q28" s="483"/>
      <c r="R28" s="1"/>
      <c r="S28" s="1"/>
      <c r="T28" s="1"/>
      <c r="U28" s="1"/>
      <c r="V28" s="1"/>
      <c r="W28" s="1"/>
      <c r="X28" s="1"/>
      <c r="Y28" s="1"/>
      <c r="Z28" s="1"/>
      <c r="AA28" s="1"/>
    </row>
    <row r="29" spans="1:27" ht="15.75" customHeight="1">
      <c r="A29" s="1"/>
      <c r="B29" s="511" t="s">
        <v>1312</v>
      </c>
      <c r="C29" s="512" t="s">
        <v>1276</v>
      </c>
      <c r="D29" s="208" t="s">
        <v>1313</v>
      </c>
      <c r="E29" s="513">
        <f t="shared" si="4"/>
        <v>19075.63025210084</v>
      </c>
      <c r="F29" s="514" t="s">
        <v>1291</v>
      </c>
      <c r="G29" s="512"/>
      <c r="H29" s="515">
        <f t="shared" si="1"/>
        <v>22700</v>
      </c>
      <c r="I29" s="520"/>
      <c r="J29" s="517">
        <f t="shared" si="2"/>
        <v>22700</v>
      </c>
      <c r="K29" s="521" t="s">
        <v>1292</v>
      </c>
      <c r="L29" s="522">
        <v>20900</v>
      </c>
      <c r="M29" s="521" t="s">
        <v>1305</v>
      </c>
      <c r="N29" s="522">
        <v>24500</v>
      </c>
      <c r="O29" s="518"/>
      <c r="P29" s="519"/>
      <c r="Q29" s="483"/>
      <c r="R29" s="1"/>
      <c r="S29" s="1"/>
      <c r="T29" s="1"/>
      <c r="U29" s="1"/>
      <c r="V29" s="1"/>
      <c r="W29" s="1"/>
      <c r="X29" s="1"/>
      <c r="Y29" s="1"/>
      <c r="Z29" s="1"/>
      <c r="AA29" s="1"/>
    </row>
    <row r="30" spans="1:27" ht="15.75" customHeight="1">
      <c r="A30" s="1"/>
      <c r="B30" s="511" t="s">
        <v>1314</v>
      </c>
      <c r="C30" s="512" t="s">
        <v>1276</v>
      </c>
      <c r="D30" s="208" t="s">
        <v>1315</v>
      </c>
      <c r="E30" s="513">
        <f t="shared" si="4"/>
        <v>5756.3025210084033</v>
      </c>
      <c r="F30" s="514" t="s">
        <v>1316</v>
      </c>
      <c r="G30" s="512"/>
      <c r="H30" s="515">
        <f t="shared" si="1"/>
        <v>6850</v>
      </c>
      <c r="I30" s="520"/>
      <c r="J30" s="517">
        <f t="shared" si="2"/>
        <v>6850</v>
      </c>
      <c r="K30" s="521" t="s">
        <v>1292</v>
      </c>
      <c r="L30" s="522">
        <v>9900</v>
      </c>
      <c r="M30" s="521" t="s">
        <v>1305</v>
      </c>
      <c r="N30" s="522">
        <v>3800</v>
      </c>
      <c r="O30" s="518"/>
      <c r="P30" s="519"/>
      <c r="Q30" s="483"/>
      <c r="R30" s="1"/>
      <c r="S30" s="1"/>
      <c r="T30" s="1"/>
      <c r="U30" s="1"/>
      <c r="V30" s="1"/>
      <c r="W30" s="1"/>
      <c r="X30" s="1"/>
      <c r="Y30" s="1"/>
      <c r="Z30" s="1"/>
      <c r="AA30" s="1"/>
    </row>
    <row r="31" spans="1:27" ht="15.75" customHeight="1">
      <c r="A31" s="1"/>
      <c r="B31" s="511" t="s">
        <v>1317</v>
      </c>
      <c r="C31" s="512" t="s">
        <v>1276</v>
      </c>
      <c r="D31" s="208" t="s">
        <v>1318</v>
      </c>
      <c r="E31" s="513">
        <f t="shared" si="4"/>
        <v>9867.226890756303</v>
      </c>
      <c r="F31" s="514" t="s">
        <v>454</v>
      </c>
      <c r="G31" s="512"/>
      <c r="H31" s="515">
        <f t="shared" si="1"/>
        <v>11742</v>
      </c>
      <c r="I31" s="520"/>
      <c r="J31" s="517">
        <f t="shared" si="2"/>
        <v>11742</v>
      </c>
      <c r="K31" s="521" t="s">
        <v>1292</v>
      </c>
      <c r="L31" s="522">
        <v>13745</v>
      </c>
      <c r="M31" s="521" t="s">
        <v>1305</v>
      </c>
      <c r="N31" s="522">
        <f>ROUNDUP(194779/20,0)</f>
        <v>9739</v>
      </c>
      <c r="O31" s="518"/>
      <c r="P31" s="519"/>
      <c r="Q31" s="483"/>
      <c r="R31" s="1"/>
      <c r="S31" s="1"/>
      <c r="T31" s="1"/>
      <c r="U31" s="1"/>
      <c r="V31" s="1"/>
      <c r="W31" s="1"/>
      <c r="X31" s="1"/>
      <c r="Y31" s="1"/>
      <c r="Z31" s="1"/>
      <c r="AA31" s="1"/>
    </row>
    <row r="32" spans="1:27" ht="15.75" customHeight="1">
      <c r="A32" s="1"/>
      <c r="B32" s="511" t="s">
        <v>1319</v>
      </c>
      <c r="C32" s="512" t="s">
        <v>1276</v>
      </c>
      <c r="D32" s="208" t="s">
        <v>1320</v>
      </c>
      <c r="E32" s="513">
        <f t="shared" si="4"/>
        <v>11621.008403361346</v>
      </c>
      <c r="F32" s="514" t="s">
        <v>454</v>
      </c>
      <c r="G32" s="512"/>
      <c r="H32" s="515">
        <f t="shared" si="1"/>
        <v>13829</v>
      </c>
      <c r="I32" s="520"/>
      <c r="J32" s="517">
        <f t="shared" si="2"/>
        <v>13829</v>
      </c>
      <c r="K32" s="521" t="s">
        <v>1292</v>
      </c>
      <c r="L32" s="522">
        <f>364900/20</f>
        <v>18245</v>
      </c>
      <c r="M32" s="521" t="s">
        <v>1305</v>
      </c>
      <c r="N32" s="522">
        <f>ROUNDUP(188250/20,0)</f>
        <v>9413</v>
      </c>
      <c r="O32" s="518"/>
      <c r="P32" s="519"/>
      <c r="Q32" s="483"/>
      <c r="R32" s="1"/>
      <c r="S32" s="1"/>
      <c r="T32" s="1"/>
      <c r="U32" s="1"/>
      <c r="V32" s="1"/>
      <c r="W32" s="1"/>
      <c r="X32" s="1"/>
      <c r="Y32" s="1"/>
      <c r="Z32" s="1"/>
      <c r="AA32" s="1"/>
    </row>
    <row r="33" spans="1:27" ht="15.75" customHeight="1">
      <c r="A33" s="1"/>
      <c r="B33" s="511" t="s">
        <v>1321</v>
      </c>
      <c r="C33" s="512" t="s">
        <v>1276</v>
      </c>
      <c r="D33" s="208" t="s">
        <v>1322</v>
      </c>
      <c r="E33" s="513">
        <f t="shared" si="4"/>
        <v>8.4033613445378155</v>
      </c>
      <c r="F33" s="514" t="s">
        <v>710</v>
      </c>
      <c r="G33" s="512"/>
      <c r="H33" s="515">
        <f t="shared" si="1"/>
        <v>10</v>
      </c>
      <c r="I33" s="520"/>
      <c r="J33" s="517">
        <f t="shared" si="2"/>
        <v>9.9749999999999996</v>
      </c>
      <c r="K33" s="521" t="s">
        <v>1292</v>
      </c>
      <c r="L33" s="522">
        <f>39900/4000</f>
        <v>9.9749999999999996</v>
      </c>
      <c r="M33" s="521"/>
      <c r="N33" s="522"/>
      <c r="O33" s="518"/>
      <c r="P33" s="519"/>
      <c r="Q33" s="483"/>
      <c r="R33" s="1"/>
      <c r="S33" s="1"/>
      <c r="T33" s="1"/>
      <c r="U33" s="1"/>
      <c r="V33" s="1"/>
      <c r="W33" s="1"/>
      <c r="X33" s="1"/>
      <c r="Y33" s="1"/>
      <c r="Z33" s="1"/>
      <c r="AA33" s="1"/>
    </row>
    <row r="34" spans="1:27" ht="15.75" customHeight="1">
      <c r="A34" s="1"/>
      <c r="B34" s="511" t="s">
        <v>1323</v>
      </c>
      <c r="C34" s="512" t="s">
        <v>1276</v>
      </c>
      <c r="D34" s="208" t="s">
        <v>1324</v>
      </c>
      <c r="E34" s="513">
        <f t="shared" si="4"/>
        <v>10000</v>
      </c>
      <c r="F34" s="514" t="s">
        <v>1291</v>
      </c>
      <c r="G34" s="512"/>
      <c r="H34" s="515">
        <f t="shared" si="1"/>
        <v>11900</v>
      </c>
      <c r="I34" s="520"/>
      <c r="J34" s="517">
        <f t="shared" si="2"/>
        <v>11900</v>
      </c>
      <c r="K34" s="521" t="s">
        <v>1292</v>
      </c>
      <c r="L34" s="522">
        <v>11900</v>
      </c>
      <c r="M34" s="521"/>
      <c r="N34" s="522"/>
      <c r="O34" s="518"/>
      <c r="P34" s="519"/>
      <c r="Q34" s="483"/>
      <c r="R34" s="1"/>
      <c r="S34" s="1"/>
      <c r="T34" s="1"/>
      <c r="U34" s="1"/>
      <c r="V34" s="1"/>
      <c r="W34" s="1"/>
      <c r="X34" s="1"/>
      <c r="Y34" s="1"/>
      <c r="Z34" s="1"/>
      <c r="AA34" s="1"/>
    </row>
    <row r="35" spans="1:27" ht="15.75" customHeight="1">
      <c r="A35" s="1"/>
      <c r="B35" s="511" t="s">
        <v>1325</v>
      </c>
      <c r="C35" s="512" t="s">
        <v>1276</v>
      </c>
      <c r="D35" s="208" t="s">
        <v>1326</v>
      </c>
      <c r="E35" s="513">
        <f t="shared" si="4"/>
        <v>0</v>
      </c>
      <c r="F35" s="514" t="s">
        <v>741</v>
      </c>
      <c r="G35" s="512"/>
      <c r="H35" s="515">
        <f t="shared" si="1"/>
        <v>0</v>
      </c>
      <c r="I35" s="523"/>
      <c r="J35" s="524">
        <f t="shared" si="2"/>
        <v>0</v>
      </c>
      <c r="K35" s="518"/>
      <c r="L35" s="519"/>
      <c r="M35" s="518"/>
      <c r="N35" s="519"/>
      <c r="O35" s="518"/>
      <c r="P35" s="519"/>
      <c r="Q35" s="483"/>
      <c r="R35" s="1"/>
      <c r="S35" s="1"/>
      <c r="T35" s="1"/>
      <c r="U35" s="1"/>
      <c r="V35" s="1"/>
      <c r="W35" s="1"/>
      <c r="X35" s="1"/>
      <c r="Y35" s="1"/>
      <c r="Z35" s="1"/>
      <c r="AA35" s="1"/>
    </row>
    <row r="36" spans="1:27" ht="15.75" customHeight="1">
      <c r="A36" s="1"/>
      <c r="B36" s="511" t="s">
        <v>1327</v>
      </c>
      <c r="C36" s="512" t="s">
        <v>1276</v>
      </c>
      <c r="D36" s="208" t="s">
        <v>1328</v>
      </c>
      <c r="E36" s="513">
        <f t="shared" si="4"/>
        <v>0</v>
      </c>
      <c r="F36" s="514" t="s">
        <v>741</v>
      </c>
      <c r="G36" s="512"/>
      <c r="H36" s="515">
        <f t="shared" si="1"/>
        <v>0</v>
      </c>
      <c r="I36" s="523"/>
      <c r="J36" s="524">
        <f t="shared" si="2"/>
        <v>0</v>
      </c>
      <c r="K36" s="518"/>
      <c r="L36" s="519"/>
      <c r="M36" s="518"/>
      <c r="N36" s="519"/>
      <c r="O36" s="518"/>
      <c r="P36" s="519"/>
      <c r="Q36" s="483"/>
      <c r="R36" s="1"/>
      <c r="S36" s="1"/>
      <c r="T36" s="1"/>
      <c r="U36" s="1"/>
      <c r="V36" s="1"/>
      <c r="W36" s="1"/>
      <c r="X36" s="1"/>
      <c r="Y36" s="1"/>
      <c r="Z36" s="1"/>
      <c r="AA36" s="1"/>
    </row>
    <row r="37" spans="1:27" ht="15.75" customHeight="1">
      <c r="A37" s="1"/>
      <c r="B37" s="511" t="s">
        <v>1329</v>
      </c>
      <c r="C37" s="512" t="s">
        <v>1276</v>
      </c>
      <c r="D37" s="208" t="s">
        <v>1330</v>
      </c>
      <c r="E37" s="513">
        <f t="shared" si="4"/>
        <v>7142.8571428571431</v>
      </c>
      <c r="F37" s="514" t="s">
        <v>1291</v>
      </c>
      <c r="G37" s="512"/>
      <c r="H37" s="515">
        <f t="shared" si="1"/>
        <v>8500</v>
      </c>
      <c r="I37" s="520"/>
      <c r="J37" s="517">
        <f t="shared" si="2"/>
        <v>8500</v>
      </c>
      <c r="K37" s="539" t="s">
        <v>1331</v>
      </c>
      <c r="L37" s="540">
        <v>8500</v>
      </c>
      <c r="M37" s="521"/>
      <c r="N37" s="522"/>
      <c r="O37" s="518"/>
      <c r="P37" s="519"/>
      <c r="Q37" s="483"/>
      <c r="R37" s="1"/>
      <c r="S37" s="1"/>
      <c r="T37" s="1"/>
      <c r="U37" s="1"/>
      <c r="V37" s="1"/>
      <c r="W37" s="1"/>
      <c r="X37" s="1"/>
      <c r="Y37" s="1"/>
      <c r="Z37" s="1"/>
      <c r="AA37" s="1"/>
    </row>
    <row r="38" spans="1:27" ht="15.75" customHeight="1">
      <c r="A38" s="1"/>
      <c r="B38" s="511" t="s">
        <v>1332</v>
      </c>
      <c r="C38" s="512" t="s">
        <v>1276</v>
      </c>
      <c r="D38" s="208" t="s">
        <v>1333</v>
      </c>
      <c r="E38" s="513">
        <f t="shared" si="4"/>
        <v>9159.6638655462193</v>
      </c>
      <c r="F38" s="514" t="s">
        <v>1291</v>
      </c>
      <c r="G38" s="512"/>
      <c r="H38" s="515">
        <f t="shared" si="1"/>
        <v>10900</v>
      </c>
      <c r="I38" s="520"/>
      <c r="J38" s="517">
        <f t="shared" si="2"/>
        <v>10900</v>
      </c>
      <c r="K38" s="521" t="s">
        <v>1292</v>
      </c>
      <c r="L38" s="522">
        <v>10900</v>
      </c>
      <c r="M38" s="521"/>
      <c r="N38" s="522"/>
      <c r="O38" s="518"/>
      <c r="P38" s="519"/>
      <c r="Q38" s="483"/>
      <c r="R38" s="1"/>
      <c r="S38" s="1"/>
      <c r="T38" s="1"/>
      <c r="U38" s="1"/>
      <c r="V38" s="1"/>
      <c r="W38" s="1"/>
      <c r="X38" s="1"/>
      <c r="Y38" s="1"/>
      <c r="Z38" s="1"/>
      <c r="AA38" s="1"/>
    </row>
    <row r="39" spans="1:27" ht="15.75" customHeight="1">
      <c r="A39" s="1"/>
      <c r="B39" s="511" t="s">
        <v>1334</v>
      </c>
      <c r="C39" s="512" t="s">
        <v>1276</v>
      </c>
      <c r="D39" s="208" t="s">
        <v>1335</v>
      </c>
      <c r="E39" s="513">
        <f t="shared" si="4"/>
        <v>2773.1092436974791</v>
      </c>
      <c r="F39" s="514" t="s">
        <v>1291</v>
      </c>
      <c r="G39" s="512"/>
      <c r="H39" s="515">
        <f t="shared" si="1"/>
        <v>3300</v>
      </c>
      <c r="I39" s="520"/>
      <c r="J39" s="517">
        <f t="shared" si="2"/>
        <v>3300</v>
      </c>
      <c r="K39" s="521" t="s">
        <v>1292</v>
      </c>
      <c r="L39" s="522">
        <v>2800</v>
      </c>
      <c r="M39" s="518"/>
      <c r="N39" s="519"/>
      <c r="O39" s="518" t="s">
        <v>1306</v>
      </c>
      <c r="P39" s="519">
        <v>3800</v>
      </c>
      <c r="Q39" s="538">
        <f t="shared" ref="Q39:Q41" si="5">L39*1.35</f>
        <v>3780.0000000000005</v>
      </c>
      <c r="R39" s="1"/>
      <c r="S39" s="1"/>
      <c r="T39" s="1"/>
      <c r="U39" s="1"/>
      <c r="V39" s="1"/>
      <c r="W39" s="1"/>
      <c r="X39" s="1"/>
      <c r="Y39" s="1"/>
      <c r="Z39" s="1"/>
      <c r="AA39" s="1"/>
    </row>
    <row r="40" spans="1:27" ht="15.75" customHeight="1">
      <c r="A40" s="1"/>
      <c r="B40" s="511" t="s">
        <v>1336</v>
      </c>
      <c r="C40" s="512" t="s">
        <v>1276</v>
      </c>
      <c r="D40" s="208" t="s">
        <v>1337</v>
      </c>
      <c r="E40" s="513">
        <f t="shared" si="4"/>
        <v>1680.6722689075632</v>
      </c>
      <c r="F40" s="514" t="s">
        <v>1291</v>
      </c>
      <c r="G40" s="512"/>
      <c r="H40" s="515">
        <f t="shared" si="1"/>
        <v>2000</v>
      </c>
      <c r="I40" s="520"/>
      <c r="J40" s="517">
        <f t="shared" si="2"/>
        <v>2000</v>
      </c>
      <c r="K40" s="521" t="s">
        <v>1292</v>
      </c>
      <c r="L40" s="522">
        <v>1700</v>
      </c>
      <c r="M40" s="518"/>
      <c r="N40" s="519"/>
      <c r="O40" s="518" t="s">
        <v>1306</v>
      </c>
      <c r="P40" s="519">
        <v>2300</v>
      </c>
      <c r="Q40" s="538">
        <f t="shared" si="5"/>
        <v>2295</v>
      </c>
      <c r="R40" s="1"/>
      <c r="S40" s="1"/>
      <c r="T40" s="1"/>
      <c r="U40" s="1"/>
      <c r="V40" s="1"/>
      <c r="W40" s="1"/>
      <c r="X40" s="1"/>
      <c r="Y40" s="1"/>
      <c r="Z40" s="1"/>
      <c r="AA40" s="1"/>
    </row>
    <row r="41" spans="1:27" ht="15.75" customHeight="1">
      <c r="A41" s="1"/>
      <c r="B41" s="511" t="s">
        <v>1338</v>
      </c>
      <c r="C41" s="512" t="s">
        <v>1276</v>
      </c>
      <c r="D41" s="208" t="s">
        <v>2071</v>
      </c>
      <c r="E41" s="513">
        <f t="shared" si="4"/>
        <v>2100.840336134454</v>
      </c>
      <c r="F41" s="514" t="s">
        <v>1339</v>
      </c>
      <c r="G41" s="512"/>
      <c r="H41" s="515">
        <f t="shared" si="1"/>
        <v>2500</v>
      </c>
      <c r="I41" s="523"/>
      <c r="J41" s="524">
        <f t="shared" si="2"/>
        <v>2500</v>
      </c>
      <c r="K41" s="518" t="s">
        <v>1292</v>
      </c>
      <c r="L41" s="519">
        <v>2500</v>
      </c>
      <c r="M41" s="518"/>
      <c r="N41" s="519"/>
      <c r="O41" s="518"/>
      <c r="P41" s="519"/>
      <c r="Q41" s="538">
        <f t="shared" si="5"/>
        <v>3375</v>
      </c>
      <c r="R41" s="1"/>
      <c r="S41" s="1"/>
      <c r="T41" s="1"/>
      <c r="U41" s="1"/>
      <c r="V41" s="1"/>
      <c r="W41" s="1"/>
      <c r="X41" s="1"/>
      <c r="Y41" s="1"/>
      <c r="Z41" s="1"/>
      <c r="AA41" s="1"/>
    </row>
    <row r="42" spans="1:27" ht="15.75" customHeight="1">
      <c r="A42" s="1"/>
      <c r="B42" s="511" t="s">
        <v>1340</v>
      </c>
      <c r="C42" s="512" t="s">
        <v>1276</v>
      </c>
      <c r="D42" s="208" t="s">
        <v>1341</v>
      </c>
      <c r="E42" s="513">
        <f t="shared" si="4"/>
        <v>736.13445378151266</v>
      </c>
      <c r="F42" s="514" t="s">
        <v>1291</v>
      </c>
      <c r="G42" s="512"/>
      <c r="H42" s="515">
        <f t="shared" si="1"/>
        <v>876</v>
      </c>
      <c r="I42" s="520"/>
      <c r="J42" s="517">
        <f t="shared" si="2"/>
        <v>876</v>
      </c>
      <c r="K42" s="521" t="s">
        <v>1292</v>
      </c>
      <c r="L42" s="541">
        <v>750</v>
      </c>
      <c r="M42" s="539" t="s">
        <v>1342</v>
      </c>
      <c r="N42" s="540">
        <v>828</v>
      </c>
      <c r="O42" s="518" t="s">
        <v>1306</v>
      </c>
      <c r="P42" s="519">
        <v>1050</v>
      </c>
      <c r="Q42" s="538"/>
      <c r="R42" s="1"/>
      <c r="S42" s="1"/>
      <c r="T42" s="1"/>
      <c r="U42" s="1"/>
      <c r="V42" s="1"/>
      <c r="W42" s="1"/>
      <c r="X42" s="1"/>
      <c r="Y42" s="1"/>
      <c r="Z42" s="1"/>
      <c r="AA42" s="1"/>
    </row>
    <row r="43" spans="1:27" ht="15.75" customHeight="1">
      <c r="A43" s="1"/>
      <c r="B43" s="511" t="s">
        <v>1343</v>
      </c>
      <c r="C43" s="512" t="s">
        <v>1276</v>
      </c>
      <c r="D43" s="208" t="s">
        <v>1344</v>
      </c>
      <c r="E43" s="513">
        <f t="shared" si="4"/>
        <v>0</v>
      </c>
      <c r="F43" s="514" t="s">
        <v>1339</v>
      </c>
      <c r="G43" s="512"/>
      <c r="H43" s="515">
        <f t="shared" si="1"/>
        <v>0</v>
      </c>
      <c r="I43" s="523"/>
      <c r="J43" s="524">
        <f t="shared" si="2"/>
        <v>0</v>
      </c>
      <c r="K43" s="518"/>
      <c r="L43" s="519"/>
      <c r="M43" s="518"/>
      <c r="N43" s="519"/>
      <c r="O43" s="518"/>
      <c r="P43" s="519"/>
      <c r="Q43" s="483"/>
      <c r="R43" s="1"/>
      <c r="S43" s="1"/>
      <c r="T43" s="1"/>
      <c r="U43" s="1"/>
      <c r="V43" s="1"/>
      <c r="W43" s="1"/>
      <c r="X43" s="1"/>
      <c r="Y43" s="1"/>
      <c r="Z43" s="1"/>
      <c r="AA43" s="1"/>
    </row>
    <row r="44" spans="1:27" ht="15.75" customHeight="1">
      <c r="A44" s="1"/>
      <c r="B44" s="511" t="s">
        <v>1345</v>
      </c>
      <c r="C44" s="512" t="s">
        <v>1276</v>
      </c>
      <c r="D44" s="208" t="s">
        <v>2522</v>
      </c>
      <c r="E44" s="513">
        <f t="shared" si="4"/>
        <v>3823.5294117647059</v>
      </c>
      <c r="F44" s="514" t="s">
        <v>1346</v>
      </c>
      <c r="G44" s="512"/>
      <c r="H44" s="515">
        <f t="shared" si="1"/>
        <v>4550</v>
      </c>
      <c r="I44" s="520"/>
      <c r="J44" s="517">
        <f t="shared" si="2"/>
        <v>4550</v>
      </c>
      <c r="K44" s="521" t="s">
        <v>1292</v>
      </c>
      <c r="L44" s="522">
        <v>4800</v>
      </c>
      <c r="M44" s="521" t="s">
        <v>1305</v>
      </c>
      <c r="N44" s="522">
        <v>4300</v>
      </c>
      <c r="O44" s="518"/>
      <c r="P44" s="519"/>
      <c r="Q44" s="483"/>
      <c r="R44" s="1"/>
      <c r="S44" s="1"/>
      <c r="T44" s="1"/>
      <c r="U44" s="1"/>
      <c r="V44" s="1"/>
      <c r="W44" s="1"/>
      <c r="X44" s="1"/>
      <c r="Y44" s="1"/>
      <c r="Z44" s="1"/>
      <c r="AA44" s="1"/>
    </row>
    <row r="45" spans="1:27" ht="15.75" customHeight="1">
      <c r="A45" s="1"/>
      <c r="B45" s="511" t="s">
        <v>1347</v>
      </c>
      <c r="C45" s="512" t="s">
        <v>1276</v>
      </c>
      <c r="D45" s="208" t="s">
        <v>2444</v>
      </c>
      <c r="E45" s="513">
        <f t="shared" si="4"/>
        <v>7634.453781512605</v>
      </c>
      <c r="F45" s="514" t="s">
        <v>1339</v>
      </c>
      <c r="G45" s="512"/>
      <c r="H45" s="515">
        <f t="shared" si="1"/>
        <v>9085</v>
      </c>
      <c r="I45" s="520"/>
      <c r="J45" s="517">
        <f t="shared" si="2"/>
        <v>9085</v>
      </c>
      <c r="K45" s="521" t="s">
        <v>1292</v>
      </c>
      <c r="L45" s="522">
        <f>7900*1.15</f>
        <v>9085</v>
      </c>
      <c r="M45" s="518" t="s">
        <v>1348</v>
      </c>
      <c r="N45" s="519"/>
      <c r="O45" s="518"/>
      <c r="P45" s="519"/>
      <c r="Q45" s="483"/>
      <c r="R45" s="1"/>
      <c r="S45" s="1"/>
      <c r="T45" s="1"/>
      <c r="U45" s="1"/>
      <c r="V45" s="1"/>
      <c r="W45" s="1"/>
      <c r="X45" s="1"/>
      <c r="Y45" s="1"/>
      <c r="Z45" s="1"/>
      <c r="AA45" s="1"/>
    </row>
    <row r="46" spans="1:27" ht="15.75" customHeight="1">
      <c r="A46" s="1"/>
      <c r="B46" s="511" t="s">
        <v>1349</v>
      </c>
      <c r="C46" s="512" t="s">
        <v>1276</v>
      </c>
      <c r="D46" s="208" t="s">
        <v>2450</v>
      </c>
      <c r="E46" s="513">
        <f t="shared" si="4"/>
        <v>22710.084033613446</v>
      </c>
      <c r="F46" s="514" t="s">
        <v>1339</v>
      </c>
      <c r="G46" s="512"/>
      <c r="H46" s="515">
        <f t="shared" si="1"/>
        <v>27025</v>
      </c>
      <c r="I46" s="520"/>
      <c r="J46" s="517">
        <f t="shared" si="2"/>
        <v>27024.999999999996</v>
      </c>
      <c r="K46" s="518" t="s">
        <v>1292</v>
      </c>
      <c r="L46" s="519">
        <f>23500*1.15</f>
        <v>27024.999999999996</v>
      </c>
      <c r="M46" s="518" t="s">
        <v>1305</v>
      </c>
      <c r="N46" s="519"/>
      <c r="O46" s="518" t="s">
        <v>1350</v>
      </c>
      <c r="P46" s="519"/>
      <c r="Q46" s="483"/>
      <c r="R46" s="1"/>
      <c r="S46" s="1"/>
      <c r="T46" s="1"/>
      <c r="U46" s="1"/>
      <c r="V46" s="1"/>
      <c r="W46" s="1"/>
      <c r="X46" s="1"/>
      <c r="Y46" s="1"/>
      <c r="Z46" s="1"/>
      <c r="AA46" s="1"/>
    </row>
    <row r="47" spans="1:27" ht="15.75" customHeight="1">
      <c r="A47" s="1"/>
      <c r="B47" s="511" t="s">
        <v>1351</v>
      </c>
      <c r="C47" s="512" t="s">
        <v>1276</v>
      </c>
      <c r="D47" s="208" t="s">
        <v>1352</v>
      </c>
      <c r="E47" s="513">
        <f t="shared" si="4"/>
        <v>0</v>
      </c>
      <c r="F47" s="514" t="s">
        <v>741</v>
      </c>
      <c r="G47" s="512"/>
      <c r="H47" s="515">
        <f t="shared" si="1"/>
        <v>0</v>
      </c>
      <c r="I47" s="523"/>
      <c r="J47" s="524">
        <f t="shared" si="2"/>
        <v>0</v>
      </c>
      <c r="K47" s="518"/>
      <c r="L47" s="519"/>
      <c r="M47" s="518"/>
      <c r="N47" s="519"/>
      <c r="O47" s="518"/>
      <c r="P47" s="519"/>
      <c r="Q47" s="483"/>
      <c r="R47" s="1"/>
      <c r="S47" s="1"/>
      <c r="T47" s="1"/>
      <c r="U47" s="1"/>
      <c r="V47" s="1"/>
      <c r="W47" s="1"/>
      <c r="X47" s="1"/>
      <c r="Y47" s="1"/>
      <c r="Z47" s="1"/>
      <c r="AA47" s="1"/>
    </row>
    <row r="48" spans="1:27" ht="15.75" customHeight="1">
      <c r="A48" s="1"/>
      <c r="B48" s="511" t="s">
        <v>1353</v>
      </c>
      <c r="C48" s="512" t="s">
        <v>1276</v>
      </c>
      <c r="D48" s="208" t="s">
        <v>2511</v>
      </c>
      <c r="E48" s="513">
        <f t="shared" si="4"/>
        <v>92436.97478991597</v>
      </c>
      <c r="F48" s="514" t="s">
        <v>741</v>
      </c>
      <c r="G48" s="512"/>
      <c r="H48" s="515">
        <f t="shared" si="1"/>
        <v>110000</v>
      </c>
      <c r="I48" s="520"/>
      <c r="J48" s="517">
        <f t="shared" si="2"/>
        <v>110000</v>
      </c>
      <c r="K48" s="521" t="s">
        <v>1283</v>
      </c>
      <c r="L48" s="522">
        <f>110000</f>
        <v>110000</v>
      </c>
      <c r="M48" s="518"/>
      <c r="N48" s="519"/>
      <c r="O48" s="518"/>
      <c r="P48" s="519"/>
      <c r="Q48" s="483"/>
      <c r="R48" s="1"/>
      <c r="S48" s="1"/>
      <c r="T48" s="1"/>
      <c r="U48" s="1"/>
      <c r="V48" s="1"/>
      <c r="W48" s="1"/>
      <c r="X48" s="1"/>
      <c r="Y48" s="1"/>
      <c r="Z48" s="1"/>
      <c r="AA48" s="1"/>
    </row>
    <row r="49" spans="1:27" ht="15.75" customHeight="1">
      <c r="A49" s="1"/>
      <c r="B49" s="511" t="s">
        <v>1354</v>
      </c>
      <c r="C49" s="512" t="s">
        <v>1276</v>
      </c>
      <c r="D49" s="208" t="s">
        <v>1355</v>
      </c>
      <c r="E49" s="513">
        <f t="shared" si="4"/>
        <v>3760.5042016806724</v>
      </c>
      <c r="F49" s="514" t="s">
        <v>1291</v>
      </c>
      <c r="G49" s="512"/>
      <c r="H49" s="515">
        <f t="shared" si="1"/>
        <v>4475</v>
      </c>
      <c r="I49" s="520"/>
      <c r="J49" s="517">
        <f t="shared" si="2"/>
        <v>4475</v>
      </c>
      <c r="K49" s="521" t="s">
        <v>1292</v>
      </c>
      <c r="L49" s="522">
        <v>4475</v>
      </c>
      <c r="M49" s="518"/>
      <c r="N49" s="519"/>
      <c r="O49" s="518"/>
      <c r="P49" s="519"/>
      <c r="Q49" s="483"/>
      <c r="R49" s="1"/>
      <c r="S49" s="1"/>
      <c r="T49" s="1"/>
      <c r="U49" s="1"/>
      <c r="V49" s="1"/>
      <c r="W49" s="1"/>
      <c r="X49" s="1"/>
      <c r="Y49" s="1"/>
      <c r="Z49" s="1"/>
      <c r="AA49" s="1"/>
    </row>
    <row r="50" spans="1:27" ht="15.75" customHeight="1">
      <c r="A50" s="1"/>
      <c r="B50" s="511" t="s">
        <v>1356</v>
      </c>
      <c r="C50" s="512" t="s">
        <v>1276</v>
      </c>
      <c r="D50" s="208" t="s">
        <v>1357</v>
      </c>
      <c r="E50" s="513">
        <f t="shared" si="4"/>
        <v>0</v>
      </c>
      <c r="F50" s="514" t="s">
        <v>741</v>
      </c>
      <c r="G50" s="512"/>
      <c r="H50" s="515">
        <f t="shared" si="1"/>
        <v>0</v>
      </c>
      <c r="I50" s="520"/>
      <c r="J50" s="517">
        <f t="shared" si="2"/>
        <v>0</v>
      </c>
      <c r="K50" s="518"/>
      <c r="L50" s="519"/>
      <c r="M50" s="518"/>
      <c r="N50" s="519"/>
      <c r="O50" s="518"/>
      <c r="P50" s="519"/>
      <c r="Q50" s="483"/>
      <c r="R50" s="1"/>
      <c r="S50" s="1"/>
      <c r="T50" s="1"/>
      <c r="U50" s="1"/>
      <c r="V50" s="1"/>
      <c r="W50" s="1"/>
      <c r="X50" s="1"/>
      <c r="Y50" s="1"/>
      <c r="Z50" s="1"/>
      <c r="AA50" s="1"/>
    </row>
    <row r="51" spans="1:27" ht="15.75" customHeight="1">
      <c r="A51" s="1"/>
      <c r="B51" s="511" t="s">
        <v>1358</v>
      </c>
      <c r="C51" s="512" t="s">
        <v>1276</v>
      </c>
      <c r="D51" s="208" t="s">
        <v>2445</v>
      </c>
      <c r="E51" s="513">
        <f t="shared" si="4"/>
        <v>59.663865546218489</v>
      </c>
      <c r="F51" s="514" t="s">
        <v>710</v>
      </c>
      <c r="G51" s="512"/>
      <c r="H51" s="515">
        <f t="shared" si="1"/>
        <v>71</v>
      </c>
      <c r="I51" s="520"/>
      <c r="J51" s="517">
        <f t="shared" si="2"/>
        <v>70.150000000000006</v>
      </c>
      <c r="K51" s="521" t="s">
        <v>1292</v>
      </c>
      <c r="L51" s="522">
        <v>70.150000000000006</v>
      </c>
      <c r="M51" s="518"/>
      <c r="N51" s="519"/>
      <c r="O51" s="518"/>
      <c r="P51" s="519"/>
      <c r="Q51" s="483"/>
      <c r="R51" s="1"/>
      <c r="S51" s="1"/>
      <c r="T51" s="1"/>
      <c r="U51" s="1"/>
      <c r="V51" s="1"/>
      <c r="W51" s="1"/>
      <c r="X51" s="1"/>
      <c r="Y51" s="1"/>
      <c r="Z51" s="1"/>
      <c r="AA51" s="1"/>
    </row>
    <row r="52" spans="1:27" ht="15.75" customHeight="1">
      <c r="A52" s="1"/>
      <c r="B52" s="511" t="s">
        <v>1359</v>
      </c>
      <c r="C52" s="512" t="s">
        <v>1276</v>
      </c>
      <c r="D52" s="208" t="s">
        <v>1360</v>
      </c>
      <c r="E52" s="513">
        <f t="shared" si="4"/>
        <v>1722.6890756302521</v>
      </c>
      <c r="F52" s="514" t="s">
        <v>303</v>
      </c>
      <c r="G52" s="512"/>
      <c r="H52" s="515">
        <f t="shared" si="1"/>
        <v>2050</v>
      </c>
      <c r="I52" s="520"/>
      <c r="J52" s="517">
        <f t="shared" si="2"/>
        <v>2050</v>
      </c>
      <c r="K52" s="521" t="s">
        <v>1292</v>
      </c>
      <c r="L52" s="522">
        <v>2500</v>
      </c>
      <c r="M52" s="521" t="s">
        <v>1361</v>
      </c>
      <c r="N52" s="522">
        <v>1600</v>
      </c>
      <c r="O52" s="518"/>
      <c r="P52" s="519"/>
      <c r="Q52" s="483"/>
      <c r="R52" s="1"/>
      <c r="S52" s="1"/>
      <c r="T52" s="1"/>
      <c r="U52" s="1"/>
      <c r="V52" s="1"/>
      <c r="W52" s="1"/>
      <c r="X52" s="1"/>
      <c r="Y52" s="1"/>
      <c r="Z52" s="1"/>
      <c r="AA52" s="1"/>
    </row>
    <row r="53" spans="1:27" ht="15.75" customHeight="1">
      <c r="A53" s="1"/>
      <c r="B53" s="511" t="s">
        <v>1362</v>
      </c>
      <c r="C53" s="512" t="s">
        <v>1276</v>
      </c>
      <c r="D53" s="208" t="s">
        <v>2448</v>
      </c>
      <c r="E53" s="513">
        <f t="shared" si="4"/>
        <v>392436.97478991596</v>
      </c>
      <c r="F53" s="514" t="s">
        <v>1291</v>
      </c>
      <c r="G53" s="512"/>
      <c r="H53" s="515">
        <f t="shared" si="1"/>
        <v>467000</v>
      </c>
      <c r="I53" s="520"/>
      <c r="J53" s="517">
        <f t="shared" si="2"/>
        <v>467000</v>
      </c>
      <c r="K53" s="518" t="s">
        <v>1364</v>
      </c>
      <c r="L53" s="519">
        <v>467000</v>
      </c>
      <c r="M53" s="518"/>
      <c r="N53" s="519"/>
      <c r="O53" s="518"/>
      <c r="P53" s="519"/>
      <c r="Q53" s="483"/>
      <c r="R53" s="1"/>
      <c r="S53" s="1"/>
      <c r="T53" s="1"/>
      <c r="U53" s="1"/>
      <c r="V53" s="1"/>
      <c r="W53" s="1"/>
      <c r="X53" s="1"/>
      <c r="Y53" s="1"/>
      <c r="Z53" s="1"/>
      <c r="AA53" s="1"/>
    </row>
    <row r="54" spans="1:27" ht="15.75" customHeight="1">
      <c r="A54" s="1"/>
      <c r="B54" s="511" t="s">
        <v>1365</v>
      </c>
      <c r="C54" s="512" t="s">
        <v>1276</v>
      </c>
      <c r="D54" s="208" t="s">
        <v>1366</v>
      </c>
      <c r="E54" s="513">
        <f t="shared" si="4"/>
        <v>10000</v>
      </c>
      <c r="F54" s="514" t="s">
        <v>1291</v>
      </c>
      <c r="G54" s="512"/>
      <c r="H54" s="515">
        <f t="shared" si="1"/>
        <v>11900</v>
      </c>
      <c r="I54" s="520"/>
      <c r="J54" s="517">
        <f t="shared" si="2"/>
        <v>11900</v>
      </c>
      <c r="K54" s="521" t="s">
        <v>1292</v>
      </c>
      <c r="L54" s="522">
        <v>11900</v>
      </c>
      <c r="M54" s="518"/>
      <c r="N54" s="519"/>
      <c r="O54" s="518"/>
      <c r="P54" s="519"/>
      <c r="Q54" s="483"/>
      <c r="R54" s="1"/>
      <c r="S54" s="1"/>
      <c r="T54" s="1"/>
      <c r="U54" s="1"/>
      <c r="V54" s="1"/>
      <c r="W54" s="1"/>
      <c r="X54" s="1"/>
      <c r="Y54" s="1"/>
      <c r="Z54" s="1"/>
      <c r="AA54" s="1"/>
    </row>
    <row r="55" spans="1:27" ht="15.75" customHeight="1">
      <c r="A55" s="1"/>
      <c r="B55" s="511" t="s">
        <v>1367</v>
      </c>
      <c r="C55" s="512" t="s">
        <v>1276</v>
      </c>
      <c r="D55" s="208" t="s">
        <v>1368</v>
      </c>
      <c r="E55" s="513">
        <f t="shared" si="4"/>
        <v>53800</v>
      </c>
      <c r="F55" s="514" t="s">
        <v>741</v>
      </c>
      <c r="G55" s="512"/>
      <c r="H55" s="515">
        <f t="shared" si="1"/>
        <v>64022</v>
      </c>
      <c r="I55" s="520"/>
      <c r="J55" s="517">
        <f t="shared" si="2"/>
        <v>64022</v>
      </c>
      <c r="K55" s="521" t="s">
        <v>1284</v>
      </c>
      <c r="L55" s="522">
        <v>64022</v>
      </c>
      <c r="M55" s="518"/>
      <c r="N55" s="519"/>
      <c r="O55" s="518"/>
      <c r="P55" s="519"/>
      <c r="Q55" s="483"/>
      <c r="R55" s="1"/>
      <c r="S55" s="1"/>
      <c r="T55" s="1"/>
      <c r="U55" s="1"/>
      <c r="V55" s="1"/>
      <c r="W55" s="1"/>
      <c r="X55" s="1"/>
      <c r="Y55" s="1"/>
      <c r="Z55" s="1"/>
      <c r="AA55" s="1"/>
    </row>
    <row r="56" spans="1:27" ht="15.75" customHeight="1">
      <c r="A56" s="1"/>
      <c r="B56" s="511" t="s">
        <v>1369</v>
      </c>
      <c r="C56" s="512" t="s">
        <v>1276</v>
      </c>
      <c r="D56" s="208" t="s">
        <v>1370</v>
      </c>
      <c r="E56" s="513">
        <f t="shared" si="4"/>
        <v>8403.361344537816</v>
      </c>
      <c r="F56" s="514" t="s">
        <v>1291</v>
      </c>
      <c r="G56" s="512"/>
      <c r="H56" s="515">
        <f t="shared" si="1"/>
        <v>10000</v>
      </c>
      <c r="I56" s="520"/>
      <c r="J56" s="517">
        <f t="shared" si="2"/>
        <v>10000</v>
      </c>
      <c r="K56" s="518" t="s">
        <v>1371</v>
      </c>
      <c r="L56" s="519">
        <v>10000</v>
      </c>
      <c r="M56" s="518"/>
      <c r="N56" s="519"/>
      <c r="O56" s="518"/>
      <c r="P56" s="519"/>
      <c r="Q56" s="483"/>
      <c r="R56" s="1"/>
      <c r="S56" s="1"/>
      <c r="T56" s="1"/>
      <c r="U56" s="1"/>
      <c r="V56" s="1"/>
      <c r="W56" s="1"/>
      <c r="X56" s="1"/>
      <c r="Y56" s="1"/>
      <c r="Z56" s="1"/>
      <c r="AA56" s="1"/>
    </row>
    <row r="57" spans="1:27" ht="15.75" customHeight="1">
      <c r="A57" s="1"/>
      <c r="B57" s="511" t="s">
        <v>1372</v>
      </c>
      <c r="C57" s="512" t="s">
        <v>1276</v>
      </c>
      <c r="D57" s="208" t="s">
        <v>1373</v>
      </c>
      <c r="E57" s="513">
        <f t="shared" si="4"/>
        <v>2371.4285714285716</v>
      </c>
      <c r="F57" s="514" t="s">
        <v>710</v>
      </c>
      <c r="G57" s="512"/>
      <c r="H57" s="515">
        <f t="shared" si="1"/>
        <v>2822</v>
      </c>
      <c r="I57" s="520"/>
      <c r="J57" s="517">
        <f t="shared" si="2"/>
        <v>2822</v>
      </c>
      <c r="K57" s="521" t="s">
        <v>1292</v>
      </c>
      <c r="L57" s="522">
        <f>354400/100</f>
        <v>3544</v>
      </c>
      <c r="M57" s="521" t="s">
        <v>1305</v>
      </c>
      <c r="N57" s="522">
        <v>2100</v>
      </c>
      <c r="O57" s="518"/>
      <c r="P57" s="519"/>
      <c r="Q57" s="483"/>
      <c r="R57" s="1"/>
      <c r="S57" s="1"/>
      <c r="T57" s="1"/>
      <c r="U57" s="1"/>
      <c r="V57" s="1"/>
      <c r="W57" s="1"/>
      <c r="X57" s="1"/>
      <c r="Y57" s="1"/>
      <c r="Z57" s="1"/>
      <c r="AA57" s="1"/>
    </row>
    <row r="58" spans="1:27" ht="15.75" customHeight="1">
      <c r="A58" s="1"/>
      <c r="B58" s="511" t="s">
        <v>1374</v>
      </c>
      <c r="C58" s="512" t="s">
        <v>1276</v>
      </c>
      <c r="D58" s="208" t="s">
        <v>1375</v>
      </c>
      <c r="E58" s="513">
        <f t="shared" si="4"/>
        <v>1281.512605042017</v>
      </c>
      <c r="F58" s="514" t="s">
        <v>1291</v>
      </c>
      <c r="G58" s="512"/>
      <c r="H58" s="515">
        <f t="shared" si="1"/>
        <v>1525</v>
      </c>
      <c r="I58" s="520"/>
      <c r="J58" s="517">
        <f t="shared" si="2"/>
        <v>1525</v>
      </c>
      <c r="K58" s="521" t="s">
        <v>1292</v>
      </c>
      <c r="L58" s="522">
        <v>1525</v>
      </c>
      <c r="M58" s="521"/>
      <c r="N58" s="522"/>
      <c r="O58" s="518"/>
      <c r="P58" s="519"/>
      <c r="Q58" s="483"/>
      <c r="R58" s="1"/>
      <c r="S58" s="1"/>
      <c r="T58" s="1"/>
      <c r="U58" s="1"/>
      <c r="V58" s="1"/>
      <c r="W58" s="1"/>
      <c r="X58" s="1"/>
      <c r="Y58" s="1"/>
      <c r="Z58" s="1"/>
      <c r="AA58" s="1"/>
    </row>
    <row r="59" spans="1:27" ht="15.75" customHeight="1">
      <c r="A59" s="1"/>
      <c r="B59" s="511" t="s">
        <v>1376</v>
      </c>
      <c r="C59" s="512" t="s">
        <v>1276</v>
      </c>
      <c r="D59" s="208" t="s">
        <v>2526</v>
      </c>
      <c r="E59" s="513">
        <f t="shared" si="4"/>
        <v>105042.01680672269</v>
      </c>
      <c r="F59" s="514" t="s">
        <v>741</v>
      </c>
      <c r="G59" s="512"/>
      <c r="H59" s="515">
        <f t="shared" si="1"/>
        <v>125000</v>
      </c>
      <c r="I59" s="520"/>
      <c r="J59" s="517">
        <f t="shared" si="2"/>
        <v>125000</v>
      </c>
      <c r="K59" s="518"/>
      <c r="L59" s="519">
        <v>125000</v>
      </c>
      <c r="M59" s="518"/>
      <c r="N59" s="519"/>
      <c r="O59" s="518"/>
      <c r="P59" s="519"/>
      <c r="Q59" s="483"/>
      <c r="R59" s="1"/>
      <c r="S59" s="1"/>
      <c r="T59" s="1"/>
      <c r="U59" s="1"/>
      <c r="V59" s="1"/>
      <c r="W59" s="1"/>
      <c r="X59" s="1"/>
      <c r="Y59" s="1"/>
      <c r="Z59" s="1"/>
      <c r="AA59" s="1"/>
    </row>
    <row r="60" spans="1:27" ht="15.75" customHeight="1">
      <c r="A60" s="1"/>
      <c r="B60" s="511" t="s">
        <v>1377</v>
      </c>
      <c r="C60" s="512" t="s">
        <v>1276</v>
      </c>
      <c r="D60" s="208" t="s">
        <v>1378</v>
      </c>
      <c r="E60" s="513">
        <f t="shared" si="4"/>
        <v>0</v>
      </c>
      <c r="F60" s="514" t="s">
        <v>741</v>
      </c>
      <c r="G60" s="512"/>
      <c r="H60" s="515">
        <f t="shared" si="1"/>
        <v>0</v>
      </c>
      <c r="I60" s="520"/>
      <c r="J60" s="517">
        <f t="shared" si="2"/>
        <v>0</v>
      </c>
      <c r="K60" s="518"/>
      <c r="L60" s="519"/>
      <c r="M60" s="518"/>
      <c r="N60" s="519"/>
      <c r="O60" s="518"/>
      <c r="P60" s="519"/>
      <c r="Q60" s="483"/>
      <c r="R60" s="1"/>
      <c r="S60" s="1"/>
      <c r="T60" s="1"/>
      <c r="U60" s="1"/>
      <c r="V60" s="1"/>
      <c r="W60" s="1"/>
      <c r="X60" s="1"/>
      <c r="Y60" s="1"/>
      <c r="Z60" s="1"/>
      <c r="AA60" s="1"/>
    </row>
    <row r="61" spans="1:27" ht="15.75" customHeight="1">
      <c r="A61" s="1"/>
      <c r="B61" s="511" t="s">
        <v>1379</v>
      </c>
      <c r="C61" s="512" t="s">
        <v>1276</v>
      </c>
      <c r="D61" s="208" t="s">
        <v>1380</v>
      </c>
      <c r="E61" s="513">
        <f t="shared" si="4"/>
        <v>0</v>
      </c>
      <c r="F61" s="514" t="s">
        <v>741</v>
      </c>
      <c r="G61" s="512"/>
      <c r="H61" s="515">
        <f t="shared" si="1"/>
        <v>0</v>
      </c>
      <c r="I61" s="520"/>
      <c r="J61" s="517">
        <f t="shared" si="2"/>
        <v>0</v>
      </c>
      <c r="K61" s="518"/>
      <c r="L61" s="519"/>
      <c r="M61" s="518"/>
      <c r="N61" s="519"/>
      <c r="O61" s="518"/>
      <c r="P61" s="519"/>
      <c r="Q61" s="483"/>
      <c r="R61" s="1"/>
      <c r="S61" s="1"/>
      <c r="T61" s="1"/>
      <c r="U61" s="1"/>
      <c r="V61" s="1"/>
      <c r="W61" s="1"/>
      <c r="X61" s="1"/>
      <c r="Y61" s="1"/>
      <c r="Z61" s="1"/>
      <c r="AA61" s="1"/>
    </row>
    <row r="62" spans="1:27" ht="15.75" customHeight="1">
      <c r="A62" s="1"/>
      <c r="B62" s="511" t="s">
        <v>1381</v>
      </c>
      <c r="C62" s="512" t="s">
        <v>1276</v>
      </c>
      <c r="D62" s="208" t="s">
        <v>2451</v>
      </c>
      <c r="E62" s="513">
        <f t="shared" si="4"/>
        <v>9567.226890756303</v>
      </c>
      <c r="F62" s="514" t="s">
        <v>2447</v>
      </c>
      <c r="G62" s="512"/>
      <c r="H62" s="515">
        <f t="shared" si="1"/>
        <v>11385</v>
      </c>
      <c r="I62" s="520"/>
      <c r="J62" s="517">
        <f t="shared" si="2"/>
        <v>11385</v>
      </c>
      <c r="K62" s="521" t="s">
        <v>1283</v>
      </c>
      <c r="L62" s="522">
        <f>9900*1.15</f>
        <v>11385</v>
      </c>
      <c r="M62" s="518"/>
      <c r="N62" s="519"/>
      <c r="O62" s="521"/>
      <c r="P62" s="522"/>
      <c r="Q62" s="483"/>
      <c r="R62" s="1"/>
      <c r="S62" s="1"/>
      <c r="T62" s="1"/>
      <c r="U62" s="1"/>
      <c r="V62" s="1"/>
      <c r="W62" s="1"/>
      <c r="X62" s="1"/>
      <c r="Y62" s="1"/>
      <c r="Z62" s="1"/>
      <c r="AA62" s="1"/>
    </row>
    <row r="63" spans="1:27" ht="15.75" customHeight="1">
      <c r="A63" s="1"/>
      <c r="B63" s="511" t="s">
        <v>1382</v>
      </c>
      <c r="C63" s="512" t="s">
        <v>1276</v>
      </c>
      <c r="D63" s="208" t="s">
        <v>2446</v>
      </c>
      <c r="E63" s="513">
        <f t="shared" si="4"/>
        <v>4285.7142857142862</v>
      </c>
      <c r="F63" s="514" t="s">
        <v>2447</v>
      </c>
      <c r="G63" s="512"/>
      <c r="H63" s="515">
        <f t="shared" si="1"/>
        <v>5100</v>
      </c>
      <c r="I63" s="520"/>
      <c r="J63" s="517">
        <f t="shared" si="2"/>
        <v>5100</v>
      </c>
      <c r="K63" s="518" t="s">
        <v>1292</v>
      </c>
      <c r="L63" s="519">
        <v>5100</v>
      </c>
      <c r="M63" s="518"/>
      <c r="N63" s="519"/>
      <c r="O63" s="518"/>
      <c r="P63" s="519"/>
      <c r="Q63" s="483"/>
      <c r="R63" s="1"/>
      <c r="S63" s="1"/>
      <c r="T63" s="1"/>
      <c r="U63" s="1"/>
      <c r="V63" s="1"/>
      <c r="W63" s="1"/>
      <c r="X63" s="1"/>
      <c r="Y63" s="1"/>
      <c r="Z63" s="1"/>
      <c r="AA63" s="1"/>
    </row>
    <row r="64" spans="1:27" ht="15.75" customHeight="1">
      <c r="A64" s="1"/>
      <c r="B64" s="511" t="s">
        <v>1383</v>
      </c>
      <c r="C64" s="512" t="s">
        <v>1276</v>
      </c>
      <c r="D64" s="208" t="s">
        <v>2449</v>
      </c>
      <c r="E64" s="513">
        <f t="shared" si="4"/>
        <v>4286.5546218487398</v>
      </c>
      <c r="F64" s="514" t="s">
        <v>1291</v>
      </c>
      <c r="G64" s="512"/>
      <c r="H64" s="515">
        <f t="shared" si="1"/>
        <v>5101</v>
      </c>
      <c r="I64" s="520"/>
      <c r="J64" s="517">
        <f t="shared" si="2"/>
        <v>5101</v>
      </c>
      <c r="K64" s="518" t="s">
        <v>1292</v>
      </c>
      <c r="L64" s="519">
        <v>5101</v>
      </c>
      <c r="M64" s="518"/>
      <c r="N64" s="519"/>
      <c r="O64" s="518"/>
      <c r="P64" s="519"/>
      <c r="Q64" s="483"/>
      <c r="R64" s="1"/>
      <c r="S64" s="1"/>
      <c r="T64" s="1"/>
      <c r="U64" s="1"/>
      <c r="V64" s="1"/>
      <c r="W64" s="1"/>
      <c r="X64" s="1"/>
      <c r="Y64" s="1"/>
      <c r="Z64" s="1"/>
      <c r="AA64" s="1"/>
    </row>
    <row r="65" spans="1:27" ht="15.75" customHeight="1">
      <c r="A65" s="1"/>
      <c r="B65" s="511" t="s">
        <v>1384</v>
      </c>
      <c r="C65" s="512" t="s">
        <v>1276</v>
      </c>
      <c r="D65" s="542" t="s">
        <v>1385</v>
      </c>
      <c r="E65" s="513">
        <f t="shared" si="4"/>
        <v>33529.411764705881</v>
      </c>
      <c r="F65" s="514" t="s">
        <v>1291</v>
      </c>
      <c r="G65" s="512"/>
      <c r="H65" s="515">
        <f t="shared" si="1"/>
        <v>39900</v>
      </c>
      <c r="I65" s="520"/>
      <c r="J65" s="517">
        <f t="shared" si="2"/>
        <v>39900</v>
      </c>
      <c r="K65" s="518" t="s">
        <v>1292</v>
      </c>
      <c r="L65" s="519">
        <v>39900</v>
      </c>
      <c r="M65" s="518"/>
      <c r="N65" s="519"/>
      <c r="O65" s="518"/>
      <c r="P65" s="519"/>
      <c r="Q65" s="483"/>
      <c r="R65" s="1"/>
      <c r="S65" s="1"/>
      <c r="T65" s="1"/>
      <c r="U65" s="1"/>
      <c r="V65" s="1"/>
      <c r="W65" s="1"/>
      <c r="X65" s="1"/>
      <c r="Y65" s="1"/>
      <c r="Z65" s="1"/>
      <c r="AA65" s="1"/>
    </row>
    <row r="66" spans="1:27" ht="15.75" customHeight="1">
      <c r="A66" s="1"/>
      <c r="B66" s="511" t="s">
        <v>1386</v>
      </c>
      <c r="C66" s="512" t="s">
        <v>1276</v>
      </c>
      <c r="D66" s="542" t="s">
        <v>1387</v>
      </c>
      <c r="E66" s="513">
        <f t="shared" si="4"/>
        <v>210.0840336134454</v>
      </c>
      <c r="F66" s="514" t="s">
        <v>1291</v>
      </c>
      <c r="G66" s="512"/>
      <c r="H66" s="515">
        <f t="shared" si="1"/>
        <v>250</v>
      </c>
      <c r="I66" s="520"/>
      <c r="J66" s="517">
        <f t="shared" si="2"/>
        <v>250</v>
      </c>
      <c r="K66" s="518" t="s">
        <v>1292</v>
      </c>
      <c r="L66" s="519">
        <v>250</v>
      </c>
      <c r="M66" s="518"/>
      <c r="N66" s="519"/>
      <c r="O66" s="518"/>
      <c r="P66" s="519"/>
      <c r="Q66" s="483"/>
      <c r="R66" s="1"/>
      <c r="S66" s="1"/>
      <c r="T66" s="1"/>
      <c r="U66" s="1"/>
      <c r="V66" s="1"/>
      <c r="W66" s="1"/>
      <c r="X66" s="1"/>
      <c r="Y66" s="1"/>
      <c r="Z66" s="1"/>
      <c r="AA66" s="1"/>
    </row>
    <row r="67" spans="1:27" ht="15.75" customHeight="1">
      <c r="A67" s="1"/>
      <c r="B67" s="511" t="s">
        <v>1388</v>
      </c>
      <c r="C67" s="512" t="s">
        <v>1276</v>
      </c>
      <c r="D67" s="542" t="s">
        <v>1389</v>
      </c>
      <c r="E67" s="513">
        <f t="shared" si="4"/>
        <v>17226.89075630252</v>
      </c>
      <c r="F67" s="514" t="s">
        <v>1291</v>
      </c>
      <c r="G67" s="512"/>
      <c r="H67" s="515">
        <f t="shared" si="1"/>
        <v>20500</v>
      </c>
      <c r="I67" s="520"/>
      <c r="J67" s="517">
        <f t="shared" si="2"/>
        <v>20500</v>
      </c>
      <c r="K67" s="518" t="s">
        <v>1292</v>
      </c>
      <c r="L67" s="519">
        <v>20500</v>
      </c>
      <c r="M67" s="518"/>
      <c r="N67" s="519"/>
      <c r="O67" s="518"/>
      <c r="P67" s="519"/>
      <c r="Q67" s="483"/>
      <c r="R67" s="1"/>
      <c r="S67" s="1"/>
      <c r="T67" s="1"/>
      <c r="U67" s="1"/>
      <c r="V67" s="1"/>
      <c r="W67" s="1"/>
      <c r="X67" s="1"/>
      <c r="Y67" s="1"/>
      <c r="Z67" s="1"/>
      <c r="AA67" s="1"/>
    </row>
    <row r="68" spans="1:27" ht="15.75" customHeight="1">
      <c r="A68" s="1"/>
      <c r="B68" s="511" t="s">
        <v>1390</v>
      </c>
      <c r="C68" s="512" t="s">
        <v>1276</v>
      </c>
      <c r="D68" s="542" t="s">
        <v>2503</v>
      </c>
      <c r="E68" s="513">
        <f t="shared" si="4"/>
        <v>3768.90756302521</v>
      </c>
      <c r="F68" s="514" t="s">
        <v>454</v>
      </c>
      <c r="G68" s="512"/>
      <c r="H68" s="515">
        <f t="shared" si="1"/>
        <v>4485</v>
      </c>
      <c r="I68" s="520"/>
      <c r="J68" s="517">
        <f t="shared" si="2"/>
        <v>4485</v>
      </c>
      <c r="K68" s="518" t="s">
        <v>1292</v>
      </c>
      <c r="L68" s="519">
        <f>3900*1.15</f>
        <v>4485</v>
      </c>
      <c r="M68" s="518"/>
      <c r="N68" s="519"/>
      <c r="O68" s="518"/>
      <c r="P68" s="519"/>
      <c r="Q68" s="483"/>
      <c r="R68" s="1"/>
      <c r="S68" s="1"/>
      <c r="T68" s="1"/>
      <c r="U68" s="1"/>
      <c r="V68" s="1"/>
      <c r="W68" s="1"/>
      <c r="X68" s="1"/>
      <c r="Y68" s="1"/>
      <c r="Z68" s="1"/>
      <c r="AA68" s="1"/>
    </row>
    <row r="69" spans="1:27" ht="15.75" customHeight="1">
      <c r="A69" s="1"/>
      <c r="B69" s="511" t="s">
        <v>1392</v>
      </c>
      <c r="C69" s="512" t="s">
        <v>1276</v>
      </c>
      <c r="D69" s="542" t="s">
        <v>2514</v>
      </c>
      <c r="E69" s="513">
        <f t="shared" si="4"/>
        <v>72504.201680672268</v>
      </c>
      <c r="F69" s="514" t="s">
        <v>1291</v>
      </c>
      <c r="G69" s="512"/>
      <c r="H69" s="515">
        <f t="shared" si="1"/>
        <v>86280</v>
      </c>
      <c r="I69" s="520"/>
      <c r="J69" s="517">
        <f t="shared" si="2"/>
        <v>86280</v>
      </c>
      <c r="K69" s="518"/>
      <c r="L69" s="519">
        <f>71900*1.2</f>
        <v>86280</v>
      </c>
      <c r="M69" s="518"/>
      <c r="N69" s="519"/>
      <c r="O69" s="518"/>
      <c r="P69" s="519"/>
      <c r="Q69" s="483"/>
      <c r="R69" s="1"/>
      <c r="S69" s="1"/>
      <c r="T69" s="1"/>
      <c r="U69" s="1"/>
      <c r="V69" s="1"/>
      <c r="W69" s="1"/>
      <c r="X69" s="1"/>
      <c r="Y69" s="1"/>
      <c r="Z69" s="1"/>
      <c r="AA69" s="1"/>
    </row>
    <row r="70" spans="1:27" ht="15.75" customHeight="1">
      <c r="A70" s="1"/>
      <c r="B70" s="511" t="s">
        <v>1393</v>
      </c>
      <c r="C70" s="512" t="s">
        <v>1276</v>
      </c>
      <c r="D70" s="542" t="s">
        <v>2515</v>
      </c>
      <c r="E70" s="513">
        <f t="shared" si="4"/>
        <v>1512.6050420168067</v>
      </c>
      <c r="F70" s="514" t="s">
        <v>1291</v>
      </c>
      <c r="G70" s="512"/>
      <c r="H70" s="515">
        <f t="shared" si="1"/>
        <v>1800</v>
      </c>
      <c r="I70" s="520"/>
      <c r="J70" s="517">
        <f t="shared" si="2"/>
        <v>1800</v>
      </c>
      <c r="K70" s="518"/>
      <c r="L70" s="519">
        <f>1500*1.2</f>
        <v>1800</v>
      </c>
      <c r="M70" s="518"/>
      <c r="N70" s="519"/>
      <c r="O70" s="518"/>
      <c r="P70" s="519"/>
      <c r="Q70" s="483"/>
      <c r="R70" s="1"/>
      <c r="S70" s="1"/>
      <c r="T70" s="1"/>
      <c r="U70" s="1"/>
      <c r="V70" s="1"/>
      <c r="W70" s="1"/>
      <c r="X70" s="1"/>
      <c r="Y70" s="1"/>
      <c r="Z70" s="1"/>
      <c r="AA70" s="1"/>
    </row>
    <row r="71" spans="1:27" ht="15.75" customHeight="1">
      <c r="A71" s="1"/>
      <c r="B71" s="511" t="s">
        <v>1394</v>
      </c>
      <c r="C71" s="512" t="s">
        <v>1276</v>
      </c>
      <c r="D71" s="542" t="s">
        <v>2516</v>
      </c>
      <c r="E71" s="513">
        <f t="shared" si="4"/>
        <v>806.72268907563034</v>
      </c>
      <c r="F71" s="514" t="s">
        <v>1291</v>
      </c>
      <c r="G71" s="512"/>
      <c r="H71" s="515">
        <f t="shared" si="1"/>
        <v>960</v>
      </c>
      <c r="I71" s="520"/>
      <c r="J71" s="517">
        <f t="shared" si="2"/>
        <v>960</v>
      </c>
      <c r="K71" s="518"/>
      <c r="L71" s="519">
        <f>800*1.2</f>
        <v>960</v>
      </c>
      <c r="M71" s="518"/>
      <c r="N71" s="519"/>
      <c r="O71" s="518"/>
      <c r="P71" s="519"/>
      <c r="Q71" s="483"/>
      <c r="R71" s="1"/>
      <c r="S71" s="1"/>
      <c r="T71" s="1"/>
      <c r="U71" s="1"/>
      <c r="V71" s="1"/>
      <c r="W71" s="1"/>
      <c r="X71" s="1"/>
      <c r="Y71" s="1"/>
      <c r="Z71" s="1"/>
      <c r="AA71" s="1"/>
    </row>
    <row r="72" spans="1:27" ht="15.75" customHeight="1">
      <c r="A72" s="1"/>
      <c r="B72" s="511" t="s">
        <v>1395</v>
      </c>
      <c r="C72" s="512" t="s">
        <v>1276</v>
      </c>
      <c r="D72" s="542" t="s">
        <v>1396</v>
      </c>
      <c r="E72" s="513">
        <f t="shared" si="4"/>
        <v>806.72268907563034</v>
      </c>
      <c r="F72" s="514" t="s">
        <v>1291</v>
      </c>
      <c r="G72" s="512"/>
      <c r="H72" s="515">
        <f t="shared" si="1"/>
        <v>960</v>
      </c>
      <c r="I72" s="520"/>
      <c r="J72" s="517">
        <f t="shared" si="2"/>
        <v>960</v>
      </c>
      <c r="K72" s="518"/>
      <c r="L72" s="519">
        <v>960</v>
      </c>
      <c r="M72" s="518"/>
      <c r="N72" s="519"/>
      <c r="O72" s="518"/>
      <c r="P72" s="519"/>
      <c r="Q72" s="483"/>
      <c r="R72" s="1"/>
      <c r="S72" s="1"/>
      <c r="T72" s="1"/>
      <c r="U72" s="1"/>
      <c r="V72" s="1"/>
      <c r="W72" s="1"/>
      <c r="X72" s="1"/>
      <c r="Y72" s="1"/>
      <c r="Z72" s="1"/>
      <c r="AA72" s="1"/>
    </row>
    <row r="73" spans="1:27" ht="15.75" customHeight="1">
      <c r="A73" s="1"/>
      <c r="B73" s="511" t="s">
        <v>1397</v>
      </c>
      <c r="C73" s="512" t="s">
        <v>1276</v>
      </c>
      <c r="D73" s="542" t="s">
        <v>1398</v>
      </c>
      <c r="E73" s="513">
        <f t="shared" si="4"/>
        <v>21260.504201680673</v>
      </c>
      <c r="F73" s="514" t="s">
        <v>2517</v>
      </c>
      <c r="G73" s="512"/>
      <c r="H73" s="515">
        <f t="shared" si="1"/>
        <v>25300</v>
      </c>
      <c r="I73" s="520"/>
      <c r="J73" s="517">
        <f t="shared" si="2"/>
        <v>25299.999999999996</v>
      </c>
      <c r="K73" s="518"/>
      <c r="L73" s="519">
        <f>22000*1.15</f>
        <v>25299.999999999996</v>
      </c>
      <c r="M73" s="518"/>
      <c r="N73" s="519"/>
      <c r="O73" s="518"/>
      <c r="P73" s="519"/>
      <c r="Q73" s="483"/>
      <c r="R73" s="1"/>
      <c r="S73" s="1"/>
      <c r="T73" s="1"/>
      <c r="U73" s="1"/>
      <c r="V73" s="1"/>
      <c r="W73" s="1"/>
      <c r="X73" s="1"/>
      <c r="Y73" s="1"/>
      <c r="Z73" s="1"/>
      <c r="AA73" s="1"/>
    </row>
    <row r="74" spans="1:27" ht="15.75" customHeight="1">
      <c r="A74" s="1"/>
      <c r="B74" s="511" t="s">
        <v>1399</v>
      </c>
      <c r="C74" s="512" t="s">
        <v>1276</v>
      </c>
      <c r="D74" s="542" t="s">
        <v>1400</v>
      </c>
      <c r="E74" s="513">
        <f t="shared" si="4"/>
        <v>2415.9663865546217</v>
      </c>
      <c r="F74" s="514" t="s">
        <v>1291</v>
      </c>
      <c r="G74" s="512"/>
      <c r="H74" s="515">
        <f t="shared" si="1"/>
        <v>2875</v>
      </c>
      <c r="I74" s="520"/>
      <c r="J74" s="517">
        <f t="shared" si="2"/>
        <v>2875</v>
      </c>
      <c r="K74" s="518"/>
      <c r="L74" s="519">
        <f>2500*1.15</f>
        <v>2875</v>
      </c>
      <c r="M74" s="518"/>
      <c r="N74" s="519"/>
      <c r="O74" s="518"/>
      <c r="P74" s="519"/>
      <c r="Q74" s="483"/>
      <c r="R74" s="1"/>
      <c r="S74" s="1"/>
      <c r="T74" s="1"/>
      <c r="U74" s="1"/>
      <c r="V74" s="1"/>
      <c r="W74" s="1"/>
      <c r="X74" s="1"/>
      <c r="Y74" s="1"/>
      <c r="Z74" s="1"/>
      <c r="AA74" s="1"/>
    </row>
    <row r="75" spans="1:27" ht="15.75" customHeight="1">
      <c r="A75" s="1"/>
      <c r="B75" s="511" t="s">
        <v>1401</v>
      </c>
      <c r="C75" s="512" t="s">
        <v>1276</v>
      </c>
      <c r="D75" s="542" t="s">
        <v>2518</v>
      </c>
      <c r="E75" s="513">
        <f t="shared" si="4"/>
        <v>86878.151260504208</v>
      </c>
      <c r="F75" s="514" t="s">
        <v>303</v>
      </c>
      <c r="G75" s="512"/>
      <c r="H75" s="515">
        <f t="shared" si="1"/>
        <v>103385</v>
      </c>
      <c r="I75" s="520"/>
      <c r="J75" s="517">
        <f t="shared" si="2"/>
        <v>103384.99999999999</v>
      </c>
      <c r="K75" s="518"/>
      <c r="L75" s="519">
        <f>89900*1.15</f>
        <v>103384.99999999999</v>
      </c>
      <c r="M75" s="518"/>
      <c r="N75" s="519"/>
      <c r="O75" s="518"/>
      <c r="P75" s="519"/>
      <c r="Q75" s="483"/>
      <c r="R75" s="1"/>
      <c r="S75" s="1"/>
      <c r="T75" s="1"/>
      <c r="U75" s="1"/>
      <c r="V75" s="1"/>
      <c r="W75" s="1"/>
      <c r="X75" s="1"/>
      <c r="Y75" s="1"/>
      <c r="Z75" s="1"/>
      <c r="AA75" s="1"/>
    </row>
    <row r="76" spans="1:27" ht="15.75" customHeight="1">
      <c r="A76" s="1"/>
      <c r="B76" s="511" t="s">
        <v>1402</v>
      </c>
      <c r="C76" s="512" t="s">
        <v>1276</v>
      </c>
      <c r="D76" s="542" t="s">
        <v>1403</v>
      </c>
      <c r="E76" s="513">
        <f t="shared" si="4"/>
        <v>5798.3193277310929</v>
      </c>
      <c r="F76" s="514" t="s">
        <v>1291</v>
      </c>
      <c r="G76" s="512"/>
      <c r="H76" s="515">
        <f t="shared" si="1"/>
        <v>6900</v>
      </c>
      <c r="I76" s="520"/>
      <c r="J76" s="517">
        <f t="shared" si="2"/>
        <v>6900</v>
      </c>
      <c r="K76" s="518"/>
      <c r="L76" s="519">
        <f>6900</f>
        <v>6900</v>
      </c>
      <c r="M76" s="518"/>
      <c r="N76" s="519"/>
      <c r="O76" s="518"/>
      <c r="P76" s="519"/>
      <c r="Q76" s="483"/>
      <c r="R76" s="1"/>
      <c r="S76" s="1"/>
      <c r="T76" s="1"/>
      <c r="U76" s="1"/>
      <c r="V76" s="1"/>
      <c r="W76" s="1"/>
      <c r="X76" s="1"/>
      <c r="Y76" s="1"/>
      <c r="Z76" s="1"/>
      <c r="AA76" s="1"/>
    </row>
    <row r="77" spans="1:27" ht="15.75" customHeight="1">
      <c r="A77" s="1"/>
      <c r="B77" s="511" t="s">
        <v>1404</v>
      </c>
      <c r="C77" s="512" t="s">
        <v>1276</v>
      </c>
      <c r="D77" s="542" t="s">
        <v>1405</v>
      </c>
      <c r="E77" s="513">
        <f t="shared" si="4"/>
        <v>46134.45378151261</v>
      </c>
      <c r="F77" s="514" t="s">
        <v>1406</v>
      </c>
      <c r="G77" s="512"/>
      <c r="H77" s="515">
        <f t="shared" si="1"/>
        <v>54900</v>
      </c>
      <c r="I77" s="520"/>
      <c r="J77" s="517">
        <f t="shared" si="2"/>
        <v>54900</v>
      </c>
      <c r="K77" s="518"/>
      <c r="L77" s="519">
        <f>54900</f>
        <v>54900</v>
      </c>
      <c r="M77" s="518"/>
      <c r="N77" s="519"/>
      <c r="O77" s="518"/>
      <c r="P77" s="519"/>
      <c r="Q77" s="483"/>
      <c r="R77" s="1"/>
      <c r="S77" s="1"/>
      <c r="T77" s="1"/>
      <c r="U77" s="1"/>
      <c r="V77" s="1"/>
      <c r="W77" s="1"/>
      <c r="X77" s="1"/>
      <c r="Y77" s="1"/>
      <c r="Z77" s="1"/>
      <c r="AA77" s="1"/>
    </row>
    <row r="78" spans="1:27" ht="15.75" customHeight="1">
      <c r="A78" s="1"/>
      <c r="B78" s="511" t="s">
        <v>1407</v>
      </c>
      <c r="C78" s="512" t="s">
        <v>1276</v>
      </c>
      <c r="D78" s="542" t="s">
        <v>2519</v>
      </c>
      <c r="E78" s="513">
        <f t="shared" si="4"/>
        <v>12588.235294117647</v>
      </c>
      <c r="F78" s="514" t="s">
        <v>303</v>
      </c>
      <c r="G78" s="512"/>
      <c r="H78" s="515">
        <f t="shared" si="1"/>
        <v>14980</v>
      </c>
      <c r="I78" s="520"/>
      <c r="J78" s="517">
        <f t="shared" si="2"/>
        <v>14980</v>
      </c>
      <c r="K78" s="518"/>
      <c r="L78" s="519">
        <f>14980</f>
        <v>14980</v>
      </c>
      <c r="M78" s="518"/>
      <c r="N78" s="519"/>
      <c r="O78" s="518"/>
      <c r="P78" s="519"/>
      <c r="Q78" s="483"/>
      <c r="R78" s="1"/>
      <c r="S78" s="1"/>
      <c r="T78" s="1"/>
      <c r="U78" s="1"/>
      <c r="V78" s="1"/>
      <c r="W78" s="1"/>
      <c r="X78" s="1"/>
      <c r="Y78" s="1"/>
      <c r="Z78" s="1"/>
      <c r="AA78" s="1"/>
    </row>
    <row r="79" spans="1:27" ht="15.75" customHeight="1">
      <c r="A79" s="1"/>
      <c r="B79" s="511" t="s">
        <v>1408</v>
      </c>
      <c r="C79" s="512" t="s">
        <v>1276</v>
      </c>
      <c r="D79" s="542" t="s">
        <v>1409</v>
      </c>
      <c r="E79" s="513">
        <f t="shared" si="4"/>
        <v>65546.218487394959</v>
      </c>
      <c r="F79" s="514" t="s">
        <v>1406</v>
      </c>
      <c r="G79" s="512"/>
      <c r="H79" s="515">
        <f t="shared" si="1"/>
        <v>78000</v>
      </c>
      <c r="I79" s="520"/>
      <c r="J79" s="517">
        <f t="shared" si="2"/>
        <v>78000</v>
      </c>
      <c r="K79" s="518"/>
      <c r="L79" s="519">
        <f>78000</f>
        <v>78000</v>
      </c>
      <c r="M79" s="518"/>
      <c r="N79" s="519"/>
      <c r="O79" s="518"/>
      <c r="P79" s="519"/>
      <c r="Q79" s="483"/>
      <c r="R79" s="1"/>
      <c r="S79" s="1"/>
      <c r="T79" s="1"/>
      <c r="U79" s="1"/>
      <c r="V79" s="1"/>
      <c r="W79" s="1"/>
      <c r="X79" s="1"/>
      <c r="Y79" s="1"/>
      <c r="Z79" s="1"/>
      <c r="AA79" s="1"/>
    </row>
    <row r="80" spans="1:27" ht="15.75" customHeight="1">
      <c r="A80" s="1"/>
      <c r="B80" s="511" t="s">
        <v>1410</v>
      </c>
      <c r="C80" s="512" t="s">
        <v>1276</v>
      </c>
      <c r="D80" s="542" t="s">
        <v>1411</v>
      </c>
      <c r="E80" s="513">
        <f t="shared" si="4"/>
        <v>96638.655462184877</v>
      </c>
      <c r="F80" s="514" t="s">
        <v>1406</v>
      </c>
      <c r="G80" s="512"/>
      <c r="H80" s="515">
        <f t="shared" si="1"/>
        <v>115000</v>
      </c>
      <c r="I80" s="520"/>
      <c r="J80" s="517">
        <f t="shared" si="2"/>
        <v>115000</v>
      </c>
      <c r="K80" s="518"/>
      <c r="L80" s="519">
        <f>115000</f>
        <v>115000</v>
      </c>
      <c r="M80" s="518"/>
      <c r="N80" s="519"/>
      <c r="O80" s="518"/>
      <c r="P80" s="519"/>
      <c r="Q80" s="483"/>
      <c r="R80" s="1"/>
      <c r="S80" s="1"/>
      <c r="T80" s="1"/>
      <c r="U80" s="1"/>
      <c r="V80" s="1"/>
      <c r="W80" s="1"/>
      <c r="X80" s="1"/>
      <c r="Y80" s="1"/>
      <c r="Z80" s="1"/>
      <c r="AA80" s="1"/>
    </row>
    <row r="81" spans="1:27" ht="15.75" customHeight="1">
      <c r="A81" s="1"/>
      <c r="B81" s="511" t="s">
        <v>1412</v>
      </c>
      <c r="C81" s="512" t="s">
        <v>1276</v>
      </c>
      <c r="D81" s="542" t="s">
        <v>1413</v>
      </c>
      <c r="E81" s="513">
        <f t="shared" si="4"/>
        <v>83109.243697478989</v>
      </c>
      <c r="F81" s="514" t="s">
        <v>303</v>
      </c>
      <c r="G81" s="512"/>
      <c r="H81" s="515">
        <f t="shared" si="1"/>
        <v>98900</v>
      </c>
      <c r="I81" s="520"/>
      <c r="J81" s="517">
        <f t="shared" si="2"/>
        <v>98900</v>
      </c>
      <c r="K81" s="518"/>
      <c r="L81" s="519">
        <f>98900</f>
        <v>98900</v>
      </c>
      <c r="M81" s="518"/>
      <c r="N81" s="519"/>
      <c r="O81" s="518"/>
      <c r="P81" s="519"/>
      <c r="Q81" s="483"/>
      <c r="R81" s="1"/>
      <c r="S81" s="1"/>
      <c r="T81" s="1"/>
      <c r="U81" s="1"/>
      <c r="V81" s="1"/>
      <c r="W81" s="1"/>
      <c r="X81" s="1"/>
      <c r="Y81" s="1"/>
      <c r="Z81" s="1"/>
      <c r="AA81" s="1"/>
    </row>
    <row r="82" spans="1:27" ht="15.75" customHeight="1">
      <c r="A82" s="1"/>
      <c r="B82" s="511" t="s">
        <v>1414</v>
      </c>
      <c r="C82" s="512" t="s">
        <v>1276</v>
      </c>
      <c r="D82" s="542" t="s">
        <v>1415</v>
      </c>
      <c r="E82" s="513">
        <f t="shared" si="4"/>
        <v>15931.09243697479</v>
      </c>
      <c r="F82" s="514" t="s">
        <v>710</v>
      </c>
      <c r="G82" s="512"/>
      <c r="H82" s="515">
        <f t="shared" si="1"/>
        <v>18958</v>
      </c>
      <c r="I82" s="520"/>
      <c r="J82" s="517">
        <f t="shared" si="2"/>
        <v>18958</v>
      </c>
      <c r="K82" s="518"/>
      <c r="L82" s="519">
        <v>18958</v>
      </c>
      <c r="M82" s="518"/>
      <c r="N82" s="519"/>
      <c r="O82" s="518"/>
      <c r="P82" s="519"/>
      <c r="Q82" s="483"/>
      <c r="R82" s="1"/>
      <c r="S82" s="1"/>
      <c r="T82" s="1"/>
      <c r="U82" s="1"/>
      <c r="V82" s="1"/>
      <c r="W82" s="1"/>
      <c r="X82" s="1"/>
      <c r="Y82" s="1"/>
      <c r="Z82" s="1"/>
      <c r="AA82" s="1"/>
    </row>
    <row r="83" spans="1:27" ht="15.75" customHeight="1">
      <c r="A83" s="1"/>
      <c r="B83" s="511" t="s">
        <v>1416</v>
      </c>
      <c r="C83" s="512" t="s">
        <v>1276</v>
      </c>
      <c r="D83" s="542" t="s">
        <v>1417</v>
      </c>
      <c r="E83" s="513">
        <f t="shared" si="4"/>
        <v>294.11764705882354</v>
      </c>
      <c r="F83" s="514" t="s">
        <v>1291</v>
      </c>
      <c r="G83" s="512"/>
      <c r="H83" s="515">
        <f t="shared" si="1"/>
        <v>350</v>
      </c>
      <c r="I83" s="520"/>
      <c r="J83" s="517">
        <f t="shared" si="2"/>
        <v>350</v>
      </c>
      <c r="K83" s="518"/>
      <c r="L83" s="519">
        <v>350</v>
      </c>
      <c r="M83" s="518"/>
      <c r="N83" s="519"/>
      <c r="O83" s="518"/>
      <c r="P83" s="519"/>
      <c r="Q83" s="483"/>
      <c r="R83" s="1"/>
      <c r="S83" s="1"/>
      <c r="T83" s="1"/>
      <c r="U83" s="1"/>
      <c r="V83" s="1"/>
      <c r="W83" s="1"/>
      <c r="X83" s="1"/>
      <c r="Y83" s="1"/>
      <c r="Z83" s="1"/>
      <c r="AA83" s="1"/>
    </row>
    <row r="84" spans="1:27" ht="15.75" customHeight="1">
      <c r="A84" s="1"/>
      <c r="B84" s="511" t="s">
        <v>1418</v>
      </c>
      <c r="C84" s="512" t="s">
        <v>1276</v>
      </c>
      <c r="D84" s="542" t="s">
        <v>2521</v>
      </c>
      <c r="E84" s="513">
        <f t="shared" si="4"/>
        <v>5966.3865546218494</v>
      </c>
      <c r="F84" s="514" t="s">
        <v>303</v>
      </c>
      <c r="G84" s="512"/>
      <c r="H84" s="515">
        <f t="shared" si="1"/>
        <v>7100</v>
      </c>
      <c r="I84" s="520"/>
      <c r="J84" s="517">
        <f t="shared" si="2"/>
        <v>7100</v>
      </c>
      <c r="K84" s="518"/>
      <c r="L84" s="519">
        <v>7100</v>
      </c>
      <c r="M84" s="518"/>
      <c r="N84" s="519"/>
      <c r="O84" s="518"/>
      <c r="P84" s="519"/>
      <c r="Q84" s="483"/>
      <c r="R84" s="1"/>
      <c r="S84" s="1"/>
      <c r="T84" s="1"/>
      <c r="U84" s="1"/>
      <c r="V84" s="1"/>
      <c r="W84" s="1"/>
      <c r="X84" s="1"/>
      <c r="Y84" s="1"/>
      <c r="Z84" s="1"/>
      <c r="AA84" s="1"/>
    </row>
    <row r="85" spans="1:27" ht="15.75" customHeight="1">
      <c r="A85" s="1"/>
      <c r="B85" s="511" t="s">
        <v>1419</v>
      </c>
      <c r="C85" s="512" t="s">
        <v>1276</v>
      </c>
      <c r="D85" s="542" t="s">
        <v>1420</v>
      </c>
      <c r="E85" s="513">
        <f t="shared" si="4"/>
        <v>210.0840336134454</v>
      </c>
      <c r="F85" s="514" t="s">
        <v>1291</v>
      </c>
      <c r="G85" s="512"/>
      <c r="H85" s="515">
        <f t="shared" si="1"/>
        <v>250</v>
      </c>
      <c r="I85" s="520"/>
      <c r="J85" s="517">
        <f t="shared" si="2"/>
        <v>250</v>
      </c>
      <c r="K85" s="518"/>
      <c r="L85" s="519">
        <v>250</v>
      </c>
      <c r="M85" s="518"/>
      <c r="N85" s="519"/>
      <c r="O85" s="518"/>
      <c r="P85" s="519"/>
      <c r="Q85" s="483"/>
      <c r="R85" s="1"/>
      <c r="S85" s="1"/>
      <c r="T85" s="1"/>
      <c r="U85" s="1"/>
      <c r="V85" s="1"/>
      <c r="W85" s="1"/>
      <c r="X85" s="1"/>
      <c r="Y85" s="1"/>
      <c r="Z85" s="1"/>
      <c r="AA85" s="1"/>
    </row>
    <row r="86" spans="1:27" ht="15.75" customHeight="1">
      <c r="A86" s="1"/>
      <c r="B86" s="511" t="s">
        <v>1421</v>
      </c>
      <c r="C86" s="512" t="s">
        <v>1276</v>
      </c>
      <c r="D86" s="542" t="s">
        <v>2523</v>
      </c>
      <c r="E86" s="513">
        <f t="shared" si="4"/>
        <v>17689.0756302521</v>
      </c>
      <c r="F86" s="514" t="s">
        <v>454</v>
      </c>
      <c r="G86" s="512"/>
      <c r="H86" s="515">
        <f t="shared" si="1"/>
        <v>21050</v>
      </c>
      <c r="I86" s="520"/>
      <c r="J86" s="517">
        <f t="shared" si="2"/>
        <v>21050</v>
      </c>
      <c r="K86" s="518"/>
      <c r="L86" s="519">
        <v>21050</v>
      </c>
      <c r="M86" s="518"/>
      <c r="N86" s="519"/>
      <c r="O86" s="518"/>
      <c r="P86" s="519"/>
      <c r="Q86" s="483"/>
      <c r="R86" s="1"/>
      <c r="S86" s="1"/>
      <c r="T86" s="1"/>
      <c r="U86" s="1"/>
      <c r="V86" s="1"/>
      <c r="W86" s="1"/>
      <c r="X86" s="1"/>
      <c r="Y86" s="1"/>
      <c r="Z86" s="1"/>
      <c r="AA86" s="1"/>
    </row>
    <row r="87" spans="1:27" ht="15.75" customHeight="1">
      <c r="A87" s="1"/>
      <c r="B87" s="511" t="s">
        <v>1422</v>
      </c>
      <c r="C87" s="512" t="s">
        <v>1276</v>
      </c>
      <c r="D87" s="542" t="s">
        <v>1423</v>
      </c>
      <c r="E87" s="513">
        <f t="shared" si="4"/>
        <v>26386.55462184874</v>
      </c>
      <c r="F87" s="514" t="s">
        <v>454</v>
      </c>
      <c r="G87" s="512"/>
      <c r="H87" s="515">
        <f t="shared" si="1"/>
        <v>31400</v>
      </c>
      <c r="I87" s="520"/>
      <c r="J87" s="517">
        <f t="shared" si="2"/>
        <v>31400</v>
      </c>
      <c r="K87" s="518" t="s">
        <v>1292</v>
      </c>
      <c r="L87" s="519">
        <v>31400</v>
      </c>
      <c r="M87" s="518"/>
      <c r="N87" s="519"/>
      <c r="O87" s="518"/>
      <c r="P87" s="519"/>
      <c r="Q87" s="483"/>
      <c r="R87" s="1"/>
      <c r="S87" s="1"/>
      <c r="T87" s="1"/>
      <c r="U87" s="1"/>
      <c r="V87" s="1"/>
      <c r="W87" s="1"/>
      <c r="X87" s="1"/>
      <c r="Y87" s="1"/>
      <c r="Z87" s="1"/>
      <c r="AA87" s="1"/>
    </row>
    <row r="88" spans="1:27" ht="15.75" customHeight="1">
      <c r="A88" s="1"/>
      <c r="B88" s="511" t="s">
        <v>1424</v>
      </c>
      <c r="C88" s="512" t="s">
        <v>1276</v>
      </c>
      <c r="D88" s="542" t="s">
        <v>2589</v>
      </c>
      <c r="E88" s="513">
        <f t="shared" si="4"/>
        <v>72478.991596638662</v>
      </c>
      <c r="F88" s="514" t="s">
        <v>1291</v>
      </c>
      <c r="G88" s="512"/>
      <c r="H88" s="515">
        <f t="shared" si="1"/>
        <v>86250</v>
      </c>
      <c r="I88" s="520"/>
      <c r="J88" s="517">
        <f t="shared" si="2"/>
        <v>86250</v>
      </c>
      <c r="K88" s="518" t="s">
        <v>1292</v>
      </c>
      <c r="L88" s="519">
        <f>75000*1.15</f>
        <v>86250</v>
      </c>
      <c r="M88" s="518"/>
      <c r="N88" s="519"/>
      <c r="O88" s="518"/>
      <c r="P88" s="519"/>
      <c r="Q88" s="483"/>
      <c r="R88" s="1"/>
      <c r="S88" s="1"/>
      <c r="T88" s="1"/>
      <c r="U88" s="1"/>
      <c r="V88" s="1"/>
      <c r="W88" s="1"/>
      <c r="X88" s="1"/>
      <c r="Y88" s="1"/>
      <c r="Z88" s="1"/>
      <c r="AA88" s="1"/>
    </row>
    <row r="89" spans="1:27" ht="15.75" customHeight="1">
      <c r="A89" s="1"/>
      <c r="B89" s="511" t="s">
        <v>1425</v>
      </c>
      <c r="C89" s="512" t="s">
        <v>1276</v>
      </c>
      <c r="D89" s="542" t="s">
        <v>2591</v>
      </c>
      <c r="E89" s="513">
        <f t="shared" si="4"/>
        <v>6970.588235294118</v>
      </c>
      <c r="F89" s="514" t="s">
        <v>1291</v>
      </c>
      <c r="G89" s="512"/>
      <c r="H89" s="515">
        <f t="shared" si="1"/>
        <v>8295</v>
      </c>
      <c r="I89" s="520"/>
      <c r="J89" s="517">
        <f t="shared" si="2"/>
        <v>8295</v>
      </c>
      <c r="K89" s="518" t="s">
        <v>1292</v>
      </c>
      <c r="L89" s="519">
        <f>7900*1.05</f>
        <v>8295</v>
      </c>
      <c r="M89" s="518"/>
      <c r="N89" s="519"/>
      <c r="O89" s="518"/>
      <c r="P89" s="519"/>
      <c r="Q89" s="483"/>
      <c r="R89" s="1"/>
      <c r="S89" s="1"/>
      <c r="T89" s="1"/>
      <c r="U89" s="1"/>
      <c r="V89" s="1"/>
      <c r="W89" s="1"/>
      <c r="X89" s="1"/>
      <c r="Y89" s="1"/>
      <c r="Z89" s="1"/>
      <c r="AA89" s="1"/>
    </row>
    <row r="90" spans="1:27" ht="15.75" customHeight="1">
      <c r="A90" s="1"/>
      <c r="B90" s="511" t="s">
        <v>1426</v>
      </c>
      <c r="C90" s="512" t="s">
        <v>1276</v>
      </c>
      <c r="D90" s="542" t="s">
        <v>2590</v>
      </c>
      <c r="E90" s="513">
        <f t="shared" si="4"/>
        <v>1465.546218487395</v>
      </c>
      <c r="F90" s="514" t="s">
        <v>1291</v>
      </c>
      <c r="G90" s="512"/>
      <c r="H90" s="515">
        <f t="shared" si="1"/>
        <v>1744</v>
      </c>
      <c r="I90" s="520"/>
      <c r="J90" s="517">
        <f t="shared" si="2"/>
        <v>1744.0000000000002</v>
      </c>
      <c r="K90" s="518" t="s">
        <v>1292</v>
      </c>
      <c r="L90" s="519">
        <f>1600*1.09</f>
        <v>1744.0000000000002</v>
      </c>
      <c r="M90" s="518"/>
      <c r="N90" s="519"/>
      <c r="O90" s="518"/>
      <c r="P90" s="519"/>
      <c r="Q90" s="483"/>
      <c r="R90" s="1"/>
      <c r="S90" s="1"/>
      <c r="T90" s="1"/>
      <c r="U90" s="1"/>
      <c r="V90" s="1"/>
      <c r="W90" s="1"/>
      <c r="X90" s="1"/>
      <c r="Y90" s="1"/>
      <c r="Z90" s="1"/>
      <c r="AA90" s="1"/>
    </row>
    <row r="91" spans="1:27" ht="15.75" customHeight="1">
      <c r="A91" s="1"/>
      <c r="B91" s="511" t="s">
        <v>1427</v>
      </c>
      <c r="C91" s="512" t="s">
        <v>1276</v>
      </c>
      <c r="D91" s="542" t="s">
        <v>1428</v>
      </c>
      <c r="E91" s="513">
        <f t="shared" si="4"/>
        <v>100000</v>
      </c>
      <c r="F91" s="514" t="s">
        <v>1429</v>
      </c>
      <c r="G91" s="512"/>
      <c r="H91" s="515">
        <f t="shared" si="1"/>
        <v>119000</v>
      </c>
      <c r="I91" s="520"/>
      <c r="J91" s="517">
        <f t="shared" si="2"/>
        <v>119000</v>
      </c>
      <c r="K91" s="518" t="s">
        <v>1430</v>
      </c>
      <c r="L91" s="519">
        <v>119000</v>
      </c>
      <c r="M91" s="518"/>
      <c r="N91" s="519"/>
      <c r="O91" s="518"/>
      <c r="P91" s="519"/>
      <c r="Q91" s="483"/>
      <c r="R91" s="1"/>
      <c r="S91" s="1"/>
      <c r="T91" s="1"/>
      <c r="U91" s="1"/>
      <c r="V91" s="1"/>
      <c r="W91" s="1"/>
      <c r="X91" s="1"/>
      <c r="Y91" s="1"/>
      <c r="Z91" s="1"/>
      <c r="AA91" s="1"/>
    </row>
    <row r="92" spans="1:27" ht="15.75" customHeight="1">
      <c r="A92" s="1"/>
      <c r="B92" s="511" t="s">
        <v>1431</v>
      </c>
      <c r="C92" s="512" t="s">
        <v>1276</v>
      </c>
      <c r="D92" s="542" t="s">
        <v>1432</v>
      </c>
      <c r="E92" s="513">
        <f t="shared" si="4"/>
        <v>180672.26890756303</v>
      </c>
      <c r="F92" s="514" t="s">
        <v>1291</v>
      </c>
      <c r="G92" s="512"/>
      <c r="H92" s="515">
        <f t="shared" si="1"/>
        <v>215000</v>
      </c>
      <c r="I92" s="520"/>
      <c r="J92" s="517">
        <f t="shared" si="2"/>
        <v>215000</v>
      </c>
      <c r="K92" s="518"/>
      <c r="L92" s="519">
        <v>215000</v>
      </c>
      <c r="M92" s="518"/>
      <c r="N92" s="519"/>
      <c r="O92" s="518"/>
      <c r="P92" s="519"/>
      <c r="Q92" s="483"/>
      <c r="R92" s="1"/>
      <c r="S92" s="1"/>
      <c r="T92" s="1"/>
      <c r="U92" s="1"/>
      <c r="V92" s="1"/>
      <c r="W92" s="1"/>
      <c r="X92" s="1"/>
      <c r="Y92" s="1"/>
      <c r="Z92" s="1"/>
      <c r="AA92" s="1"/>
    </row>
    <row r="93" spans="1:27" ht="15.75" customHeight="1">
      <c r="A93" s="1"/>
      <c r="B93" s="511" t="s">
        <v>1433</v>
      </c>
      <c r="C93" s="512" t="s">
        <v>1276</v>
      </c>
      <c r="D93" s="542" t="s">
        <v>2498</v>
      </c>
      <c r="E93" s="513">
        <f t="shared" ref="E93" si="6">+H93/1.19</f>
        <v>48319.327731092439</v>
      </c>
      <c r="F93" s="514" t="s">
        <v>1291</v>
      </c>
      <c r="G93" s="512"/>
      <c r="H93" s="515">
        <f t="shared" si="1"/>
        <v>57500</v>
      </c>
      <c r="I93" s="520"/>
      <c r="J93" s="517">
        <f t="shared" ref="J93" si="7">IFERROR(AVERAGEIF($K$13:$P$13,"PRECIO IVA INC.",K93:P93),)</f>
        <v>57499.999999999993</v>
      </c>
      <c r="K93" s="518"/>
      <c r="L93" s="519">
        <f>50000*1.15</f>
        <v>57499.999999999993</v>
      </c>
      <c r="M93" s="518"/>
      <c r="N93" s="519"/>
      <c r="O93" s="518"/>
      <c r="P93" s="519"/>
      <c r="Q93" s="483"/>
      <c r="R93" s="1"/>
      <c r="S93" s="1"/>
      <c r="T93" s="1"/>
      <c r="U93" s="1"/>
      <c r="V93" s="1"/>
      <c r="W93" s="1"/>
      <c r="X93" s="1"/>
      <c r="Y93" s="1"/>
      <c r="Z93" s="1"/>
      <c r="AA93" s="1"/>
    </row>
    <row r="94" spans="1:27" ht="15.75" customHeight="1">
      <c r="A94" s="1"/>
      <c r="B94" s="511" t="s">
        <v>1434</v>
      </c>
      <c r="C94" s="512" t="s">
        <v>1276</v>
      </c>
      <c r="D94" s="542" t="s">
        <v>2508</v>
      </c>
      <c r="E94" s="513">
        <f t="shared" ref="E94:E96" si="8">+H94/1.19</f>
        <v>21260.504201680673</v>
      </c>
      <c r="F94" s="514" t="s">
        <v>2509</v>
      </c>
      <c r="G94" s="512"/>
      <c r="H94" s="515">
        <f t="shared" si="1"/>
        <v>25300</v>
      </c>
      <c r="I94" s="520"/>
      <c r="J94" s="517">
        <f t="shared" ref="J94" si="9">IFERROR(AVERAGEIF($K$13:$P$13,"PRECIO IVA INC.",K94:P94),)</f>
        <v>25299.999999999996</v>
      </c>
      <c r="K94" s="518"/>
      <c r="L94" s="519">
        <f>22000*1.15</f>
        <v>25299.999999999996</v>
      </c>
      <c r="M94" s="518"/>
      <c r="N94" s="519"/>
      <c r="O94" s="518"/>
      <c r="P94" s="519"/>
      <c r="Q94" s="483"/>
      <c r="R94" s="1"/>
      <c r="S94" s="1"/>
      <c r="T94" s="1"/>
      <c r="U94" s="1"/>
      <c r="V94" s="1"/>
      <c r="W94" s="1"/>
      <c r="X94" s="1"/>
      <c r="Y94" s="1"/>
      <c r="Z94" s="1"/>
      <c r="AA94" s="1"/>
    </row>
    <row r="95" spans="1:27" ht="15.75" customHeight="1">
      <c r="A95" s="1"/>
      <c r="B95" s="511" t="s">
        <v>1435</v>
      </c>
      <c r="C95" s="512" t="s">
        <v>1276</v>
      </c>
      <c r="D95" s="542" t="s">
        <v>2520</v>
      </c>
      <c r="E95" s="513">
        <f t="shared" si="8"/>
        <v>483.19327731092437</v>
      </c>
      <c r="F95" s="514" t="s">
        <v>454</v>
      </c>
      <c r="G95" s="512"/>
      <c r="H95" s="515">
        <f t="shared" si="1"/>
        <v>575</v>
      </c>
      <c r="I95" s="520"/>
      <c r="J95" s="517">
        <f t="shared" si="2"/>
        <v>574.17713333333336</v>
      </c>
      <c r="K95" s="518"/>
      <c r="L95" s="519">
        <f>H638/1500</f>
        <v>574.17713333333336</v>
      </c>
      <c r="M95" s="518"/>
      <c r="N95" s="519"/>
      <c r="O95" s="518"/>
      <c r="P95" s="519"/>
      <c r="Q95" s="483"/>
      <c r="R95" s="1"/>
      <c r="S95" s="1"/>
      <c r="T95" s="1"/>
      <c r="U95" s="1"/>
      <c r="V95" s="1"/>
      <c r="W95" s="1"/>
      <c r="X95" s="1"/>
      <c r="Y95" s="1"/>
      <c r="Z95" s="1"/>
      <c r="AA95" s="1"/>
    </row>
    <row r="96" spans="1:27" ht="15.75" customHeight="1">
      <c r="A96" s="1"/>
      <c r="B96" s="511" t="s">
        <v>1436</v>
      </c>
      <c r="C96" s="512" t="s">
        <v>1276</v>
      </c>
      <c r="D96" s="542" t="s">
        <v>2525</v>
      </c>
      <c r="E96" s="513">
        <f t="shared" si="8"/>
        <v>774957.98319327738</v>
      </c>
      <c r="F96" s="514" t="s">
        <v>741</v>
      </c>
      <c r="G96" s="512"/>
      <c r="H96" s="515">
        <f t="shared" si="1"/>
        <v>922200</v>
      </c>
      <c r="I96" s="520"/>
      <c r="J96" s="517">
        <f t="shared" ref="J96" si="10">IFERROR(AVERAGEIF($K$13:$P$13,"PRECIO IVA INC.",K96:P96),)</f>
        <v>922199.58600000013</v>
      </c>
      <c r="K96" s="518"/>
      <c r="L96" s="519">
        <f>H644*1.05</f>
        <v>922199.58600000013</v>
      </c>
      <c r="M96" s="518"/>
      <c r="N96" s="519"/>
      <c r="O96" s="518"/>
      <c r="P96" s="519"/>
      <c r="Q96" s="483"/>
      <c r="R96" s="1"/>
      <c r="S96" s="1"/>
      <c r="T96" s="1"/>
      <c r="U96" s="1"/>
      <c r="V96" s="1"/>
      <c r="W96" s="1"/>
      <c r="X96" s="1"/>
      <c r="Y96" s="1"/>
      <c r="Z96" s="1"/>
      <c r="AA96" s="1"/>
    </row>
    <row r="97" spans="1:27" ht="15.75" customHeight="1">
      <c r="A97" s="1"/>
      <c r="B97" s="511" t="s">
        <v>1437</v>
      </c>
      <c r="C97" s="512" t="s">
        <v>1276</v>
      </c>
      <c r="D97" s="542" t="s">
        <v>2529</v>
      </c>
      <c r="E97" s="513">
        <f t="shared" ref="E97" si="11">+H97/1.19</f>
        <v>3596.6386554621849</v>
      </c>
      <c r="F97" s="514" t="s">
        <v>550</v>
      </c>
      <c r="G97" s="512"/>
      <c r="H97" s="515">
        <f t="shared" si="1"/>
        <v>4280</v>
      </c>
      <c r="I97" s="520"/>
      <c r="J97" s="517">
        <f t="shared" ref="J97" si="12">IFERROR(AVERAGEIF($K$13:$P$13,"PRECIO IVA INC.",K97:P97),)</f>
        <v>4280</v>
      </c>
      <c r="K97" s="518"/>
      <c r="L97" s="519">
        <f>4000*1.07</f>
        <v>4280</v>
      </c>
      <c r="M97" s="518"/>
      <c r="N97" s="519"/>
      <c r="O97" s="518"/>
      <c r="P97" s="519"/>
      <c r="Q97" s="483"/>
      <c r="R97" s="1"/>
      <c r="S97" s="1"/>
      <c r="T97" s="1"/>
      <c r="U97" s="1"/>
      <c r="V97" s="1"/>
      <c r="W97" s="1"/>
      <c r="X97" s="1"/>
      <c r="Y97" s="1"/>
      <c r="Z97" s="1"/>
      <c r="AA97" s="1"/>
    </row>
    <row r="98" spans="1:27" ht="15.75" customHeight="1">
      <c r="A98" s="1"/>
      <c r="B98" s="511" t="s">
        <v>1438</v>
      </c>
      <c r="C98" s="512" t="s">
        <v>1276</v>
      </c>
      <c r="D98" s="542" t="s">
        <v>2533</v>
      </c>
      <c r="E98" s="513">
        <f t="shared" ref="E98:E99" si="13">+H98/1.19</f>
        <v>774957.98319327738</v>
      </c>
      <c r="F98" s="514" t="s">
        <v>741</v>
      </c>
      <c r="G98" s="512"/>
      <c r="H98" s="515">
        <f t="shared" si="1"/>
        <v>922200</v>
      </c>
      <c r="I98" s="520"/>
      <c r="J98" s="517">
        <f t="shared" ref="J98" si="14">IFERROR(AVERAGEIF($K$13:$P$13,"PRECIO IVA INC.",K98:P98),)</f>
        <v>922199.58600000013</v>
      </c>
      <c r="K98" s="518"/>
      <c r="L98" s="519">
        <f>L96</f>
        <v>922199.58600000013</v>
      </c>
      <c r="M98" s="518"/>
      <c r="N98" s="519"/>
      <c r="O98" s="518"/>
      <c r="P98" s="519"/>
      <c r="Q98" s="483"/>
      <c r="R98" s="1"/>
      <c r="S98" s="1"/>
      <c r="T98" s="1"/>
      <c r="U98" s="1"/>
      <c r="V98" s="1"/>
      <c r="W98" s="1"/>
      <c r="X98" s="1"/>
      <c r="Y98" s="1"/>
      <c r="Z98" s="1"/>
      <c r="AA98" s="1"/>
    </row>
    <row r="99" spans="1:27" ht="15.75" customHeight="1">
      <c r="A99" s="1"/>
      <c r="B99" s="511" t="s">
        <v>1439</v>
      </c>
      <c r="C99" s="512" t="s">
        <v>1276</v>
      </c>
      <c r="D99" s="542" t="s">
        <v>2534</v>
      </c>
      <c r="E99" s="513">
        <f t="shared" si="13"/>
        <v>12834.453781512606</v>
      </c>
      <c r="F99" s="514" t="s">
        <v>454</v>
      </c>
      <c r="G99" s="512"/>
      <c r="H99" s="515">
        <f t="shared" si="1"/>
        <v>15273</v>
      </c>
      <c r="I99" s="520"/>
      <c r="J99" s="517">
        <f t="shared" ref="J99" si="15">IFERROR(AVERAGEIF($K$13:$P$13,"PRECIO IVA INC.",K99:P99),)</f>
        <v>15272.252857142856</v>
      </c>
      <c r="K99" s="518"/>
      <c r="L99" s="519">
        <f>H648/70</f>
        <v>15272.252857142856</v>
      </c>
      <c r="M99" s="518"/>
      <c r="N99" s="519"/>
      <c r="O99" s="518"/>
      <c r="P99" s="519"/>
      <c r="Q99" s="483"/>
      <c r="R99" s="1"/>
      <c r="S99" s="1"/>
      <c r="T99" s="1"/>
      <c r="U99" s="1"/>
      <c r="V99" s="1"/>
      <c r="W99" s="1"/>
      <c r="X99" s="1"/>
      <c r="Y99" s="1"/>
      <c r="Z99" s="1"/>
      <c r="AA99" s="1"/>
    </row>
    <row r="100" spans="1:27" ht="15.75" customHeight="1">
      <c r="A100" s="1"/>
      <c r="B100" s="511" t="s">
        <v>1440</v>
      </c>
      <c r="C100" s="512" t="s">
        <v>1276</v>
      </c>
      <c r="D100" s="542" t="s">
        <v>2535</v>
      </c>
      <c r="E100" s="513">
        <f t="shared" ref="E100" si="16">+H100/1.19</f>
        <v>12834.453781512606</v>
      </c>
      <c r="F100" s="514" t="s">
        <v>454</v>
      </c>
      <c r="G100" s="512"/>
      <c r="H100" s="515">
        <f t="shared" si="1"/>
        <v>15273</v>
      </c>
      <c r="I100" s="520"/>
      <c r="J100" s="517">
        <f t="shared" ref="J100" si="17">IFERROR(AVERAGEIF($K$13:$P$13,"PRECIO IVA INC.",K100:P100),)</f>
        <v>15272.252857142856</v>
      </c>
      <c r="K100" s="518"/>
      <c r="L100" s="519">
        <f>L99</f>
        <v>15272.252857142856</v>
      </c>
      <c r="M100" s="518"/>
      <c r="N100" s="519"/>
      <c r="O100" s="518"/>
      <c r="P100" s="519"/>
      <c r="Q100" s="483"/>
      <c r="R100" s="1"/>
      <c r="S100" s="1"/>
      <c r="T100" s="1"/>
      <c r="U100" s="1"/>
      <c r="V100" s="1"/>
      <c r="W100" s="1"/>
      <c r="X100" s="1"/>
      <c r="Y100" s="1"/>
      <c r="Z100" s="1"/>
      <c r="AA100" s="1"/>
    </row>
    <row r="101" spans="1:27" ht="15.75" customHeight="1">
      <c r="A101" s="1"/>
      <c r="B101" s="511" t="s">
        <v>1441</v>
      </c>
      <c r="C101" s="512" t="s">
        <v>1276</v>
      </c>
      <c r="D101" s="542" t="s">
        <v>2536</v>
      </c>
      <c r="E101" s="513">
        <f t="shared" ref="E101" si="18">+H101/1.19</f>
        <v>201008.40336134454</v>
      </c>
      <c r="F101" s="514" t="s">
        <v>1429</v>
      </c>
      <c r="G101" s="512"/>
      <c r="H101" s="515">
        <f t="shared" si="1"/>
        <v>239200</v>
      </c>
      <c r="I101" s="520"/>
      <c r="J101" s="517">
        <f t="shared" ref="J101" si="19">IFERROR(AVERAGEIF($K$13:$P$13,"PRECIO IVA INC.",K101:P101),)</f>
        <v>239199.99999999997</v>
      </c>
      <c r="K101" s="518"/>
      <c r="L101" s="519">
        <f>208000*1.15</f>
        <v>239199.99999999997</v>
      </c>
      <c r="M101" s="518"/>
      <c r="N101" s="519"/>
      <c r="O101" s="518"/>
      <c r="P101" s="519"/>
      <c r="Q101" s="483"/>
      <c r="R101" s="1"/>
      <c r="S101" s="1"/>
      <c r="T101" s="1"/>
      <c r="U101" s="1"/>
      <c r="V101" s="1"/>
      <c r="W101" s="1"/>
      <c r="X101" s="1"/>
      <c r="Y101" s="1"/>
      <c r="Z101" s="1"/>
      <c r="AA101" s="1"/>
    </row>
    <row r="102" spans="1:27" ht="15.75" customHeight="1">
      <c r="A102" s="1"/>
      <c r="B102" s="511" t="s">
        <v>1442</v>
      </c>
      <c r="C102" s="512" t="s">
        <v>1276</v>
      </c>
      <c r="D102" s="542" t="s">
        <v>2537</v>
      </c>
      <c r="E102" s="513">
        <f t="shared" ref="E102" si="20">+H102/1.19</f>
        <v>483.19327731092437</v>
      </c>
      <c r="F102" s="514" t="s">
        <v>454</v>
      </c>
      <c r="G102" s="512"/>
      <c r="H102" s="515">
        <f t="shared" si="1"/>
        <v>575</v>
      </c>
      <c r="I102" s="520"/>
      <c r="J102" s="517">
        <f t="shared" ref="J102" si="21">IFERROR(AVERAGEIF($K$13:$P$13,"PRECIO IVA INC.",K102:P102),)</f>
        <v>574.17713333333336</v>
      </c>
      <c r="K102" s="518"/>
      <c r="L102" s="519">
        <f>H638/1500</f>
        <v>574.17713333333336</v>
      </c>
      <c r="M102" s="518"/>
      <c r="N102" s="519"/>
      <c r="O102" s="518"/>
      <c r="P102" s="519"/>
      <c r="Q102" s="483"/>
      <c r="R102" s="1"/>
      <c r="S102" s="1"/>
      <c r="T102" s="1"/>
      <c r="U102" s="1"/>
      <c r="V102" s="1"/>
      <c r="W102" s="1"/>
      <c r="X102" s="1"/>
      <c r="Y102" s="1"/>
      <c r="Z102" s="1"/>
      <c r="AA102" s="1"/>
    </row>
    <row r="103" spans="1:27" ht="15.75" customHeight="1">
      <c r="A103" s="1"/>
      <c r="B103" s="511" t="s">
        <v>1443</v>
      </c>
      <c r="C103" s="512" t="s">
        <v>1276</v>
      </c>
      <c r="D103" s="542" t="s">
        <v>2546</v>
      </c>
      <c r="E103" s="513">
        <f t="shared" ref="E103" si="22">+H103/1.19</f>
        <v>7634.453781512605</v>
      </c>
      <c r="F103" s="514" t="s">
        <v>454</v>
      </c>
      <c r="G103" s="512"/>
      <c r="H103" s="515">
        <f t="shared" si="1"/>
        <v>9085</v>
      </c>
      <c r="I103" s="520"/>
      <c r="J103" s="517">
        <f t="shared" ref="J103" si="23">IFERROR(AVERAGEIF($K$13:$P$13,"PRECIO IVA INC.",K103:P103),)</f>
        <v>9085</v>
      </c>
      <c r="K103" s="518"/>
      <c r="L103" s="519">
        <f>7900*1.15</f>
        <v>9085</v>
      </c>
      <c r="M103" s="518"/>
      <c r="N103" s="519"/>
      <c r="O103" s="518"/>
      <c r="P103" s="519"/>
      <c r="Q103" s="483"/>
      <c r="R103" s="1"/>
      <c r="S103" s="1"/>
      <c r="T103" s="1"/>
      <c r="U103" s="1"/>
      <c r="V103" s="1"/>
      <c r="W103" s="1"/>
      <c r="X103" s="1"/>
      <c r="Y103" s="1"/>
      <c r="Z103" s="1"/>
      <c r="AA103" s="1"/>
    </row>
    <row r="104" spans="1:27" ht="15.75" customHeight="1">
      <c r="A104" s="1"/>
      <c r="B104" s="511" t="s">
        <v>1444</v>
      </c>
      <c r="C104" s="512" t="s">
        <v>1276</v>
      </c>
      <c r="D104" s="542" t="s">
        <v>2547</v>
      </c>
      <c r="E104" s="513">
        <f t="shared" ref="E104" si="24">+H104/1.19</f>
        <v>138.65546218487395</v>
      </c>
      <c r="F104" s="514" t="s">
        <v>2548</v>
      </c>
      <c r="G104" s="512"/>
      <c r="H104" s="515">
        <f t="shared" si="1"/>
        <v>165</v>
      </c>
      <c r="I104" s="520"/>
      <c r="J104" s="517">
        <f t="shared" ref="J104" si="25">IFERROR(AVERAGEIF($K$13:$P$13,"PRECIO IVA INC.",K104:P104),)</f>
        <v>165</v>
      </c>
      <c r="K104" s="518"/>
      <c r="L104" s="519">
        <f>150*1.1</f>
        <v>165</v>
      </c>
      <c r="M104" s="518"/>
      <c r="N104" s="519"/>
      <c r="O104" s="518"/>
      <c r="P104" s="519"/>
      <c r="Q104" s="483"/>
      <c r="R104" s="1"/>
      <c r="S104" s="1"/>
      <c r="T104" s="1"/>
      <c r="U104" s="1"/>
      <c r="V104" s="1"/>
      <c r="W104" s="1"/>
      <c r="X104" s="1"/>
      <c r="Y104" s="1"/>
      <c r="Z104" s="1"/>
      <c r="AA104" s="1"/>
    </row>
    <row r="105" spans="1:27" ht="15.75" customHeight="1">
      <c r="A105" s="1"/>
      <c r="B105" s="511" t="s">
        <v>2564</v>
      </c>
      <c r="C105" s="544"/>
      <c r="D105" s="542" t="s">
        <v>2570</v>
      </c>
      <c r="E105" s="513">
        <f t="shared" ref="E105" si="26">+H105/1.19</f>
        <v>924.36974789915973</v>
      </c>
      <c r="F105" s="514" t="s">
        <v>1291</v>
      </c>
      <c r="G105" s="512"/>
      <c r="H105" s="515">
        <f t="shared" si="1"/>
        <v>1100</v>
      </c>
      <c r="I105" s="520"/>
      <c r="J105" s="517">
        <f t="shared" ref="J105" si="27">IFERROR(AVERAGEIF($K$13:$P$13,"PRECIO IVA INC.",K105:P105),)</f>
        <v>1100</v>
      </c>
      <c r="K105" s="518"/>
      <c r="L105" s="519">
        <v>1100</v>
      </c>
      <c r="M105" s="518"/>
      <c r="N105" s="519"/>
      <c r="O105" s="518"/>
      <c r="P105" s="519"/>
      <c r="Q105" s="483"/>
      <c r="R105" s="1"/>
      <c r="S105" s="1"/>
      <c r="T105" s="1"/>
      <c r="U105" s="1"/>
      <c r="V105" s="1"/>
      <c r="W105" s="1"/>
      <c r="X105" s="1"/>
      <c r="Y105" s="1"/>
      <c r="Z105" s="1"/>
      <c r="AA105" s="1"/>
    </row>
    <row r="106" spans="1:27" ht="15.75" customHeight="1">
      <c r="A106" s="1"/>
      <c r="B106" s="511" t="s">
        <v>2565</v>
      </c>
      <c r="C106" s="544"/>
      <c r="D106" s="542" t="s">
        <v>2578</v>
      </c>
      <c r="E106" s="513">
        <f t="shared" ref="E106" si="28">+H106/1.19</f>
        <v>588.23529411764707</v>
      </c>
      <c r="F106" s="514" t="s">
        <v>454</v>
      </c>
      <c r="G106" s="512"/>
      <c r="H106" s="515">
        <f t="shared" si="1"/>
        <v>700</v>
      </c>
      <c r="I106" s="520"/>
      <c r="J106" s="517">
        <f t="shared" ref="J106" si="29">IFERROR(AVERAGEIF($K$13:$P$13,"PRECIO IVA INC.",K106:P106),)</f>
        <v>700</v>
      </c>
      <c r="K106" s="518"/>
      <c r="L106" s="519">
        <v>700</v>
      </c>
      <c r="M106" s="518"/>
      <c r="N106" s="519"/>
      <c r="O106" s="518"/>
      <c r="P106" s="519"/>
      <c r="Q106" s="483"/>
      <c r="R106" s="1"/>
      <c r="S106" s="1"/>
      <c r="T106" s="1"/>
      <c r="U106" s="1"/>
      <c r="V106" s="1"/>
      <c r="W106" s="1"/>
      <c r="X106" s="1"/>
      <c r="Y106" s="1"/>
      <c r="Z106" s="1"/>
      <c r="AA106" s="1"/>
    </row>
    <row r="107" spans="1:27" ht="15.75" customHeight="1">
      <c r="A107" s="1"/>
      <c r="B107" s="511" t="s">
        <v>2566</v>
      </c>
      <c r="C107" s="544"/>
      <c r="D107" s="542" t="s">
        <v>1281</v>
      </c>
      <c r="E107" s="513">
        <f t="shared" ref="E107" si="30">+H107/1.19</f>
        <v>226.89075630252103</v>
      </c>
      <c r="F107" s="514" t="s">
        <v>454</v>
      </c>
      <c r="G107" s="512"/>
      <c r="H107" s="515">
        <f t="shared" si="1"/>
        <v>270</v>
      </c>
      <c r="I107" s="520"/>
      <c r="J107" s="517">
        <f t="shared" ref="J107" si="31">IFERROR(AVERAGEIF($K$13:$P$13,"PRECIO IVA INC.",K107:P107),)</f>
        <v>270</v>
      </c>
      <c r="K107" s="518"/>
      <c r="L107" s="519">
        <f>N16/500</f>
        <v>270</v>
      </c>
      <c r="M107" s="518"/>
      <c r="N107" s="519"/>
      <c r="O107" s="518"/>
      <c r="P107" s="519"/>
      <c r="Q107" s="483"/>
      <c r="R107" s="1"/>
      <c r="S107" s="1"/>
      <c r="T107" s="1"/>
      <c r="U107" s="1"/>
      <c r="V107" s="1"/>
      <c r="W107" s="1"/>
      <c r="X107" s="1"/>
      <c r="Y107" s="1"/>
      <c r="Z107" s="1"/>
      <c r="AA107" s="1"/>
    </row>
    <row r="108" spans="1:27" ht="15.75" customHeight="1">
      <c r="A108" s="1"/>
      <c r="B108" s="511" t="s">
        <v>2567</v>
      </c>
      <c r="C108" s="544"/>
      <c r="D108" s="542" t="s">
        <v>2580</v>
      </c>
      <c r="E108" s="513">
        <f t="shared" ref="E108" si="32">+H108/1.19</f>
        <v>483.19327731092437</v>
      </c>
      <c r="F108" s="514" t="s">
        <v>454</v>
      </c>
      <c r="G108" s="512"/>
      <c r="H108" s="515">
        <f t="shared" si="1"/>
        <v>575</v>
      </c>
      <c r="I108" s="520"/>
      <c r="J108" s="517">
        <f t="shared" ref="J108" si="33">IFERROR(AVERAGEIF($K$13:$P$13,"PRECIO IVA INC.",K108:P108),)</f>
        <v>574.17713333333336</v>
      </c>
      <c r="K108" s="518"/>
      <c r="L108" s="519">
        <f>L95</f>
        <v>574.17713333333336</v>
      </c>
      <c r="M108" s="518"/>
      <c r="N108" s="549"/>
      <c r="O108" s="521"/>
      <c r="P108" s="550"/>
      <c r="Q108" s="483"/>
      <c r="R108" s="1"/>
      <c r="S108" s="1"/>
      <c r="T108" s="1"/>
      <c r="U108" s="1"/>
      <c r="V108" s="1"/>
      <c r="W108" s="1"/>
      <c r="X108" s="1"/>
      <c r="Y108" s="1"/>
      <c r="Z108" s="1"/>
      <c r="AA108" s="1"/>
    </row>
    <row r="109" spans="1:27" ht="15.75" customHeight="1">
      <c r="A109" s="1"/>
      <c r="B109" s="511" t="s">
        <v>2568</v>
      </c>
      <c r="C109" s="544"/>
      <c r="D109" s="542" t="s">
        <v>2581</v>
      </c>
      <c r="E109" s="513">
        <f t="shared" ref="E109" si="34">+H109/1.19</f>
        <v>268.9075630252101</v>
      </c>
      <c r="F109" s="514" t="s">
        <v>454</v>
      </c>
      <c r="G109" s="512"/>
      <c r="H109" s="515">
        <f t="shared" si="1"/>
        <v>320</v>
      </c>
      <c r="I109" s="520"/>
      <c r="J109" s="517">
        <f t="shared" ref="J109" si="35">IFERROR(AVERAGEIF($K$13:$P$13,"PRECIO IVA INC.",K109:P109),)</f>
        <v>320</v>
      </c>
      <c r="K109" s="518"/>
      <c r="L109" s="519">
        <v>320</v>
      </c>
      <c r="M109" s="518"/>
      <c r="N109" s="549"/>
      <c r="O109" s="521"/>
      <c r="P109" s="550"/>
      <c r="Q109" s="483"/>
      <c r="R109" s="1"/>
      <c r="S109" s="1"/>
      <c r="T109" s="1"/>
      <c r="U109" s="1"/>
      <c r="V109" s="1"/>
      <c r="W109" s="1"/>
      <c r="X109" s="1"/>
      <c r="Y109" s="1"/>
      <c r="Z109" s="1"/>
      <c r="AA109" s="1"/>
    </row>
    <row r="110" spans="1:27" ht="15.75" customHeight="1">
      <c r="A110" s="1"/>
      <c r="B110" s="511" t="s">
        <v>2569</v>
      </c>
      <c r="C110" s="544"/>
      <c r="D110" s="542" t="s">
        <v>2582</v>
      </c>
      <c r="E110" s="513">
        <f t="shared" ref="E110" si="36">+H110/1.19</f>
        <v>462184.87394957984</v>
      </c>
      <c r="F110" s="514" t="s">
        <v>1429</v>
      </c>
      <c r="G110" s="512"/>
      <c r="H110" s="515">
        <f t="shared" si="1"/>
        <v>550000</v>
      </c>
      <c r="I110" s="520"/>
      <c r="J110" s="517">
        <f t="shared" ref="J110" si="37">IFERROR(AVERAGEIF($K$13:$P$13,"PRECIO IVA INC.",K110:P110),)</f>
        <v>550000</v>
      </c>
      <c r="K110" s="518"/>
      <c r="L110" s="519">
        <v>550000</v>
      </c>
      <c r="M110" s="518"/>
      <c r="N110" s="549"/>
      <c r="O110" s="521"/>
      <c r="P110" s="550"/>
      <c r="Q110" s="483"/>
      <c r="R110" s="1"/>
      <c r="S110" s="1"/>
      <c r="T110" s="1"/>
      <c r="U110" s="1"/>
      <c r="V110" s="1"/>
      <c r="W110" s="1"/>
      <c r="X110" s="1"/>
      <c r="Y110" s="1"/>
      <c r="Z110" s="1"/>
      <c r="AA110" s="1"/>
    </row>
    <row r="111" spans="1:27" ht="15.75" customHeight="1">
      <c r="A111" s="1"/>
      <c r="B111" s="511" t="s">
        <v>2583</v>
      </c>
      <c r="C111" s="544"/>
      <c r="D111" s="542" t="s">
        <v>2587</v>
      </c>
      <c r="E111" s="513">
        <f t="shared" ref="E111" si="38">+H111/1.19</f>
        <v>147058.82352941178</v>
      </c>
      <c r="F111" s="514" t="s">
        <v>1429</v>
      </c>
      <c r="G111" s="512"/>
      <c r="H111" s="515">
        <f t="shared" si="1"/>
        <v>175000</v>
      </c>
      <c r="I111" s="520"/>
      <c r="J111" s="517">
        <f t="shared" ref="J111" si="39">IFERROR(AVERAGEIF($K$13:$P$13,"PRECIO IVA INC.",K111:P111),)</f>
        <v>175000</v>
      </c>
      <c r="K111" s="518"/>
      <c r="L111" s="519">
        <v>175000</v>
      </c>
      <c r="M111" s="518"/>
      <c r="N111" s="549"/>
      <c r="O111" s="521"/>
      <c r="P111" s="550"/>
      <c r="Q111" s="483"/>
      <c r="R111" s="1"/>
      <c r="S111" s="1"/>
      <c r="T111" s="1"/>
      <c r="U111" s="1"/>
      <c r="V111" s="1"/>
      <c r="W111" s="1"/>
      <c r="X111" s="1"/>
      <c r="Y111" s="1"/>
      <c r="Z111" s="1"/>
      <c r="AA111" s="1"/>
    </row>
    <row r="112" spans="1:27" ht="15.75" customHeight="1">
      <c r="A112" s="1"/>
      <c r="B112" s="511" t="s">
        <v>2584</v>
      </c>
      <c r="C112" s="544"/>
      <c r="D112" s="542" t="s">
        <v>723</v>
      </c>
      <c r="E112" s="513">
        <f t="shared" ref="E112" si="40">+H112/1.19</f>
        <v>659663.86554621847</v>
      </c>
      <c r="F112" s="514" t="s">
        <v>1429</v>
      </c>
      <c r="G112" s="512"/>
      <c r="H112" s="515">
        <f t="shared" si="1"/>
        <v>785000</v>
      </c>
      <c r="I112" s="520"/>
      <c r="J112" s="517">
        <f t="shared" ref="J112" si="41">IFERROR(AVERAGEIF($K$13:$P$13,"PRECIO IVA INC.",K112:P112),)</f>
        <v>785000</v>
      </c>
      <c r="K112" s="518"/>
      <c r="L112" s="519">
        <v>785000</v>
      </c>
      <c r="M112" s="518"/>
      <c r="N112" s="549"/>
      <c r="O112" s="521"/>
      <c r="P112" s="550"/>
      <c r="Q112" s="483"/>
      <c r="R112" s="1"/>
      <c r="S112" s="1"/>
      <c r="T112" s="1"/>
      <c r="U112" s="1"/>
      <c r="V112" s="1"/>
      <c r="W112" s="1"/>
      <c r="X112" s="1"/>
      <c r="Y112" s="1"/>
      <c r="Z112" s="1"/>
      <c r="AA112" s="1"/>
    </row>
    <row r="113" spans="1:27" ht="15.75" customHeight="1">
      <c r="A113" s="1"/>
      <c r="B113" s="511" t="s">
        <v>2585</v>
      </c>
      <c r="C113" s="544"/>
      <c r="D113" s="542" t="s">
        <v>2592</v>
      </c>
      <c r="E113" s="513">
        <f t="shared" ref="E113" si="42">+H113/1.19</f>
        <v>180672.26890756303</v>
      </c>
      <c r="F113" s="514" t="s">
        <v>1291</v>
      </c>
      <c r="G113" s="512"/>
      <c r="H113" s="515">
        <f t="shared" si="1"/>
        <v>215000</v>
      </c>
      <c r="I113" s="520"/>
      <c r="J113" s="517">
        <f t="shared" ref="J113" si="43">IFERROR(AVERAGEIF($K$13:$P$13,"PRECIO IVA INC.",K113:P113),)</f>
        <v>215000</v>
      </c>
      <c r="K113" s="518"/>
      <c r="L113" s="519">
        <v>215000</v>
      </c>
      <c r="M113" s="518"/>
      <c r="N113" s="549"/>
      <c r="O113" s="521"/>
      <c r="P113" s="550"/>
      <c r="Q113" s="483"/>
      <c r="R113" s="1"/>
      <c r="S113" s="1"/>
      <c r="T113" s="1"/>
      <c r="U113" s="1"/>
      <c r="V113" s="1"/>
      <c r="W113" s="1"/>
      <c r="X113" s="1"/>
      <c r="Y113" s="1"/>
      <c r="Z113" s="1"/>
      <c r="AA113" s="1"/>
    </row>
    <row r="114" spans="1:27" ht="15.75" customHeight="1">
      <c r="A114" s="1"/>
      <c r="B114" s="511" t="s">
        <v>2586</v>
      </c>
      <c r="C114" s="544"/>
      <c r="D114" s="542" t="s">
        <v>2593</v>
      </c>
      <c r="E114" s="513">
        <f t="shared" ref="E114" si="44">+H114/1.19</f>
        <v>592436.97478991596</v>
      </c>
      <c r="F114" s="514" t="s">
        <v>1291</v>
      </c>
      <c r="G114" s="512"/>
      <c r="H114" s="515">
        <f t="shared" si="1"/>
        <v>705000</v>
      </c>
      <c r="I114" s="520"/>
      <c r="J114" s="517">
        <f t="shared" ref="J114" si="45">IFERROR(AVERAGEIF($K$13:$P$13,"PRECIO IVA INC.",K114:P114),)</f>
        <v>705000</v>
      </c>
      <c r="K114" s="518"/>
      <c r="L114" s="519">
        <v>705000</v>
      </c>
      <c r="M114" s="518"/>
      <c r="N114" s="549"/>
      <c r="O114" s="521"/>
      <c r="P114" s="550"/>
      <c r="Q114" s="483"/>
      <c r="R114" s="1"/>
      <c r="S114" s="1"/>
      <c r="T114" s="1"/>
      <c r="U114" s="1"/>
      <c r="V114" s="1"/>
      <c r="W114" s="1"/>
      <c r="X114" s="1"/>
      <c r="Y114" s="1"/>
      <c r="Z114" s="1"/>
      <c r="AA114" s="1"/>
    </row>
    <row r="115" spans="1:27" ht="15.75" customHeight="1">
      <c r="A115" s="1"/>
      <c r="B115" s="511" t="s">
        <v>2595</v>
      </c>
      <c r="C115" s="544"/>
      <c r="D115" s="542" t="s">
        <v>2594</v>
      </c>
      <c r="E115" s="513">
        <f t="shared" ref="E115" si="46">+H115/1.19</f>
        <v>42436.97478991597</v>
      </c>
      <c r="F115" s="514" t="s">
        <v>1291</v>
      </c>
      <c r="G115" s="512"/>
      <c r="H115" s="515">
        <f t="shared" si="1"/>
        <v>50500</v>
      </c>
      <c r="I115" s="520"/>
      <c r="J115" s="517">
        <f t="shared" ref="J115" si="47">IFERROR(AVERAGEIF($K$13:$P$13,"PRECIO IVA INC.",K115:P115),)</f>
        <v>50500</v>
      </c>
      <c r="K115" s="518"/>
      <c r="L115" s="519">
        <v>50500</v>
      </c>
      <c r="M115" s="518"/>
      <c r="N115" s="549"/>
      <c r="O115" s="521"/>
      <c r="P115" s="550"/>
      <c r="Q115" s="483"/>
      <c r="R115" s="1"/>
      <c r="S115" s="1"/>
      <c r="T115" s="1"/>
      <c r="U115" s="1"/>
      <c r="V115" s="1"/>
      <c r="W115" s="1"/>
      <c r="X115" s="1"/>
      <c r="Y115" s="1"/>
      <c r="Z115" s="1"/>
      <c r="AA115" s="1"/>
    </row>
    <row r="116" spans="1:27" ht="15.75" customHeight="1">
      <c r="A116" s="1"/>
      <c r="B116" s="543"/>
      <c r="C116" s="544"/>
      <c r="D116" s="542"/>
      <c r="E116" s="545"/>
      <c r="F116" s="546"/>
      <c r="G116" s="544"/>
      <c r="H116" s="547"/>
      <c r="I116" s="520"/>
      <c r="J116" s="517"/>
      <c r="K116" s="521"/>
      <c r="L116" s="548"/>
      <c r="M116" s="518"/>
      <c r="N116" s="549"/>
      <c r="O116" s="521"/>
      <c r="P116" s="550"/>
      <c r="Q116" s="483"/>
      <c r="R116" s="1"/>
      <c r="S116" s="1"/>
      <c r="T116" s="1"/>
      <c r="U116" s="1"/>
      <c r="V116" s="1"/>
      <c r="W116" s="1"/>
      <c r="X116" s="1"/>
      <c r="Y116" s="1"/>
      <c r="Z116" s="1"/>
      <c r="AA116" s="1"/>
    </row>
    <row r="117" spans="1:27" ht="15.75" customHeight="1">
      <c r="A117" s="1"/>
      <c r="B117" s="543"/>
      <c r="C117" s="544"/>
      <c r="D117" s="542"/>
      <c r="E117" s="545"/>
      <c r="F117" s="546"/>
      <c r="G117" s="544"/>
      <c r="H117" s="547"/>
      <c r="I117" s="520"/>
      <c r="J117" s="517"/>
      <c r="K117" s="521"/>
      <c r="L117" s="548"/>
      <c r="M117" s="518"/>
      <c r="N117" s="549"/>
      <c r="O117" s="521"/>
      <c r="P117" s="550"/>
      <c r="Q117" s="483"/>
      <c r="R117" s="1"/>
      <c r="S117" s="1"/>
      <c r="T117" s="1"/>
      <c r="U117" s="1"/>
      <c r="V117" s="1"/>
      <c r="W117" s="1"/>
      <c r="X117" s="1"/>
      <c r="Y117" s="1"/>
      <c r="Z117" s="1"/>
      <c r="AA117" s="1"/>
    </row>
    <row r="118" spans="1:27" ht="18" customHeight="1">
      <c r="A118" s="1"/>
      <c r="B118" s="501" t="s">
        <v>1445</v>
      </c>
      <c r="C118" s="502"/>
      <c r="D118" s="551" t="s">
        <v>1445</v>
      </c>
      <c r="E118" s="504"/>
      <c r="F118" s="505"/>
      <c r="G118" s="505"/>
      <c r="H118" s="506"/>
      <c r="I118" s="552"/>
      <c r="J118" s="553"/>
      <c r="K118" s="554"/>
      <c r="L118" s="554"/>
      <c r="M118" s="554"/>
      <c r="N118" s="554"/>
      <c r="O118" s="554"/>
      <c r="P118" s="555"/>
      <c r="Q118" s="483"/>
      <c r="R118" s="1"/>
      <c r="S118" s="1"/>
      <c r="T118" s="1"/>
      <c r="U118" s="1"/>
      <c r="V118" s="1"/>
      <c r="W118" s="1"/>
      <c r="X118" s="1"/>
      <c r="Y118" s="1"/>
      <c r="Z118" s="1"/>
      <c r="AA118" s="1"/>
    </row>
    <row r="119" spans="1:27" ht="15.75" customHeight="1">
      <c r="A119" s="1"/>
      <c r="B119" s="556" t="s">
        <v>1446</v>
      </c>
      <c r="C119" s="557" t="s">
        <v>1447</v>
      </c>
      <c r="D119" s="174" t="s">
        <v>1448</v>
      </c>
      <c r="E119" s="558">
        <f t="shared" ref="E119:E128" si="48">+H119/1.19</f>
        <v>7100.8403361344544</v>
      </c>
      <c r="F119" s="559" t="s">
        <v>454</v>
      </c>
      <c r="G119" s="557"/>
      <c r="H119" s="560">
        <f t="shared" ref="H119:H128" si="49">ROUNDUP($J119*(1+$C$10),0)</f>
        <v>8450</v>
      </c>
      <c r="I119" s="520"/>
      <c r="J119" s="517">
        <f t="shared" ref="J119:J128" si="50">IFERROR(AVERAGEIF($K$13:$P$13,"PRECIO IVA INC.",K119:P119),)</f>
        <v>8450</v>
      </c>
      <c r="K119" s="521" t="s">
        <v>1449</v>
      </c>
      <c r="L119" s="522">
        <v>8450</v>
      </c>
      <c r="M119" s="518"/>
      <c r="N119" s="519"/>
      <c r="O119" s="518"/>
      <c r="P119" s="519"/>
      <c r="Q119" s="1"/>
      <c r="R119" s="1"/>
      <c r="S119" s="1"/>
      <c r="T119" s="1"/>
      <c r="U119" s="1"/>
      <c r="V119" s="1"/>
      <c r="W119" s="1"/>
      <c r="X119" s="1"/>
      <c r="Y119" s="1"/>
      <c r="Z119" s="1"/>
      <c r="AA119" s="1"/>
    </row>
    <row r="120" spans="1:27" ht="15.75" customHeight="1">
      <c r="A120" s="1"/>
      <c r="B120" s="556" t="s">
        <v>1450</v>
      </c>
      <c r="C120" s="557" t="s">
        <v>1447</v>
      </c>
      <c r="D120" s="174" t="s">
        <v>1451</v>
      </c>
      <c r="E120" s="558">
        <f t="shared" si="48"/>
        <v>6050.4201680672268</v>
      </c>
      <c r="F120" s="559" t="s">
        <v>454</v>
      </c>
      <c r="G120" s="557"/>
      <c r="H120" s="560">
        <f t="shared" si="49"/>
        <v>7200</v>
      </c>
      <c r="I120" s="520"/>
      <c r="J120" s="517">
        <f t="shared" si="50"/>
        <v>7200</v>
      </c>
      <c r="K120" s="521" t="s">
        <v>1449</v>
      </c>
      <c r="L120" s="522">
        <v>6900</v>
      </c>
      <c r="M120" s="518" t="s">
        <v>1305</v>
      </c>
      <c r="N120" s="519">
        <v>7200</v>
      </c>
      <c r="O120" s="518" t="s">
        <v>1306</v>
      </c>
      <c r="P120" s="519">
        <v>7500</v>
      </c>
      <c r="Q120" s="1"/>
      <c r="R120" s="1"/>
      <c r="S120" s="1"/>
      <c r="T120" s="1"/>
      <c r="U120" s="1"/>
      <c r="V120" s="1"/>
      <c r="W120" s="1"/>
      <c r="X120" s="1"/>
      <c r="Y120" s="1"/>
      <c r="Z120" s="1"/>
      <c r="AA120" s="1"/>
    </row>
    <row r="121" spans="1:27" ht="15.75" customHeight="1">
      <c r="A121" s="1"/>
      <c r="B121" s="556" t="s">
        <v>1452</v>
      </c>
      <c r="C121" s="557" t="s">
        <v>1447</v>
      </c>
      <c r="D121" s="174" t="s">
        <v>1453</v>
      </c>
      <c r="E121" s="558">
        <f t="shared" si="48"/>
        <v>4351.2605042016812</v>
      </c>
      <c r="F121" s="559" t="s">
        <v>454</v>
      </c>
      <c r="G121" s="557"/>
      <c r="H121" s="560">
        <f t="shared" si="49"/>
        <v>5178</v>
      </c>
      <c r="I121" s="520"/>
      <c r="J121" s="517">
        <f t="shared" si="50"/>
        <v>5177.6071517996861</v>
      </c>
      <c r="K121" s="521" t="s">
        <v>1449</v>
      </c>
      <c r="L121" s="522">
        <f>3800*1.19</f>
        <v>4522</v>
      </c>
      <c r="M121" s="518" t="s">
        <v>1305</v>
      </c>
      <c r="N121" s="519">
        <v>5469.1314553990605</v>
      </c>
      <c r="O121" s="521" t="s">
        <v>1306</v>
      </c>
      <c r="P121" s="522">
        <v>5541.69</v>
      </c>
      <c r="Q121" s="1"/>
      <c r="R121" s="1"/>
      <c r="S121" s="1"/>
      <c r="T121" s="1"/>
      <c r="U121" s="1"/>
      <c r="V121" s="1"/>
      <c r="W121" s="1"/>
      <c r="X121" s="1"/>
      <c r="Y121" s="1"/>
      <c r="Z121" s="1"/>
      <c r="AA121" s="1"/>
    </row>
    <row r="122" spans="1:27" ht="15.75" customHeight="1">
      <c r="A122" s="1"/>
      <c r="B122" s="556" t="s">
        <v>1454</v>
      </c>
      <c r="C122" s="557" t="s">
        <v>1447</v>
      </c>
      <c r="D122" s="174" t="s">
        <v>1455</v>
      </c>
      <c r="E122" s="558">
        <f t="shared" si="48"/>
        <v>6300.8403361344544</v>
      </c>
      <c r="F122" s="559" t="s">
        <v>454</v>
      </c>
      <c r="G122" s="557"/>
      <c r="H122" s="560">
        <f t="shared" si="49"/>
        <v>7498</v>
      </c>
      <c r="I122" s="520"/>
      <c r="J122" s="517">
        <f t="shared" si="50"/>
        <v>7497.3866666666663</v>
      </c>
      <c r="K122" s="521" t="s">
        <v>1292</v>
      </c>
      <c r="L122" s="522">
        <v>9200</v>
      </c>
      <c r="M122" s="518" t="s">
        <v>1305</v>
      </c>
      <c r="N122" s="519">
        <v>6350</v>
      </c>
      <c r="O122" s="518" t="s">
        <v>1306</v>
      </c>
      <c r="P122" s="519">
        <v>6942.16</v>
      </c>
      <c r="Q122" s="1"/>
      <c r="R122" s="1"/>
      <c r="S122" s="1"/>
      <c r="T122" s="1"/>
      <c r="U122" s="1"/>
      <c r="V122" s="1"/>
      <c r="W122" s="1"/>
      <c r="X122" s="1"/>
      <c r="Y122" s="1"/>
      <c r="Z122" s="1"/>
      <c r="AA122" s="1"/>
    </row>
    <row r="123" spans="1:27" ht="15.75" customHeight="1">
      <c r="A123" s="1"/>
      <c r="B123" s="556" t="s">
        <v>1456</v>
      </c>
      <c r="C123" s="557" t="s">
        <v>1447</v>
      </c>
      <c r="D123" s="174" t="s">
        <v>1457</v>
      </c>
      <c r="E123" s="558">
        <f t="shared" si="48"/>
        <v>3881.5126050420172</v>
      </c>
      <c r="F123" s="559" t="s">
        <v>454</v>
      </c>
      <c r="G123" s="557"/>
      <c r="H123" s="560">
        <f t="shared" si="49"/>
        <v>4619</v>
      </c>
      <c r="I123" s="520"/>
      <c r="J123" s="517">
        <f t="shared" si="50"/>
        <v>4618.0438184663535</v>
      </c>
      <c r="K123" s="521" t="s">
        <v>1449</v>
      </c>
      <c r="L123" s="522">
        <f>3600*1.19</f>
        <v>4284</v>
      </c>
      <c r="M123" s="518" t="s">
        <v>1305</v>
      </c>
      <c r="N123" s="519">
        <v>5469.1314553990605</v>
      </c>
      <c r="O123" s="521" t="s">
        <v>1292</v>
      </c>
      <c r="P123" s="522">
        <v>4101</v>
      </c>
      <c r="Q123" s="1"/>
      <c r="R123" s="1"/>
      <c r="S123" s="1"/>
      <c r="T123" s="1"/>
      <c r="U123" s="1"/>
      <c r="V123" s="1"/>
      <c r="W123" s="1"/>
      <c r="X123" s="1"/>
      <c r="Y123" s="1"/>
      <c r="Z123" s="1"/>
      <c r="AA123" s="1"/>
    </row>
    <row r="124" spans="1:27" ht="15.75" customHeight="1">
      <c r="A124" s="1"/>
      <c r="B124" s="556" t="s">
        <v>1458</v>
      </c>
      <c r="C124" s="557" t="s">
        <v>1447</v>
      </c>
      <c r="D124" s="174" t="s">
        <v>1459</v>
      </c>
      <c r="E124" s="558">
        <f t="shared" si="48"/>
        <v>56378.991596638662</v>
      </c>
      <c r="F124" s="559" t="s">
        <v>550</v>
      </c>
      <c r="G124" s="557"/>
      <c r="H124" s="560">
        <f t="shared" si="49"/>
        <v>67091</v>
      </c>
      <c r="I124" s="520"/>
      <c r="J124" s="517">
        <f t="shared" si="50"/>
        <v>67091</v>
      </c>
      <c r="K124" s="521" t="s">
        <v>1460</v>
      </c>
      <c r="L124" s="522">
        <v>67091</v>
      </c>
      <c r="M124" s="518"/>
      <c r="N124" s="519"/>
      <c r="O124" s="518"/>
      <c r="P124" s="519"/>
      <c r="Q124" s="1"/>
      <c r="R124" s="1"/>
      <c r="S124" s="1"/>
      <c r="T124" s="1"/>
      <c r="U124" s="1"/>
      <c r="V124" s="1"/>
      <c r="W124" s="1"/>
      <c r="X124" s="1"/>
      <c r="Y124" s="1"/>
      <c r="Z124" s="1"/>
      <c r="AA124" s="1"/>
    </row>
    <row r="125" spans="1:27" ht="15.75" customHeight="1">
      <c r="A125" s="1"/>
      <c r="B125" s="556" t="s">
        <v>1461</v>
      </c>
      <c r="C125" s="557" t="s">
        <v>1447</v>
      </c>
      <c r="D125" s="174" t="s">
        <v>1462</v>
      </c>
      <c r="E125" s="558">
        <f t="shared" si="48"/>
        <v>2444.5378151260506</v>
      </c>
      <c r="F125" s="559" t="s">
        <v>1339</v>
      </c>
      <c r="G125" s="557"/>
      <c r="H125" s="560">
        <f t="shared" si="49"/>
        <v>2909</v>
      </c>
      <c r="I125" s="520"/>
      <c r="J125" s="517">
        <f t="shared" si="50"/>
        <v>2908.33</v>
      </c>
      <c r="K125" s="521" t="s">
        <v>1292</v>
      </c>
      <c r="L125" s="522">
        <v>2908.33</v>
      </c>
      <c r="M125" s="518"/>
      <c r="N125" s="519"/>
      <c r="O125" s="518"/>
      <c r="P125" s="519"/>
      <c r="Q125" s="1"/>
      <c r="R125" s="1"/>
      <c r="S125" s="1"/>
      <c r="T125" s="1"/>
      <c r="U125" s="1"/>
      <c r="V125" s="1"/>
      <c r="W125" s="1"/>
      <c r="X125" s="1"/>
      <c r="Y125" s="1"/>
      <c r="Z125" s="1"/>
      <c r="AA125" s="1"/>
    </row>
    <row r="126" spans="1:27" ht="15.75" customHeight="1">
      <c r="A126" s="1"/>
      <c r="B126" s="556" t="s">
        <v>1463</v>
      </c>
      <c r="C126" s="557" t="s">
        <v>1447</v>
      </c>
      <c r="D126" s="174" t="s">
        <v>1464</v>
      </c>
      <c r="E126" s="558">
        <f t="shared" si="48"/>
        <v>3226.8907563025214</v>
      </c>
      <c r="F126" s="559" t="s">
        <v>1339</v>
      </c>
      <c r="G126" s="557"/>
      <c r="H126" s="560">
        <f t="shared" si="49"/>
        <v>3840</v>
      </c>
      <c r="I126" s="520"/>
      <c r="J126" s="517">
        <f t="shared" si="50"/>
        <v>3840</v>
      </c>
      <c r="K126" s="521" t="s">
        <v>1465</v>
      </c>
      <c r="L126" s="522">
        <v>3840</v>
      </c>
      <c r="M126" s="518"/>
      <c r="N126" s="519"/>
      <c r="O126" s="518"/>
      <c r="P126" s="519"/>
      <c r="Q126" s="1"/>
      <c r="R126" s="1"/>
      <c r="S126" s="1"/>
      <c r="T126" s="1"/>
      <c r="U126" s="1"/>
      <c r="V126" s="1"/>
      <c r="W126" s="1"/>
      <c r="X126" s="1"/>
      <c r="Y126" s="1"/>
      <c r="Z126" s="1"/>
      <c r="AA126" s="1"/>
    </row>
    <row r="127" spans="1:27" ht="15.75" customHeight="1">
      <c r="A127" s="1"/>
      <c r="B127" s="556" t="s">
        <v>1466</v>
      </c>
      <c r="C127" s="557" t="s">
        <v>1447</v>
      </c>
      <c r="D127" s="174" t="s">
        <v>1467</v>
      </c>
      <c r="E127" s="558">
        <f t="shared" si="48"/>
        <v>76306.722689075628</v>
      </c>
      <c r="F127" s="559" t="s">
        <v>303</v>
      </c>
      <c r="G127" s="557"/>
      <c r="H127" s="560">
        <f t="shared" si="49"/>
        <v>90805</v>
      </c>
      <c r="I127" s="520"/>
      <c r="J127" s="517">
        <f t="shared" si="50"/>
        <v>90804.823000000004</v>
      </c>
      <c r="K127" s="521" t="s">
        <v>1460</v>
      </c>
      <c r="L127" s="522">
        <f>(214217*1.19)/(1*5)</f>
        <v>50983.645999999993</v>
      </c>
      <c r="M127" s="518"/>
      <c r="N127" s="519"/>
      <c r="O127" s="518" t="s">
        <v>1468</v>
      </c>
      <c r="P127" s="519">
        <v>130626</v>
      </c>
      <c r="Q127" s="1"/>
      <c r="R127" s="1"/>
      <c r="S127" s="1"/>
      <c r="T127" s="1"/>
      <c r="U127" s="1"/>
      <c r="V127" s="1"/>
      <c r="W127" s="1"/>
      <c r="X127" s="1"/>
      <c r="Y127" s="1"/>
      <c r="Z127" s="1"/>
      <c r="AA127" s="1"/>
    </row>
    <row r="128" spans="1:27" ht="15.75" customHeight="1">
      <c r="A128" s="1"/>
      <c r="B128" s="556" t="s">
        <v>1469</v>
      </c>
      <c r="C128" s="557" t="s">
        <v>1447</v>
      </c>
      <c r="D128" s="174" t="s">
        <v>1470</v>
      </c>
      <c r="E128" s="558">
        <f t="shared" si="48"/>
        <v>55991.596638655465</v>
      </c>
      <c r="F128" s="559" t="s">
        <v>303</v>
      </c>
      <c r="G128" s="557"/>
      <c r="H128" s="560">
        <f t="shared" si="49"/>
        <v>66630</v>
      </c>
      <c r="I128" s="520"/>
      <c r="J128" s="517">
        <f t="shared" si="50"/>
        <v>66630</v>
      </c>
      <c r="K128" s="521" t="s">
        <v>1292</v>
      </c>
      <c r="L128" s="522">
        <v>66630</v>
      </c>
      <c r="M128" s="518"/>
      <c r="N128" s="519"/>
      <c r="O128" s="518"/>
      <c r="P128" s="519"/>
      <c r="Q128" s="1"/>
      <c r="R128" s="1"/>
      <c r="S128" s="1"/>
      <c r="T128" s="1"/>
      <c r="U128" s="1"/>
      <c r="V128" s="1"/>
      <c r="W128" s="1"/>
      <c r="X128" s="1"/>
      <c r="Y128" s="1"/>
      <c r="Z128" s="1"/>
      <c r="AA128" s="1"/>
    </row>
    <row r="129" spans="1:27" ht="15.75" customHeight="1">
      <c r="A129" s="1"/>
      <c r="B129" s="556" t="s">
        <v>1471</v>
      </c>
      <c r="C129" s="557" t="s">
        <v>1447</v>
      </c>
      <c r="D129" s="174" t="s">
        <v>1472</v>
      </c>
      <c r="E129" s="558"/>
      <c r="F129" s="559" t="s">
        <v>1339</v>
      </c>
      <c r="G129" s="557"/>
      <c r="H129" s="560"/>
      <c r="I129" s="520"/>
      <c r="J129" s="517"/>
      <c r="K129" s="521"/>
      <c r="L129" s="522"/>
      <c r="M129" s="518"/>
      <c r="N129" s="522"/>
      <c r="O129" s="518"/>
      <c r="P129" s="519"/>
      <c r="Q129" s="1"/>
      <c r="R129" s="1"/>
      <c r="S129" s="1"/>
      <c r="T129" s="1"/>
      <c r="U129" s="1"/>
      <c r="V129" s="1"/>
      <c r="W129" s="1"/>
      <c r="X129" s="1"/>
      <c r="Y129" s="1"/>
      <c r="Z129" s="1"/>
      <c r="AA129" s="1"/>
    </row>
    <row r="130" spans="1:27" ht="15.75" customHeight="1">
      <c r="A130" s="1"/>
      <c r="B130" s="556" t="s">
        <v>1473</v>
      </c>
      <c r="C130" s="557" t="s">
        <v>1447</v>
      </c>
      <c r="D130" s="174" t="s">
        <v>1474</v>
      </c>
      <c r="E130" s="558">
        <f t="shared" ref="E130:E147" si="51">+H130/1.19</f>
        <v>457.98319327731093</v>
      </c>
      <c r="F130" s="559" t="s">
        <v>1339</v>
      </c>
      <c r="G130" s="557"/>
      <c r="H130" s="560">
        <f t="shared" ref="H130:H155" si="52">ROUNDUP($J130*(1+$C$10),0)</f>
        <v>545</v>
      </c>
      <c r="I130" s="520"/>
      <c r="J130" s="517">
        <f t="shared" ref="J130:J147" si="53">IFERROR(AVERAGEIF($K$13:$P$13,"PRECIO IVA INC.",K130:P130),)</f>
        <v>545</v>
      </c>
      <c r="K130" s="561" t="s">
        <v>1292</v>
      </c>
      <c r="L130" s="562">
        <v>545</v>
      </c>
      <c r="M130" s="518"/>
      <c r="N130" s="522"/>
      <c r="O130" s="518"/>
      <c r="P130" s="519"/>
      <c r="Q130" s="1"/>
      <c r="R130" s="1"/>
      <c r="S130" s="1"/>
      <c r="T130" s="1"/>
      <c r="U130" s="1"/>
      <c r="V130" s="1"/>
      <c r="W130" s="1"/>
      <c r="X130" s="1"/>
      <c r="Y130" s="1"/>
      <c r="Z130" s="1"/>
      <c r="AA130" s="1"/>
    </row>
    <row r="131" spans="1:27" ht="15.75" customHeight="1">
      <c r="A131" s="1"/>
      <c r="B131" s="556" t="s">
        <v>1475</v>
      </c>
      <c r="C131" s="557" t="s">
        <v>1447</v>
      </c>
      <c r="D131" s="174" t="s">
        <v>1476</v>
      </c>
      <c r="E131" s="558">
        <f t="shared" si="51"/>
        <v>41108.403361344543</v>
      </c>
      <c r="F131" s="559" t="s">
        <v>303</v>
      </c>
      <c r="G131" s="557"/>
      <c r="H131" s="560">
        <f t="shared" si="52"/>
        <v>48919</v>
      </c>
      <c r="I131" s="520"/>
      <c r="J131" s="517">
        <f t="shared" si="53"/>
        <v>48919</v>
      </c>
      <c r="K131" s="521" t="s">
        <v>1292</v>
      </c>
      <c r="L131" s="522">
        <f>ROUNDUP(275900/(0.94*6),0)</f>
        <v>48919</v>
      </c>
      <c r="M131" s="518"/>
      <c r="N131" s="522"/>
      <c r="O131" s="518"/>
      <c r="P131" s="519"/>
      <c r="Q131" s="1"/>
      <c r="R131" s="1"/>
      <c r="S131" s="1"/>
      <c r="T131" s="1"/>
      <c r="U131" s="1"/>
      <c r="V131" s="1"/>
      <c r="W131" s="1"/>
      <c r="X131" s="1"/>
      <c r="Y131" s="1"/>
      <c r="Z131" s="1"/>
      <c r="AA131" s="1"/>
    </row>
    <row r="132" spans="1:27" ht="15.75" customHeight="1">
      <c r="A132" s="1"/>
      <c r="B132" s="556" t="s">
        <v>1477</v>
      </c>
      <c r="C132" s="557" t="s">
        <v>1447</v>
      </c>
      <c r="D132" s="174" t="s">
        <v>1478</v>
      </c>
      <c r="E132" s="558">
        <f t="shared" si="51"/>
        <v>105210.08403361346</v>
      </c>
      <c r="F132" s="559" t="s">
        <v>1339</v>
      </c>
      <c r="G132" s="557"/>
      <c r="H132" s="560">
        <f t="shared" si="52"/>
        <v>125200</v>
      </c>
      <c r="I132" s="520"/>
      <c r="J132" s="517">
        <f t="shared" si="53"/>
        <v>125200</v>
      </c>
      <c r="K132" s="561" t="s">
        <v>1449</v>
      </c>
      <c r="L132" s="562">
        <v>125200</v>
      </c>
      <c r="M132" s="518"/>
      <c r="N132" s="522"/>
      <c r="O132" s="518"/>
      <c r="P132" s="519"/>
      <c r="Q132" s="1"/>
      <c r="R132" s="1"/>
      <c r="S132" s="1"/>
      <c r="T132" s="1"/>
      <c r="U132" s="1"/>
      <c r="V132" s="1"/>
      <c r="W132" s="1"/>
      <c r="X132" s="1"/>
      <c r="Y132" s="1"/>
      <c r="Z132" s="1"/>
      <c r="AA132" s="1"/>
    </row>
    <row r="133" spans="1:27" ht="15.75" customHeight="1">
      <c r="A133" s="1"/>
      <c r="B133" s="556" t="s">
        <v>1479</v>
      </c>
      <c r="C133" s="557" t="s">
        <v>1447</v>
      </c>
      <c r="D133" s="174" t="s">
        <v>1480</v>
      </c>
      <c r="E133" s="558">
        <f t="shared" si="51"/>
        <v>41428.571428571428</v>
      </c>
      <c r="F133" s="559" t="s">
        <v>303</v>
      </c>
      <c r="G133" s="557"/>
      <c r="H133" s="560">
        <f t="shared" si="52"/>
        <v>49300</v>
      </c>
      <c r="I133" s="520"/>
      <c r="J133" s="517">
        <f t="shared" si="53"/>
        <v>49300</v>
      </c>
      <c r="K133" s="521" t="s">
        <v>1292</v>
      </c>
      <c r="L133" s="522">
        <v>49300</v>
      </c>
      <c r="M133" s="518"/>
      <c r="N133" s="522"/>
      <c r="O133" s="518"/>
      <c r="P133" s="519"/>
      <c r="Q133" s="1"/>
      <c r="R133" s="1"/>
      <c r="S133" s="1"/>
      <c r="T133" s="1"/>
      <c r="U133" s="1"/>
      <c r="V133" s="1"/>
      <c r="W133" s="1"/>
      <c r="X133" s="1"/>
      <c r="Y133" s="1"/>
      <c r="Z133" s="1"/>
      <c r="AA133" s="1"/>
    </row>
    <row r="134" spans="1:27" ht="15.75" customHeight="1">
      <c r="A134" s="1"/>
      <c r="B134" s="556" t="s">
        <v>1481</v>
      </c>
      <c r="C134" s="557" t="s">
        <v>1447</v>
      </c>
      <c r="D134" s="174" t="s">
        <v>1482</v>
      </c>
      <c r="E134" s="558">
        <f t="shared" si="51"/>
        <v>3361344.5378151261</v>
      </c>
      <c r="F134" s="559" t="s">
        <v>1339</v>
      </c>
      <c r="G134" s="557"/>
      <c r="H134" s="560">
        <f t="shared" si="52"/>
        <v>4000000</v>
      </c>
      <c r="I134" s="520"/>
      <c r="J134" s="517">
        <f t="shared" si="53"/>
        <v>4000000</v>
      </c>
      <c r="K134" s="561" t="s">
        <v>1483</v>
      </c>
      <c r="L134" s="562">
        <v>4000000</v>
      </c>
      <c r="M134" s="518"/>
      <c r="N134" s="522"/>
      <c r="O134" s="518"/>
      <c r="P134" s="519"/>
      <c r="Q134" s="1"/>
      <c r="R134" s="1"/>
      <c r="S134" s="1"/>
      <c r="T134" s="1"/>
      <c r="U134" s="1"/>
      <c r="V134" s="1"/>
      <c r="W134" s="1"/>
      <c r="X134" s="1"/>
      <c r="Y134" s="1"/>
      <c r="Z134" s="1"/>
      <c r="AA134" s="1"/>
    </row>
    <row r="135" spans="1:27" ht="15.75" customHeight="1">
      <c r="A135" s="1"/>
      <c r="B135" s="556" t="s">
        <v>1484</v>
      </c>
      <c r="C135" s="557" t="s">
        <v>1447</v>
      </c>
      <c r="D135" s="174" t="s">
        <v>1485</v>
      </c>
      <c r="E135" s="558">
        <f t="shared" si="51"/>
        <v>44497.478991596639</v>
      </c>
      <c r="F135" s="559" t="s">
        <v>550</v>
      </c>
      <c r="G135" s="557"/>
      <c r="H135" s="560">
        <f t="shared" si="52"/>
        <v>52952</v>
      </c>
      <c r="I135" s="520"/>
      <c r="J135" s="517">
        <f t="shared" si="53"/>
        <v>52951.43</v>
      </c>
      <c r="K135" s="521" t="s">
        <v>1460</v>
      </c>
      <c r="L135" s="522">
        <f>(44497*1.19)</f>
        <v>52951.43</v>
      </c>
      <c r="M135" s="518"/>
      <c r="N135" s="522"/>
      <c r="O135" s="518"/>
      <c r="P135" s="519"/>
      <c r="Q135" s="1"/>
      <c r="R135" s="1"/>
      <c r="S135" s="1"/>
      <c r="T135" s="1"/>
      <c r="U135" s="1"/>
      <c r="V135" s="1"/>
      <c r="W135" s="1"/>
      <c r="X135" s="1"/>
      <c r="Y135" s="1"/>
      <c r="Z135" s="1"/>
      <c r="AA135" s="1"/>
    </row>
    <row r="136" spans="1:27" ht="15.75" customHeight="1">
      <c r="A136" s="1"/>
      <c r="B136" s="556" t="s">
        <v>1486</v>
      </c>
      <c r="C136" s="557" t="s">
        <v>1447</v>
      </c>
      <c r="D136" s="174" t="s">
        <v>1487</v>
      </c>
      <c r="E136" s="558">
        <f t="shared" si="51"/>
        <v>4405.8823529411766</v>
      </c>
      <c r="F136" s="559" t="s">
        <v>454</v>
      </c>
      <c r="G136" s="557"/>
      <c r="H136" s="560">
        <f t="shared" si="52"/>
        <v>5243</v>
      </c>
      <c r="I136" s="520"/>
      <c r="J136" s="517">
        <f t="shared" si="53"/>
        <v>5242.4774011299442</v>
      </c>
      <c r="K136" s="521" t="s">
        <v>1449</v>
      </c>
      <c r="L136" s="522">
        <f>118460/18.88</f>
        <v>6274.3644067796613</v>
      </c>
      <c r="M136" s="521" t="s">
        <v>1305</v>
      </c>
      <c r="N136" s="522">
        <f>94760/18.88</f>
        <v>5019.0677966101694</v>
      </c>
      <c r="O136" s="521" t="s">
        <v>1292</v>
      </c>
      <c r="P136" s="522">
        <v>4434</v>
      </c>
      <c r="Q136" s="1"/>
      <c r="R136" s="1"/>
      <c r="S136" s="1"/>
      <c r="T136" s="1"/>
      <c r="U136" s="1"/>
      <c r="V136" s="1"/>
      <c r="W136" s="1"/>
      <c r="X136" s="1"/>
      <c r="Y136" s="1"/>
      <c r="Z136" s="1"/>
      <c r="AA136" s="1"/>
    </row>
    <row r="137" spans="1:27" ht="15.75" customHeight="1">
      <c r="A137" s="1"/>
      <c r="B137" s="556" t="s">
        <v>1488</v>
      </c>
      <c r="C137" s="557" t="s">
        <v>1447</v>
      </c>
      <c r="D137" s="174" t="s">
        <v>1489</v>
      </c>
      <c r="E137" s="558">
        <f t="shared" si="51"/>
        <v>9491.5966386554628</v>
      </c>
      <c r="F137" s="559" t="s">
        <v>550</v>
      </c>
      <c r="G137" s="557"/>
      <c r="H137" s="560">
        <f t="shared" si="52"/>
        <v>11295</v>
      </c>
      <c r="I137" s="520"/>
      <c r="J137" s="517">
        <f t="shared" si="53"/>
        <v>11294.333333333332</v>
      </c>
      <c r="K137" s="521" t="s">
        <v>1292</v>
      </c>
      <c r="L137" s="522">
        <f>70750/6</f>
        <v>11791.666666666666</v>
      </c>
      <c r="M137" s="521" t="s">
        <v>1449</v>
      </c>
      <c r="N137" s="522">
        <f>64782/6</f>
        <v>10797</v>
      </c>
      <c r="O137" s="521"/>
      <c r="P137" s="522"/>
      <c r="Q137" s="1"/>
      <c r="R137" s="1"/>
      <c r="S137" s="1"/>
      <c r="T137" s="1"/>
      <c r="U137" s="1"/>
      <c r="V137" s="1"/>
      <c r="W137" s="1"/>
      <c r="X137" s="1"/>
      <c r="Y137" s="1"/>
      <c r="Z137" s="1"/>
      <c r="AA137" s="1"/>
    </row>
    <row r="138" spans="1:27" ht="15.75" customHeight="1">
      <c r="A138" s="1"/>
      <c r="B138" s="556" t="s">
        <v>1490</v>
      </c>
      <c r="C138" s="557" t="s">
        <v>1447</v>
      </c>
      <c r="D138" s="174" t="s">
        <v>1491</v>
      </c>
      <c r="E138" s="558">
        <f t="shared" si="51"/>
        <v>23445.378151260506</v>
      </c>
      <c r="F138" s="559" t="s">
        <v>454</v>
      </c>
      <c r="G138" s="557"/>
      <c r="H138" s="560">
        <f t="shared" si="52"/>
        <v>27900</v>
      </c>
      <c r="I138" s="520"/>
      <c r="J138" s="517">
        <f t="shared" si="53"/>
        <v>27900</v>
      </c>
      <c r="K138" s="521" t="s">
        <v>1292</v>
      </c>
      <c r="L138" s="522">
        <v>27900</v>
      </c>
      <c r="M138" s="521"/>
      <c r="N138" s="522"/>
      <c r="O138" s="521"/>
      <c r="P138" s="522"/>
      <c r="Q138" s="1"/>
      <c r="R138" s="1"/>
      <c r="S138" s="1"/>
      <c r="T138" s="1"/>
      <c r="U138" s="1"/>
      <c r="V138" s="1"/>
      <c r="W138" s="1"/>
      <c r="X138" s="1"/>
      <c r="Y138" s="1"/>
      <c r="Z138" s="1"/>
      <c r="AA138" s="1"/>
    </row>
    <row r="139" spans="1:27" ht="15.75" customHeight="1">
      <c r="A139" s="1"/>
      <c r="B139" s="556" t="s">
        <v>1492</v>
      </c>
      <c r="C139" s="557" t="s">
        <v>1447</v>
      </c>
      <c r="D139" s="174" t="s">
        <v>1493</v>
      </c>
      <c r="E139" s="558">
        <f t="shared" si="51"/>
        <v>26806.722689075632</v>
      </c>
      <c r="F139" s="559" t="s">
        <v>454</v>
      </c>
      <c r="G139" s="557"/>
      <c r="H139" s="560">
        <f t="shared" si="52"/>
        <v>31900</v>
      </c>
      <c r="I139" s="523"/>
      <c r="J139" s="524">
        <f t="shared" si="53"/>
        <v>31900</v>
      </c>
      <c r="K139" s="521" t="s">
        <v>1292</v>
      </c>
      <c r="L139" s="522">
        <v>31900</v>
      </c>
      <c r="M139" s="518"/>
      <c r="N139" s="522"/>
      <c r="O139" s="518"/>
      <c r="P139" s="519"/>
      <c r="Q139" s="1"/>
      <c r="R139" s="1"/>
      <c r="S139" s="1"/>
      <c r="T139" s="1"/>
      <c r="U139" s="1"/>
      <c r="V139" s="1"/>
      <c r="W139" s="1"/>
      <c r="X139" s="1"/>
      <c r="Y139" s="1"/>
      <c r="Z139" s="1"/>
      <c r="AA139" s="1"/>
    </row>
    <row r="140" spans="1:27" ht="15.75" customHeight="1">
      <c r="A140" s="1"/>
      <c r="B140" s="556" t="s">
        <v>1494</v>
      </c>
      <c r="C140" s="557" t="s">
        <v>1447</v>
      </c>
      <c r="D140" s="174" t="s">
        <v>1495</v>
      </c>
      <c r="E140" s="558">
        <f t="shared" si="51"/>
        <v>113361.34453781514</v>
      </c>
      <c r="F140" s="559" t="s">
        <v>454</v>
      </c>
      <c r="G140" s="557"/>
      <c r="H140" s="560">
        <f t="shared" si="52"/>
        <v>134900</v>
      </c>
      <c r="I140" s="520"/>
      <c r="J140" s="517">
        <f t="shared" si="53"/>
        <v>134900</v>
      </c>
      <c r="K140" s="561" t="s">
        <v>1292</v>
      </c>
      <c r="L140" s="562">
        <v>134900</v>
      </c>
      <c r="M140" s="521"/>
      <c r="N140" s="522"/>
      <c r="O140" s="521"/>
      <c r="P140" s="522"/>
      <c r="Q140" s="1"/>
      <c r="R140" s="1"/>
      <c r="S140" s="1"/>
      <c r="T140" s="1"/>
      <c r="U140" s="1"/>
      <c r="V140" s="1"/>
      <c r="W140" s="1"/>
      <c r="X140" s="1"/>
      <c r="Y140" s="1"/>
      <c r="Z140" s="1"/>
      <c r="AA140" s="1"/>
    </row>
    <row r="141" spans="1:27" ht="15.75" customHeight="1">
      <c r="A141" s="1"/>
      <c r="B141" s="556" t="s">
        <v>1496</v>
      </c>
      <c r="C141" s="557" t="s">
        <v>1447</v>
      </c>
      <c r="D141" s="174" t="s">
        <v>1497</v>
      </c>
      <c r="E141" s="558">
        <f t="shared" si="51"/>
        <v>17058.823529411766</v>
      </c>
      <c r="F141" s="559" t="s">
        <v>1339</v>
      </c>
      <c r="G141" s="557"/>
      <c r="H141" s="560">
        <f t="shared" si="52"/>
        <v>20300</v>
      </c>
      <c r="I141" s="523"/>
      <c r="J141" s="524">
        <f t="shared" si="53"/>
        <v>20300</v>
      </c>
      <c r="K141" s="518" t="s">
        <v>1292</v>
      </c>
      <c r="L141" s="519">
        <v>20300</v>
      </c>
      <c r="M141" s="518"/>
      <c r="N141" s="522"/>
      <c r="O141" s="518"/>
      <c r="P141" s="519"/>
      <c r="Q141" s="1"/>
      <c r="R141" s="1"/>
      <c r="S141" s="1"/>
      <c r="T141" s="1"/>
      <c r="U141" s="1"/>
      <c r="V141" s="1"/>
      <c r="W141" s="1"/>
      <c r="X141" s="1"/>
      <c r="Y141" s="1"/>
      <c r="Z141" s="1"/>
      <c r="AA141" s="1"/>
    </row>
    <row r="142" spans="1:27" ht="15.75" customHeight="1">
      <c r="A142" s="1"/>
      <c r="B142" s="556" t="s">
        <v>1498</v>
      </c>
      <c r="C142" s="557" t="s">
        <v>1447</v>
      </c>
      <c r="D142" s="174" t="s">
        <v>1499</v>
      </c>
      <c r="E142" s="558">
        <f t="shared" si="51"/>
        <v>1092.4369747899161</v>
      </c>
      <c r="F142" s="559" t="s">
        <v>1339</v>
      </c>
      <c r="G142" s="557"/>
      <c r="H142" s="560">
        <f t="shared" si="52"/>
        <v>1300</v>
      </c>
      <c r="I142" s="520"/>
      <c r="J142" s="517">
        <f t="shared" si="53"/>
        <v>1300</v>
      </c>
      <c r="K142" s="521" t="s">
        <v>1292</v>
      </c>
      <c r="L142" s="522">
        <v>1300</v>
      </c>
      <c r="M142" s="518" t="s">
        <v>1500</v>
      </c>
      <c r="N142" s="522"/>
      <c r="O142" s="518"/>
      <c r="P142" s="563"/>
      <c r="Q142" s="1"/>
      <c r="R142" s="1"/>
      <c r="S142" s="1"/>
      <c r="T142" s="1"/>
      <c r="U142" s="1"/>
      <c r="V142" s="1"/>
      <c r="W142" s="1"/>
      <c r="X142" s="1"/>
      <c r="Y142" s="1"/>
      <c r="Z142" s="1"/>
      <c r="AA142" s="1"/>
    </row>
    <row r="143" spans="1:27" ht="15.75" customHeight="1">
      <c r="A143" s="1"/>
      <c r="B143" s="556" t="s">
        <v>1501</v>
      </c>
      <c r="C143" s="557" t="s">
        <v>1447</v>
      </c>
      <c r="D143" s="174" t="s">
        <v>1502</v>
      </c>
      <c r="E143" s="558">
        <f t="shared" si="51"/>
        <v>2700.840336134454</v>
      </c>
      <c r="F143" s="559" t="s">
        <v>1339</v>
      </c>
      <c r="G143" s="557"/>
      <c r="H143" s="560">
        <f t="shared" si="52"/>
        <v>3214</v>
      </c>
      <c r="I143" s="520"/>
      <c r="J143" s="517">
        <f t="shared" si="53"/>
        <v>3214</v>
      </c>
      <c r="K143" s="521" t="s">
        <v>1503</v>
      </c>
      <c r="L143" s="522">
        <v>3214</v>
      </c>
      <c r="M143" s="518" t="s">
        <v>1500</v>
      </c>
      <c r="N143" s="522"/>
      <c r="O143" s="518"/>
      <c r="P143" s="563"/>
      <c r="Q143" s="1"/>
      <c r="R143" s="1"/>
      <c r="S143" s="1"/>
      <c r="T143" s="1"/>
      <c r="U143" s="1"/>
      <c r="V143" s="1"/>
      <c r="W143" s="1"/>
      <c r="X143" s="1"/>
      <c r="Y143" s="1"/>
      <c r="Z143" s="1"/>
      <c r="AA143" s="1"/>
    </row>
    <row r="144" spans="1:27" ht="15.75" customHeight="1">
      <c r="A144" s="1"/>
      <c r="B144" s="556" t="s">
        <v>1504</v>
      </c>
      <c r="C144" s="557" t="s">
        <v>1447</v>
      </c>
      <c r="D144" s="174" t="s">
        <v>1505</v>
      </c>
      <c r="E144" s="558">
        <f t="shared" si="51"/>
        <v>19111.764705882353</v>
      </c>
      <c r="F144" s="559" t="s">
        <v>550</v>
      </c>
      <c r="G144" s="557"/>
      <c r="H144" s="560">
        <f t="shared" si="52"/>
        <v>22743</v>
      </c>
      <c r="I144" s="520"/>
      <c r="J144" s="517">
        <f t="shared" si="53"/>
        <v>22742.166666666668</v>
      </c>
      <c r="K144" s="521" t="s">
        <v>1292</v>
      </c>
      <c r="L144" s="522">
        <f>153400/6</f>
        <v>25566.666666666668</v>
      </c>
      <c r="M144" s="521" t="s">
        <v>1449</v>
      </c>
      <c r="N144" s="522">
        <f>119506/6</f>
        <v>19917.666666666668</v>
      </c>
      <c r="O144" s="518"/>
      <c r="P144" s="563"/>
      <c r="Q144" s="1"/>
      <c r="R144" s="1"/>
      <c r="S144" s="1"/>
      <c r="T144" s="1"/>
      <c r="U144" s="1"/>
      <c r="V144" s="1"/>
      <c r="W144" s="1"/>
      <c r="X144" s="1"/>
      <c r="Y144" s="1"/>
      <c r="Z144" s="1"/>
      <c r="AA144" s="1"/>
    </row>
    <row r="145" spans="1:27" ht="15.75" customHeight="1">
      <c r="A145" s="1"/>
      <c r="B145" s="556" t="s">
        <v>1506</v>
      </c>
      <c r="C145" s="557" t="s">
        <v>1447</v>
      </c>
      <c r="D145" s="174" t="s">
        <v>1507</v>
      </c>
      <c r="E145" s="558">
        <f t="shared" si="51"/>
        <v>18894.117647058825</v>
      </c>
      <c r="F145" s="559" t="s">
        <v>550</v>
      </c>
      <c r="G145" s="557"/>
      <c r="H145" s="560">
        <f t="shared" si="52"/>
        <v>22484</v>
      </c>
      <c r="I145" s="520"/>
      <c r="J145" s="517">
        <f t="shared" si="53"/>
        <v>22483.416666666664</v>
      </c>
      <c r="K145" s="521" t="s">
        <v>1292</v>
      </c>
      <c r="L145" s="522">
        <f>143900/6</f>
        <v>23983.333333333332</v>
      </c>
      <c r="M145" s="521" t="s">
        <v>1449</v>
      </c>
      <c r="N145" s="522">
        <f>125901/6</f>
        <v>20983.5</v>
      </c>
      <c r="O145" s="518"/>
      <c r="P145" s="563"/>
      <c r="Q145" s="1"/>
      <c r="R145" s="1"/>
      <c r="S145" s="1"/>
      <c r="T145" s="1"/>
      <c r="U145" s="1"/>
      <c r="V145" s="1"/>
      <c r="W145" s="1"/>
      <c r="X145" s="1"/>
      <c r="Y145" s="1"/>
      <c r="Z145" s="1"/>
      <c r="AA145" s="1"/>
    </row>
    <row r="146" spans="1:27" ht="15.75" customHeight="1">
      <c r="A146" s="1"/>
      <c r="B146" s="556" t="s">
        <v>1508</v>
      </c>
      <c r="C146" s="557" t="s">
        <v>1447</v>
      </c>
      <c r="D146" s="542" t="s">
        <v>1509</v>
      </c>
      <c r="E146" s="513">
        <f t="shared" si="51"/>
        <v>98924.369747899167</v>
      </c>
      <c r="F146" s="514" t="s">
        <v>1291</v>
      </c>
      <c r="G146" s="512"/>
      <c r="H146" s="515">
        <f t="shared" si="52"/>
        <v>117720</v>
      </c>
      <c r="I146" s="520"/>
      <c r="J146" s="517">
        <f t="shared" si="53"/>
        <v>117720</v>
      </c>
      <c r="K146" s="518"/>
      <c r="L146" s="519">
        <f>98100*1.2</f>
        <v>117720</v>
      </c>
      <c r="M146" s="518"/>
      <c r="N146" s="519"/>
      <c r="O146" s="518"/>
      <c r="P146" s="519"/>
      <c r="Q146" s="1"/>
      <c r="R146" s="1"/>
      <c r="S146" s="1"/>
      <c r="T146" s="1"/>
      <c r="U146" s="1"/>
      <c r="V146" s="1"/>
      <c r="W146" s="1"/>
      <c r="X146" s="1"/>
      <c r="Y146" s="1"/>
      <c r="Z146" s="1"/>
      <c r="AA146" s="1"/>
    </row>
    <row r="147" spans="1:27" ht="15.75" customHeight="1">
      <c r="A147" s="1"/>
      <c r="B147" s="556" t="s">
        <v>1510</v>
      </c>
      <c r="C147" s="557" t="s">
        <v>1447</v>
      </c>
      <c r="D147" s="542" t="s">
        <v>1511</v>
      </c>
      <c r="E147" s="513">
        <f t="shared" si="51"/>
        <v>104964.70588235295</v>
      </c>
      <c r="F147" s="514" t="s">
        <v>1291</v>
      </c>
      <c r="G147" s="512"/>
      <c r="H147" s="515">
        <f t="shared" si="52"/>
        <v>124908</v>
      </c>
      <c r="I147" s="520"/>
      <c r="J147" s="517">
        <f t="shared" si="53"/>
        <v>124908</v>
      </c>
      <c r="K147" s="518"/>
      <c r="L147" s="519">
        <f>104090*1.2</f>
        <v>124908</v>
      </c>
      <c r="M147" s="518"/>
      <c r="N147" s="519"/>
      <c r="O147" s="518"/>
      <c r="P147" s="519"/>
      <c r="Q147" s="1"/>
      <c r="R147" s="1"/>
      <c r="S147" s="1"/>
      <c r="T147" s="1"/>
      <c r="U147" s="1"/>
      <c r="V147" s="1"/>
      <c r="W147" s="1"/>
      <c r="X147" s="1"/>
      <c r="Y147" s="1"/>
      <c r="Z147" s="1"/>
      <c r="AA147" s="1"/>
    </row>
    <row r="148" spans="1:27" ht="15.75" customHeight="1">
      <c r="A148" s="1"/>
      <c r="B148" s="556" t="s">
        <v>2413</v>
      </c>
      <c r="C148" s="557" t="s">
        <v>1447</v>
      </c>
      <c r="D148" s="174" t="s">
        <v>2412</v>
      </c>
      <c r="E148" s="513">
        <f t="shared" ref="E148" si="54">+H148/1.19</f>
        <v>220473.10924369749</v>
      </c>
      <c r="F148" s="514" t="s">
        <v>1291</v>
      </c>
      <c r="G148" s="512"/>
      <c r="H148" s="515">
        <f t="shared" si="52"/>
        <v>262363</v>
      </c>
      <c r="I148" s="520"/>
      <c r="J148" s="517">
        <f t="shared" ref="J148" si="55">IFERROR(AVERAGEIF($K$13:$P$13,"PRECIO IVA INC.",K148:P148),)</f>
        <v>262363</v>
      </c>
      <c r="K148" s="518" t="s">
        <v>1449</v>
      </c>
      <c r="L148" s="519">
        <v>262363</v>
      </c>
      <c r="M148" s="518"/>
      <c r="N148" s="519"/>
      <c r="O148" s="518"/>
      <c r="P148" s="563"/>
      <c r="Q148" s="1"/>
      <c r="R148" s="1"/>
      <c r="S148" s="1"/>
      <c r="T148" s="1"/>
      <c r="U148" s="1"/>
      <c r="V148" s="1"/>
      <c r="W148" s="1"/>
      <c r="X148" s="1"/>
      <c r="Y148" s="1"/>
      <c r="Z148" s="1"/>
      <c r="AA148" s="1"/>
    </row>
    <row r="149" spans="1:27" ht="15.75" customHeight="1">
      <c r="A149" s="1"/>
      <c r="B149" s="556" t="s">
        <v>2414</v>
      </c>
      <c r="C149" s="557" t="s">
        <v>1447</v>
      </c>
      <c r="D149" s="174" t="s">
        <v>2416</v>
      </c>
      <c r="E149" s="513">
        <f t="shared" ref="E149" si="56">+H149/1.19</f>
        <v>1391085.7142857143</v>
      </c>
      <c r="F149" s="514" t="s">
        <v>1291</v>
      </c>
      <c r="G149" s="512"/>
      <c r="H149" s="515">
        <f t="shared" si="52"/>
        <v>1655392</v>
      </c>
      <c r="I149" s="520"/>
      <c r="J149" s="517">
        <f t="shared" ref="J149" si="57">IFERROR(AVERAGEIF($K$13:$P$13,"PRECIO IVA INC.",K149:P149),)</f>
        <v>1655392</v>
      </c>
      <c r="K149" s="518" t="s">
        <v>1460</v>
      </c>
      <c r="L149" s="519">
        <v>1655392</v>
      </c>
      <c r="M149" s="518"/>
      <c r="N149" s="519"/>
      <c r="O149" s="518"/>
      <c r="P149" s="563"/>
      <c r="Q149" s="1"/>
      <c r="R149" s="1"/>
      <c r="S149" s="1"/>
      <c r="T149" s="1"/>
      <c r="U149" s="1"/>
      <c r="V149" s="1"/>
      <c r="W149" s="1"/>
      <c r="X149" s="1"/>
      <c r="Y149" s="1"/>
      <c r="Z149" s="1"/>
      <c r="AA149" s="1"/>
    </row>
    <row r="150" spans="1:27" ht="15.75" customHeight="1">
      <c r="A150" s="1"/>
      <c r="B150" s="556" t="s">
        <v>2415</v>
      </c>
      <c r="C150" s="557" t="s">
        <v>1447</v>
      </c>
      <c r="D150" s="174" t="s">
        <v>2423</v>
      </c>
      <c r="E150" s="513">
        <f t="shared" ref="E150" si="58">+H150/1.19</f>
        <v>28487.394957983193</v>
      </c>
      <c r="F150" s="514" t="s">
        <v>1291</v>
      </c>
      <c r="G150" s="512"/>
      <c r="H150" s="515">
        <f t="shared" si="52"/>
        <v>33900</v>
      </c>
      <c r="I150" s="520"/>
      <c r="J150" s="517">
        <f t="shared" ref="J150" si="59">IFERROR(AVERAGEIF($K$13:$P$13,"PRECIO IVA INC.",K150:P150),)</f>
        <v>33900</v>
      </c>
      <c r="K150" s="518" t="s">
        <v>1449</v>
      </c>
      <c r="L150" s="519">
        <v>33900</v>
      </c>
      <c r="M150" s="521"/>
      <c r="N150" s="522"/>
      <c r="O150" s="518"/>
      <c r="P150" s="563"/>
      <c r="Q150" s="1"/>
      <c r="R150" s="1"/>
      <c r="S150" s="1"/>
      <c r="T150" s="1"/>
      <c r="U150" s="1"/>
      <c r="V150" s="1"/>
      <c r="W150" s="1"/>
      <c r="X150" s="1"/>
      <c r="Y150" s="1"/>
      <c r="Z150" s="1"/>
      <c r="AA150" s="1"/>
    </row>
    <row r="151" spans="1:27" ht="15.75" customHeight="1">
      <c r="A151" s="1"/>
      <c r="B151" s="556" t="s">
        <v>2429</v>
      </c>
      <c r="C151" s="557" t="s">
        <v>1447</v>
      </c>
      <c r="D151" s="174" t="s">
        <v>2544</v>
      </c>
      <c r="E151" s="513">
        <f t="shared" ref="E151" si="60">+H151/1.19</f>
        <v>73529.411764705888</v>
      </c>
      <c r="F151" s="514" t="s">
        <v>710</v>
      </c>
      <c r="G151" s="512"/>
      <c r="H151" s="515">
        <f t="shared" si="52"/>
        <v>87500</v>
      </c>
      <c r="I151" s="520"/>
      <c r="J151" s="517">
        <f t="shared" ref="J151" si="61">IFERROR(AVERAGEIF($K$13:$P$13,"PRECIO IVA INC.",K151:P151),)</f>
        <v>87500</v>
      </c>
      <c r="K151" s="518" t="s">
        <v>1449</v>
      </c>
      <c r="L151" s="519">
        <v>87500</v>
      </c>
      <c r="M151" s="521"/>
      <c r="N151" s="522"/>
      <c r="O151" s="518"/>
      <c r="P151" s="563"/>
      <c r="Q151" s="1"/>
      <c r="R151" s="1"/>
      <c r="S151" s="1"/>
      <c r="T151" s="1"/>
      <c r="U151" s="1"/>
      <c r="V151" s="1"/>
      <c r="W151" s="1"/>
      <c r="X151" s="1"/>
      <c r="Y151" s="1"/>
      <c r="Z151" s="1"/>
      <c r="AA151" s="1"/>
    </row>
    <row r="152" spans="1:27" ht="15.75" customHeight="1">
      <c r="A152" s="1"/>
      <c r="B152" s="556" t="s">
        <v>2430</v>
      </c>
      <c r="C152" s="557" t="s">
        <v>1447</v>
      </c>
      <c r="D152" s="794" t="s">
        <v>2431</v>
      </c>
      <c r="E152" s="513">
        <f t="shared" ref="E152" si="62">+H152/1.19</f>
        <v>12605.042016806723</v>
      </c>
      <c r="F152" s="514" t="s">
        <v>1291</v>
      </c>
      <c r="G152" s="512"/>
      <c r="H152" s="515">
        <f t="shared" si="52"/>
        <v>15000</v>
      </c>
      <c r="I152" s="520"/>
      <c r="J152" s="517">
        <f t="shared" ref="J152" si="63">IFERROR(AVERAGEIF($K$13:$P$13,"PRECIO IVA INC.",K152:P152),)</f>
        <v>15000</v>
      </c>
      <c r="K152" s="518" t="s">
        <v>1449</v>
      </c>
      <c r="L152" s="519">
        <v>15000</v>
      </c>
      <c r="M152" s="521"/>
      <c r="N152" s="799"/>
      <c r="O152" s="518"/>
      <c r="P152" s="563"/>
      <c r="Q152" s="1"/>
      <c r="R152" s="1"/>
      <c r="S152" s="1"/>
      <c r="T152" s="1"/>
      <c r="U152" s="1"/>
      <c r="V152" s="1"/>
      <c r="W152" s="1"/>
      <c r="X152" s="1"/>
      <c r="Y152" s="1"/>
      <c r="Z152" s="1"/>
      <c r="AA152" s="1"/>
    </row>
    <row r="153" spans="1:27" ht="15.75" customHeight="1">
      <c r="A153" s="1"/>
      <c r="B153" s="556" t="s">
        <v>2432</v>
      </c>
      <c r="C153" s="557" t="s">
        <v>1447</v>
      </c>
      <c r="D153" s="794" t="s">
        <v>2433</v>
      </c>
      <c r="E153" s="513">
        <f t="shared" ref="E153" si="64">+H153/1.19</f>
        <v>3361.3445378151264</v>
      </c>
      <c r="F153" s="514" t="s">
        <v>1291</v>
      </c>
      <c r="G153" s="512"/>
      <c r="H153" s="515">
        <f t="shared" si="52"/>
        <v>4000</v>
      </c>
      <c r="I153" s="520"/>
      <c r="J153" s="517">
        <f t="shared" ref="J153" si="65">IFERROR(AVERAGEIF($K$13:$P$13,"PRECIO IVA INC.",K153:P153),)</f>
        <v>4000</v>
      </c>
      <c r="K153" s="518" t="s">
        <v>1449</v>
      </c>
      <c r="L153" s="519">
        <v>4000</v>
      </c>
      <c r="M153" s="521"/>
      <c r="N153" s="799"/>
      <c r="O153" s="518"/>
      <c r="P153" s="563"/>
      <c r="Q153" s="1"/>
      <c r="R153" s="1"/>
      <c r="S153" s="1"/>
      <c r="T153" s="1"/>
      <c r="U153" s="1"/>
      <c r="V153" s="1"/>
      <c r="W153" s="1"/>
      <c r="X153" s="1"/>
      <c r="Y153" s="1"/>
      <c r="Z153" s="1"/>
      <c r="AA153" s="1"/>
    </row>
    <row r="154" spans="1:27" ht="15.75" customHeight="1">
      <c r="A154" s="1"/>
      <c r="B154" s="556" t="s">
        <v>2527</v>
      </c>
      <c r="C154" s="793"/>
      <c r="D154" s="794" t="s">
        <v>2528</v>
      </c>
      <c r="E154" s="513">
        <f t="shared" ref="E154" si="66">+H154/1.19</f>
        <v>18264.705882352941</v>
      </c>
      <c r="F154" s="514" t="s">
        <v>303</v>
      </c>
      <c r="G154" s="512"/>
      <c r="H154" s="515">
        <f t="shared" si="52"/>
        <v>21735</v>
      </c>
      <c r="I154" s="520"/>
      <c r="J154" s="517">
        <f t="shared" ref="J154" si="67">IFERROR(AVERAGEIF($K$13:$P$13,"PRECIO IVA INC.",K154:P154),)</f>
        <v>21735</v>
      </c>
      <c r="K154" s="518" t="s">
        <v>1449</v>
      </c>
      <c r="L154" s="519">
        <f>18900*1.15</f>
        <v>21735</v>
      </c>
      <c r="M154" s="521"/>
      <c r="N154" s="799"/>
      <c r="O154" s="518"/>
      <c r="P154" s="563"/>
      <c r="Q154" s="1"/>
      <c r="R154" s="1"/>
      <c r="S154" s="1"/>
      <c r="T154" s="1"/>
      <c r="U154" s="1"/>
      <c r="V154" s="1"/>
      <c r="W154" s="1"/>
      <c r="X154" s="1"/>
      <c r="Y154" s="1"/>
      <c r="Z154" s="1"/>
      <c r="AA154" s="1"/>
    </row>
    <row r="155" spans="1:27" ht="15.75" customHeight="1">
      <c r="A155" s="1"/>
      <c r="B155" s="556" t="s">
        <v>2531</v>
      </c>
      <c r="C155" s="793"/>
      <c r="D155" s="794" t="s">
        <v>2530</v>
      </c>
      <c r="E155" s="513">
        <f t="shared" ref="E155" si="68">+H155/1.19</f>
        <v>1449.5798319327732</v>
      </c>
      <c r="F155" s="514" t="s">
        <v>454</v>
      </c>
      <c r="G155" s="512"/>
      <c r="H155" s="515">
        <f t="shared" si="52"/>
        <v>1725</v>
      </c>
      <c r="I155" s="520"/>
      <c r="J155" s="517">
        <f t="shared" ref="J155" si="69">IFERROR(AVERAGEIF($K$13:$P$13,"PRECIO IVA INC.",K155:P155),)</f>
        <v>1724.9999999999998</v>
      </c>
      <c r="K155" s="518" t="s">
        <v>1449</v>
      </c>
      <c r="L155" s="519">
        <f>1500*1.15</f>
        <v>1724.9999999999998</v>
      </c>
      <c r="M155" s="521"/>
      <c r="N155" s="799"/>
      <c r="O155" s="518"/>
      <c r="P155" s="563"/>
      <c r="Q155" s="1"/>
      <c r="R155" s="1"/>
      <c r="S155" s="1"/>
      <c r="T155" s="1"/>
      <c r="U155" s="1"/>
      <c r="V155" s="1"/>
      <c r="W155" s="1"/>
      <c r="X155" s="1"/>
      <c r="Y155" s="1"/>
      <c r="Z155" s="1"/>
      <c r="AA155" s="1"/>
    </row>
    <row r="156" spans="1:27" ht="15.75" customHeight="1">
      <c r="A156" s="1"/>
      <c r="B156" s="792"/>
      <c r="C156" s="793"/>
      <c r="D156" s="794"/>
      <c r="E156" s="809"/>
      <c r="F156" s="665"/>
      <c r="G156" s="810"/>
      <c r="H156" s="547"/>
      <c r="I156" s="811"/>
      <c r="J156" s="517"/>
      <c r="K156" s="518"/>
      <c r="L156" s="800"/>
      <c r="M156" s="521"/>
      <c r="N156" s="799"/>
      <c r="O156" s="518"/>
      <c r="P156" s="563"/>
      <c r="Q156" s="1"/>
      <c r="R156" s="1"/>
      <c r="S156" s="1"/>
      <c r="T156" s="1"/>
      <c r="U156" s="1"/>
      <c r="V156" s="1"/>
      <c r="W156" s="1"/>
      <c r="X156" s="1"/>
      <c r="Y156" s="1"/>
      <c r="Z156" s="1"/>
      <c r="AA156" s="1"/>
    </row>
    <row r="157" spans="1:27" ht="15.75" customHeight="1">
      <c r="A157" s="1"/>
      <c r="B157" s="792"/>
      <c r="C157" s="793"/>
      <c r="D157" s="794"/>
      <c r="E157" s="809"/>
      <c r="F157" s="665"/>
      <c r="G157" s="810"/>
      <c r="H157" s="547"/>
      <c r="I157" s="811"/>
      <c r="J157" s="517"/>
      <c r="K157" s="518"/>
      <c r="L157" s="800"/>
      <c r="M157" s="521"/>
      <c r="N157" s="799"/>
      <c r="O157" s="518"/>
      <c r="P157" s="563"/>
      <c r="Q157" s="1"/>
      <c r="R157" s="1"/>
      <c r="S157" s="1"/>
      <c r="T157" s="1"/>
      <c r="U157" s="1"/>
      <c r="V157" s="1"/>
      <c r="W157" s="1"/>
      <c r="X157" s="1"/>
      <c r="Y157" s="1"/>
      <c r="Z157" s="1"/>
      <c r="AA157" s="1"/>
    </row>
    <row r="158" spans="1:27" ht="15.75" customHeight="1">
      <c r="A158" s="1"/>
      <c r="B158" s="792"/>
      <c r="C158" s="793"/>
      <c r="D158" s="794"/>
      <c r="E158" s="809"/>
      <c r="F158" s="665"/>
      <c r="G158" s="810"/>
      <c r="H158" s="547"/>
      <c r="I158" s="811"/>
      <c r="J158" s="517"/>
      <c r="K158" s="518"/>
      <c r="L158" s="800"/>
      <c r="M158" s="521"/>
      <c r="N158" s="799"/>
      <c r="O158" s="518"/>
      <c r="P158" s="563"/>
      <c r="Q158" s="1"/>
      <c r="R158" s="1"/>
      <c r="S158" s="1"/>
      <c r="T158" s="1"/>
      <c r="U158" s="1"/>
      <c r="V158" s="1"/>
      <c r="W158" s="1"/>
      <c r="X158" s="1"/>
      <c r="Y158" s="1"/>
      <c r="Z158" s="1"/>
      <c r="AA158" s="1"/>
    </row>
    <row r="159" spans="1:27" ht="15.75" customHeight="1">
      <c r="A159" s="1"/>
      <c r="B159" s="792"/>
      <c r="C159" s="793"/>
      <c r="D159" s="794"/>
      <c r="E159" s="809"/>
      <c r="F159" s="665"/>
      <c r="G159" s="810"/>
      <c r="H159" s="547"/>
      <c r="I159" s="811"/>
      <c r="J159" s="517"/>
      <c r="K159" s="518"/>
      <c r="L159" s="800"/>
      <c r="M159" s="521"/>
      <c r="N159" s="799"/>
      <c r="O159" s="518"/>
      <c r="P159" s="563"/>
      <c r="Q159" s="1"/>
      <c r="R159" s="1"/>
      <c r="S159" s="1"/>
      <c r="T159" s="1"/>
      <c r="U159" s="1"/>
      <c r="V159" s="1"/>
      <c r="W159" s="1"/>
      <c r="X159" s="1"/>
      <c r="Y159" s="1"/>
      <c r="Z159" s="1"/>
      <c r="AA159" s="1"/>
    </row>
    <row r="160" spans="1:27" ht="15.75" customHeight="1">
      <c r="A160" s="1"/>
      <c r="B160" s="501" t="s">
        <v>1512</v>
      </c>
      <c r="C160" s="502"/>
      <c r="D160" s="503"/>
      <c r="E160" s="504"/>
      <c r="F160" s="505"/>
      <c r="G160" s="505"/>
      <c r="H160" s="506"/>
      <c r="I160" s="552"/>
      <c r="J160" s="553"/>
      <c r="K160" s="554"/>
      <c r="L160" s="554"/>
      <c r="M160" s="554"/>
      <c r="N160" s="554"/>
      <c r="O160" s="554"/>
      <c r="P160" s="555"/>
      <c r="Q160" s="1"/>
      <c r="R160" s="1"/>
      <c r="S160" s="1"/>
      <c r="T160" s="1"/>
      <c r="U160" s="1"/>
      <c r="V160" s="1"/>
      <c r="W160" s="1"/>
      <c r="X160" s="1"/>
      <c r="Y160" s="1"/>
      <c r="Z160" s="1"/>
      <c r="AA160" s="1"/>
    </row>
    <row r="161" spans="1:27" ht="15.75" customHeight="1">
      <c r="A161" s="1"/>
      <c r="B161" s="556"/>
      <c r="C161" s="557"/>
      <c r="D161" s="174"/>
      <c r="E161" s="558"/>
      <c r="F161" s="559"/>
      <c r="G161" s="557"/>
      <c r="H161" s="560"/>
      <c r="I161" s="523"/>
      <c r="J161" s="524"/>
      <c r="K161" s="518"/>
      <c r="L161" s="519"/>
      <c r="M161" s="518"/>
      <c r="N161" s="519"/>
      <c r="O161" s="518"/>
      <c r="P161" s="519"/>
      <c r="Q161" s="1"/>
      <c r="R161" s="1"/>
      <c r="S161" s="1"/>
      <c r="T161" s="1"/>
      <c r="U161" s="1"/>
      <c r="V161" s="1"/>
      <c r="W161" s="1"/>
      <c r="X161" s="1"/>
      <c r="Y161" s="1"/>
      <c r="Z161" s="1"/>
      <c r="AA161" s="1"/>
    </row>
    <row r="162" spans="1:27" ht="15.75" customHeight="1">
      <c r="A162" s="1"/>
      <c r="B162" s="556" t="s">
        <v>1513</v>
      </c>
      <c r="C162" s="557" t="s">
        <v>1514</v>
      </c>
      <c r="D162" s="174" t="s">
        <v>1515</v>
      </c>
      <c r="E162" s="558">
        <f t="shared" ref="E162:E169" si="70">+H162/1.19</f>
        <v>549.57983193277312</v>
      </c>
      <c r="F162" s="559" t="s">
        <v>1291</v>
      </c>
      <c r="G162" s="557"/>
      <c r="H162" s="560">
        <f t="shared" ref="H162:H169" si="71">ROUNDUP($J162*(1+$C$10),0)</f>
        <v>654</v>
      </c>
      <c r="I162" s="520"/>
      <c r="J162" s="517">
        <f t="shared" ref="J162:J169" si="72">IFERROR(AVERAGEIF($K$13:$P$13,"PRECIO IVA INC.",K162:P162),)</f>
        <v>654</v>
      </c>
      <c r="K162" s="521" t="s">
        <v>1516</v>
      </c>
      <c r="L162" s="522">
        <v>654</v>
      </c>
      <c r="M162" s="518"/>
      <c r="N162" s="519"/>
      <c r="O162" s="518"/>
      <c r="P162" s="519"/>
      <c r="Q162" s="1"/>
      <c r="R162" s="1"/>
      <c r="S162" s="1"/>
      <c r="T162" s="1"/>
      <c r="U162" s="1"/>
      <c r="V162" s="1"/>
      <c r="W162" s="1"/>
      <c r="X162" s="1"/>
      <c r="Y162" s="1"/>
      <c r="Z162" s="1"/>
      <c r="AA162" s="1"/>
    </row>
    <row r="163" spans="1:27" ht="15.75" customHeight="1">
      <c r="A163" s="1"/>
      <c r="B163" s="556" t="s">
        <v>1517</v>
      </c>
      <c r="C163" s="557" t="s">
        <v>1514</v>
      </c>
      <c r="D163" s="174" t="s">
        <v>1518</v>
      </c>
      <c r="E163" s="558">
        <f t="shared" si="70"/>
        <v>995.79831932773118</v>
      </c>
      <c r="F163" s="559" t="s">
        <v>1291</v>
      </c>
      <c r="G163" s="557"/>
      <c r="H163" s="560">
        <f t="shared" si="71"/>
        <v>1185</v>
      </c>
      <c r="I163" s="520"/>
      <c r="J163" s="517">
        <f t="shared" si="72"/>
        <v>1185</v>
      </c>
      <c r="K163" s="521" t="s">
        <v>1516</v>
      </c>
      <c r="L163" s="522">
        <v>1185</v>
      </c>
      <c r="M163" s="518"/>
      <c r="N163" s="519"/>
      <c r="O163" s="518"/>
      <c r="P163" s="519"/>
      <c r="Q163" s="1"/>
      <c r="R163" s="1"/>
      <c r="S163" s="1"/>
      <c r="T163" s="1"/>
      <c r="U163" s="1"/>
      <c r="V163" s="1"/>
      <c r="W163" s="1"/>
      <c r="X163" s="1"/>
      <c r="Y163" s="1"/>
      <c r="Z163" s="1"/>
      <c r="AA163" s="1"/>
    </row>
    <row r="164" spans="1:27" ht="15.75" customHeight="1">
      <c r="A164" s="1"/>
      <c r="B164" s="556" t="s">
        <v>1519</v>
      </c>
      <c r="C164" s="557" t="s">
        <v>1514</v>
      </c>
      <c r="D164" s="174" t="s">
        <v>1520</v>
      </c>
      <c r="E164" s="558">
        <f t="shared" si="70"/>
        <v>2078.9915966386557</v>
      </c>
      <c r="F164" s="559" t="s">
        <v>1291</v>
      </c>
      <c r="G164" s="557"/>
      <c r="H164" s="560">
        <f t="shared" si="71"/>
        <v>2474</v>
      </c>
      <c r="I164" s="520"/>
      <c r="J164" s="517">
        <f t="shared" si="72"/>
        <v>2474</v>
      </c>
      <c r="K164" s="521" t="s">
        <v>1516</v>
      </c>
      <c r="L164" s="522">
        <v>2474</v>
      </c>
      <c r="M164" s="1"/>
      <c r="N164" s="1"/>
      <c r="O164" s="1"/>
      <c r="P164" s="1"/>
      <c r="Q164" s="1"/>
      <c r="R164" s="1"/>
      <c r="S164" s="1"/>
      <c r="T164" s="1"/>
      <c r="U164" s="1"/>
      <c r="V164" s="1"/>
      <c r="W164" s="1"/>
      <c r="X164" s="1"/>
      <c r="Y164" s="1"/>
      <c r="Z164" s="1"/>
      <c r="AA164" s="1"/>
    </row>
    <row r="165" spans="1:27" ht="15.75" customHeight="1">
      <c r="A165" s="1"/>
      <c r="B165" s="556" t="s">
        <v>1521</v>
      </c>
      <c r="C165" s="557" t="s">
        <v>1514</v>
      </c>
      <c r="D165" s="174" t="s">
        <v>1522</v>
      </c>
      <c r="E165" s="558">
        <f t="shared" si="70"/>
        <v>5126.8907563025214</v>
      </c>
      <c r="F165" s="559" t="s">
        <v>1291</v>
      </c>
      <c r="G165" s="557"/>
      <c r="H165" s="560">
        <f t="shared" si="71"/>
        <v>6101</v>
      </c>
      <c r="I165" s="520"/>
      <c r="J165" s="517">
        <f t="shared" si="72"/>
        <v>6101</v>
      </c>
      <c r="K165" s="521" t="s">
        <v>1516</v>
      </c>
      <c r="L165" s="522">
        <v>6101</v>
      </c>
      <c r="M165" s="1"/>
      <c r="N165" s="1"/>
      <c r="O165" s="1"/>
      <c r="P165" s="1"/>
      <c r="Q165" s="1"/>
      <c r="R165" s="1"/>
      <c r="S165" s="1"/>
      <c r="T165" s="1"/>
      <c r="U165" s="1"/>
      <c r="V165" s="1"/>
      <c r="W165" s="1"/>
      <c r="X165" s="1"/>
      <c r="Y165" s="1"/>
      <c r="Z165" s="1"/>
      <c r="AA165" s="1"/>
    </row>
    <row r="166" spans="1:27" ht="15.75" customHeight="1">
      <c r="A166" s="1"/>
      <c r="B166" s="556" t="s">
        <v>1523</v>
      </c>
      <c r="C166" s="557" t="s">
        <v>1514</v>
      </c>
      <c r="D166" s="174" t="s">
        <v>1524</v>
      </c>
      <c r="E166" s="558">
        <f t="shared" si="70"/>
        <v>7324.3697478991598</v>
      </c>
      <c r="F166" s="559" t="s">
        <v>1291</v>
      </c>
      <c r="G166" s="557"/>
      <c r="H166" s="560">
        <f t="shared" si="71"/>
        <v>8716</v>
      </c>
      <c r="I166" s="520"/>
      <c r="J166" s="517">
        <f t="shared" si="72"/>
        <v>8716</v>
      </c>
      <c r="K166" s="521" t="s">
        <v>1516</v>
      </c>
      <c r="L166" s="522">
        <v>8716</v>
      </c>
      <c r="M166" s="1"/>
      <c r="N166" s="1"/>
      <c r="O166" s="1"/>
      <c r="P166" s="1"/>
      <c r="Q166" s="1"/>
      <c r="R166" s="1"/>
      <c r="S166" s="1"/>
      <c r="T166" s="1"/>
      <c r="U166" s="1"/>
      <c r="V166" s="1"/>
      <c r="W166" s="1"/>
      <c r="X166" s="1"/>
      <c r="Y166" s="1"/>
      <c r="Z166" s="1"/>
      <c r="AA166" s="1"/>
    </row>
    <row r="167" spans="1:27" ht="15.75" customHeight="1">
      <c r="A167" s="1"/>
      <c r="B167" s="556" t="s">
        <v>1525</v>
      </c>
      <c r="C167" s="557" t="s">
        <v>1514</v>
      </c>
      <c r="D167" s="174" t="s">
        <v>1526</v>
      </c>
      <c r="E167" s="558">
        <f t="shared" si="70"/>
        <v>2126.0504201680674</v>
      </c>
      <c r="F167" s="559" t="s">
        <v>1291</v>
      </c>
      <c r="G167" s="557"/>
      <c r="H167" s="560">
        <f t="shared" si="71"/>
        <v>2530</v>
      </c>
      <c r="I167" s="520"/>
      <c r="J167" s="517">
        <f t="shared" si="72"/>
        <v>2530</v>
      </c>
      <c r="K167" s="521" t="s">
        <v>1516</v>
      </c>
      <c r="L167" s="522">
        <v>2530</v>
      </c>
      <c r="M167" s="1"/>
      <c r="N167" s="1"/>
      <c r="O167" s="1"/>
      <c r="P167" s="1"/>
      <c r="Q167" s="1"/>
      <c r="R167" s="1"/>
      <c r="S167" s="1"/>
      <c r="T167" s="1"/>
      <c r="U167" s="1"/>
      <c r="V167" s="1"/>
      <c r="W167" s="1"/>
      <c r="X167" s="1"/>
      <c r="Y167" s="1"/>
      <c r="Z167" s="1"/>
      <c r="AA167" s="1"/>
    </row>
    <row r="168" spans="1:27" ht="15.75" customHeight="1">
      <c r="A168" s="1"/>
      <c r="B168" s="556" t="s">
        <v>1527</v>
      </c>
      <c r="C168" s="557" t="s">
        <v>1514</v>
      </c>
      <c r="D168" s="174" t="s">
        <v>1528</v>
      </c>
      <c r="E168" s="558">
        <f t="shared" si="70"/>
        <v>2613.4453781512607</v>
      </c>
      <c r="F168" s="559" t="s">
        <v>1291</v>
      </c>
      <c r="G168" s="557"/>
      <c r="H168" s="560">
        <f t="shared" si="71"/>
        <v>3110</v>
      </c>
      <c r="I168" s="520"/>
      <c r="J168" s="517">
        <f t="shared" si="72"/>
        <v>3110</v>
      </c>
      <c r="K168" s="521" t="s">
        <v>1516</v>
      </c>
      <c r="L168" s="522">
        <v>3110</v>
      </c>
      <c r="M168" s="1"/>
      <c r="N168" s="1"/>
      <c r="O168" s="1"/>
      <c r="P168" s="1"/>
      <c r="Q168" s="1"/>
      <c r="R168" s="1"/>
      <c r="S168" s="1"/>
      <c r="T168" s="1"/>
      <c r="U168" s="1"/>
      <c r="V168" s="1"/>
      <c r="W168" s="1"/>
      <c r="X168" s="1"/>
      <c r="Y168" s="1"/>
      <c r="Z168" s="1"/>
      <c r="AA168" s="1"/>
    </row>
    <row r="169" spans="1:27" ht="15.75" customHeight="1">
      <c r="A169" s="1"/>
      <c r="B169" s="556" t="s">
        <v>1529</v>
      </c>
      <c r="C169" s="557" t="s">
        <v>1514</v>
      </c>
      <c r="D169" s="174" t="s">
        <v>1530</v>
      </c>
      <c r="E169" s="558">
        <f t="shared" si="70"/>
        <v>15768.90756302521</v>
      </c>
      <c r="F169" s="559" t="s">
        <v>1291</v>
      </c>
      <c r="G169" s="557"/>
      <c r="H169" s="560">
        <f t="shared" si="71"/>
        <v>18765</v>
      </c>
      <c r="I169" s="520"/>
      <c r="J169" s="517">
        <f t="shared" si="72"/>
        <v>18765</v>
      </c>
      <c r="K169" s="521" t="s">
        <v>1516</v>
      </c>
      <c r="L169" s="522">
        <v>18765</v>
      </c>
      <c r="M169" s="1"/>
      <c r="N169" s="1"/>
      <c r="O169" s="1"/>
      <c r="P169" s="1"/>
      <c r="Q169" s="1"/>
      <c r="R169" s="1"/>
      <c r="S169" s="1"/>
      <c r="T169" s="1"/>
      <c r="U169" s="1"/>
      <c r="V169" s="1"/>
      <c r="W169" s="1"/>
      <c r="X169" s="1"/>
      <c r="Y169" s="1"/>
      <c r="Z169" s="1"/>
      <c r="AA169" s="1"/>
    </row>
    <row r="170" spans="1:27" ht="15.75" customHeight="1">
      <c r="A170" s="1"/>
      <c r="B170" s="1"/>
      <c r="C170" s="557"/>
      <c r="D170" s="174"/>
      <c r="E170" s="558"/>
      <c r="F170" s="559"/>
      <c r="G170" s="557"/>
      <c r="H170" s="560"/>
      <c r="I170" s="520"/>
      <c r="J170" s="517"/>
      <c r="K170" s="521"/>
      <c r="L170" s="522"/>
      <c r="M170" s="1"/>
      <c r="N170" s="1"/>
      <c r="O170" s="1"/>
      <c r="P170" s="1"/>
      <c r="Q170" s="1"/>
      <c r="R170" s="1"/>
      <c r="S170" s="1"/>
      <c r="T170" s="1"/>
      <c r="U170" s="1"/>
      <c r="V170" s="1"/>
      <c r="W170" s="1"/>
      <c r="X170" s="1"/>
      <c r="Y170" s="1"/>
      <c r="Z170" s="1"/>
      <c r="AA170" s="1"/>
    </row>
    <row r="171" spans="1:27" ht="15.75" customHeight="1">
      <c r="A171" s="1"/>
      <c r="B171" s="556" t="s">
        <v>1531</v>
      </c>
      <c r="C171" s="557" t="s">
        <v>1514</v>
      </c>
      <c r="D171" s="174" t="s">
        <v>1532</v>
      </c>
      <c r="E171" s="558">
        <f t="shared" ref="E171:E177" si="73">+H171/1.19</f>
        <v>621.00840336134456</v>
      </c>
      <c r="F171" s="559" t="s">
        <v>1291</v>
      </c>
      <c r="G171" s="557"/>
      <c r="H171" s="560">
        <f t="shared" ref="H171:H177" si="74">ROUNDUP($J171*(1+$C$10),0)</f>
        <v>739</v>
      </c>
      <c r="I171" s="520"/>
      <c r="J171" s="517">
        <f t="shared" ref="J171:J177" si="75">IFERROR(AVERAGEIF($K$13:$P$13,"PRECIO IVA INC.",K171:P171),)</f>
        <v>739</v>
      </c>
      <c r="K171" s="521" t="s">
        <v>1516</v>
      </c>
      <c r="L171" s="522">
        <v>739</v>
      </c>
      <c r="M171" s="1"/>
      <c r="N171" s="1"/>
      <c r="O171" s="1"/>
      <c r="P171" s="1"/>
      <c r="Q171" s="1"/>
      <c r="R171" s="1"/>
      <c r="S171" s="1"/>
      <c r="T171" s="1"/>
      <c r="U171" s="1"/>
      <c r="V171" s="1"/>
      <c r="W171" s="1"/>
      <c r="X171" s="1"/>
      <c r="Y171" s="1"/>
      <c r="Z171" s="1"/>
      <c r="AA171" s="1"/>
    </row>
    <row r="172" spans="1:27" ht="15.75" customHeight="1">
      <c r="A172" s="1"/>
      <c r="B172" s="556" t="s">
        <v>1533</v>
      </c>
      <c r="C172" s="557" t="s">
        <v>1514</v>
      </c>
      <c r="D172" s="174" t="s">
        <v>1534</v>
      </c>
      <c r="E172" s="558">
        <f t="shared" si="73"/>
        <v>1116.8067226890757</v>
      </c>
      <c r="F172" s="559" t="s">
        <v>1291</v>
      </c>
      <c r="G172" s="557"/>
      <c r="H172" s="560">
        <f t="shared" si="74"/>
        <v>1329</v>
      </c>
      <c r="I172" s="520"/>
      <c r="J172" s="517">
        <f t="shared" si="75"/>
        <v>1329</v>
      </c>
      <c r="K172" s="521" t="s">
        <v>1516</v>
      </c>
      <c r="L172" s="522">
        <v>1329</v>
      </c>
      <c r="M172" s="1"/>
      <c r="N172" s="1"/>
      <c r="O172" s="1"/>
      <c r="P172" s="1"/>
      <c r="Q172" s="1"/>
      <c r="R172" s="1"/>
      <c r="S172" s="1"/>
      <c r="T172" s="1"/>
      <c r="U172" s="1"/>
      <c r="V172" s="1"/>
      <c r="W172" s="1"/>
      <c r="X172" s="1"/>
      <c r="Y172" s="1"/>
      <c r="Z172" s="1"/>
      <c r="AA172" s="1"/>
    </row>
    <row r="173" spans="1:27" ht="15.75" customHeight="1">
      <c r="A173" s="1"/>
      <c r="B173" s="556" t="s">
        <v>1535</v>
      </c>
      <c r="C173" s="557" t="s">
        <v>1514</v>
      </c>
      <c r="D173" s="174" t="s">
        <v>1536</v>
      </c>
      <c r="E173" s="558">
        <f t="shared" si="73"/>
        <v>2489.0756302521008</v>
      </c>
      <c r="F173" s="559" t="s">
        <v>1291</v>
      </c>
      <c r="G173" s="557"/>
      <c r="H173" s="560">
        <f t="shared" si="74"/>
        <v>2962</v>
      </c>
      <c r="I173" s="520"/>
      <c r="J173" s="517">
        <f t="shared" si="75"/>
        <v>2962</v>
      </c>
      <c r="K173" s="521" t="s">
        <v>1516</v>
      </c>
      <c r="L173" s="522">
        <v>2962</v>
      </c>
      <c r="M173" s="1"/>
      <c r="N173" s="1"/>
      <c r="O173" s="1"/>
      <c r="P173" s="1"/>
      <c r="Q173" s="1"/>
      <c r="R173" s="1"/>
      <c r="S173" s="1"/>
      <c r="T173" s="1"/>
      <c r="U173" s="1"/>
      <c r="V173" s="1"/>
      <c r="W173" s="1"/>
      <c r="X173" s="1"/>
      <c r="Y173" s="1"/>
      <c r="Z173" s="1"/>
      <c r="AA173" s="1"/>
    </row>
    <row r="174" spans="1:27" ht="15.75" customHeight="1">
      <c r="A174" s="1"/>
      <c r="B174" s="556" t="s">
        <v>1537</v>
      </c>
      <c r="C174" s="557" t="s">
        <v>1514</v>
      </c>
      <c r="D174" s="174" t="s">
        <v>1538</v>
      </c>
      <c r="E174" s="558">
        <f t="shared" si="73"/>
        <v>6881.5126050420167</v>
      </c>
      <c r="F174" s="559" t="s">
        <v>1291</v>
      </c>
      <c r="G174" s="557"/>
      <c r="H174" s="560">
        <f t="shared" si="74"/>
        <v>8189</v>
      </c>
      <c r="I174" s="520"/>
      <c r="J174" s="517">
        <f t="shared" si="75"/>
        <v>8189</v>
      </c>
      <c r="K174" s="521" t="s">
        <v>1516</v>
      </c>
      <c r="L174" s="522">
        <v>8189</v>
      </c>
      <c r="M174" s="1"/>
      <c r="N174" s="1"/>
      <c r="O174" s="1"/>
      <c r="P174" s="1"/>
      <c r="Q174" s="1"/>
      <c r="R174" s="1"/>
      <c r="S174" s="1"/>
      <c r="T174" s="1"/>
      <c r="U174" s="1"/>
      <c r="V174" s="1"/>
      <c r="W174" s="1"/>
      <c r="X174" s="1"/>
      <c r="Y174" s="1"/>
      <c r="Z174" s="1"/>
      <c r="AA174" s="1"/>
    </row>
    <row r="175" spans="1:27" ht="15.75" customHeight="1">
      <c r="A175" s="1"/>
      <c r="B175" s="556" t="s">
        <v>1539</v>
      </c>
      <c r="C175" s="557" t="s">
        <v>1514</v>
      </c>
      <c r="D175" s="174" t="s">
        <v>1540</v>
      </c>
      <c r="E175" s="558">
        <f t="shared" si="73"/>
        <v>12250.420168067227</v>
      </c>
      <c r="F175" s="559" t="s">
        <v>1291</v>
      </c>
      <c r="G175" s="557"/>
      <c r="H175" s="560">
        <f t="shared" si="74"/>
        <v>14578</v>
      </c>
      <c r="I175" s="520"/>
      <c r="J175" s="517">
        <f t="shared" si="75"/>
        <v>14578</v>
      </c>
      <c r="K175" s="521" t="s">
        <v>1516</v>
      </c>
      <c r="L175" s="522">
        <v>14578</v>
      </c>
      <c r="M175" s="1"/>
      <c r="N175" s="1"/>
      <c r="O175" s="1"/>
      <c r="P175" s="1"/>
      <c r="Q175" s="1"/>
      <c r="R175" s="1"/>
      <c r="S175" s="1"/>
      <c r="T175" s="1"/>
      <c r="U175" s="1"/>
      <c r="V175" s="1"/>
      <c r="W175" s="1"/>
      <c r="X175" s="1"/>
      <c r="Y175" s="1"/>
      <c r="Z175" s="1"/>
      <c r="AA175" s="1"/>
    </row>
    <row r="176" spans="1:27" ht="15.75" customHeight="1">
      <c r="A176" s="1"/>
      <c r="B176" s="556" t="s">
        <v>1541</v>
      </c>
      <c r="C176" s="557" t="s">
        <v>1514</v>
      </c>
      <c r="D176" s="174" t="s">
        <v>1542</v>
      </c>
      <c r="E176" s="558">
        <f t="shared" si="73"/>
        <v>3334.453781512605</v>
      </c>
      <c r="F176" s="559" t="s">
        <v>1291</v>
      </c>
      <c r="G176" s="557"/>
      <c r="H176" s="560">
        <f t="shared" si="74"/>
        <v>3968</v>
      </c>
      <c r="I176" s="520"/>
      <c r="J176" s="517">
        <f t="shared" si="75"/>
        <v>3968</v>
      </c>
      <c r="K176" s="521" t="s">
        <v>1516</v>
      </c>
      <c r="L176" s="522">
        <v>3968</v>
      </c>
      <c r="M176" s="1"/>
      <c r="N176" s="1"/>
      <c r="O176" s="1"/>
      <c r="P176" s="1"/>
      <c r="Q176" s="1"/>
      <c r="R176" s="1"/>
      <c r="S176" s="1"/>
      <c r="T176" s="1"/>
      <c r="U176" s="1"/>
      <c r="V176" s="1"/>
      <c r="W176" s="1"/>
      <c r="X176" s="1"/>
      <c r="Y176" s="1"/>
      <c r="Z176" s="1"/>
      <c r="AA176" s="1"/>
    </row>
    <row r="177" spans="1:27" ht="15.75" customHeight="1">
      <c r="A177" s="1"/>
      <c r="B177" s="556" t="s">
        <v>1543</v>
      </c>
      <c r="C177" s="557" t="s">
        <v>1514</v>
      </c>
      <c r="D177" s="174" t="s">
        <v>1544</v>
      </c>
      <c r="E177" s="558">
        <f t="shared" si="73"/>
        <v>4064.7058823529414</v>
      </c>
      <c r="F177" s="559" t="s">
        <v>1291</v>
      </c>
      <c r="G177" s="557"/>
      <c r="H177" s="560">
        <f t="shared" si="74"/>
        <v>4837</v>
      </c>
      <c r="I177" s="520"/>
      <c r="J177" s="517">
        <f t="shared" si="75"/>
        <v>4837</v>
      </c>
      <c r="K177" s="521" t="s">
        <v>1516</v>
      </c>
      <c r="L177" s="522">
        <v>4837</v>
      </c>
      <c r="M177" s="1"/>
      <c r="N177" s="1"/>
      <c r="O177" s="1"/>
      <c r="P177" s="1"/>
      <c r="Q177" s="1"/>
      <c r="R177" s="1"/>
      <c r="S177" s="1"/>
      <c r="T177" s="1"/>
      <c r="U177" s="1"/>
      <c r="V177" s="1"/>
      <c r="W177" s="1"/>
      <c r="X177" s="1"/>
      <c r="Y177" s="1"/>
      <c r="Z177" s="1"/>
      <c r="AA177" s="1"/>
    </row>
    <row r="178" spans="1:27" ht="15.75" customHeight="1">
      <c r="A178" s="1"/>
      <c r="B178" s="1"/>
      <c r="C178" s="557"/>
      <c r="D178" s="174"/>
      <c r="E178" s="558"/>
      <c r="F178" s="559"/>
      <c r="G178" s="557"/>
      <c r="H178" s="560"/>
      <c r="I178" s="523"/>
      <c r="J178" s="524"/>
      <c r="K178" s="518"/>
      <c r="L178" s="519"/>
      <c r="M178" s="1"/>
      <c r="N178" s="1"/>
      <c r="O178" s="1"/>
      <c r="P178" s="1"/>
      <c r="Q178" s="1"/>
      <c r="R178" s="1"/>
      <c r="S178" s="1"/>
      <c r="T178" s="1"/>
      <c r="U178" s="1"/>
      <c r="V178" s="1"/>
      <c r="W178" s="1"/>
      <c r="X178" s="1"/>
      <c r="Y178" s="1"/>
      <c r="Z178" s="1"/>
      <c r="AA178" s="1"/>
    </row>
    <row r="179" spans="1:27" ht="15.75" customHeight="1">
      <c r="A179" s="1"/>
      <c r="B179" s="556" t="s">
        <v>1545</v>
      </c>
      <c r="C179" s="557" t="s">
        <v>1514</v>
      </c>
      <c r="D179" s="174" t="s">
        <v>1546</v>
      </c>
      <c r="E179" s="558">
        <f>+H179/1.19</f>
        <v>83468.067226890766</v>
      </c>
      <c r="F179" s="559" t="s">
        <v>550</v>
      </c>
      <c r="G179" s="557"/>
      <c r="H179" s="560">
        <f>ROUNDUP($J179*(1+$C$10),0)</f>
        <v>99327</v>
      </c>
      <c r="I179" s="520"/>
      <c r="J179" s="517">
        <f>IFERROR(AVERAGEIF($K$13:$P$13,"PRECIO IVA INC.",K179:P179),)</f>
        <v>99326.67</v>
      </c>
      <c r="K179" s="521" t="s">
        <v>1292</v>
      </c>
      <c r="L179" s="522">
        <v>99326.67</v>
      </c>
      <c r="M179" s="1"/>
      <c r="N179" s="1"/>
      <c r="O179" s="1"/>
      <c r="P179" s="1"/>
      <c r="Q179" s="1"/>
      <c r="R179" s="1"/>
      <c r="S179" s="1"/>
      <c r="T179" s="1"/>
      <c r="U179" s="1"/>
      <c r="V179" s="1"/>
      <c r="W179" s="1"/>
      <c r="X179" s="1"/>
      <c r="Y179" s="1"/>
      <c r="Z179" s="1"/>
      <c r="AA179" s="1"/>
    </row>
    <row r="180" spans="1:27" ht="15.75" customHeight="1">
      <c r="A180" s="1"/>
      <c r="B180" s="1"/>
      <c r="C180" s="557"/>
      <c r="D180" s="174"/>
      <c r="E180" s="558"/>
      <c r="F180" s="559"/>
      <c r="G180" s="557"/>
      <c r="H180" s="560"/>
      <c r="I180" s="520"/>
      <c r="J180" s="517"/>
      <c r="K180" s="521"/>
      <c r="L180" s="522"/>
      <c r="M180" s="1"/>
      <c r="N180" s="1"/>
      <c r="O180" s="1"/>
      <c r="P180" s="1"/>
      <c r="Q180" s="1"/>
      <c r="R180" s="1"/>
      <c r="S180" s="1"/>
      <c r="T180" s="1"/>
      <c r="U180" s="1"/>
      <c r="V180" s="1"/>
      <c r="W180" s="1"/>
      <c r="X180" s="1"/>
      <c r="Y180" s="1"/>
      <c r="Z180" s="1"/>
      <c r="AA180" s="1"/>
    </row>
    <row r="181" spans="1:27" ht="15.75" customHeight="1">
      <c r="A181" s="1"/>
      <c r="B181" s="556" t="s">
        <v>1547</v>
      </c>
      <c r="C181" s="557" t="s">
        <v>1514</v>
      </c>
      <c r="D181" s="174" t="s">
        <v>1548</v>
      </c>
      <c r="E181" s="558">
        <f t="shared" ref="E181:E182" si="76">+H181/1.19</f>
        <v>20272.268907563026</v>
      </c>
      <c r="F181" s="559" t="s">
        <v>1291</v>
      </c>
      <c r="G181" s="557"/>
      <c r="H181" s="560">
        <f t="shared" ref="H181:H182" si="77">ROUNDUP($J181*(1+$C$10),0)</f>
        <v>24124</v>
      </c>
      <c r="I181" s="520"/>
      <c r="J181" s="517">
        <f t="shared" ref="J181:J182" si="78">IFERROR(AVERAGEIF($K$13:$P$13,"PRECIO IVA INC.",K181:P181),)</f>
        <v>24124</v>
      </c>
      <c r="K181" s="521" t="s">
        <v>1516</v>
      </c>
      <c r="L181" s="522">
        <v>24124</v>
      </c>
      <c r="M181" s="1"/>
      <c r="N181" s="1"/>
      <c r="O181" s="1"/>
      <c r="P181" s="1"/>
      <c r="Q181" s="1"/>
      <c r="R181" s="1"/>
      <c r="S181" s="1"/>
      <c r="T181" s="1"/>
      <c r="U181" s="1"/>
      <c r="V181" s="1"/>
      <c r="W181" s="1"/>
      <c r="X181" s="1"/>
      <c r="Y181" s="1"/>
      <c r="Z181" s="1"/>
      <c r="AA181" s="1"/>
    </row>
    <row r="182" spans="1:27" ht="15.75" customHeight="1">
      <c r="A182" s="1"/>
      <c r="B182" s="556" t="s">
        <v>1549</v>
      </c>
      <c r="C182" s="557" t="s">
        <v>1514</v>
      </c>
      <c r="D182" s="174" t="s">
        <v>1550</v>
      </c>
      <c r="E182" s="558">
        <f t="shared" si="76"/>
        <v>18403.361344537814</v>
      </c>
      <c r="F182" s="559" t="s">
        <v>1291</v>
      </c>
      <c r="G182" s="557"/>
      <c r="H182" s="560">
        <f t="shared" si="77"/>
        <v>21900</v>
      </c>
      <c r="I182" s="520"/>
      <c r="J182" s="517">
        <f t="shared" si="78"/>
        <v>21900</v>
      </c>
      <c r="K182" s="521" t="s">
        <v>1292</v>
      </c>
      <c r="L182" s="522">
        <v>21900</v>
      </c>
      <c r="M182" s="1"/>
      <c r="N182" s="1"/>
      <c r="O182" s="1"/>
      <c r="P182" s="1"/>
      <c r="Q182" s="1"/>
      <c r="R182" s="1"/>
      <c r="S182" s="1"/>
      <c r="T182" s="1"/>
      <c r="U182" s="1"/>
      <c r="V182" s="1"/>
      <c r="W182" s="1"/>
      <c r="X182" s="1"/>
      <c r="Y182" s="1"/>
      <c r="Z182" s="1"/>
      <c r="AA182" s="1"/>
    </row>
    <row r="183" spans="1:27" ht="15.75" customHeight="1">
      <c r="A183" s="1"/>
      <c r="B183" s="1"/>
      <c r="C183" s="557"/>
      <c r="D183" s="174"/>
      <c r="E183" s="558"/>
      <c r="F183" s="559"/>
      <c r="G183" s="557"/>
      <c r="H183" s="560"/>
      <c r="I183" s="520"/>
      <c r="J183" s="517"/>
      <c r="K183" s="521"/>
      <c r="L183" s="522"/>
      <c r="M183" s="1"/>
      <c r="N183" s="1"/>
      <c r="O183" s="1"/>
      <c r="P183" s="1"/>
      <c r="Q183" s="1"/>
      <c r="R183" s="1"/>
      <c r="S183" s="1"/>
      <c r="T183" s="1"/>
      <c r="U183" s="1"/>
      <c r="V183" s="1"/>
      <c r="W183" s="1"/>
      <c r="X183" s="1"/>
      <c r="Y183" s="1"/>
      <c r="Z183" s="1"/>
      <c r="AA183" s="1"/>
    </row>
    <row r="184" spans="1:27" ht="15.75" customHeight="1">
      <c r="A184" s="1"/>
      <c r="B184" s="556" t="s">
        <v>1551</v>
      </c>
      <c r="C184" s="557" t="s">
        <v>1514</v>
      </c>
      <c r="D184" s="174" t="s">
        <v>1552</v>
      </c>
      <c r="E184" s="558">
        <f t="shared" ref="E184:E191" si="79">+H184/1.19</f>
        <v>1316.8067226890757</v>
      </c>
      <c r="F184" s="559" t="s">
        <v>1291</v>
      </c>
      <c r="G184" s="557"/>
      <c r="H184" s="560">
        <f t="shared" ref="H184:H191" si="80">ROUNDUP($J184*(1+$C$10),0)</f>
        <v>1567</v>
      </c>
      <c r="I184" s="520"/>
      <c r="J184" s="517">
        <f t="shared" ref="J184:J191" si="81">IFERROR(AVERAGEIF($K$13:$P$13,"PRECIO IVA INC.",K184:P184),)</f>
        <v>1567</v>
      </c>
      <c r="K184" s="521" t="s">
        <v>1516</v>
      </c>
      <c r="L184" s="522">
        <v>1567</v>
      </c>
      <c r="M184" s="1"/>
      <c r="N184" s="1"/>
      <c r="O184" s="1"/>
      <c r="P184" s="1"/>
      <c r="Q184" s="1"/>
      <c r="R184" s="1"/>
      <c r="S184" s="1"/>
      <c r="T184" s="1"/>
      <c r="U184" s="1"/>
      <c r="V184" s="1"/>
      <c r="W184" s="1"/>
      <c r="X184" s="1"/>
      <c r="Y184" s="1"/>
      <c r="Z184" s="1"/>
      <c r="AA184" s="1"/>
    </row>
    <row r="185" spans="1:27" ht="15.75" customHeight="1">
      <c r="A185" s="1"/>
      <c r="B185" s="556" t="s">
        <v>1553</v>
      </c>
      <c r="C185" s="557" t="s">
        <v>1514</v>
      </c>
      <c r="D185" s="174" t="s">
        <v>1554</v>
      </c>
      <c r="E185" s="558">
        <f t="shared" si="79"/>
        <v>2104.201680672269</v>
      </c>
      <c r="F185" s="559" t="s">
        <v>1291</v>
      </c>
      <c r="G185" s="557"/>
      <c r="H185" s="560">
        <f t="shared" si="80"/>
        <v>2504</v>
      </c>
      <c r="I185" s="520"/>
      <c r="J185" s="517">
        <f t="shared" si="81"/>
        <v>2504</v>
      </c>
      <c r="K185" s="521" t="s">
        <v>1516</v>
      </c>
      <c r="L185" s="522">
        <v>2504</v>
      </c>
      <c r="M185" s="1"/>
      <c r="N185" s="1"/>
      <c r="O185" s="1"/>
      <c r="P185" s="1"/>
      <c r="Q185" s="1"/>
      <c r="R185" s="1"/>
      <c r="S185" s="1"/>
      <c r="T185" s="1"/>
      <c r="U185" s="1"/>
      <c r="V185" s="1"/>
      <c r="W185" s="1"/>
      <c r="X185" s="1"/>
      <c r="Y185" s="1"/>
      <c r="Z185" s="1"/>
      <c r="AA185" s="1"/>
    </row>
    <row r="186" spans="1:27" ht="15.75" customHeight="1">
      <c r="A186" s="1"/>
      <c r="B186" s="556" t="s">
        <v>1555</v>
      </c>
      <c r="C186" s="557" t="s">
        <v>1514</v>
      </c>
      <c r="D186" s="174" t="s">
        <v>1556</v>
      </c>
      <c r="E186" s="558">
        <f t="shared" si="79"/>
        <v>4006.7226890756306</v>
      </c>
      <c r="F186" s="559" t="s">
        <v>1291</v>
      </c>
      <c r="G186" s="557"/>
      <c r="H186" s="560">
        <f t="shared" si="80"/>
        <v>4768</v>
      </c>
      <c r="I186" s="520"/>
      <c r="J186" s="517">
        <f t="shared" si="81"/>
        <v>4768</v>
      </c>
      <c r="K186" s="521" t="s">
        <v>1516</v>
      </c>
      <c r="L186" s="522">
        <v>4768</v>
      </c>
      <c r="M186" s="1"/>
      <c r="N186" s="1"/>
      <c r="O186" s="1"/>
      <c r="P186" s="1"/>
      <c r="Q186" s="1"/>
      <c r="R186" s="1"/>
      <c r="S186" s="1"/>
      <c r="T186" s="1"/>
      <c r="U186" s="1"/>
      <c r="V186" s="1"/>
      <c r="W186" s="1"/>
      <c r="X186" s="1"/>
      <c r="Y186" s="1"/>
      <c r="Z186" s="1"/>
      <c r="AA186" s="1"/>
    </row>
    <row r="187" spans="1:27" ht="15.75" customHeight="1">
      <c r="A187" s="1"/>
      <c r="B187" s="556" t="s">
        <v>1557</v>
      </c>
      <c r="C187" s="557" t="s">
        <v>1514</v>
      </c>
      <c r="D187" s="174" t="s">
        <v>1558</v>
      </c>
      <c r="E187" s="558">
        <f t="shared" si="79"/>
        <v>9715.1260504201691</v>
      </c>
      <c r="F187" s="559" t="s">
        <v>1291</v>
      </c>
      <c r="G187" s="557"/>
      <c r="H187" s="560">
        <f t="shared" si="80"/>
        <v>11561</v>
      </c>
      <c r="I187" s="520"/>
      <c r="J187" s="517">
        <f t="shared" si="81"/>
        <v>11561</v>
      </c>
      <c r="K187" s="521" t="s">
        <v>1516</v>
      </c>
      <c r="L187" s="522">
        <v>11561</v>
      </c>
      <c r="M187" s="1"/>
      <c r="N187" s="1"/>
      <c r="O187" s="1"/>
      <c r="P187" s="1"/>
      <c r="Q187" s="1"/>
      <c r="R187" s="1"/>
      <c r="S187" s="1"/>
      <c r="T187" s="1"/>
      <c r="U187" s="1"/>
      <c r="V187" s="1"/>
      <c r="W187" s="1"/>
      <c r="X187" s="1"/>
      <c r="Y187" s="1"/>
      <c r="Z187" s="1"/>
      <c r="AA187" s="1"/>
    </row>
    <row r="188" spans="1:27" ht="15.75" customHeight="1">
      <c r="A188" s="1"/>
      <c r="B188" s="556" t="s">
        <v>1559</v>
      </c>
      <c r="C188" s="557" t="s">
        <v>1514</v>
      </c>
      <c r="D188" s="174" t="s">
        <v>1560</v>
      </c>
      <c r="E188" s="558">
        <f t="shared" si="79"/>
        <v>16063.865546218489</v>
      </c>
      <c r="F188" s="559" t="s">
        <v>1291</v>
      </c>
      <c r="G188" s="557"/>
      <c r="H188" s="560">
        <f t="shared" si="80"/>
        <v>19116</v>
      </c>
      <c r="I188" s="520"/>
      <c r="J188" s="517">
        <f t="shared" si="81"/>
        <v>19116</v>
      </c>
      <c r="K188" s="521" t="s">
        <v>1516</v>
      </c>
      <c r="L188" s="522">
        <v>19116</v>
      </c>
      <c r="M188" s="1"/>
      <c r="N188" s="1"/>
      <c r="O188" s="1"/>
      <c r="P188" s="1"/>
      <c r="Q188" s="1"/>
      <c r="R188" s="1"/>
      <c r="S188" s="1"/>
      <c r="T188" s="1"/>
      <c r="U188" s="1"/>
      <c r="V188" s="1"/>
      <c r="W188" s="1"/>
      <c r="X188" s="1"/>
      <c r="Y188" s="1"/>
      <c r="Z188" s="1"/>
      <c r="AA188" s="1"/>
    </row>
    <row r="189" spans="1:27" ht="15.75" customHeight="1">
      <c r="A189" s="1"/>
      <c r="B189" s="556" t="s">
        <v>1561</v>
      </c>
      <c r="C189" s="557" t="s">
        <v>1514</v>
      </c>
      <c r="D189" s="174" t="s">
        <v>1562</v>
      </c>
      <c r="E189" s="558">
        <f t="shared" si="79"/>
        <v>1952.9411764705883</v>
      </c>
      <c r="F189" s="559" t="s">
        <v>1291</v>
      </c>
      <c r="G189" s="557"/>
      <c r="H189" s="560">
        <f t="shared" si="80"/>
        <v>2324</v>
      </c>
      <c r="I189" s="520"/>
      <c r="J189" s="517">
        <f t="shared" si="81"/>
        <v>2324</v>
      </c>
      <c r="K189" s="521" t="s">
        <v>1516</v>
      </c>
      <c r="L189" s="522">
        <v>2324</v>
      </c>
      <c r="M189" s="1"/>
      <c r="N189" s="1"/>
      <c r="O189" s="1"/>
      <c r="P189" s="1"/>
      <c r="Q189" s="1"/>
      <c r="R189" s="1"/>
      <c r="S189" s="1"/>
      <c r="T189" s="1"/>
      <c r="U189" s="1"/>
      <c r="V189" s="1"/>
      <c r="W189" s="1"/>
      <c r="X189" s="1"/>
      <c r="Y189" s="1"/>
      <c r="Z189" s="1"/>
      <c r="AA189" s="1"/>
    </row>
    <row r="190" spans="1:27" ht="15.75" customHeight="1">
      <c r="A190" s="1"/>
      <c r="B190" s="556" t="s">
        <v>1563</v>
      </c>
      <c r="C190" s="557" t="s">
        <v>1514</v>
      </c>
      <c r="D190" s="174" t="s">
        <v>1564</v>
      </c>
      <c r="E190" s="558">
        <f t="shared" si="79"/>
        <v>3531.09243697479</v>
      </c>
      <c r="F190" s="559" t="s">
        <v>1291</v>
      </c>
      <c r="G190" s="557"/>
      <c r="H190" s="560">
        <f t="shared" si="80"/>
        <v>4202</v>
      </c>
      <c r="I190" s="520"/>
      <c r="J190" s="517">
        <f t="shared" si="81"/>
        <v>4202</v>
      </c>
      <c r="K190" s="521" t="s">
        <v>1516</v>
      </c>
      <c r="L190" s="522">
        <v>4202</v>
      </c>
      <c r="M190" s="1"/>
      <c r="N190" s="1"/>
      <c r="O190" s="1"/>
      <c r="P190" s="1"/>
      <c r="Q190" s="1"/>
      <c r="R190" s="1"/>
      <c r="S190" s="1"/>
      <c r="T190" s="1"/>
      <c r="U190" s="1"/>
      <c r="V190" s="1"/>
      <c r="W190" s="1"/>
      <c r="X190" s="1"/>
      <c r="Y190" s="1"/>
      <c r="Z190" s="1"/>
      <c r="AA190" s="1"/>
    </row>
    <row r="191" spans="1:27" ht="15.75" customHeight="1">
      <c r="A191" s="1"/>
      <c r="B191" s="556" t="s">
        <v>1565</v>
      </c>
      <c r="C191" s="557" t="s">
        <v>1514</v>
      </c>
      <c r="D191" s="174" t="s">
        <v>1566</v>
      </c>
      <c r="E191" s="558">
        <f t="shared" si="79"/>
        <v>9288.2352941176468</v>
      </c>
      <c r="F191" s="559" t="s">
        <v>1291</v>
      </c>
      <c r="G191" s="557"/>
      <c r="H191" s="560">
        <f t="shared" si="80"/>
        <v>11053</v>
      </c>
      <c r="I191" s="520"/>
      <c r="J191" s="517">
        <f t="shared" si="81"/>
        <v>11053</v>
      </c>
      <c r="K191" s="521" t="s">
        <v>1516</v>
      </c>
      <c r="L191" s="522">
        <v>11053</v>
      </c>
      <c r="M191" s="1"/>
      <c r="N191" s="1"/>
      <c r="O191" s="1"/>
      <c r="P191" s="1"/>
      <c r="Q191" s="1"/>
      <c r="R191" s="1"/>
      <c r="S191" s="1"/>
      <c r="T191" s="1"/>
      <c r="U191" s="1"/>
      <c r="V191" s="1"/>
      <c r="W191" s="1"/>
      <c r="X191" s="1"/>
      <c r="Y191" s="1"/>
      <c r="Z191" s="1"/>
      <c r="AA191" s="1"/>
    </row>
    <row r="192" spans="1:27" ht="15.75" customHeight="1">
      <c r="A192" s="1"/>
      <c r="B192" s="556"/>
      <c r="C192" s="557"/>
      <c r="D192" s="174"/>
      <c r="E192" s="558"/>
      <c r="F192" s="559"/>
      <c r="G192" s="557"/>
      <c r="H192" s="560"/>
      <c r="I192" s="520"/>
      <c r="J192" s="517"/>
      <c r="K192" s="521"/>
      <c r="L192" s="522"/>
      <c r="M192" s="1"/>
      <c r="N192" s="1"/>
      <c r="O192" s="1"/>
      <c r="P192" s="1"/>
      <c r="Q192" s="1"/>
      <c r="R192" s="1"/>
      <c r="S192" s="1"/>
      <c r="T192" s="1"/>
      <c r="U192" s="1"/>
      <c r="V192" s="1"/>
      <c r="W192" s="1"/>
      <c r="X192" s="1"/>
      <c r="Y192" s="1"/>
      <c r="Z192" s="1"/>
      <c r="AA192" s="1"/>
    </row>
    <row r="193" spans="1:27" ht="15.75" customHeight="1">
      <c r="A193" s="1"/>
      <c r="B193" s="556" t="s">
        <v>1567</v>
      </c>
      <c r="C193" s="557" t="s">
        <v>1514</v>
      </c>
      <c r="D193" s="174" t="s">
        <v>1568</v>
      </c>
      <c r="E193" s="558">
        <f t="shared" ref="E193:E201" si="82">+H193/1.19</f>
        <v>5707.5630252100846</v>
      </c>
      <c r="F193" s="559" t="s">
        <v>1291</v>
      </c>
      <c r="G193" s="557"/>
      <c r="H193" s="560">
        <f t="shared" ref="H193:H201" si="83">ROUNDUP($J193*(1+$C$10),0)</f>
        <v>6792</v>
      </c>
      <c r="I193" s="520"/>
      <c r="J193" s="517">
        <f t="shared" ref="J193:J201" si="84">IFERROR(AVERAGEIF($K$13:$P$13,"PRECIO IVA INC.",K193:P193),)</f>
        <v>6792</v>
      </c>
      <c r="K193" s="521" t="s">
        <v>1516</v>
      </c>
      <c r="L193" s="522">
        <v>6792</v>
      </c>
      <c r="M193" s="1"/>
      <c r="N193" s="1"/>
      <c r="O193" s="1"/>
      <c r="P193" s="1"/>
      <c r="Q193" s="1"/>
      <c r="R193" s="1"/>
      <c r="S193" s="1"/>
      <c r="T193" s="1"/>
      <c r="U193" s="1"/>
      <c r="V193" s="1"/>
      <c r="W193" s="1"/>
      <c r="X193" s="1"/>
      <c r="Y193" s="1"/>
      <c r="Z193" s="1"/>
      <c r="AA193" s="1"/>
    </row>
    <row r="194" spans="1:27" ht="15.75" customHeight="1">
      <c r="A194" s="1"/>
      <c r="B194" s="556" t="s">
        <v>1569</v>
      </c>
      <c r="C194" s="557" t="s">
        <v>1514</v>
      </c>
      <c r="D194" s="174" t="s">
        <v>1570</v>
      </c>
      <c r="E194" s="558">
        <f t="shared" si="82"/>
        <v>10853.781512605043</v>
      </c>
      <c r="F194" s="559" t="s">
        <v>1291</v>
      </c>
      <c r="G194" s="557"/>
      <c r="H194" s="560">
        <f t="shared" si="83"/>
        <v>12916</v>
      </c>
      <c r="I194" s="520"/>
      <c r="J194" s="517">
        <f t="shared" si="84"/>
        <v>12916</v>
      </c>
      <c r="K194" s="521" t="s">
        <v>1516</v>
      </c>
      <c r="L194" s="522">
        <v>12916</v>
      </c>
      <c r="M194" s="1"/>
      <c r="N194" s="1"/>
      <c r="O194" s="1"/>
      <c r="P194" s="1"/>
      <c r="Q194" s="1"/>
      <c r="R194" s="1"/>
      <c r="S194" s="1"/>
      <c r="T194" s="1"/>
      <c r="U194" s="1"/>
      <c r="V194" s="1"/>
      <c r="W194" s="1"/>
      <c r="X194" s="1"/>
      <c r="Y194" s="1"/>
      <c r="Z194" s="1"/>
      <c r="AA194" s="1"/>
    </row>
    <row r="195" spans="1:27" ht="15.75" customHeight="1">
      <c r="A195" s="1"/>
      <c r="B195" s="556" t="s">
        <v>1571</v>
      </c>
      <c r="C195" s="557" t="s">
        <v>1514</v>
      </c>
      <c r="D195" s="174" t="s">
        <v>1572</v>
      </c>
      <c r="E195" s="558">
        <f t="shared" si="82"/>
        <v>18016.806722689078</v>
      </c>
      <c r="F195" s="559" t="s">
        <v>1291</v>
      </c>
      <c r="G195" s="557"/>
      <c r="H195" s="560">
        <f t="shared" si="83"/>
        <v>21440</v>
      </c>
      <c r="I195" s="520"/>
      <c r="J195" s="517">
        <f t="shared" si="84"/>
        <v>21440</v>
      </c>
      <c r="K195" s="521" t="s">
        <v>1516</v>
      </c>
      <c r="L195" s="522">
        <v>21440</v>
      </c>
      <c r="M195" s="1"/>
      <c r="N195" s="1"/>
      <c r="O195" s="1"/>
      <c r="P195" s="1"/>
      <c r="Q195" s="1"/>
      <c r="R195" s="1"/>
      <c r="S195" s="1"/>
      <c r="T195" s="1"/>
      <c r="U195" s="1"/>
      <c r="V195" s="1"/>
      <c r="W195" s="1"/>
      <c r="X195" s="1"/>
      <c r="Y195" s="1"/>
      <c r="Z195" s="1"/>
      <c r="AA195" s="1"/>
    </row>
    <row r="196" spans="1:27" ht="15.75" customHeight="1">
      <c r="A196" s="1"/>
      <c r="B196" s="556" t="s">
        <v>1573</v>
      </c>
      <c r="C196" s="557" t="s">
        <v>1514</v>
      </c>
      <c r="D196" s="174" t="s">
        <v>1574</v>
      </c>
      <c r="E196" s="558">
        <f t="shared" si="82"/>
        <v>173157.14285714287</v>
      </c>
      <c r="F196" s="559" t="s">
        <v>1291</v>
      </c>
      <c r="G196" s="557"/>
      <c r="H196" s="560">
        <f t="shared" si="83"/>
        <v>206057</v>
      </c>
      <c r="I196" s="520"/>
      <c r="J196" s="517">
        <f t="shared" si="84"/>
        <v>206057</v>
      </c>
      <c r="K196" s="521" t="s">
        <v>1516</v>
      </c>
      <c r="L196" s="522">
        <v>206057</v>
      </c>
      <c r="M196" s="1"/>
      <c r="N196" s="1"/>
      <c r="O196" s="1"/>
      <c r="P196" s="1"/>
      <c r="Q196" s="1"/>
      <c r="R196" s="1"/>
      <c r="S196" s="1"/>
      <c r="T196" s="1"/>
      <c r="U196" s="1"/>
      <c r="V196" s="1"/>
      <c r="W196" s="1"/>
      <c r="X196" s="1"/>
      <c r="Y196" s="1"/>
      <c r="Z196" s="1"/>
      <c r="AA196" s="1"/>
    </row>
    <row r="197" spans="1:27" ht="15.75" customHeight="1">
      <c r="A197" s="1"/>
      <c r="B197" s="556" t="s">
        <v>1575</v>
      </c>
      <c r="C197" s="557" t="s">
        <v>1514</v>
      </c>
      <c r="D197" s="174" t="s">
        <v>1576</v>
      </c>
      <c r="E197" s="558">
        <f t="shared" si="82"/>
        <v>4045.3781512605042</v>
      </c>
      <c r="F197" s="559" t="s">
        <v>1291</v>
      </c>
      <c r="G197" s="557"/>
      <c r="H197" s="560">
        <f t="shared" si="83"/>
        <v>4814</v>
      </c>
      <c r="I197" s="520"/>
      <c r="J197" s="517">
        <f t="shared" si="84"/>
        <v>4814</v>
      </c>
      <c r="K197" s="521" t="s">
        <v>1516</v>
      </c>
      <c r="L197" s="522">
        <v>4814</v>
      </c>
      <c r="M197" s="1"/>
      <c r="N197" s="1"/>
      <c r="O197" s="1"/>
      <c r="P197" s="1"/>
      <c r="Q197" s="1"/>
      <c r="R197" s="1"/>
      <c r="S197" s="1"/>
      <c r="T197" s="1"/>
      <c r="U197" s="1"/>
      <c r="V197" s="1"/>
      <c r="W197" s="1"/>
      <c r="X197" s="1"/>
      <c r="Y197" s="1"/>
      <c r="Z197" s="1"/>
      <c r="AA197" s="1"/>
    </row>
    <row r="198" spans="1:27" ht="15.75" customHeight="1">
      <c r="A198" s="1"/>
      <c r="B198" s="556" t="s">
        <v>1577</v>
      </c>
      <c r="C198" s="557" t="s">
        <v>1514</v>
      </c>
      <c r="D198" s="174" t="s">
        <v>1578</v>
      </c>
      <c r="E198" s="558">
        <f t="shared" si="82"/>
        <v>4906.7226890756301</v>
      </c>
      <c r="F198" s="559" t="s">
        <v>1291</v>
      </c>
      <c r="G198" s="557"/>
      <c r="H198" s="560">
        <f t="shared" si="83"/>
        <v>5839</v>
      </c>
      <c r="I198" s="520"/>
      <c r="J198" s="517">
        <f t="shared" si="84"/>
        <v>5839</v>
      </c>
      <c r="K198" s="521" t="s">
        <v>1516</v>
      </c>
      <c r="L198" s="522">
        <v>5839</v>
      </c>
      <c r="M198" s="1"/>
      <c r="N198" s="1"/>
      <c r="O198" s="1"/>
      <c r="P198" s="1"/>
      <c r="Q198" s="1"/>
      <c r="R198" s="1"/>
      <c r="S198" s="1"/>
      <c r="T198" s="1"/>
      <c r="U198" s="1"/>
      <c r="V198" s="1"/>
      <c r="W198" s="1"/>
      <c r="X198" s="1"/>
      <c r="Y198" s="1"/>
      <c r="Z198" s="1"/>
      <c r="AA198" s="1"/>
    </row>
    <row r="199" spans="1:27" ht="15.75" customHeight="1">
      <c r="A199" s="1"/>
      <c r="B199" s="556" t="s">
        <v>1579</v>
      </c>
      <c r="C199" s="557" t="s">
        <v>1514</v>
      </c>
      <c r="D199" s="174" t="s">
        <v>1580</v>
      </c>
      <c r="E199" s="558">
        <f t="shared" si="82"/>
        <v>10545.378151260506</v>
      </c>
      <c r="F199" s="559" t="s">
        <v>1291</v>
      </c>
      <c r="G199" s="557"/>
      <c r="H199" s="560">
        <f t="shared" si="83"/>
        <v>12549</v>
      </c>
      <c r="I199" s="520"/>
      <c r="J199" s="517">
        <f t="shared" si="84"/>
        <v>12549</v>
      </c>
      <c r="K199" s="521" t="s">
        <v>1516</v>
      </c>
      <c r="L199" s="522">
        <v>12549</v>
      </c>
      <c r="M199" s="1"/>
      <c r="N199" s="1"/>
      <c r="O199" s="1"/>
      <c r="P199" s="1"/>
      <c r="Q199" s="1"/>
      <c r="R199" s="1"/>
      <c r="S199" s="1"/>
      <c r="T199" s="1"/>
      <c r="U199" s="1"/>
      <c r="V199" s="1"/>
      <c r="W199" s="1"/>
      <c r="X199" s="1"/>
      <c r="Y199" s="1"/>
      <c r="Z199" s="1"/>
      <c r="AA199" s="1"/>
    </row>
    <row r="200" spans="1:27" ht="15.75" customHeight="1">
      <c r="A200" s="1"/>
      <c r="B200" s="556" t="s">
        <v>1581</v>
      </c>
      <c r="C200" s="557" t="s">
        <v>1514</v>
      </c>
      <c r="D200" s="174" t="s">
        <v>2543</v>
      </c>
      <c r="E200" s="558">
        <f t="shared" si="82"/>
        <v>4642.8571428571431</v>
      </c>
      <c r="F200" s="559" t="s">
        <v>1291</v>
      </c>
      <c r="G200" s="557"/>
      <c r="H200" s="560">
        <f t="shared" si="83"/>
        <v>5525</v>
      </c>
      <c r="I200" s="520"/>
      <c r="J200" s="517">
        <f t="shared" si="84"/>
        <v>5525</v>
      </c>
      <c r="K200" s="521" t="s">
        <v>1516</v>
      </c>
      <c r="L200" s="522">
        <v>5525</v>
      </c>
      <c r="M200" s="1"/>
      <c r="N200" s="1"/>
      <c r="O200" s="1"/>
      <c r="P200" s="1"/>
      <c r="Q200" s="1"/>
      <c r="R200" s="1"/>
      <c r="S200" s="1"/>
      <c r="T200" s="1"/>
      <c r="U200" s="1"/>
      <c r="V200" s="1"/>
      <c r="W200" s="1"/>
      <c r="X200" s="1"/>
      <c r="Y200" s="1"/>
      <c r="Z200" s="1"/>
      <c r="AA200" s="1"/>
    </row>
    <row r="201" spans="1:27" ht="15.75" customHeight="1">
      <c r="A201" s="1"/>
      <c r="B201" s="556" t="s">
        <v>1582</v>
      </c>
      <c r="C201" s="557" t="s">
        <v>1514</v>
      </c>
      <c r="D201" s="174" t="s">
        <v>1583</v>
      </c>
      <c r="E201" s="558">
        <f t="shared" si="82"/>
        <v>67538.655462184877</v>
      </c>
      <c r="F201" s="559" t="s">
        <v>1291</v>
      </c>
      <c r="G201" s="557"/>
      <c r="H201" s="560">
        <f t="shared" si="83"/>
        <v>80371</v>
      </c>
      <c r="I201" s="520"/>
      <c r="J201" s="517">
        <f t="shared" si="84"/>
        <v>80371</v>
      </c>
      <c r="K201" s="521" t="s">
        <v>1516</v>
      </c>
      <c r="L201" s="522">
        <v>80371</v>
      </c>
      <c r="M201" s="1"/>
      <c r="N201" s="1"/>
      <c r="O201" s="1"/>
      <c r="P201" s="1"/>
      <c r="Q201" s="1"/>
      <c r="R201" s="1"/>
      <c r="S201" s="1"/>
      <c r="T201" s="1"/>
      <c r="U201" s="1"/>
      <c r="V201" s="1"/>
      <c r="W201" s="1"/>
      <c r="X201" s="1"/>
      <c r="Y201" s="1"/>
      <c r="Z201" s="1"/>
      <c r="AA201" s="1"/>
    </row>
    <row r="202" spans="1:27" ht="15.75" customHeight="1">
      <c r="A202" s="1"/>
      <c r="B202" s="556"/>
      <c r="C202" s="557"/>
      <c r="D202" s="174"/>
      <c r="E202" s="558"/>
      <c r="F202" s="559"/>
      <c r="G202" s="557"/>
      <c r="H202" s="560"/>
      <c r="I202" s="520"/>
      <c r="J202" s="517"/>
      <c r="K202" s="521"/>
      <c r="L202" s="522"/>
      <c r="M202" s="1"/>
      <c r="N202" s="1"/>
      <c r="O202" s="1"/>
      <c r="P202" s="1"/>
      <c r="Q202" s="1"/>
      <c r="R202" s="1"/>
      <c r="S202" s="1"/>
      <c r="T202" s="1"/>
      <c r="U202" s="1"/>
      <c r="V202" s="1"/>
      <c r="W202" s="1"/>
      <c r="X202" s="1"/>
      <c r="Y202" s="1"/>
      <c r="Z202" s="1"/>
      <c r="AA202" s="1"/>
    </row>
    <row r="203" spans="1:27" ht="15.75" customHeight="1">
      <c r="A203" s="1"/>
      <c r="B203" s="556" t="s">
        <v>1584</v>
      </c>
      <c r="C203" s="557" t="s">
        <v>1514</v>
      </c>
      <c r="D203" s="174" t="s">
        <v>1585</v>
      </c>
      <c r="E203" s="558">
        <f t="shared" ref="E203:E210" si="85">+H203/1.19</f>
        <v>797.47899159663871</v>
      </c>
      <c r="F203" s="559" t="s">
        <v>1291</v>
      </c>
      <c r="G203" s="557"/>
      <c r="H203" s="560">
        <f t="shared" ref="H203:H210" si="86">ROUNDUP($J203*(1+$C$10),0)</f>
        <v>949</v>
      </c>
      <c r="I203" s="520"/>
      <c r="J203" s="517">
        <f t="shared" ref="J203:J210" si="87">IFERROR(AVERAGEIF($K$13:$P$13,"PRECIO IVA INC.",K203:P203),)</f>
        <v>949</v>
      </c>
      <c r="K203" s="521" t="s">
        <v>1516</v>
      </c>
      <c r="L203" s="522">
        <f>949</f>
        <v>949</v>
      </c>
      <c r="M203" s="1"/>
      <c r="N203" s="1"/>
      <c r="O203" s="1"/>
      <c r="P203" s="1"/>
      <c r="Q203" s="1"/>
      <c r="R203" s="1"/>
      <c r="S203" s="1"/>
      <c r="T203" s="1"/>
      <c r="U203" s="1"/>
      <c r="V203" s="1"/>
      <c r="W203" s="1"/>
      <c r="X203" s="1"/>
      <c r="Y203" s="1"/>
      <c r="Z203" s="1"/>
      <c r="AA203" s="1"/>
    </row>
    <row r="204" spans="1:27" ht="15.75" customHeight="1">
      <c r="A204" s="1"/>
      <c r="B204" s="556" t="s">
        <v>1586</v>
      </c>
      <c r="C204" s="557" t="s">
        <v>1514</v>
      </c>
      <c r="D204" s="174" t="s">
        <v>1587</v>
      </c>
      <c r="E204" s="558">
        <f t="shared" si="85"/>
        <v>1276.4705882352941</v>
      </c>
      <c r="F204" s="559" t="s">
        <v>1291</v>
      </c>
      <c r="G204" s="557"/>
      <c r="H204" s="560">
        <f t="shared" si="86"/>
        <v>1519</v>
      </c>
      <c r="I204" s="520"/>
      <c r="J204" s="517">
        <f t="shared" si="87"/>
        <v>1519</v>
      </c>
      <c r="K204" s="521" t="s">
        <v>1516</v>
      </c>
      <c r="L204" s="522">
        <v>1519</v>
      </c>
      <c r="M204" s="1"/>
      <c r="N204" s="1"/>
      <c r="O204" s="1"/>
      <c r="P204" s="1"/>
      <c r="Q204" s="1"/>
      <c r="R204" s="1"/>
      <c r="S204" s="1"/>
      <c r="T204" s="1"/>
      <c r="U204" s="1"/>
      <c r="V204" s="1"/>
      <c r="W204" s="1"/>
      <c r="X204" s="1"/>
      <c r="Y204" s="1"/>
      <c r="Z204" s="1"/>
      <c r="AA204" s="1"/>
    </row>
    <row r="205" spans="1:27" ht="15.75" customHeight="1">
      <c r="A205" s="1"/>
      <c r="B205" s="556" t="s">
        <v>1588</v>
      </c>
      <c r="C205" s="557" t="s">
        <v>1514</v>
      </c>
      <c r="D205" s="174" t="s">
        <v>1589</v>
      </c>
      <c r="E205" s="558">
        <f t="shared" si="85"/>
        <v>2494.9579831932774</v>
      </c>
      <c r="F205" s="559" t="s">
        <v>1291</v>
      </c>
      <c r="G205" s="557"/>
      <c r="H205" s="560">
        <f t="shared" si="86"/>
        <v>2969</v>
      </c>
      <c r="I205" s="520"/>
      <c r="J205" s="517">
        <f t="shared" si="87"/>
        <v>2969</v>
      </c>
      <c r="K205" s="521" t="s">
        <v>1516</v>
      </c>
      <c r="L205" s="522">
        <v>2969</v>
      </c>
      <c r="M205" s="1"/>
      <c r="N205" s="1"/>
      <c r="O205" s="1"/>
      <c r="P205" s="1"/>
      <c r="Q205" s="1"/>
      <c r="R205" s="1"/>
      <c r="S205" s="1"/>
      <c r="T205" s="1"/>
      <c r="U205" s="1"/>
      <c r="V205" s="1"/>
      <c r="W205" s="1"/>
      <c r="X205" s="1"/>
      <c r="Y205" s="1"/>
      <c r="Z205" s="1"/>
      <c r="AA205" s="1"/>
    </row>
    <row r="206" spans="1:27" ht="15.75" customHeight="1">
      <c r="A206" s="1"/>
      <c r="B206" s="556" t="s">
        <v>1590</v>
      </c>
      <c r="C206" s="557" t="s">
        <v>1514</v>
      </c>
      <c r="D206" s="174" t="s">
        <v>1591</v>
      </c>
      <c r="E206" s="558">
        <f t="shared" si="85"/>
        <v>8947.0588235294126</v>
      </c>
      <c r="F206" s="559" t="s">
        <v>1291</v>
      </c>
      <c r="G206" s="557"/>
      <c r="H206" s="560">
        <f t="shared" si="86"/>
        <v>10647</v>
      </c>
      <c r="I206" s="520"/>
      <c r="J206" s="517">
        <f t="shared" si="87"/>
        <v>10647</v>
      </c>
      <c r="K206" s="521" t="s">
        <v>1516</v>
      </c>
      <c r="L206" s="522">
        <v>10647</v>
      </c>
      <c r="M206" s="1"/>
      <c r="N206" s="1"/>
      <c r="O206" s="1"/>
      <c r="P206" s="1"/>
      <c r="Q206" s="1"/>
      <c r="R206" s="1"/>
      <c r="S206" s="1"/>
      <c r="T206" s="1"/>
      <c r="U206" s="1"/>
      <c r="V206" s="1"/>
      <c r="W206" s="1"/>
      <c r="X206" s="1"/>
      <c r="Y206" s="1"/>
      <c r="Z206" s="1"/>
      <c r="AA206" s="1"/>
    </row>
    <row r="207" spans="1:27" ht="15.75" customHeight="1">
      <c r="A207" s="1"/>
      <c r="B207" s="556" t="s">
        <v>1592</v>
      </c>
      <c r="C207" s="557" t="s">
        <v>1514</v>
      </c>
      <c r="D207" s="174" t="s">
        <v>1593</v>
      </c>
      <c r="E207" s="558">
        <f t="shared" si="85"/>
        <v>14663.025210084033</v>
      </c>
      <c r="F207" s="559" t="s">
        <v>1291</v>
      </c>
      <c r="G207" s="557"/>
      <c r="H207" s="560">
        <f t="shared" si="86"/>
        <v>17449</v>
      </c>
      <c r="I207" s="520"/>
      <c r="J207" s="517">
        <f t="shared" si="87"/>
        <v>17449</v>
      </c>
      <c r="K207" s="521" t="s">
        <v>1516</v>
      </c>
      <c r="L207" s="522">
        <v>17449</v>
      </c>
      <c r="M207" s="1"/>
      <c r="N207" s="1"/>
      <c r="O207" s="1"/>
      <c r="P207" s="1"/>
      <c r="Q207" s="1"/>
      <c r="R207" s="1"/>
      <c r="S207" s="1"/>
      <c r="T207" s="1"/>
      <c r="U207" s="1"/>
      <c r="V207" s="1"/>
      <c r="W207" s="1"/>
      <c r="X207" s="1"/>
      <c r="Y207" s="1"/>
      <c r="Z207" s="1"/>
      <c r="AA207" s="1"/>
    </row>
    <row r="208" spans="1:27" ht="15.75" customHeight="1">
      <c r="A208" s="1"/>
      <c r="B208" s="556" t="s">
        <v>1594</v>
      </c>
      <c r="C208" s="557" t="s">
        <v>1514</v>
      </c>
      <c r="D208" s="174" t="s">
        <v>1595</v>
      </c>
      <c r="E208" s="558">
        <f t="shared" si="85"/>
        <v>1952.9411764705883</v>
      </c>
      <c r="F208" s="559" t="s">
        <v>1291</v>
      </c>
      <c r="G208" s="557"/>
      <c r="H208" s="560">
        <f t="shared" si="86"/>
        <v>2324</v>
      </c>
      <c r="I208" s="520"/>
      <c r="J208" s="517">
        <f t="shared" si="87"/>
        <v>2324</v>
      </c>
      <c r="K208" s="521" t="s">
        <v>1516</v>
      </c>
      <c r="L208" s="522">
        <v>2324</v>
      </c>
      <c r="M208" s="1"/>
      <c r="N208" s="1"/>
      <c r="O208" s="1"/>
      <c r="P208" s="1"/>
      <c r="Q208" s="1"/>
      <c r="R208" s="1"/>
      <c r="S208" s="1"/>
      <c r="T208" s="1"/>
      <c r="U208" s="1"/>
      <c r="V208" s="1"/>
      <c r="W208" s="1"/>
      <c r="X208" s="1"/>
      <c r="Y208" s="1"/>
      <c r="Z208" s="1"/>
      <c r="AA208" s="1"/>
    </row>
    <row r="209" spans="1:27" ht="15.75" customHeight="1">
      <c r="A209" s="1"/>
      <c r="B209" s="556" t="s">
        <v>1596</v>
      </c>
      <c r="C209" s="557" t="s">
        <v>1514</v>
      </c>
      <c r="D209" s="174" t="s">
        <v>1597</v>
      </c>
      <c r="E209" s="558">
        <f t="shared" si="85"/>
        <v>3531.09243697479</v>
      </c>
      <c r="F209" s="559" t="s">
        <v>1291</v>
      </c>
      <c r="G209" s="557"/>
      <c r="H209" s="560">
        <f t="shared" si="86"/>
        <v>4202</v>
      </c>
      <c r="I209" s="520"/>
      <c r="J209" s="517">
        <f t="shared" si="87"/>
        <v>4202</v>
      </c>
      <c r="K209" s="521" t="s">
        <v>1516</v>
      </c>
      <c r="L209" s="522">
        <v>4202</v>
      </c>
      <c r="M209" s="1"/>
      <c r="N209" s="1"/>
      <c r="O209" s="1"/>
      <c r="P209" s="1"/>
      <c r="Q209" s="1"/>
      <c r="R209" s="1"/>
      <c r="S209" s="1"/>
      <c r="T209" s="1"/>
      <c r="U209" s="1"/>
      <c r="V209" s="1"/>
      <c r="W209" s="1"/>
      <c r="X209" s="1"/>
      <c r="Y209" s="1"/>
      <c r="Z209" s="1"/>
      <c r="AA209" s="1"/>
    </row>
    <row r="210" spans="1:27" ht="15.75" customHeight="1">
      <c r="A210" s="1"/>
      <c r="B210" s="556" t="s">
        <v>1598</v>
      </c>
      <c r="C210" s="557" t="s">
        <v>1514</v>
      </c>
      <c r="D210" s="174" t="s">
        <v>1599</v>
      </c>
      <c r="E210" s="558">
        <f t="shared" si="85"/>
        <v>10367.226890756303</v>
      </c>
      <c r="F210" s="559" t="s">
        <v>1291</v>
      </c>
      <c r="G210" s="557"/>
      <c r="H210" s="560">
        <f t="shared" si="86"/>
        <v>12337</v>
      </c>
      <c r="I210" s="520"/>
      <c r="J210" s="517">
        <f t="shared" si="87"/>
        <v>12337</v>
      </c>
      <c r="K210" s="521" t="s">
        <v>1516</v>
      </c>
      <c r="L210" s="522">
        <v>12337</v>
      </c>
      <c r="M210" s="1"/>
      <c r="N210" s="1"/>
      <c r="O210" s="1"/>
      <c r="P210" s="1"/>
      <c r="Q210" s="1"/>
      <c r="R210" s="1"/>
      <c r="S210" s="1"/>
      <c r="T210" s="1"/>
      <c r="U210" s="1"/>
      <c r="V210" s="1"/>
      <c r="W210" s="1"/>
      <c r="X210" s="1"/>
      <c r="Y210" s="1"/>
      <c r="Z210" s="1"/>
      <c r="AA210" s="1"/>
    </row>
    <row r="211" spans="1:27" ht="15.75" customHeight="1">
      <c r="A211" s="1"/>
      <c r="B211" s="556"/>
      <c r="C211" s="557"/>
      <c r="D211" s="174"/>
      <c r="E211" s="558"/>
      <c r="F211" s="559"/>
      <c r="G211" s="557"/>
      <c r="H211" s="560"/>
      <c r="I211" s="520"/>
      <c r="J211" s="517"/>
      <c r="K211" s="521"/>
      <c r="L211" s="522"/>
      <c r="M211" s="1"/>
      <c r="N211" s="1"/>
      <c r="O211" s="1"/>
      <c r="P211" s="1"/>
      <c r="Q211" s="1"/>
      <c r="R211" s="1"/>
      <c r="S211" s="1"/>
      <c r="T211" s="1"/>
      <c r="U211" s="1"/>
      <c r="V211" s="1"/>
      <c r="W211" s="1"/>
      <c r="X211" s="1"/>
      <c r="Y211" s="1"/>
      <c r="Z211" s="1"/>
      <c r="AA211" s="1"/>
    </row>
    <row r="212" spans="1:27" ht="15.75" customHeight="1">
      <c r="A212" s="1"/>
      <c r="B212" s="556" t="s">
        <v>1600</v>
      </c>
      <c r="C212" s="557" t="s">
        <v>1514</v>
      </c>
      <c r="D212" s="174" t="s">
        <v>1601</v>
      </c>
      <c r="E212" s="558">
        <f t="shared" ref="E212:E216" si="88">+H212/1.19</f>
        <v>3884.8739495798322</v>
      </c>
      <c r="F212" s="559" t="s">
        <v>1291</v>
      </c>
      <c r="G212" s="557"/>
      <c r="H212" s="560">
        <f t="shared" ref="H212:H216" si="89">ROUNDUP($J212*(1+$C$10),0)</f>
        <v>4623</v>
      </c>
      <c r="I212" s="520"/>
      <c r="J212" s="517">
        <f t="shared" ref="J212:J216" si="90">IFERROR(AVERAGEIF($K$13:$P$13,"PRECIO IVA INC.",K212:P212),)</f>
        <v>4622.5</v>
      </c>
      <c r="K212" s="521" t="s">
        <v>1516</v>
      </c>
      <c r="L212" s="522">
        <f>(4161+5084)/2</f>
        <v>4622.5</v>
      </c>
      <c r="M212" s="1"/>
      <c r="N212" s="1"/>
      <c r="O212" s="1"/>
      <c r="P212" s="1"/>
      <c r="Q212" s="1"/>
      <c r="R212" s="1"/>
      <c r="S212" s="1"/>
      <c r="T212" s="1"/>
      <c r="U212" s="1"/>
      <c r="V212" s="1"/>
      <c r="W212" s="1"/>
      <c r="X212" s="1"/>
      <c r="Y212" s="1"/>
      <c r="Z212" s="1"/>
      <c r="AA212" s="1"/>
    </row>
    <row r="213" spans="1:27" ht="15.75" customHeight="1">
      <c r="A213" s="1"/>
      <c r="B213" s="556" t="s">
        <v>1602</v>
      </c>
      <c r="C213" s="557" t="s">
        <v>1514</v>
      </c>
      <c r="D213" s="174" t="s">
        <v>1603</v>
      </c>
      <c r="E213" s="558">
        <f t="shared" si="88"/>
        <v>4576.4705882352946</v>
      </c>
      <c r="F213" s="559" t="s">
        <v>1291</v>
      </c>
      <c r="G213" s="557"/>
      <c r="H213" s="560">
        <f t="shared" si="89"/>
        <v>5446</v>
      </c>
      <c r="I213" s="520"/>
      <c r="J213" s="517">
        <f t="shared" si="90"/>
        <v>5445.5</v>
      </c>
      <c r="K213" s="521" t="s">
        <v>1516</v>
      </c>
      <c r="L213" s="522">
        <f>(4877+6014)/2</f>
        <v>5445.5</v>
      </c>
      <c r="M213" s="1"/>
      <c r="N213" s="1"/>
      <c r="O213" s="1"/>
      <c r="P213" s="1"/>
      <c r="Q213" s="1"/>
      <c r="R213" s="1"/>
      <c r="S213" s="1"/>
      <c r="T213" s="1"/>
      <c r="U213" s="1"/>
      <c r="V213" s="1"/>
      <c r="W213" s="1"/>
      <c r="X213" s="1"/>
      <c r="Y213" s="1"/>
      <c r="Z213" s="1"/>
      <c r="AA213" s="1"/>
    </row>
    <row r="214" spans="1:27" ht="15.75" customHeight="1">
      <c r="A214" s="1"/>
      <c r="B214" s="556" t="s">
        <v>1604</v>
      </c>
      <c r="C214" s="557" t="s">
        <v>1514</v>
      </c>
      <c r="D214" s="174" t="s">
        <v>1605</v>
      </c>
      <c r="E214" s="558">
        <f t="shared" si="88"/>
        <v>10242.01680672269</v>
      </c>
      <c r="F214" s="559" t="s">
        <v>1291</v>
      </c>
      <c r="G214" s="557"/>
      <c r="H214" s="560">
        <f t="shared" si="89"/>
        <v>12188</v>
      </c>
      <c r="I214" s="520"/>
      <c r="J214" s="517">
        <f t="shared" si="90"/>
        <v>12188</v>
      </c>
      <c r="K214" s="521" t="s">
        <v>1516</v>
      </c>
      <c r="L214" s="522">
        <f>(11297+13079)/2</f>
        <v>12188</v>
      </c>
      <c r="M214" s="1"/>
      <c r="N214" s="1"/>
      <c r="O214" s="1"/>
      <c r="P214" s="1"/>
      <c r="Q214" s="1"/>
      <c r="R214" s="1"/>
      <c r="S214" s="1"/>
      <c r="T214" s="1"/>
      <c r="U214" s="1"/>
      <c r="V214" s="1"/>
      <c r="W214" s="1"/>
      <c r="X214" s="1"/>
      <c r="Y214" s="1"/>
      <c r="Z214" s="1"/>
      <c r="AA214" s="1"/>
    </row>
    <row r="215" spans="1:27" ht="15.75" customHeight="1">
      <c r="A215" s="1"/>
      <c r="B215" s="556" t="s">
        <v>1606</v>
      </c>
      <c r="C215" s="557" t="s">
        <v>1514</v>
      </c>
      <c r="D215" s="174" t="s">
        <v>1607</v>
      </c>
      <c r="E215" s="558">
        <f t="shared" si="88"/>
        <v>18430.252100840338</v>
      </c>
      <c r="F215" s="559" t="s">
        <v>1291</v>
      </c>
      <c r="G215" s="557"/>
      <c r="H215" s="560">
        <f t="shared" si="89"/>
        <v>21932</v>
      </c>
      <c r="I215" s="520"/>
      <c r="J215" s="517">
        <f t="shared" si="90"/>
        <v>21932</v>
      </c>
      <c r="K215" s="521" t="s">
        <v>1516</v>
      </c>
      <c r="L215" s="522">
        <f>(19645+24219)/2</f>
        <v>21932</v>
      </c>
      <c r="M215" s="1"/>
      <c r="N215" s="1"/>
      <c r="O215" s="1"/>
      <c r="P215" s="1"/>
      <c r="Q215" s="1"/>
      <c r="R215" s="1"/>
      <c r="S215" s="1"/>
      <c r="T215" s="1"/>
      <c r="U215" s="1"/>
      <c r="V215" s="1"/>
      <c r="W215" s="1"/>
      <c r="X215" s="1"/>
      <c r="Y215" s="1"/>
      <c r="Z215" s="1"/>
      <c r="AA215" s="1"/>
    </row>
    <row r="216" spans="1:27" ht="15.75" customHeight="1">
      <c r="A216" s="1"/>
      <c r="B216" s="556" t="s">
        <v>1608</v>
      </c>
      <c r="C216" s="557" t="s">
        <v>1514</v>
      </c>
      <c r="D216" s="174" t="s">
        <v>1609</v>
      </c>
      <c r="E216" s="558">
        <f t="shared" si="88"/>
        <v>139734.45378151262</v>
      </c>
      <c r="F216" s="559" t="s">
        <v>1291</v>
      </c>
      <c r="G216" s="557"/>
      <c r="H216" s="560">
        <f t="shared" si="89"/>
        <v>166284</v>
      </c>
      <c r="I216" s="520"/>
      <c r="J216" s="517">
        <f t="shared" si="90"/>
        <v>166284</v>
      </c>
      <c r="K216" s="521" t="s">
        <v>1516</v>
      </c>
      <c r="L216" s="522">
        <v>166284</v>
      </c>
      <c r="M216" s="1"/>
      <c r="N216" s="1"/>
      <c r="O216" s="1"/>
      <c r="P216" s="1"/>
      <c r="Q216" s="1"/>
      <c r="R216" s="1"/>
      <c r="S216" s="1"/>
      <c r="T216" s="1"/>
      <c r="U216" s="1"/>
      <c r="V216" s="1"/>
      <c r="W216" s="1"/>
      <c r="X216" s="1"/>
      <c r="Y216" s="1"/>
      <c r="Z216" s="1"/>
      <c r="AA216" s="1"/>
    </row>
    <row r="217" spans="1:27" ht="15.75" customHeight="1">
      <c r="A217" s="1"/>
      <c r="B217" s="556"/>
      <c r="C217" s="557"/>
      <c r="D217" s="174"/>
      <c r="E217" s="558"/>
      <c r="F217" s="559"/>
      <c r="G217" s="557"/>
      <c r="H217" s="560"/>
      <c r="I217" s="520"/>
      <c r="J217" s="517"/>
      <c r="K217" s="521"/>
      <c r="L217" s="522"/>
      <c r="M217" s="1"/>
      <c r="N217" s="1"/>
      <c r="O217" s="1"/>
      <c r="P217" s="1"/>
      <c r="Q217" s="1"/>
      <c r="R217" s="1"/>
      <c r="S217" s="1"/>
      <c r="T217" s="1"/>
      <c r="U217" s="1"/>
      <c r="V217" s="1"/>
      <c r="W217" s="1"/>
      <c r="X217" s="1"/>
      <c r="Y217" s="1"/>
      <c r="Z217" s="1"/>
      <c r="AA217" s="1"/>
    </row>
    <row r="218" spans="1:27" ht="15.75" customHeight="1">
      <c r="A218" s="1"/>
      <c r="B218" s="556" t="s">
        <v>1610</v>
      </c>
      <c r="C218" s="557" t="s">
        <v>1514</v>
      </c>
      <c r="D218" s="174" t="s">
        <v>1611</v>
      </c>
      <c r="E218" s="558">
        <f t="shared" ref="E218:E219" si="91">+H218/1.19</f>
        <v>29010.084033613446</v>
      </c>
      <c r="F218" s="559" t="s">
        <v>1291</v>
      </c>
      <c r="G218" s="557"/>
      <c r="H218" s="560">
        <f t="shared" ref="H218:H219" si="92">ROUNDUP($J218*(1+$C$10),0)</f>
        <v>34522</v>
      </c>
      <c r="I218" s="520"/>
      <c r="J218" s="517">
        <f t="shared" ref="J218:J219" si="93">IFERROR(AVERAGEIF($K$13:$P$13,"PRECIO IVA INC.",K218:P218),)</f>
        <v>34522</v>
      </c>
      <c r="K218" s="521" t="s">
        <v>1516</v>
      </c>
      <c r="L218" s="522">
        <v>34522</v>
      </c>
      <c r="M218" s="1"/>
      <c r="N218" s="1"/>
      <c r="O218" s="1"/>
      <c r="P218" s="1"/>
      <c r="Q218" s="1"/>
      <c r="R218" s="1"/>
      <c r="S218" s="1"/>
      <c r="T218" s="1"/>
      <c r="U218" s="1"/>
      <c r="V218" s="1"/>
      <c r="W218" s="1"/>
      <c r="X218" s="1"/>
      <c r="Y218" s="1"/>
      <c r="Z218" s="1"/>
      <c r="AA218" s="1"/>
    </row>
    <row r="219" spans="1:27" ht="15.75" customHeight="1">
      <c r="A219" s="1"/>
      <c r="B219" s="556" t="s">
        <v>1612</v>
      </c>
      <c r="C219" s="557" t="s">
        <v>1514</v>
      </c>
      <c r="D219" s="174" t="s">
        <v>1613</v>
      </c>
      <c r="E219" s="558">
        <f t="shared" si="91"/>
        <v>38841.176470588238</v>
      </c>
      <c r="F219" s="559" t="s">
        <v>1291</v>
      </c>
      <c r="G219" s="557"/>
      <c r="H219" s="560">
        <f t="shared" si="92"/>
        <v>46221</v>
      </c>
      <c r="I219" s="520"/>
      <c r="J219" s="517">
        <f t="shared" si="93"/>
        <v>46221</v>
      </c>
      <c r="K219" s="521" t="s">
        <v>1516</v>
      </c>
      <c r="L219" s="522">
        <v>46221</v>
      </c>
      <c r="M219" s="1"/>
      <c r="N219" s="1"/>
      <c r="O219" s="1"/>
      <c r="P219" s="1"/>
      <c r="Q219" s="1"/>
      <c r="R219" s="1"/>
      <c r="S219" s="1"/>
      <c r="T219" s="1"/>
      <c r="U219" s="1"/>
      <c r="V219" s="1"/>
      <c r="W219" s="1"/>
      <c r="X219" s="1"/>
      <c r="Y219" s="1"/>
      <c r="Z219" s="1"/>
      <c r="AA219" s="1"/>
    </row>
    <row r="220" spans="1:27" ht="15.75" customHeight="1">
      <c r="A220" s="1"/>
      <c r="B220" s="1"/>
      <c r="C220" s="557"/>
      <c r="D220" s="174"/>
      <c r="E220" s="558"/>
      <c r="F220" s="559"/>
      <c r="G220" s="557"/>
      <c r="H220" s="560"/>
      <c r="I220" s="520"/>
      <c r="J220" s="517"/>
      <c r="K220" s="521"/>
      <c r="L220" s="522"/>
      <c r="M220" s="1"/>
      <c r="N220" s="1"/>
      <c r="O220" s="1"/>
      <c r="P220" s="1"/>
      <c r="Q220" s="1"/>
      <c r="R220" s="1"/>
      <c r="S220" s="1"/>
      <c r="T220" s="1"/>
      <c r="U220" s="1"/>
      <c r="V220" s="1"/>
      <c r="W220" s="1"/>
      <c r="X220" s="1"/>
      <c r="Y220" s="1"/>
      <c r="Z220" s="1"/>
      <c r="AA220" s="1"/>
    </row>
    <row r="221" spans="1:27" ht="15.75" customHeight="1">
      <c r="A221" s="1"/>
      <c r="B221" s="556" t="s">
        <v>1614</v>
      </c>
      <c r="C221" s="557" t="s">
        <v>1514</v>
      </c>
      <c r="D221" s="174" t="s">
        <v>2624</v>
      </c>
      <c r="E221" s="558">
        <f t="shared" ref="E221:E223" si="94">+H221/1.19</f>
        <v>60928.571428571435</v>
      </c>
      <c r="F221" s="559" t="s">
        <v>1291</v>
      </c>
      <c r="G221" s="557"/>
      <c r="H221" s="560">
        <f t="shared" ref="H221:H223" si="95">ROUNDUP($J221*(1+$C$10),0)</f>
        <v>72505</v>
      </c>
      <c r="I221" s="520"/>
      <c r="J221" s="517">
        <f t="shared" ref="J221:J223" si="96">IFERROR(AVERAGEIF($K$13:$P$13,"PRECIO IVA INC.",K221:P221),)</f>
        <v>72505</v>
      </c>
      <c r="K221" s="521" t="s">
        <v>1516</v>
      </c>
      <c r="L221" s="522">
        <v>72505</v>
      </c>
      <c r="M221" s="1"/>
      <c r="N221" s="1"/>
      <c r="O221" s="1"/>
      <c r="P221" s="1"/>
      <c r="Q221" s="1"/>
      <c r="R221" s="1"/>
      <c r="S221" s="1"/>
      <c r="T221" s="1"/>
      <c r="U221" s="1"/>
      <c r="V221" s="1"/>
      <c r="W221" s="1"/>
      <c r="X221" s="1"/>
      <c r="Y221" s="1"/>
      <c r="Z221" s="1"/>
      <c r="AA221" s="1"/>
    </row>
    <row r="222" spans="1:27" ht="15.75" customHeight="1">
      <c r="A222" s="1"/>
      <c r="B222" s="556" t="s">
        <v>1615</v>
      </c>
      <c r="C222" s="557" t="s">
        <v>1514</v>
      </c>
      <c r="D222" s="174" t="s">
        <v>2623</v>
      </c>
      <c r="E222" s="558">
        <f t="shared" si="94"/>
        <v>41596.638655462186</v>
      </c>
      <c r="F222" s="559" t="s">
        <v>1291</v>
      </c>
      <c r="G222" s="557"/>
      <c r="H222" s="560">
        <f t="shared" si="95"/>
        <v>49500</v>
      </c>
      <c r="I222" s="520"/>
      <c r="J222" s="517">
        <f t="shared" si="96"/>
        <v>49500</v>
      </c>
      <c r="K222" s="521" t="s">
        <v>1516</v>
      </c>
      <c r="L222" s="522">
        <v>49500</v>
      </c>
      <c r="M222" s="1"/>
      <c r="N222" s="1"/>
      <c r="O222" s="1"/>
      <c r="P222" s="1"/>
      <c r="Q222" s="1"/>
      <c r="R222" s="1"/>
      <c r="S222" s="1"/>
      <c r="T222" s="1"/>
      <c r="U222" s="1"/>
      <c r="V222" s="1"/>
      <c r="W222" s="1"/>
      <c r="X222" s="1"/>
      <c r="Y222" s="1"/>
      <c r="Z222" s="1"/>
      <c r="AA222" s="1"/>
    </row>
    <row r="223" spans="1:27" ht="15.75" customHeight="1">
      <c r="A223" s="1"/>
      <c r="B223" s="556" t="s">
        <v>1616</v>
      </c>
      <c r="C223" s="557" t="s">
        <v>1514</v>
      </c>
      <c r="D223" s="174" t="s">
        <v>1617</v>
      </c>
      <c r="E223" s="558">
        <f t="shared" si="94"/>
        <v>135484.03361344538</v>
      </c>
      <c r="F223" s="559" t="s">
        <v>1291</v>
      </c>
      <c r="G223" s="557"/>
      <c r="H223" s="560">
        <f t="shared" si="95"/>
        <v>161226</v>
      </c>
      <c r="I223" s="520"/>
      <c r="J223" s="517">
        <f t="shared" si="96"/>
        <v>161226</v>
      </c>
      <c r="K223" s="521" t="s">
        <v>1516</v>
      </c>
      <c r="L223" s="522">
        <v>161226</v>
      </c>
      <c r="M223" s="1"/>
      <c r="N223" s="1"/>
      <c r="O223" s="1"/>
      <c r="P223" s="1"/>
      <c r="Q223" s="1"/>
      <c r="R223" s="1"/>
      <c r="S223" s="1"/>
      <c r="T223" s="1"/>
      <c r="U223" s="1"/>
      <c r="V223" s="1"/>
      <c r="W223" s="1"/>
      <c r="X223" s="1"/>
      <c r="Y223" s="1"/>
      <c r="Z223" s="1"/>
      <c r="AA223" s="1"/>
    </row>
    <row r="224" spans="1:27" ht="15.75" customHeight="1">
      <c r="A224" s="1"/>
      <c r="B224" s="556"/>
      <c r="C224" s="557"/>
      <c r="D224" s="174"/>
      <c r="E224" s="558"/>
      <c r="F224" s="559"/>
      <c r="G224" s="557"/>
      <c r="H224" s="560"/>
      <c r="I224" s="520"/>
      <c r="J224" s="517"/>
      <c r="K224" s="521"/>
      <c r="L224" s="522"/>
      <c r="M224" s="1"/>
      <c r="N224" s="1"/>
      <c r="O224" s="1"/>
      <c r="P224" s="1"/>
      <c r="Q224" s="1"/>
      <c r="R224" s="1"/>
      <c r="S224" s="1"/>
      <c r="T224" s="1"/>
      <c r="U224" s="1"/>
      <c r="V224" s="1"/>
      <c r="W224" s="1"/>
      <c r="X224" s="1"/>
      <c r="Y224" s="1"/>
      <c r="Z224" s="1"/>
      <c r="AA224" s="1"/>
    </row>
    <row r="225" spans="1:27" ht="15.75" customHeight="1">
      <c r="A225" s="1"/>
      <c r="B225" s="556" t="s">
        <v>1618</v>
      </c>
      <c r="C225" s="557" t="s">
        <v>1514</v>
      </c>
      <c r="D225" s="174" t="s">
        <v>2541</v>
      </c>
      <c r="E225" s="558">
        <f>+H225/1.19</f>
        <v>1739.4957983193278</v>
      </c>
      <c r="F225" s="559" t="s">
        <v>1291</v>
      </c>
      <c r="G225" s="557"/>
      <c r="H225" s="560">
        <f>ROUNDUP($J225*(1+$C$10),0)</f>
        <v>2070</v>
      </c>
      <c r="I225" s="520"/>
      <c r="J225" s="517">
        <f>IFERROR(AVERAGEIF($K$13:$P$13,"PRECIO IVA INC.",K225:P225),)</f>
        <v>2070</v>
      </c>
      <c r="K225" s="521" t="s">
        <v>1292</v>
      </c>
      <c r="L225" s="522">
        <f>1800*1.15</f>
        <v>2070</v>
      </c>
      <c r="M225" s="1"/>
      <c r="N225" s="1"/>
      <c r="O225" s="1"/>
      <c r="P225" s="1"/>
      <c r="Q225" s="1"/>
      <c r="R225" s="1"/>
      <c r="S225" s="1"/>
      <c r="T225" s="1"/>
      <c r="U225" s="1"/>
      <c r="V225" s="1"/>
      <c r="W225" s="1"/>
      <c r="X225" s="1"/>
      <c r="Y225" s="1"/>
      <c r="Z225" s="1"/>
      <c r="AA225" s="1"/>
    </row>
    <row r="226" spans="1:27" ht="15.75" customHeight="1">
      <c r="A226" s="1"/>
      <c r="B226" s="556"/>
      <c r="C226" s="557"/>
      <c r="D226" s="174"/>
      <c r="E226" s="558"/>
      <c r="F226" s="559"/>
      <c r="G226" s="557"/>
      <c r="H226" s="560"/>
      <c r="I226" s="520"/>
      <c r="J226" s="517"/>
      <c r="K226" s="521"/>
      <c r="L226" s="522"/>
      <c r="M226" s="1"/>
      <c r="N226" s="1"/>
      <c r="O226" s="1"/>
      <c r="P226" s="1"/>
      <c r="Q226" s="1"/>
      <c r="R226" s="1"/>
      <c r="S226" s="1"/>
      <c r="T226" s="1"/>
      <c r="U226" s="1"/>
      <c r="V226" s="1"/>
      <c r="W226" s="1"/>
      <c r="X226" s="1"/>
      <c r="Y226" s="1"/>
      <c r="Z226" s="1"/>
      <c r="AA226" s="1"/>
    </row>
    <row r="227" spans="1:27" ht="15.75" customHeight="1">
      <c r="A227" s="1"/>
      <c r="B227" s="556" t="s">
        <v>1619</v>
      </c>
      <c r="C227" s="557" t="s">
        <v>1514</v>
      </c>
      <c r="D227" s="174" t="s">
        <v>2625</v>
      </c>
      <c r="E227" s="558">
        <f t="shared" ref="E227:E231" si="97">+H227/1.19</f>
        <v>454.62184873949582</v>
      </c>
      <c r="F227" s="559" t="s">
        <v>1291</v>
      </c>
      <c r="G227" s="557"/>
      <c r="H227" s="560">
        <f t="shared" ref="H227:H231" si="98">ROUNDUP($J227*(1+$C$10),0)</f>
        <v>541</v>
      </c>
      <c r="I227" s="520"/>
      <c r="J227" s="517">
        <f t="shared" ref="J227:J231" si="99">IFERROR(AVERAGEIF($K$13:$P$13,"PRECIO IVA INC.",K227:P227),)</f>
        <v>541</v>
      </c>
      <c r="K227" s="521" t="s">
        <v>1516</v>
      </c>
      <c r="L227" s="522">
        <v>541</v>
      </c>
      <c r="M227" s="1"/>
      <c r="N227" s="1"/>
      <c r="O227" s="1"/>
      <c r="P227" s="1"/>
      <c r="Q227" s="1"/>
      <c r="R227" s="1"/>
      <c r="S227" s="1"/>
      <c r="T227" s="1"/>
      <c r="U227" s="1"/>
      <c r="V227" s="1"/>
      <c r="W227" s="1"/>
      <c r="X227" s="1"/>
      <c r="Y227" s="1"/>
      <c r="Z227" s="1"/>
      <c r="AA227" s="1"/>
    </row>
    <row r="228" spans="1:27" ht="15.75" customHeight="1">
      <c r="A228" s="1"/>
      <c r="B228" s="556" t="s">
        <v>1620</v>
      </c>
      <c r="C228" s="557" t="s">
        <v>1514</v>
      </c>
      <c r="D228" s="174" t="s">
        <v>1621</v>
      </c>
      <c r="E228" s="558">
        <f t="shared" si="97"/>
        <v>912.60504201680681</v>
      </c>
      <c r="F228" s="559" t="s">
        <v>1291</v>
      </c>
      <c r="G228" s="557"/>
      <c r="H228" s="560">
        <f t="shared" si="98"/>
        <v>1086</v>
      </c>
      <c r="I228" s="520"/>
      <c r="J228" s="517">
        <f t="shared" si="99"/>
        <v>1086</v>
      </c>
      <c r="K228" s="521" t="s">
        <v>1516</v>
      </c>
      <c r="L228" s="522">
        <v>1086</v>
      </c>
      <c r="M228" s="1"/>
      <c r="N228" s="1"/>
      <c r="O228" s="1"/>
      <c r="P228" s="1"/>
      <c r="Q228" s="1"/>
      <c r="R228" s="1"/>
      <c r="S228" s="1"/>
      <c r="T228" s="1"/>
      <c r="U228" s="1"/>
      <c r="V228" s="1"/>
      <c r="W228" s="1"/>
      <c r="X228" s="1"/>
      <c r="Y228" s="1"/>
      <c r="Z228" s="1"/>
      <c r="AA228" s="1"/>
    </row>
    <row r="229" spans="1:27" ht="15.75" customHeight="1">
      <c r="A229" s="1"/>
      <c r="B229" s="556" t="s">
        <v>1622</v>
      </c>
      <c r="C229" s="557" t="s">
        <v>1514</v>
      </c>
      <c r="D229" s="174" t="s">
        <v>1623</v>
      </c>
      <c r="E229" s="558">
        <f t="shared" si="97"/>
        <v>1526.0504201680674</v>
      </c>
      <c r="F229" s="559" t="s">
        <v>1291</v>
      </c>
      <c r="G229" s="557"/>
      <c r="H229" s="560">
        <f t="shared" si="98"/>
        <v>1816</v>
      </c>
      <c r="I229" s="520"/>
      <c r="J229" s="517">
        <f t="shared" si="99"/>
        <v>1816</v>
      </c>
      <c r="K229" s="521" t="s">
        <v>1516</v>
      </c>
      <c r="L229" s="522">
        <v>1816</v>
      </c>
      <c r="M229" s="1"/>
      <c r="N229" s="1"/>
      <c r="O229" s="1"/>
      <c r="P229" s="1"/>
      <c r="Q229" s="1"/>
      <c r="R229" s="1"/>
      <c r="S229" s="1"/>
      <c r="T229" s="1"/>
      <c r="U229" s="1"/>
      <c r="V229" s="1"/>
      <c r="W229" s="1"/>
      <c r="X229" s="1"/>
      <c r="Y229" s="1"/>
      <c r="Z229" s="1"/>
      <c r="AA229" s="1"/>
    </row>
    <row r="230" spans="1:27" ht="15.75" customHeight="1">
      <c r="A230" s="1"/>
      <c r="B230" s="556" t="s">
        <v>1624</v>
      </c>
      <c r="C230" s="557" t="s">
        <v>1514</v>
      </c>
      <c r="D230" s="174" t="s">
        <v>1625</v>
      </c>
      <c r="E230" s="558">
        <f t="shared" si="97"/>
        <v>4784.0336134453783</v>
      </c>
      <c r="F230" s="559" t="s">
        <v>1291</v>
      </c>
      <c r="G230" s="557"/>
      <c r="H230" s="560">
        <f t="shared" si="98"/>
        <v>5693</v>
      </c>
      <c r="I230" s="520"/>
      <c r="J230" s="517">
        <f t="shared" si="99"/>
        <v>5693</v>
      </c>
      <c r="K230" s="521" t="s">
        <v>1516</v>
      </c>
      <c r="L230" s="522">
        <v>5693</v>
      </c>
      <c r="M230" s="1"/>
      <c r="N230" s="1"/>
      <c r="O230" s="1"/>
      <c r="P230" s="1"/>
      <c r="Q230" s="1"/>
      <c r="R230" s="1"/>
      <c r="S230" s="1"/>
      <c r="T230" s="1"/>
      <c r="U230" s="1"/>
      <c r="V230" s="1"/>
      <c r="W230" s="1"/>
      <c r="X230" s="1"/>
      <c r="Y230" s="1"/>
      <c r="Z230" s="1"/>
      <c r="AA230" s="1"/>
    </row>
    <row r="231" spans="1:27" ht="15.75" customHeight="1">
      <c r="A231" s="1"/>
      <c r="B231" s="556" t="s">
        <v>1626</v>
      </c>
      <c r="C231" s="557" t="s">
        <v>1514</v>
      </c>
      <c r="D231" s="174" t="s">
        <v>1627</v>
      </c>
      <c r="E231" s="558">
        <f t="shared" si="97"/>
        <v>7602.5210084033615</v>
      </c>
      <c r="F231" s="559" t="s">
        <v>1291</v>
      </c>
      <c r="G231" s="557"/>
      <c r="H231" s="560">
        <f t="shared" si="98"/>
        <v>9047</v>
      </c>
      <c r="I231" s="520"/>
      <c r="J231" s="517">
        <f t="shared" si="99"/>
        <v>9047</v>
      </c>
      <c r="K231" s="521" t="s">
        <v>1516</v>
      </c>
      <c r="L231" s="522">
        <v>9047</v>
      </c>
      <c r="M231" s="1"/>
      <c r="N231" s="1"/>
      <c r="O231" s="1"/>
      <c r="P231" s="1"/>
      <c r="Q231" s="1"/>
      <c r="R231" s="1"/>
      <c r="S231" s="1"/>
      <c r="T231" s="1"/>
      <c r="U231" s="1"/>
      <c r="V231" s="1"/>
      <c r="W231" s="1"/>
      <c r="X231" s="1"/>
      <c r="Y231" s="1"/>
      <c r="Z231" s="1"/>
      <c r="AA231" s="1"/>
    </row>
    <row r="232" spans="1:27" ht="15.75" customHeight="1">
      <c r="A232" s="1"/>
      <c r="B232" s="556"/>
      <c r="C232" s="557"/>
      <c r="D232" s="174"/>
      <c r="E232" s="558"/>
      <c r="F232" s="559"/>
      <c r="G232" s="557"/>
      <c r="H232" s="560"/>
      <c r="I232" s="520"/>
      <c r="J232" s="517"/>
      <c r="K232" s="521"/>
      <c r="L232" s="522"/>
      <c r="M232" s="1"/>
      <c r="N232" s="1"/>
      <c r="O232" s="1"/>
      <c r="P232" s="1"/>
      <c r="Q232" s="1"/>
      <c r="R232" s="1"/>
      <c r="S232" s="1"/>
      <c r="T232" s="1"/>
      <c r="U232" s="1"/>
      <c r="V232" s="1"/>
      <c r="W232" s="1"/>
      <c r="X232" s="1"/>
      <c r="Y232" s="1"/>
      <c r="Z232" s="1"/>
      <c r="AA232" s="1"/>
    </row>
    <row r="233" spans="1:27" ht="15.75" customHeight="1">
      <c r="A233" s="1"/>
      <c r="B233" s="556" t="s">
        <v>1628</v>
      </c>
      <c r="C233" s="557" t="s">
        <v>1514</v>
      </c>
      <c r="D233" s="174" t="s">
        <v>1629</v>
      </c>
      <c r="E233" s="558">
        <f t="shared" ref="E233:E237" si="100">+H233/1.19</f>
        <v>1158.8235294117649</v>
      </c>
      <c r="F233" s="559" t="s">
        <v>1291</v>
      </c>
      <c r="G233" s="557"/>
      <c r="H233" s="560">
        <f t="shared" ref="H233:H237" si="101">ROUNDUP($J233*(1+$C$10),0)</f>
        <v>1379</v>
      </c>
      <c r="I233" s="520"/>
      <c r="J233" s="517">
        <f t="shared" ref="J233:J237" si="102">IFERROR(AVERAGEIF($K$13:$P$13,"PRECIO IVA INC.",K233:P233),)</f>
        <v>1379</v>
      </c>
      <c r="K233" s="521" t="s">
        <v>1516</v>
      </c>
      <c r="L233" s="522">
        <v>1379</v>
      </c>
      <c r="M233" s="1"/>
      <c r="N233" s="1"/>
      <c r="O233" s="1"/>
      <c r="P233" s="1"/>
      <c r="Q233" s="1"/>
      <c r="R233" s="1"/>
      <c r="S233" s="1"/>
      <c r="T233" s="1"/>
      <c r="U233" s="1"/>
      <c r="V233" s="1"/>
      <c r="W233" s="1"/>
      <c r="X233" s="1"/>
      <c r="Y233" s="1"/>
      <c r="Z233" s="1"/>
      <c r="AA233" s="1"/>
    </row>
    <row r="234" spans="1:27" ht="15.75" customHeight="1">
      <c r="A234" s="1"/>
      <c r="B234" s="556" t="s">
        <v>1630</v>
      </c>
      <c r="C234" s="557" t="s">
        <v>1514</v>
      </c>
      <c r="D234" s="174" t="s">
        <v>1631</v>
      </c>
      <c r="E234" s="558">
        <f t="shared" si="100"/>
        <v>1517.6470588235295</v>
      </c>
      <c r="F234" s="559" t="s">
        <v>1291</v>
      </c>
      <c r="G234" s="557"/>
      <c r="H234" s="560">
        <f t="shared" si="101"/>
        <v>1806</v>
      </c>
      <c r="I234" s="520"/>
      <c r="J234" s="517">
        <f t="shared" si="102"/>
        <v>1806</v>
      </c>
      <c r="K234" s="521" t="s">
        <v>1516</v>
      </c>
      <c r="L234" s="522">
        <v>1806</v>
      </c>
      <c r="M234" s="1"/>
      <c r="N234" s="1"/>
      <c r="O234" s="1"/>
      <c r="P234" s="1"/>
      <c r="Q234" s="1"/>
      <c r="R234" s="1"/>
      <c r="S234" s="1"/>
      <c r="T234" s="1"/>
      <c r="U234" s="1"/>
      <c r="V234" s="1"/>
      <c r="W234" s="1"/>
      <c r="X234" s="1"/>
      <c r="Y234" s="1"/>
      <c r="Z234" s="1"/>
      <c r="AA234" s="1"/>
    </row>
    <row r="235" spans="1:27" ht="15.75" customHeight="1">
      <c r="A235" s="1"/>
      <c r="B235" s="556" t="s">
        <v>1632</v>
      </c>
      <c r="C235" s="557" t="s">
        <v>1514</v>
      </c>
      <c r="D235" s="174" t="s">
        <v>1633</v>
      </c>
      <c r="E235" s="558">
        <f t="shared" si="100"/>
        <v>1926.0504201680674</v>
      </c>
      <c r="F235" s="559" t="s">
        <v>1291</v>
      </c>
      <c r="G235" s="557"/>
      <c r="H235" s="560">
        <f t="shared" si="101"/>
        <v>2292</v>
      </c>
      <c r="I235" s="520"/>
      <c r="J235" s="517">
        <f t="shared" si="102"/>
        <v>2292</v>
      </c>
      <c r="K235" s="521" t="s">
        <v>1516</v>
      </c>
      <c r="L235" s="522">
        <v>2292</v>
      </c>
      <c r="M235" s="1"/>
      <c r="N235" s="1"/>
      <c r="O235" s="1"/>
      <c r="P235" s="1"/>
      <c r="Q235" s="1"/>
      <c r="R235" s="1"/>
      <c r="S235" s="1"/>
      <c r="T235" s="1"/>
      <c r="U235" s="1"/>
      <c r="V235" s="1"/>
      <c r="W235" s="1"/>
      <c r="X235" s="1"/>
      <c r="Y235" s="1"/>
      <c r="Z235" s="1"/>
      <c r="AA235" s="1"/>
    </row>
    <row r="236" spans="1:27" ht="15.75" customHeight="1">
      <c r="A236" s="1"/>
      <c r="B236" s="556" t="s">
        <v>1634</v>
      </c>
      <c r="C236" s="557" t="s">
        <v>1514</v>
      </c>
      <c r="D236" s="174" t="s">
        <v>1635</v>
      </c>
      <c r="E236" s="558">
        <f t="shared" si="100"/>
        <v>3823.5294117647059</v>
      </c>
      <c r="F236" s="559" t="s">
        <v>1291</v>
      </c>
      <c r="G236" s="557"/>
      <c r="H236" s="560">
        <f t="shared" si="101"/>
        <v>4550</v>
      </c>
      <c r="I236" s="520"/>
      <c r="J236" s="517">
        <f t="shared" si="102"/>
        <v>4550</v>
      </c>
      <c r="K236" s="521" t="s">
        <v>1516</v>
      </c>
      <c r="L236" s="522">
        <v>4550</v>
      </c>
      <c r="M236" s="1"/>
      <c r="N236" s="1"/>
      <c r="O236" s="1"/>
      <c r="P236" s="1"/>
      <c r="Q236" s="1"/>
      <c r="R236" s="1"/>
      <c r="S236" s="1"/>
      <c r="T236" s="1"/>
      <c r="U236" s="1"/>
      <c r="V236" s="1"/>
      <c r="W236" s="1"/>
      <c r="X236" s="1"/>
      <c r="Y236" s="1"/>
      <c r="Z236" s="1"/>
      <c r="AA236" s="1"/>
    </row>
    <row r="237" spans="1:27" ht="15.75" customHeight="1">
      <c r="A237" s="1"/>
      <c r="B237" s="556" t="s">
        <v>1636</v>
      </c>
      <c r="C237" s="557" t="s">
        <v>1514</v>
      </c>
      <c r="D237" s="174" t="s">
        <v>1637</v>
      </c>
      <c r="E237" s="558">
        <f t="shared" si="100"/>
        <v>17200</v>
      </c>
      <c r="F237" s="559" t="s">
        <v>1291</v>
      </c>
      <c r="G237" s="557"/>
      <c r="H237" s="560">
        <f t="shared" si="101"/>
        <v>20468</v>
      </c>
      <c r="I237" s="520"/>
      <c r="J237" s="517">
        <f t="shared" si="102"/>
        <v>20468</v>
      </c>
      <c r="K237" s="521" t="s">
        <v>1516</v>
      </c>
      <c r="L237" s="522">
        <v>20468</v>
      </c>
      <c r="M237" s="1"/>
      <c r="N237" s="1"/>
      <c r="O237" s="1"/>
      <c r="P237" s="1"/>
      <c r="Q237" s="1"/>
      <c r="R237" s="1"/>
      <c r="S237" s="1"/>
      <c r="T237" s="1"/>
      <c r="U237" s="1"/>
      <c r="V237" s="1"/>
      <c r="W237" s="1"/>
      <c r="X237" s="1"/>
      <c r="Y237" s="1"/>
      <c r="Z237" s="1"/>
      <c r="AA237" s="1"/>
    </row>
    <row r="238" spans="1:27" ht="15.75" customHeight="1">
      <c r="A238" s="1"/>
      <c r="B238" s="556"/>
      <c r="C238" s="557"/>
      <c r="D238" s="174"/>
      <c r="E238" s="558"/>
      <c r="F238" s="559"/>
      <c r="G238" s="557"/>
      <c r="H238" s="560"/>
      <c r="I238" s="520"/>
      <c r="J238" s="517"/>
      <c r="K238" s="521"/>
      <c r="L238" s="522"/>
      <c r="M238" s="1"/>
      <c r="N238" s="1"/>
      <c r="O238" s="1"/>
      <c r="P238" s="1"/>
      <c r="Q238" s="1"/>
      <c r="R238" s="1"/>
      <c r="S238" s="1"/>
      <c r="T238" s="1"/>
      <c r="U238" s="1"/>
      <c r="V238" s="1"/>
      <c r="W238" s="1"/>
      <c r="X238" s="1"/>
      <c r="Y238" s="1"/>
      <c r="Z238" s="1"/>
      <c r="AA238" s="1"/>
    </row>
    <row r="239" spans="1:27" ht="15.75" customHeight="1">
      <c r="A239" s="1"/>
      <c r="B239" s="556" t="s">
        <v>1638</v>
      </c>
      <c r="C239" s="557" t="s">
        <v>1514</v>
      </c>
      <c r="D239" s="174" t="s">
        <v>1639</v>
      </c>
      <c r="E239" s="558">
        <f t="shared" ref="E239:E246" si="103">+H239/1.19</f>
        <v>1050.420168067227</v>
      </c>
      <c r="F239" s="559" t="s">
        <v>1291</v>
      </c>
      <c r="G239" s="557"/>
      <c r="H239" s="560">
        <f t="shared" ref="H239:H246" si="104">ROUNDUP($J239*(1+$C$10),0)</f>
        <v>1250</v>
      </c>
      <c r="I239" s="520"/>
      <c r="J239" s="517">
        <f t="shared" ref="J239:J246" si="105">IFERROR(AVERAGEIF($K$13:$P$13,"PRECIO IVA INC.",K239:P239),)</f>
        <v>1250</v>
      </c>
      <c r="K239" s="521" t="s">
        <v>1516</v>
      </c>
      <c r="L239" s="522">
        <v>1250</v>
      </c>
      <c r="M239" s="1"/>
      <c r="N239" s="1"/>
      <c r="O239" s="1"/>
      <c r="P239" s="1"/>
      <c r="Q239" s="1"/>
      <c r="R239" s="1"/>
      <c r="S239" s="1"/>
      <c r="T239" s="1"/>
      <c r="U239" s="1"/>
      <c r="V239" s="1"/>
      <c r="W239" s="1"/>
      <c r="X239" s="1"/>
      <c r="Y239" s="1"/>
      <c r="Z239" s="1"/>
      <c r="AA239" s="1"/>
    </row>
    <row r="240" spans="1:27" ht="15.75" customHeight="1">
      <c r="A240" s="1"/>
      <c r="B240" s="556" t="s">
        <v>1640</v>
      </c>
      <c r="C240" s="557" t="s">
        <v>1514</v>
      </c>
      <c r="D240" s="174" t="s">
        <v>1641</v>
      </c>
      <c r="E240" s="558">
        <f t="shared" si="103"/>
        <v>1776.4705882352941</v>
      </c>
      <c r="F240" s="559" t="s">
        <v>1291</v>
      </c>
      <c r="G240" s="557"/>
      <c r="H240" s="560">
        <f t="shared" si="104"/>
        <v>2114</v>
      </c>
      <c r="I240" s="520"/>
      <c r="J240" s="517">
        <f t="shared" si="105"/>
        <v>2114</v>
      </c>
      <c r="K240" s="521" t="s">
        <v>1516</v>
      </c>
      <c r="L240" s="522">
        <v>2114</v>
      </c>
      <c r="M240" s="1"/>
      <c r="N240" s="1"/>
      <c r="O240" s="1"/>
      <c r="P240" s="1"/>
      <c r="Q240" s="1"/>
      <c r="R240" s="1"/>
      <c r="S240" s="1"/>
      <c r="T240" s="1"/>
      <c r="U240" s="1"/>
      <c r="V240" s="1"/>
      <c r="W240" s="1"/>
      <c r="X240" s="1"/>
      <c r="Y240" s="1"/>
      <c r="Z240" s="1"/>
      <c r="AA240" s="1"/>
    </row>
    <row r="241" spans="1:27" ht="15.75" customHeight="1">
      <c r="A241" s="1"/>
      <c r="B241" s="556" t="s">
        <v>1642</v>
      </c>
      <c r="C241" s="557" t="s">
        <v>1514</v>
      </c>
      <c r="D241" s="174" t="s">
        <v>1643</v>
      </c>
      <c r="E241" s="558">
        <f t="shared" si="103"/>
        <v>3470.588235294118</v>
      </c>
      <c r="F241" s="559" t="s">
        <v>1291</v>
      </c>
      <c r="G241" s="557"/>
      <c r="H241" s="560">
        <f t="shared" si="104"/>
        <v>4130</v>
      </c>
      <c r="I241" s="520"/>
      <c r="J241" s="517">
        <f t="shared" si="105"/>
        <v>4130</v>
      </c>
      <c r="K241" s="521" t="s">
        <v>1516</v>
      </c>
      <c r="L241" s="522">
        <v>4130</v>
      </c>
      <c r="M241" s="1"/>
      <c r="N241" s="1"/>
      <c r="O241" s="1"/>
      <c r="P241" s="1"/>
      <c r="Q241" s="1"/>
      <c r="R241" s="1"/>
      <c r="S241" s="1"/>
      <c r="T241" s="1"/>
      <c r="U241" s="1"/>
      <c r="V241" s="1"/>
      <c r="W241" s="1"/>
      <c r="X241" s="1"/>
      <c r="Y241" s="1"/>
      <c r="Z241" s="1"/>
      <c r="AA241" s="1"/>
    </row>
    <row r="242" spans="1:27" ht="15.75" customHeight="1">
      <c r="A242" s="1"/>
      <c r="B242" s="556" t="s">
        <v>1644</v>
      </c>
      <c r="C242" s="557" t="s">
        <v>1514</v>
      </c>
      <c r="D242" s="174" t="s">
        <v>1645</v>
      </c>
      <c r="E242" s="558">
        <f t="shared" si="103"/>
        <v>11764.705882352942</v>
      </c>
      <c r="F242" s="559" t="s">
        <v>1291</v>
      </c>
      <c r="G242" s="557"/>
      <c r="H242" s="560">
        <f t="shared" si="104"/>
        <v>14000</v>
      </c>
      <c r="I242" s="520"/>
      <c r="J242" s="517">
        <f t="shared" si="105"/>
        <v>14000</v>
      </c>
      <c r="K242" s="521" t="s">
        <v>1516</v>
      </c>
      <c r="L242" s="522">
        <v>14000</v>
      </c>
      <c r="M242" s="1"/>
      <c r="N242" s="1"/>
      <c r="O242" s="1"/>
      <c r="P242" s="1"/>
      <c r="Q242" s="1"/>
      <c r="R242" s="1"/>
      <c r="S242" s="1"/>
      <c r="T242" s="1"/>
      <c r="U242" s="1"/>
      <c r="V242" s="1"/>
      <c r="W242" s="1"/>
      <c r="X242" s="1"/>
      <c r="Y242" s="1"/>
      <c r="Z242" s="1"/>
      <c r="AA242" s="1"/>
    </row>
    <row r="243" spans="1:27" ht="15.75" customHeight="1">
      <c r="A243" s="1"/>
      <c r="B243" s="556" t="s">
        <v>1646</v>
      </c>
      <c r="C243" s="557" t="s">
        <v>1514</v>
      </c>
      <c r="D243" s="174" t="s">
        <v>1647</v>
      </c>
      <c r="E243" s="558">
        <f t="shared" si="103"/>
        <v>18734.453781512606</v>
      </c>
      <c r="F243" s="559" t="s">
        <v>1291</v>
      </c>
      <c r="G243" s="557"/>
      <c r="H243" s="560">
        <f t="shared" si="104"/>
        <v>22294</v>
      </c>
      <c r="I243" s="520"/>
      <c r="J243" s="517">
        <f t="shared" si="105"/>
        <v>22294</v>
      </c>
      <c r="K243" s="521" t="s">
        <v>1516</v>
      </c>
      <c r="L243" s="522">
        <v>22294</v>
      </c>
      <c r="M243" s="1"/>
      <c r="N243" s="1"/>
      <c r="O243" s="1"/>
      <c r="P243" s="1"/>
      <c r="Q243" s="1"/>
      <c r="R243" s="1"/>
      <c r="S243" s="1"/>
      <c r="T243" s="1"/>
      <c r="U243" s="1"/>
      <c r="V243" s="1"/>
      <c r="W243" s="1"/>
      <c r="X243" s="1"/>
      <c r="Y243" s="1"/>
      <c r="Z243" s="1"/>
      <c r="AA243" s="1"/>
    </row>
    <row r="244" spans="1:27" ht="15.75" customHeight="1">
      <c r="A244" s="1"/>
      <c r="B244" s="556" t="s">
        <v>1648</v>
      </c>
      <c r="C244" s="557" t="s">
        <v>1514</v>
      </c>
      <c r="D244" s="174" t="s">
        <v>1649</v>
      </c>
      <c r="E244" s="558">
        <f t="shared" si="103"/>
        <v>2591.5966386554624</v>
      </c>
      <c r="F244" s="559" t="s">
        <v>1291</v>
      </c>
      <c r="G244" s="557"/>
      <c r="H244" s="560">
        <f t="shared" si="104"/>
        <v>3084</v>
      </c>
      <c r="I244" s="520"/>
      <c r="J244" s="517">
        <f t="shared" si="105"/>
        <v>3084</v>
      </c>
      <c r="K244" s="521" t="s">
        <v>1516</v>
      </c>
      <c r="L244" s="522">
        <v>3084</v>
      </c>
      <c r="M244" s="518"/>
      <c r="N244" s="519"/>
      <c r="O244" s="518"/>
      <c r="P244" s="519"/>
      <c r="Q244" s="1"/>
      <c r="R244" s="1"/>
      <c r="S244" s="1"/>
      <c r="T244" s="1"/>
      <c r="U244" s="1"/>
      <c r="V244" s="1"/>
      <c r="W244" s="1"/>
      <c r="X244" s="1"/>
      <c r="Y244" s="1"/>
      <c r="Z244" s="1"/>
      <c r="AA244" s="1"/>
    </row>
    <row r="245" spans="1:27" ht="15.75" customHeight="1">
      <c r="A245" s="1"/>
      <c r="B245" s="556" t="s">
        <v>1650</v>
      </c>
      <c r="C245" s="557" t="s">
        <v>1514</v>
      </c>
      <c r="D245" s="174" t="s">
        <v>1651</v>
      </c>
      <c r="E245" s="558">
        <f t="shared" si="103"/>
        <v>4104.2016806722695</v>
      </c>
      <c r="F245" s="559" t="s">
        <v>1291</v>
      </c>
      <c r="G245" s="557"/>
      <c r="H245" s="560">
        <f t="shared" si="104"/>
        <v>4884</v>
      </c>
      <c r="I245" s="520"/>
      <c r="J245" s="517">
        <f t="shared" si="105"/>
        <v>4884</v>
      </c>
      <c r="K245" s="521" t="s">
        <v>1516</v>
      </c>
      <c r="L245" s="522">
        <v>4884</v>
      </c>
      <c r="M245" s="518"/>
      <c r="N245" s="519"/>
      <c r="O245" s="518"/>
      <c r="P245" s="519"/>
      <c r="Q245" s="1"/>
      <c r="R245" s="1"/>
      <c r="S245" s="1"/>
      <c r="T245" s="1"/>
      <c r="U245" s="1"/>
      <c r="V245" s="1"/>
      <c r="W245" s="1"/>
      <c r="X245" s="1"/>
      <c r="Y245" s="1"/>
      <c r="Z245" s="1"/>
      <c r="AA245" s="1"/>
    </row>
    <row r="246" spans="1:27" ht="15.75" customHeight="1">
      <c r="A246" s="1"/>
      <c r="B246" s="556" t="s">
        <v>1652</v>
      </c>
      <c r="C246" s="557" t="s">
        <v>1514</v>
      </c>
      <c r="D246" s="174" t="s">
        <v>1653</v>
      </c>
      <c r="E246" s="558">
        <f t="shared" si="103"/>
        <v>23548.73949579832</v>
      </c>
      <c r="F246" s="559" t="s">
        <v>1291</v>
      </c>
      <c r="G246" s="557"/>
      <c r="H246" s="560">
        <f t="shared" si="104"/>
        <v>28023</v>
      </c>
      <c r="I246" s="520"/>
      <c r="J246" s="517">
        <f t="shared" si="105"/>
        <v>28023</v>
      </c>
      <c r="K246" s="521" t="s">
        <v>1516</v>
      </c>
      <c r="L246" s="522">
        <v>28023</v>
      </c>
      <c r="M246" s="518"/>
      <c r="N246" s="519"/>
      <c r="O246" s="518"/>
      <c r="P246" s="519"/>
      <c r="Q246" s="1"/>
      <c r="R246" s="1"/>
      <c r="S246" s="1"/>
      <c r="T246" s="1"/>
      <c r="U246" s="1"/>
      <c r="V246" s="1"/>
      <c r="W246" s="1"/>
      <c r="X246" s="1"/>
      <c r="Y246" s="1"/>
      <c r="Z246" s="1"/>
      <c r="AA246" s="1"/>
    </row>
    <row r="247" spans="1:27" ht="15.75" customHeight="1">
      <c r="A247" s="1"/>
      <c r="B247" s="556"/>
      <c r="C247" s="557"/>
      <c r="D247" s="174"/>
      <c r="E247" s="558"/>
      <c r="F247" s="559"/>
      <c r="G247" s="557"/>
      <c r="H247" s="560"/>
      <c r="I247" s="520"/>
      <c r="J247" s="517"/>
      <c r="K247" s="521"/>
      <c r="L247" s="522"/>
      <c r="M247" s="518"/>
      <c r="N247" s="519"/>
      <c r="O247" s="518"/>
      <c r="P247" s="519"/>
      <c r="Q247" s="1"/>
      <c r="R247" s="1"/>
      <c r="S247" s="1"/>
      <c r="T247" s="1"/>
      <c r="U247" s="1"/>
      <c r="V247" s="1"/>
      <c r="W247" s="1"/>
      <c r="X247" s="1"/>
      <c r="Y247" s="1"/>
      <c r="Z247" s="1"/>
      <c r="AA247" s="1"/>
    </row>
    <row r="248" spans="1:27" ht="15.75" customHeight="1">
      <c r="A248" s="1"/>
      <c r="B248" s="556" t="s">
        <v>1654</v>
      </c>
      <c r="C248" s="557" t="s">
        <v>1514</v>
      </c>
      <c r="D248" s="174" t="s">
        <v>1655</v>
      </c>
      <c r="E248" s="558">
        <f t="shared" ref="E248:E252" si="106">+H248/1.19</f>
        <v>7296.6386554621849</v>
      </c>
      <c r="F248" s="559" t="s">
        <v>1291</v>
      </c>
      <c r="G248" s="557"/>
      <c r="H248" s="560">
        <f t="shared" ref="H248:H252" si="107">ROUNDUP($J248*(1+$C$10),0)</f>
        <v>8683</v>
      </c>
      <c r="I248" s="520"/>
      <c r="J248" s="517">
        <f t="shared" ref="J248:J252" si="108">IFERROR(AVERAGEIF($K$13:$P$13,"PRECIO IVA INC.",K248:P248),)</f>
        <v>8683</v>
      </c>
      <c r="K248" s="521" t="s">
        <v>1516</v>
      </c>
      <c r="L248" s="522">
        <v>8683</v>
      </c>
      <c r="M248" s="518"/>
      <c r="N248" s="519"/>
      <c r="O248" s="518"/>
      <c r="P248" s="519"/>
      <c r="Q248" s="1"/>
      <c r="R248" s="1"/>
      <c r="S248" s="1"/>
      <c r="T248" s="1"/>
      <c r="U248" s="1"/>
      <c r="V248" s="1"/>
      <c r="W248" s="1"/>
      <c r="X248" s="1"/>
      <c r="Y248" s="1"/>
      <c r="Z248" s="1"/>
      <c r="AA248" s="1"/>
    </row>
    <row r="249" spans="1:27" ht="15.75" customHeight="1">
      <c r="A249" s="1"/>
      <c r="B249" s="556" t="s">
        <v>1656</v>
      </c>
      <c r="C249" s="557" t="s">
        <v>1514</v>
      </c>
      <c r="D249" s="174" t="s">
        <v>1657</v>
      </c>
      <c r="E249" s="558">
        <f t="shared" si="106"/>
        <v>8361.3445378151264</v>
      </c>
      <c r="F249" s="559" t="s">
        <v>1291</v>
      </c>
      <c r="G249" s="557"/>
      <c r="H249" s="560">
        <f t="shared" si="107"/>
        <v>9950</v>
      </c>
      <c r="I249" s="520"/>
      <c r="J249" s="517">
        <f t="shared" si="108"/>
        <v>9950</v>
      </c>
      <c r="K249" s="521" t="s">
        <v>1516</v>
      </c>
      <c r="L249" s="522">
        <v>9950</v>
      </c>
      <c r="M249" s="518"/>
      <c r="N249" s="519"/>
      <c r="O249" s="518"/>
      <c r="P249" s="519"/>
      <c r="Q249" s="1"/>
      <c r="R249" s="1"/>
      <c r="S249" s="1"/>
      <c r="T249" s="1"/>
      <c r="U249" s="1"/>
      <c r="V249" s="1"/>
      <c r="W249" s="1"/>
      <c r="X249" s="1"/>
      <c r="Y249" s="1"/>
      <c r="Z249" s="1"/>
      <c r="AA249" s="1"/>
    </row>
    <row r="250" spans="1:27" ht="15.75" customHeight="1">
      <c r="A250" s="1"/>
      <c r="B250" s="556" t="s">
        <v>1658</v>
      </c>
      <c r="C250" s="557" t="s">
        <v>1514</v>
      </c>
      <c r="D250" s="174" t="s">
        <v>1659</v>
      </c>
      <c r="E250" s="558">
        <f t="shared" si="106"/>
        <v>10491.596638655463</v>
      </c>
      <c r="F250" s="559" t="s">
        <v>1291</v>
      </c>
      <c r="G250" s="557"/>
      <c r="H250" s="560">
        <f t="shared" si="107"/>
        <v>12485</v>
      </c>
      <c r="I250" s="520"/>
      <c r="J250" s="517">
        <f t="shared" si="108"/>
        <v>12485</v>
      </c>
      <c r="K250" s="521" t="s">
        <v>1516</v>
      </c>
      <c r="L250" s="522">
        <v>12485</v>
      </c>
      <c r="M250" s="518"/>
      <c r="N250" s="519"/>
      <c r="O250" s="518"/>
      <c r="P250" s="519"/>
      <c r="Q250" s="1"/>
      <c r="R250" s="1"/>
      <c r="S250" s="1"/>
      <c r="T250" s="1"/>
      <c r="U250" s="1"/>
      <c r="V250" s="1"/>
      <c r="W250" s="1"/>
      <c r="X250" s="1"/>
      <c r="Y250" s="1"/>
      <c r="Z250" s="1"/>
      <c r="AA250" s="1"/>
    </row>
    <row r="251" spans="1:27" ht="15.75" customHeight="1">
      <c r="A251" s="1"/>
      <c r="B251" s="556" t="s">
        <v>1660</v>
      </c>
      <c r="C251" s="557" t="s">
        <v>1514</v>
      </c>
      <c r="D251" s="174" t="s">
        <v>1661</v>
      </c>
      <c r="E251" s="558">
        <f t="shared" si="106"/>
        <v>21865.546218487398</v>
      </c>
      <c r="F251" s="559" t="s">
        <v>1291</v>
      </c>
      <c r="G251" s="557"/>
      <c r="H251" s="560">
        <f t="shared" si="107"/>
        <v>26020</v>
      </c>
      <c r="I251" s="520"/>
      <c r="J251" s="517">
        <f t="shared" si="108"/>
        <v>26020</v>
      </c>
      <c r="K251" s="521" t="s">
        <v>1516</v>
      </c>
      <c r="L251" s="522">
        <v>26020</v>
      </c>
      <c r="M251" s="518"/>
      <c r="N251" s="519"/>
      <c r="O251" s="518"/>
      <c r="P251" s="519"/>
      <c r="Q251" s="1"/>
      <c r="R251" s="1"/>
      <c r="S251" s="1"/>
      <c r="T251" s="1"/>
      <c r="U251" s="1"/>
      <c r="V251" s="1"/>
      <c r="W251" s="1"/>
      <c r="X251" s="1"/>
      <c r="Y251" s="1"/>
      <c r="Z251" s="1"/>
      <c r="AA251" s="1"/>
    </row>
    <row r="252" spans="1:27" ht="15.75" customHeight="1">
      <c r="A252" s="1"/>
      <c r="B252" s="556" t="s">
        <v>1662</v>
      </c>
      <c r="C252" s="557" t="s">
        <v>1514</v>
      </c>
      <c r="D252" s="174" t="s">
        <v>1663</v>
      </c>
      <c r="E252" s="558">
        <f t="shared" si="106"/>
        <v>198556.30252100842</v>
      </c>
      <c r="F252" s="559" t="s">
        <v>1291</v>
      </c>
      <c r="G252" s="557"/>
      <c r="H252" s="560">
        <f t="shared" si="107"/>
        <v>236282</v>
      </c>
      <c r="I252" s="520"/>
      <c r="J252" s="517">
        <f t="shared" si="108"/>
        <v>236282</v>
      </c>
      <c r="K252" s="521" t="s">
        <v>1516</v>
      </c>
      <c r="L252" s="522">
        <v>236282</v>
      </c>
      <c r="M252" s="518"/>
      <c r="N252" s="519"/>
      <c r="O252" s="518"/>
      <c r="P252" s="519"/>
      <c r="Q252" s="1"/>
      <c r="R252" s="1"/>
      <c r="S252" s="1"/>
      <c r="T252" s="1"/>
      <c r="U252" s="1"/>
      <c r="V252" s="1"/>
      <c r="W252" s="1"/>
      <c r="X252" s="1"/>
      <c r="Y252" s="1"/>
      <c r="Z252" s="1"/>
      <c r="AA252" s="1"/>
    </row>
    <row r="253" spans="1:27" ht="15.75" customHeight="1">
      <c r="A253" s="1"/>
      <c r="B253" s="556"/>
      <c r="C253" s="557"/>
      <c r="D253" s="174"/>
      <c r="E253" s="558"/>
      <c r="F253" s="559"/>
      <c r="G253" s="557"/>
      <c r="H253" s="560"/>
      <c r="I253" s="520"/>
      <c r="J253" s="517"/>
      <c r="K253" s="521"/>
      <c r="L253" s="522"/>
      <c r="M253" s="518"/>
      <c r="N253" s="519"/>
      <c r="O253" s="518"/>
      <c r="P253" s="519"/>
      <c r="Q253" s="1"/>
      <c r="R253" s="1"/>
      <c r="S253" s="1"/>
      <c r="T253" s="1"/>
      <c r="U253" s="1"/>
      <c r="V253" s="1"/>
      <c r="W253" s="1"/>
      <c r="X253" s="1"/>
      <c r="Y253" s="1"/>
      <c r="Z253" s="1"/>
      <c r="AA253" s="1"/>
    </row>
    <row r="254" spans="1:27" ht="15.75" customHeight="1">
      <c r="A254" s="1"/>
      <c r="B254" s="556" t="s">
        <v>1664</v>
      </c>
      <c r="C254" s="557" t="s">
        <v>1514</v>
      </c>
      <c r="D254" s="174" t="s">
        <v>1665</v>
      </c>
      <c r="E254" s="558">
        <f>+H254/1.19</f>
        <v>14701.680672268909</v>
      </c>
      <c r="F254" s="559" t="s">
        <v>550</v>
      </c>
      <c r="G254" s="557"/>
      <c r="H254" s="560">
        <f>ROUNDUP($J254*(1+$C$10),0)</f>
        <v>17495</v>
      </c>
      <c r="I254" s="520"/>
      <c r="J254" s="517">
        <f>IFERROR(AVERAGEIF($K$13:$P$13,"PRECIO IVA INC.",K254:P254),)</f>
        <v>17494.433333333334</v>
      </c>
      <c r="K254" s="521" t="s">
        <v>1292</v>
      </c>
      <c r="L254" s="522">
        <v>14990</v>
      </c>
      <c r="M254" s="521" t="s">
        <v>1666</v>
      </c>
      <c r="N254" s="522">
        <f>661389/30</f>
        <v>22046.3</v>
      </c>
      <c r="O254" s="521" t="s">
        <v>1305</v>
      </c>
      <c r="P254" s="522">
        <f>77235/5</f>
        <v>15447</v>
      </c>
      <c r="Q254" s="1"/>
      <c r="R254" s="1"/>
      <c r="S254" s="1"/>
      <c r="T254" s="1"/>
      <c r="U254" s="1"/>
      <c r="V254" s="1"/>
      <c r="W254" s="1"/>
      <c r="X254" s="1"/>
      <c r="Y254" s="1"/>
      <c r="Z254" s="1"/>
      <c r="AA254" s="1"/>
    </row>
    <row r="255" spans="1:27" ht="15.75" customHeight="1">
      <c r="A255" s="1"/>
      <c r="B255" s="556"/>
      <c r="C255" s="557"/>
      <c r="D255" s="174"/>
      <c r="E255" s="558"/>
      <c r="F255" s="559"/>
      <c r="G255" s="557"/>
      <c r="H255" s="560"/>
      <c r="I255" s="520"/>
      <c r="J255" s="517"/>
      <c r="K255" s="521"/>
      <c r="L255" s="522"/>
      <c r="M255" s="521"/>
      <c r="N255" s="522"/>
      <c r="O255" s="521"/>
      <c r="P255" s="522"/>
      <c r="Q255" s="1"/>
      <c r="R255" s="1"/>
      <c r="S255" s="1"/>
      <c r="T255" s="1"/>
      <c r="U255" s="1"/>
      <c r="V255" s="1"/>
      <c r="W255" s="1"/>
      <c r="X255" s="1"/>
      <c r="Y255" s="1"/>
      <c r="Z255" s="1"/>
      <c r="AA255" s="1"/>
    </row>
    <row r="256" spans="1:27" ht="15.75" customHeight="1">
      <c r="A256" s="1"/>
      <c r="B256" s="556" t="s">
        <v>1667</v>
      </c>
      <c r="C256" s="557" t="s">
        <v>1514</v>
      </c>
      <c r="D256" s="174" t="s">
        <v>1668</v>
      </c>
      <c r="E256" s="558">
        <f t="shared" ref="E256:E264" si="109">+H256/1.19</f>
        <v>3145.3781512605042</v>
      </c>
      <c r="F256" s="559" t="s">
        <v>550</v>
      </c>
      <c r="G256" s="557"/>
      <c r="H256" s="560">
        <f t="shared" ref="H256:H264" si="110">ROUNDUP($J256*(1+$C$10),0)</f>
        <v>3743</v>
      </c>
      <c r="I256" s="520"/>
      <c r="J256" s="517">
        <f t="shared" ref="J256:J264" si="111">IFERROR(AVERAGEIF($K$13:$P$13,"PRECIO IVA INC.",K256:P256),)</f>
        <v>3742.583333333333</v>
      </c>
      <c r="K256" s="521" t="s">
        <v>1516</v>
      </c>
      <c r="L256" s="522">
        <f>21511/6</f>
        <v>3585.1666666666665</v>
      </c>
      <c r="M256" s="521" t="s">
        <v>1669</v>
      </c>
      <c r="N256" s="522">
        <v>3900</v>
      </c>
      <c r="O256" s="518"/>
      <c r="P256" s="519"/>
      <c r="Q256" s="1"/>
      <c r="R256" s="1"/>
      <c r="S256" s="1"/>
      <c r="T256" s="1"/>
      <c r="U256" s="1"/>
      <c r="V256" s="1"/>
      <c r="W256" s="1"/>
      <c r="X256" s="1"/>
      <c r="Y256" s="1"/>
      <c r="Z256" s="1"/>
      <c r="AA256" s="1"/>
    </row>
    <row r="257" spans="1:27" ht="15.75" customHeight="1">
      <c r="A257" s="1"/>
      <c r="B257" s="556" t="s">
        <v>1670</v>
      </c>
      <c r="C257" s="557" t="s">
        <v>1514</v>
      </c>
      <c r="D257" s="174" t="s">
        <v>1671</v>
      </c>
      <c r="E257" s="558">
        <f t="shared" si="109"/>
        <v>4353.7815126050418</v>
      </c>
      <c r="F257" s="559" t="s">
        <v>550</v>
      </c>
      <c r="G257" s="557"/>
      <c r="H257" s="560">
        <f t="shared" si="110"/>
        <v>5181</v>
      </c>
      <c r="I257" s="520"/>
      <c r="J257" s="517">
        <f t="shared" si="111"/>
        <v>5181</v>
      </c>
      <c r="K257" s="521" t="s">
        <v>1516</v>
      </c>
      <c r="L257" s="522">
        <f>30372/6</f>
        <v>5062</v>
      </c>
      <c r="M257" s="521" t="s">
        <v>1669</v>
      </c>
      <c r="N257" s="522">
        <v>5300</v>
      </c>
      <c r="O257" s="518"/>
      <c r="P257" s="519"/>
      <c r="Q257" s="1"/>
      <c r="R257" s="1"/>
      <c r="S257" s="1"/>
      <c r="T257" s="1"/>
      <c r="U257" s="1"/>
      <c r="V257" s="1"/>
      <c r="W257" s="1"/>
      <c r="X257" s="1"/>
      <c r="Y257" s="1"/>
      <c r="Z257" s="1"/>
      <c r="AA257" s="1"/>
    </row>
    <row r="258" spans="1:27" ht="15.75" customHeight="1">
      <c r="A258" s="1"/>
      <c r="B258" s="556" t="s">
        <v>1672</v>
      </c>
      <c r="C258" s="557" t="s">
        <v>1514</v>
      </c>
      <c r="D258" s="174" t="s">
        <v>1673</v>
      </c>
      <c r="E258" s="558">
        <f t="shared" si="109"/>
        <v>5969.7478991596645</v>
      </c>
      <c r="F258" s="559" t="s">
        <v>550</v>
      </c>
      <c r="G258" s="557"/>
      <c r="H258" s="560">
        <f t="shared" si="110"/>
        <v>7104</v>
      </c>
      <c r="I258" s="520"/>
      <c r="J258" s="517">
        <f t="shared" si="111"/>
        <v>7103.5</v>
      </c>
      <c r="K258" s="521" t="s">
        <v>1516</v>
      </c>
      <c r="L258" s="522">
        <f>42621/6</f>
        <v>7103.5</v>
      </c>
      <c r="M258" s="518"/>
      <c r="N258" s="519"/>
      <c r="O258" s="518"/>
      <c r="P258" s="519"/>
      <c r="Q258" s="1"/>
      <c r="R258" s="1"/>
      <c r="S258" s="1"/>
      <c r="T258" s="1"/>
      <c r="U258" s="1"/>
      <c r="V258" s="1"/>
      <c r="W258" s="1"/>
      <c r="X258" s="1"/>
      <c r="Y258" s="1"/>
      <c r="Z258" s="1"/>
      <c r="AA258" s="1"/>
    </row>
    <row r="259" spans="1:27" ht="15.75" customHeight="1">
      <c r="A259" s="1"/>
      <c r="B259" s="556" t="s">
        <v>1674</v>
      </c>
      <c r="C259" s="557" t="s">
        <v>1514</v>
      </c>
      <c r="D259" s="174" t="s">
        <v>1675</v>
      </c>
      <c r="E259" s="558">
        <f t="shared" si="109"/>
        <v>14039.495798319329</v>
      </c>
      <c r="F259" s="559" t="s">
        <v>550</v>
      </c>
      <c r="G259" s="557"/>
      <c r="H259" s="560">
        <f t="shared" si="110"/>
        <v>16707</v>
      </c>
      <c r="I259" s="520"/>
      <c r="J259" s="517">
        <f t="shared" si="111"/>
        <v>16706.666666666668</v>
      </c>
      <c r="K259" s="521" t="s">
        <v>1516</v>
      </c>
      <c r="L259" s="522">
        <f>100240/6</f>
        <v>16706.666666666668</v>
      </c>
      <c r="M259" s="518"/>
      <c r="N259" s="519"/>
      <c r="O259" s="518"/>
      <c r="P259" s="519"/>
      <c r="Q259" s="1"/>
      <c r="R259" s="1"/>
      <c r="S259" s="1"/>
      <c r="T259" s="1"/>
      <c r="U259" s="1"/>
      <c r="V259" s="1"/>
      <c r="W259" s="1"/>
      <c r="X259" s="1"/>
      <c r="Y259" s="1"/>
      <c r="Z259" s="1"/>
      <c r="AA259" s="1"/>
    </row>
    <row r="260" spans="1:27" ht="15.75" customHeight="1">
      <c r="A260" s="1"/>
      <c r="B260" s="556" t="s">
        <v>1676</v>
      </c>
      <c r="C260" s="557" t="s">
        <v>1514</v>
      </c>
      <c r="D260" s="174" t="s">
        <v>1677</v>
      </c>
      <c r="E260" s="558">
        <f t="shared" si="109"/>
        <v>21528.571428571431</v>
      </c>
      <c r="F260" s="559" t="s">
        <v>550</v>
      </c>
      <c r="G260" s="557"/>
      <c r="H260" s="560">
        <f t="shared" si="110"/>
        <v>25619</v>
      </c>
      <c r="I260" s="520"/>
      <c r="J260" s="517">
        <f t="shared" si="111"/>
        <v>25618.666666666668</v>
      </c>
      <c r="K260" s="521" t="s">
        <v>1516</v>
      </c>
      <c r="L260" s="522">
        <f>153712/6</f>
        <v>25618.666666666668</v>
      </c>
      <c r="M260" s="518"/>
      <c r="N260" s="519"/>
      <c r="O260" s="1"/>
      <c r="P260" s="1"/>
      <c r="Q260" s="1"/>
      <c r="R260" s="1"/>
      <c r="S260" s="1"/>
      <c r="T260" s="1"/>
      <c r="U260" s="1"/>
      <c r="V260" s="1"/>
      <c r="W260" s="1"/>
      <c r="X260" s="1"/>
      <c r="Y260" s="1"/>
      <c r="Z260" s="1"/>
      <c r="AA260" s="1"/>
    </row>
    <row r="261" spans="1:27" ht="15.75" customHeight="1">
      <c r="A261" s="1"/>
      <c r="B261" s="556" t="s">
        <v>1678</v>
      </c>
      <c r="C261" s="557" t="s">
        <v>1514</v>
      </c>
      <c r="D261" s="174" t="s">
        <v>1679</v>
      </c>
      <c r="E261" s="558">
        <f t="shared" si="109"/>
        <v>82421.848739495807</v>
      </c>
      <c r="F261" s="559" t="s">
        <v>550</v>
      </c>
      <c r="G261" s="557"/>
      <c r="H261" s="560">
        <f t="shared" si="110"/>
        <v>98082</v>
      </c>
      <c r="I261" s="520"/>
      <c r="J261" s="517">
        <f t="shared" si="111"/>
        <v>98081.833333333328</v>
      </c>
      <c r="K261" s="521" t="s">
        <v>1516</v>
      </c>
      <c r="L261" s="522">
        <f>588491/6</f>
        <v>98081.833333333328</v>
      </c>
      <c r="M261" s="518"/>
      <c r="N261" s="519"/>
      <c r="O261" s="1"/>
      <c r="P261" s="1"/>
      <c r="Q261" s="1"/>
      <c r="R261" s="1"/>
      <c r="S261" s="1"/>
      <c r="T261" s="1"/>
      <c r="U261" s="1"/>
      <c r="V261" s="1"/>
      <c r="W261" s="1"/>
      <c r="X261" s="1"/>
      <c r="Y261" s="1"/>
      <c r="Z261" s="1"/>
      <c r="AA261" s="1"/>
    </row>
    <row r="262" spans="1:27" ht="15.75" customHeight="1">
      <c r="A262" s="1"/>
      <c r="B262" s="556" t="s">
        <v>1680</v>
      </c>
      <c r="C262" s="557" t="s">
        <v>1514</v>
      </c>
      <c r="D262" s="174" t="s">
        <v>1681</v>
      </c>
      <c r="E262" s="558">
        <f t="shared" si="109"/>
        <v>8742.8571428571431</v>
      </c>
      <c r="F262" s="559" t="s">
        <v>550</v>
      </c>
      <c r="G262" s="557"/>
      <c r="H262" s="560">
        <f t="shared" si="110"/>
        <v>10404</v>
      </c>
      <c r="I262" s="520"/>
      <c r="J262" s="517">
        <f t="shared" si="111"/>
        <v>10403.666666666666</v>
      </c>
      <c r="K262" s="521" t="s">
        <v>1516</v>
      </c>
      <c r="L262" s="522">
        <f>31211/3</f>
        <v>10403.666666666666</v>
      </c>
      <c r="M262" s="518"/>
      <c r="N262" s="519"/>
      <c r="O262" s="1"/>
      <c r="P262" s="1"/>
      <c r="Q262" s="1"/>
      <c r="R262" s="1"/>
      <c r="S262" s="1"/>
      <c r="T262" s="1"/>
      <c r="U262" s="1"/>
      <c r="V262" s="1"/>
      <c r="W262" s="1"/>
      <c r="X262" s="1"/>
      <c r="Y262" s="1"/>
      <c r="Z262" s="1"/>
      <c r="AA262" s="1"/>
    </row>
    <row r="263" spans="1:27" ht="15.75" customHeight="1">
      <c r="A263" s="1"/>
      <c r="B263" s="556" t="s">
        <v>1682</v>
      </c>
      <c r="C263" s="557" t="s">
        <v>1514</v>
      </c>
      <c r="D263" s="174" t="s">
        <v>1683</v>
      </c>
      <c r="E263" s="558">
        <f t="shared" si="109"/>
        <v>14367.226890756303</v>
      </c>
      <c r="F263" s="559" t="s">
        <v>550</v>
      </c>
      <c r="G263" s="557"/>
      <c r="H263" s="560">
        <f t="shared" si="110"/>
        <v>17097</v>
      </c>
      <c r="I263" s="520"/>
      <c r="J263" s="517">
        <f t="shared" si="111"/>
        <v>17097</v>
      </c>
      <c r="K263" s="521" t="s">
        <v>1516</v>
      </c>
      <c r="L263" s="522">
        <f>51291/3</f>
        <v>17097</v>
      </c>
      <c r="M263" s="518"/>
      <c r="N263" s="519"/>
      <c r="O263" s="1"/>
      <c r="P263" s="1"/>
      <c r="Q263" s="1"/>
      <c r="R263" s="1"/>
      <c r="S263" s="1"/>
      <c r="T263" s="1"/>
      <c r="U263" s="1"/>
      <c r="V263" s="1"/>
      <c r="W263" s="1"/>
      <c r="X263" s="1"/>
      <c r="Y263" s="1"/>
      <c r="Z263" s="1"/>
      <c r="AA263" s="1"/>
    </row>
    <row r="264" spans="1:27" ht="15.75" customHeight="1">
      <c r="A264" s="1"/>
      <c r="B264" s="556" t="s">
        <v>1684</v>
      </c>
      <c r="C264" s="557" t="s">
        <v>1514</v>
      </c>
      <c r="D264" s="174" t="s">
        <v>1685</v>
      </c>
      <c r="E264" s="558">
        <f t="shared" si="109"/>
        <v>24305.882352941178</v>
      </c>
      <c r="F264" s="559" t="s">
        <v>550</v>
      </c>
      <c r="G264" s="557"/>
      <c r="H264" s="560">
        <f t="shared" si="110"/>
        <v>28924</v>
      </c>
      <c r="I264" s="520"/>
      <c r="J264" s="517">
        <f t="shared" si="111"/>
        <v>28923.666666666668</v>
      </c>
      <c r="K264" s="521" t="s">
        <v>1516</v>
      </c>
      <c r="L264" s="522">
        <f>86771/3</f>
        <v>28923.666666666668</v>
      </c>
      <c r="M264" s="518"/>
      <c r="N264" s="519"/>
      <c r="O264" s="1"/>
      <c r="P264" s="1"/>
      <c r="Q264" s="1"/>
      <c r="R264" s="1"/>
      <c r="S264" s="1"/>
      <c r="T264" s="1"/>
      <c r="U264" s="1"/>
      <c r="V264" s="1"/>
      <c r="W264" s="1"/>
      <c r="X264" s="1"/>
      <c r="Y264" s="1"/>
      <c r="Z264" s="1"/>
      <c r="AA264" s="1"/>
    </row>
    <row r="265" spans="1:27" ht="15.75" customHeight="1">
      <c r="A265" s="1"/>
      <c r="B265" s="556"/>
      <c r="C265" s="557"/>
      <c r="D265" s="174"/>
      <c r="E265" s="558"/>
      <c r="F265" s="559"/>
      <c r="G265" s="557"/>
      <c r="H265" s="560"/>
      <c r="I265" s="520"/>
      <c r="J265" s="517"/>
      <c r="K265" s="521"/>
      <c r="L265" s="522"/>
      <c r="M265" s="518"/>
      <c r="N265" s="519"/>
      <c r="O265" s="1"/>
      <c r="P265" s="1"/>
      <c r="Q265" s="1"/>
      <c r="R265" s="1"/>
      <c r="S265" s="1"/>
      <c r="T265" s="1"/>
      <c r="U265" s="1"/>
      <c r="V265" s="1"/>
      <c r="W265" s="1"/>
      <c r="X265" s="1"/>
      <c r="Y265" s="1"/>
      <c r="Z265" s="1"/>
      <c r="AA265" s="1"/>
    </row>
    <row r="266" spans="1:27" ht="15.75" customHeight="1">
      <c r="A266" s="1"/>
      <c r="B266" s="556" t="s">
        <v>1686</v>
      </c>
      <c r="C266" s="557" t="s">
        <v>1514</v>
      </c>
      <c r="D266" s="174" t="s">
        <v>1687</v>
      </c>
      <c r="E266" s="558">
        <f t="shared" ref="E266:E273" si="112">+H266/1.19</f>
        <v>12401.680672268909</v>
      </c>
      <c r="F266" s="559" t="s">
        <v>550</v>
      </c>
      <c r="G266" s="557"/>
      <c r="H266" s="560">
        <f t="shared" ref="H266:H273" si="113">ROUNDUP($J266*(1+$C$10),0)</f>
        <v>14758</v>
      </c>
      <c r="I266" s="520"/>
      <c r="J266" s="517">
        <f t="shared" ref="J266:J273" si="114">IFERROR(AVERAGEIF($K$13:$P$13,"PRECIO IVA INC.",K266:P266),)</f>
        <v>14757.833333333334</v>
      </c>
      <c r="K266" s="521" t="s">
        <v>1516</v>
      </c>
      <c r="L266" s="522">
        <f>88547/6</f>
        <v>14757.833333333334</v>
      </c>
      <c r="M266" s="518"/>
      <c r="N266" s="519"/>
      <c r="O266" s="1"/>
      <c r="P266" s="1"/>
      <c r="Q266" s="1"/>
      <c r="R266" s="1"/>
      <c r="S266" s="1"/>
      <c r="T266" s="1"/>
      <c r="U266" s="1"/>
      <c r="V266" s="1"/>
      <c r="W266" s="1"/>
      <c r="X266" s="1"/>
      <c r="Y266" s="1"/>
      <c r="Z266" s="1"/>
      <c r="AA266" s="1"/>
    </row>
    <row r="267" spans="1:27" ht="15.75" customHeight="1">
      <c r="A267" s="1"/>
      <c r="B267" s="556" t="s">
        <v>1688</v>
      </c>
      <c r="C267" s="557" t="s">
        <v>1514</v>
      </c>
      <c r="D267" s="174" t="s">
        <v>1689</v>
      </c>
      <c r="E267" s="558">
        <f t="shared" si="112"/>
        <v>15375.63025210084</v>
      </c>
      <c r="F267" s="559" t="s">
        <v>550</v>
      </c>
      <c r="G267" s="557"/>
      <c r="H267" s="560">
        <f t="shared" si="113"/>
        <v>18297</v>
      </c>
      <c r="I267" s="520"/>
      <c r="J267" s="517">
        <f t="shared" si="114"/>
        <v>18297</v>
      </c>
      <c r="K267" s="521" t="s">
        <v>1516</v>
      </c>
      <c r="L267" s="522">
        <f>109782/6</f>
        <v>18297</v>
      </c>
      <c r="M267" s="518"/>
      <c r="N267" s="519"/>
      <c r="O267" s="1"/>
      <c r="P267" s="1"/>
      <c r="Q267" s="1"/>
      <c r="R267" s="1"/>
      <c r="S267" s="1"/>
      <c r="T267" s="1"/>
      <c r="U267" s="1"/>
      <c r="V267" s="1"/>
      <c r="W267" s="1"/>
      <c r="X267" s="1"/>
      <c r="Y267" s="1"/>
      <c r="Z267" s="1"/>
      <c r="AA267" s="1"/>
    </row>
    <row r="268" spans="1:27" ht="15.75" customHeight="1">
      <c r="A268" s="1"/>
      <c r="B268" s="556" t="s">
        <v>1690</v>
      </c>
      <c r="C268" s="557" t="s">
        <v>1514</v>
      </c>
      <c r="D268" s="174" t="s">
        <v>1691</v>
      </c>
      <c r="E268" s="558">
        <f t="shared" si="112"/>
        <v>22965.546218487398</v>
      </c>
      <c r="F268" s="559" t="s">
        <v>550</v>
      </c>
      <c r="G268" s="557"/>
      <c r="H268" s="560">
        <f t="shared" si="113"/>
        <v>27329</v>
      </c>
      <c r="I268" s="520"/>
      <c r="J268" s="517">
        <f t="shared" si="114"/>
        <v>27329</v>
      </c>
      <c r="K268" s="521" t="s">
        <v>1516</v>
      </c>
      <c r="L268" s="522">
        <f>163974/6</f>
        <v>27329</v>
      </c>
      <c r="M268" s="518"/>
      <c r="N268" s="519"/>
      <c r="O268" s="1"/>
      <c r="P268" s="1"/>
      <c r="Q268" s="1"/>
      <c r="R268" s="1"/>
      <c r="S268" s="1"/>
      <c r="T268" s="1"/>
      <c r="U268" s="1"/>
      <c r="V268" s="1"/>
      <c r="W268" s="1"/>
      <c r="X268" s="1"/>
      <c r="Y268" s="1"/>
      <c r="Z268" s="1"/>
      <c r="AA268" s="1"/>
    </row>
    <row r="269" spans="1:27" ht="15.75" customHeight="1">
      <c r="A269" s="1"/>
      <c r="B269" s="556" t="s">
        <v>1692</v>
      </c>
      <c r="C269" s="557" t="s">
        <v>1514</v>
      </c>
      <c r="D269" s="174" t="s">
        <v>1693</v>
      </c>
      <c r="E269" s="558">
        <f t="shared" si="112"/>
        <v>32299.159663865546</v>
      </c>
      <c r="F269" s="559" t="s">
        <v>550</v>
      </c>
      <c r="G269" s="557"/>
      <c r="H269" s="560">
        <f t="shared" si="113"/>
        <v>38436</v>
      </c>
      <c r="I269" s="520"/>
      <c r="J269" s="517">
        <f t="shared" si="114"/>
        <v>38435.5</v>
      </c>
      <c r="K269" s="521" t="s">
        <v>1516</v>
      </c>
      <c r="L269" s="522">
        <f>230613/6</f>
        <v>38435.5</v>
      </c>
      <c r="M269" s="518"/>
      <c r="N269" s="519"/>
      <c r="O269" s="1"/>
      <c r="P269" s="1"/>
      <c r="Q269" s="1"/>
      <c r="R269" s="1"/>
      <c r="S269" s="1"/>
      <c r="T269" s="1"/>
      <c r="U269" s="1"/>
      <c r="V269" s="1"/>
      <c r="W269" s="1"/>
      <c r="X269" s="1"/>
      <c r="Y269" s="1"/>
      <c r="Z269" s="1"/>
      <c r="AA269" s="1"/>
    </row>
    <row r="270" spans="1:27" ht="15.75" customHeight="1">
      <c r="A270" s="1"/>
      <c r="B270" s="556" t="s">
        <v>1694</v>
      </c>
      <c r="C270" s="557" t="s">
        <v>1514</v>
      </c>
      <c r="D270" s="174" t="s">
        <v>1695</v>
      </c>
      <c r="E270" s="558">
        <f t="shared" si="112"/>
        <v>67776.470588235301</v>
      </c>
      <c r="F270" s="559" t="s">
        <v>550</v>
      </c>
      <c r="G270" s="557"/>
      <c r="H270" s="560">
        <f t="shared" si="113"/>
        <v>80654</v>
      </c>
      <c r="I270" s="520"/>
      <c r="J270" s="517">
        <f t="shared" si="114"/>
        <v>80653.166666666672</v>
      </c>
      <c r="K270" s="521" t="s">
        <v>1516</v>
      </c>
      <c r="L270" s="522">
        <f>483919/6</f>
        <v>80653.166666666672</v>
      </c>
      <c r="M270" s="518"/>
      <c r="N270" s="519"/>
      <c r="O270" s="1"/>
      <c r="P270" s="1"/>
      <c r="Q270" s="1"/>
      <c r="R270" s="1"/>
      <c r="S270" s="1"/>
      <c r="T270" s="1"/>
      <c r="U270" s="1"/>
      <c r="V270" s="1"/>
      <c r="W270" s="1"/>
      <c r="X270" s="1"/>
      <c r="Y270" s="1"/>
      <c r="Z270" s="1"/>
      <c r="AA270" s="1"/>
    </row>
    <row r="271" spans="1:27" ht="15.75" customHeight="1">
      <c r="A271" s="1"/>
      <c r="B271" s="556" t="s">
        <v>1696</v>
      </c>
      <c r="C271" s="557" t="s">
        <v>1514</v>
      </c>
      <c r="D271" s="174" t="s">
        <v>1697</v>
      </c>
      <c r="E271" s="558">
        <f t="shared" si="112"/>
        <v>7473.9495798319331</v>
      </c>
      <c r="F271" s="559" t="s">
        <v>550</v>
      </c>
      <c r="G271" s="557"/>
      <c r="H271" s="560">
        <f t="shared" si="113"/>
        <v>8894</v>
      </c>
      <c r="I271" s="520"/>
      <c r="J271" s="517">
        <f t="shared" si="114"/>
        <v>8893.1666666666661</v>
      </c>
      <c r="K271" s="521" t="s">
        <v>1516</v>
      </c>
      <c r="L271" s="522">
        <f>53359/6</f>
        <v>8893.1666666666661</v>
      </c>
      <c r="M271" s="518"/>
      <c r="N271" s="519"/>
      <c r="O271" s="1"/>
      <c r="P271" s="1"/>
      <c r="Q271" s="1"/>
      <c r="R271" s="1"/>
      <c r="S271" s="1"/>
      <c r="T271" s="1"/>
      <c r="U271" s="1"/>
      <c r="V271" s="1"/>
      <c r="W271" s="1"/>
      <c r="X271" s="1"/>
      <c r="Y271" s="1"/>
      <c r="Z271" s="1"/>
      <c r="AA271" s="1"/>
    </row>
    <row r="272" spans="1:27" ht="15.75" customHeight="1">
      <c r="A272" s="1"/>
      <c r="B272" s="556" t="s">
        <v>1698</v>
      </c>
      <c r="C272" s="557" t="s">
        <v>1514</v>
      </c>
      <c r="D272" s="174" t="s">
        <v>1699</v>
      </c>
      <c r="E272" s="558">
        <f t="shared" si="112"/>
        <v>10805.042016806723</v>
      </c>
      <c r="F272" s="559" t="s">
        <v>550</v>
      </c>
      <c r="G272" s="557"/>
      <c r="H272" s="560">
        <f t="shared" si="113"/>
        <v>12858</v>
      </c>
      <c r="I272" s="520"/>
      <c r="J272" s="517">
        <f t="shared" si="114"/>
        <v>12858</v>
      </c>
      <c r="K272" s="521" t="s">
        <v>1516</v>
      </c>
      <c r="L272" s="522">
        <f>77148/6</f>
        <v>12858</v>
      </c>
      <c r="M272" s="518"/>
      <c r="N272" s="519"/>
      <c r="O272" s="1"/>
      <c r="P272" s="1"/>
      <c r="Q272" s="1"/>
      <c r="R272" s="1"/>
      <c r="S272" s="1"/>
      <c r="T272" s="1"/>
      <c r="U272" s="1"/>
      <c r="V272" s="1"/>
      <c r="W272" s="1"/>
      <c r="X272" s="1"/>
      <c r="Y272" s="1"/>
      <c r="Z272" s="1"/>
      <c r="AA272" s="1"/>
    </row>
    <row r="273" spans="1:27" ht="15.75" customHeight="1">
      <c r="A273" s="1"/>
      <c r="B273" s="556" t="s">
        <v>1700</v>
      </c>
      <c r="C273" s="557" t="s">
        <v>1514</v>
      </c>
      <c r="D273" s="174" t="s">
        <v>2545</v>
      </c>
      <c r="E273" s="558">
        <f t="shared" si="112"/>
        <v>21260.504201680673</v>
      </c>
      <c r="F273" s="559" t="s">
        <v>550</v>
      </c>
      <c r="G273" s="557"/>
      <c r="H273" s="560">
        <f t="shared" si="113"/>
        <v>25300</v>
      </c>
      <c r="I273" s="520"/>
      <c r="J273" s="517">
        <f t="shared" si="114"/>
        <v>25299.999999999996</v>
      </c>
      <c r="K273" s="521" t="s">
        <v>1516</v>
      </c>
      <c r="L273" s="522">
        <f>22000*1.15</f>
        <v>25299.999999999996</v>
      </c>
      <c r="M273" s="518"/>
      <c r="N273" s="519"/>
      <c r="O273" s="1"/>
      <c r="P273" s="1"/>
      <c r="Q273" s="1"/>
      <c r="R273" s="1"/>
      <c r="S273" s="1"/>
      <c r="T273" s="1"/>
      <c r="U273" s="1"/>
      <c r="V273" s="1"/>
      <c r="W273" s="1"/>
      <c r="X273" s="1"/>
      <c r="Y273" s="1"/>
      <c r="Z273" s="1"/>
      <c r="AA273" s="1"/>
    </row>
    <row r="274" spans="1:27" ht="15.75" customHeight="1">
      <c r="A274" s="1"/>
      <c r="B274" s="556"/>
      <c r="C274" s="557"/>
      <c r="D274" s="174"/>
      <c r="E274" s="558"/>
      <c r="F274" s="559"/>
      <c r="G274" s="557"/>
      <c r="H274" s="560"/>
      <c r="I274" s="520"/>
      <c r="J274" s="517"/>
      <c r="K274" s="521"/>
      <c r="L274" s="522"/>
      <c r="M274" s="521"/>
      <c r="N274" s="522"/>
      <c r="O274" s="1"/>
      <c r="P274" s="1"/>
      <c r="Q274" s="1"/>
      <c r="R274" s="1"/>
      <c r="S274" s="1"/>
      <c r="T274" s="1"/>
      <c r="U274" s="1"/>
      <c r="V274" s="1"/>
      <c r="W274" s="1"/>
      <c r="X274" s="1"/>
      <c r="Y274" s="1"/>
      <c r="Z274" s="1"/>
      <c r="AA274" s="1"/>
    </row>
    <row r="275" spans="1:27" ht="15.75" customHeight="1">
      <c r="A275" s="1"/>
      <c r="B275" s="556" t="s">
        <v>1701</v>
      </c>
      <c r="C275" s="557" t="s">
        <v>1514</v>
      </c>
      <c r="D275" s="174" t="s">
        <v>1702</v>
      </c>
      <c r="E275" s="558">
        <f t="shared" ref="E275:E282" si="115">+H275/1.19</f>
        <v>509.24369747899163</v>
      </c>
      <c r="F275" s="559" t="s">
        <v>1291</v>
      </c>
      <c r="G275" s="557"/>
      <c r="H275" s="560">
        <f t="shared" ref="H275:H282" si="116">ROUNDUP($J275*(1+$C$10),0)</f>
        <v>606</v>
      </c>
      <c r="I275" s="520"/>
      <c r="J275" s="517">
        <f t="shared" ref="J275:J282" si="117">IFERROR(AVERAGEIF($K$13:$P$13,"PRECIO IVA INC.",K275:P275),)</f>
        <v>606</v>
      </c>
      <c r="K275" s="521" t="s">
        <v>1516</v>
      </c>
      <c r="L275" s="522">
        <v>606</v>
      </c>
      <c r="M275" s="521"/>
      <c r="N275" s="522"/>
      <c r="O275" s="1"/>
      <c r="P275" s="1"/>
      <c r="Q275" s="1"/>
      <c r="R275" s="1"/>
      <c r="S275" s="1"/>
      <c r="T275" s="1"/>
      <c r="U275" s="1"/>
      <c r="V275" s="1"/>
      <c r="W275" s="1"/>
      <c r="X275" s="1"/>
      <c r="Y275" s="1"/>
      <c r="Z275" s="1"/>
      <c r="AA275" s="1"/>
    </row>
    <row r="276" spans="1:27" ht="15.75" customHeight="1">
      <c r="A276" s="1"/>
      <c r="B276" s="556" t="s">
        <v>1703</v>
      </c>
      <c r="C276" s="557" t="s">
        <v>1514</v>
      </c>
      <c r="D276" s="174" t="s">
        <v>1704</v>
      </c>
      <c r="E276" s="558">
        <f t="shared" si="115"/>
        <v>803.36134453781517</v>
      </c>
      <c r="F276" s="559" t="s">
        <v>1291</v>
      </c>
      <c r="G276" s="557"/>
      <c r="H276" s="560">
        <f t="shared" si="116"/>
        <v>956</v>
      </c>
      <c r="I276" s="520"/>
      <c r="J276" s="517">
        <f t="shared" si="117"/>
        <v>956</v>
      </c>
      <c r="K276" s="521" t="s">
        <v>1516</v>
      </c>
      <c r="L276" s="522">
        <v>956</v>
      </c>
      <c r="M276" s="521"/>
      <c r="N276" s="522"/>
      <c r="O276" s="521"/>
      <c r="P276" s="522"/>
      <c r="Q276" s="1"/>
      <c r="R276" s="1"/>
      <c r="S276" s="1"/>
      <c r="T276" s="1"/>
      <c r="U276" s="1"/>
      <c r="V276" s="1"/>
      <c r="W276" s="1"/>
      <c r="X276" s="1"/>
      <c r="Y276" s="1"/>
      <c r="Z276" s="1"/>
      <c r="AA276" s="1"/>
    </row>
    <row r="277" spans="1:27" ht="15.75" customHeight="1">
      <c r="A277" s="1"/>
      <c r="B277" s="556" t="s">
        <v>1705</v>
      </c>
      <c r="C277" s="557" t="s">
        <v>1514</v>
      </c>
      <c r="D277" s="174" t="s">
        <v>1706</v>
      </c>
      <c r="E277" s="558">
        <f t="shared" si="115"/>
        <v>1316.8067226890757</v>
      </c>
      <c r="F277" s="559" t="s">
        <v>1291</v>
      </c>
      <c r="G277" s="557"/>
      <c r="H277" s="560">
        <f t="shared" si="116"/>
        <v>1567</v>
      </c>
      <c r="I277" s="520"/>
      <c r="J277" s="517">
        <f t="shared" si="117"/>
        <v>1567</v>
      </c>
      <c r="K277" s="521" t="s">
        <v>1516</v>
      </c>
      <c r="L277" s="522">
        <v>1567</v>
      </c>
      <c r="M277" s="521"/>
      <c r="N277" s="522"/>
      <c r="O277" s="521"/>
      <c r="P277" s="522"/>
      <c r="Q277" s="1"/>
      <c r="R277" s="1"/>
      <c r="S277" s="1"/>
      <c r="T277" s="1"/>
      <c r="U277" s="1"/>
      <c r="V277" s="1"/>
      <c r="W277" s="1"/>
      <c r="X277" s="1"/>
      <c r="Y277" s="1"/>
      <c r="Z277" s="1"/>
      <c r="AA277" s="1"/>
    </row>
    <row r="278" spans="1:27" ht="15.75" customHeight="1">
      <c r="A278" s="1"/>
      <c r="B278" s="556" t="s">
        <v>1707</v>
      </c>
      <c r="C278" s="557" t="s">
        <v>1514</v>
      </c>
      <c r="D278" s="174" t="s">
        <v>1708</v>
      </c>
      <c r="E278" s="558">
        <f t="shared" si="115"/>
        <v>3292.4369747899159</v>
      </c>
      <c r="F278" s="559" t="s">
        <v>1291</v>
      </c>
      <c r="G278" s="557"/>
      <c r="H278" s="560">
        <f t="shared" si="116"/>
        <v>3918</v>
      </c>
      <c r="I278" s="520"/>
      <c r="J278" s="517">
        <f t="shared" si="117"/>
        <v>3918</v>
      </c>
      <c r="K278" s="521" t="s">
        <v>1516</v>
      </c>
      <c r="L278" s="522">
        <v>3918</v>
      </c>
      <c r="M278" s="521"/>
      <c r="N278" s="522"/>
      <c r="O278" s="521"/>
      <c r="P278" s="522"/>
      <c r="Q278" s="1"/>
      <c r="R278" s="1"/>
      <c r="S278" s="1"/>
      <c r="T278" s="1"/>
      <c r="U278" s="1"/>
      <c r="V278" s="1"/>
      <c r="W278" s="1"/>
      <c r="X278" s="1"/>
      <c r="Y278" s="1"/>
      <c r="Z278" s="1"/>
      <c r="AA278" s="1"/>
    </row>
    <row r="279" spans="1:27" ht="15.75" customHeight="1">
      <c r="A279" s="1"/>
      <c r="B279" s="556" t="s">
        <v>1709</v>
      </c>
      <c r="C279" s="557" t="s">
        <v>1514</v>
      </c>
      <c r="D279" s="174" t="s">
        <v>1710</v>
      </c>
      <c r="E279" s="558">
        <f t="shared" si="115"/>
        <v>5394.1176470588234</v>
      </c>
      <c r="F279" s="559" t="s">
        <v>1291</v>
      </c>
      <c r="G279" s="557"/>
      <c r="H279" s="560">
        <f t="shared" si="116"/>
        <v>6419</v>
      </c>
      <c r="I279" s="520"/>
      <c r="J279" s="517">
        <f t="shared" si="117"/>
        <v>6419</v>
      </c>
      <c r="K279" s="521" t="s">
        <v>1516</v>
      </c>
      <c r="L279" s="522">
        <v>6419</v>
      </c>
      <c r="M279" s="521"/>
      <c r="N279" s="522"/>
      <c r="O279" s="521"/>
      <c r="P279" s="522"/>
      <c r="Q279" s="1"/>
      <c r="R279" s="1"/>
      <c r="S279" s="1"/>
      <c r="T279" s="1"/>
      <c r="U279" s="1"/>
      <c r="V279" s="1"/>
      <c r="W279" s="1"/>
      <c r="X279" s="1"/>
      <c r="Y279" s="1"/>
      <c r="Z279" s="1"/>
      <c r="AA279" s="1"/>
    </row>
    <row r="280" spans="1:27" ht="15.75" customHeight="1">
      <c r="A280" s="1"/>
      <c r="B280" s="556" t="s">
        <v>1711</v>
      </c>
      <c r="C280" s="557" t="s">
        <v>1514</v>
      </c>
      <c r="D280" s="174" t="s">
        <v>1712</v>
      </c>
      <c r="E280" s="558">
        <f t="shared" si="115"/>
        <v>1419.327731092437</v>
      </c>
      <c r="F280" s="559" t="s">
        <v>1291</v>
      </c>
      <c r="G280" s="557"/>
      <c r="H280" s="560">
        <f t="shared" si="116"/>
        <v>1689</v>
      </c>
      <c r="I280" s="520"/>
      <c r="J280" s="517">
        <f t="shared" si="117"/>
        <v>1689</v>
      </c>
      <c r="K280" s="521" t="s">
        <v>1516</v>
      </c>
      <c r="L280" s="522">
        <v>1689</v>
      </c>
      <c r="M280" s="521"/>
      <c r="N280" s="522"/>
      <c r="O280" s="521"/>
      <c r="P280" s="522"/>
      <c r="Q280" s="1"/>
      <c r="R280" s="1"/>
      <c r="S280" s="1"/>
      <c r="T280" s="1"/>
      <c r="U280" s="1"/>
      <c r="V280" s="1"/>
      <c r="W280" s="1"/>
      <c r="X280" s="1"/>
      <c r="Y280" s="1"/>
      <c r="Z280" s="1"/>
      <c r="AA280" s="1"/>
    </row>
    <row r="281" spans="1:27" ht="15.75" customHeight="1">
      <c r="A281" s="1"/>
      <c r="B281" s="556" t="s">
        <v>1713</v>
      </c>
      <c r="C281" s="557" t="s">
        <v>1514</v>
      </c>
      <c r="D281" s="174" t="s">
        <v>1714</v>
      </c>
      <c r="E281" s="558">
        <f t="shared" si="115"/>
        <v>2094.1176470588234</v>
      </c>
      <c r="F281" s="559" t="s">
        <v>1291</v>
      </c>
      <c r="G281" s="557"/>
      <c r="H281" s="560">
        <f t="shared" si="116"/>
        <v>2492</v>
      </c>
      <c r="I281" s="520"/>
      <c r="J281" s="517">
        <f t="shared" si="117"/>
        <v>2492</v>
      </c>
      <c r="K281" s="521" t="s">
        <v>1516</v>
      </c>
      <c r="L281" s="522">
        <v>2492</v>
      </c>
      <c r="M281" s="521"/>
      <c r="N281" s="522"/>
      <c r="O281" s="521"/>
      <c r="P281" s="522"/>
      <c r="Q281" s="1"/>
      <c r="R281" s="1"/>
      <c r="S281" s="1"/>
      <c r="T281" s="1"/>
      <c r="U281" s="1"/>
      <c r="V281" s="1"/>
      <c r="W281" s="1"/>
      <c r="X281" s="1"/>
      <c r="Y281" s="1"/>
      <c r="Z281" s="1"/>
      <c r="AA281" s="1"/>
    </row>
    <row r="282" spans="1:27" ht="15.75" customHeight="1">
      <c r="A282" s="1"/>
      <c r="B282" s="556" t="s">
        <v>1715</v>
      </c>
      <c r="C282" s="557" t="s">
        <v>1514</v>
      </c>
      <c r="D282" s="174" t="s">
        <v>1716</v>
      </c>
      <c r="E282" s="558">
        <f t="shared" si="115"/>
        <v>9239.495798319329</v>
      </c>
      <c r="F282" s="559" t="s">
        <v>1291</v>
      </c>
      <c r="G282" s="557"/>
      <c r="H282" s="560">
        <f t="shared" si="116"/>
        <v>10995</v>
      </c>
      <c r="I282" s="520"/>
      <c r="J282" s="517">
        <f t="shared" si="117"/>
        <v>10995</v>
      </c>
      <c r="K282" s="521" t="s">
        <v>1516</v>
      </c>
      <c r="L282" s="522">
        <v>10995</v>
      </c>
      <c r="M282" s="521"/>
      <c r="N282" s="522"/>
      <c r="O282" s="521"/>
      <c r="P282" s="522"/>
      <c r="Q282" s="1"/>
      <c r="R282" s="1"/>
      <c r="S282" s="1"/>
      <c r="T282" s="1"/>
      <c r="U282" s="1"/>
      <c r="V282" s="1"/>
      <c r="W282" s="1"/>
      <c r="X282" s="1"/>
      <c r="Y282" s="1"/>
      <c r="Z282" s="1"/>
      <c r="AA282" s="1"/>
    </row>
    <row r="283" spans="1:27" ht="15.75" customHeight="1">
      <c r="A283" s="1"/>
      <c r="B283" s="556"/>
      <c r="C283" s="557"/>
      <c r="D283" s="174"/>
      <c r="E283" s="558"/>
      <c r="F283" s="559"/>
      <c r="G283" s="557"/>
      <c r="H283" s="560"/>
      <c r="I283" s="520"/>
      <c r="J283" s="517"/>
      <c r="K283" s="521"/>
      <c r="L283" s="522"/>
      <c r="M283" s="521"/>
      <c r="N283" s="522"/>
      <c r="O283" s="521"/>
      <c r="P283" s="522"/>
      <c r="Q283" s="1"/>
      <c r="R283" s="1"/>
      <c r="S283" s="1"/>
      <c r="T283" s="1"/>
      <c r="U283" s="1"/>
      <c r="V283" s="1"/>
      <c r="W283" s="1"/>
      <c r="X283" s="1"/>
      <c r="Y283" s="1"/>
      <c r="Z283" s="1"/>
      <c r="AA283" s="1"/>
    </row>
    <row r="284" spans="1:27" ht="15.75" customHeight="1">
      <c r="A284" s="1"/>
      <c r="B284" s="556" t="s">
        <v>1717</v>
      </c>
      <c r="C284" s="557" t="s">
        <v>1514</v>
      </c>
      <c r="D284" s="174" t="s">
        <v>1718</v>
      </c>
      <c r="E284" s="558">
        <f t="shared" ref="E284:E288" si="118">+H284/1.19</f>
        <v>2887.3949579831933</v>
      </c>
      <c r="F284" s="559" t="s">
        <v>1291</v>
      </c>
      <c r="G284" s="557"/>
      <c r="H284" s="560">
        <f t="shared" ref="H284:H288" si="119">ROUNDUP($J284*(1+$C$10),0)</f>
        <v>3436</v>
      </c>
      <c r="I284" s="520"/>
      <c r="J284" s="517">
        <f t="shared" ref="J284:J288" si="120">IFERROR(AVERAGEIF($K$13:$P$13,"PRECIO IVA INC.",K284:P284),)</f>
        <v>3436</v>
      </c>
      <c r="K284" s="521" t="s">
        <v>1516</v>
      </c>
      <c r="L284" s="522">
        <v>3436</v>
      </c>
      <c r="M284" s="521"/>
      <c r="N284" s="522"/>
      <c r="O284" s="521"/>
      <c r="P284" s="522"/>
      <c r="Q284" s="1"/>
      <c r="R284" s="1"/>
      <c r="S284" s="1"/>
      <c r="T284" s="1"/>
      <c r="U284" s="1"/>
      <c r="V284" s="1"/>
      <c r="W284" s="1"/>
      <c r="X284" s="1"/>
      <c r="Y284" s="1"/>
      <c r="Z284" s="1"/>
      <c r="AA284" s="1"/>
    </row>
    <row r="285" spans="1:27" ht="15.75" customHeight="1">
      <c r="A285" s="1"/>
      <c r="B285" s="556" t="s">
        <v>1719</v>
      </c>
      <c r="C285" s="557" t="s">
        <v>1514</v>
      </c>
      <c r="D285" s="174" t="s">
        <v>1720</v>
      </c>
      <c r="E285" s="558">
        <f t="shared" si="118"/>
        <v>3305.8823529411766</v>
      </c>
      <c r="F285" s="559" t="s">
        <v>1291</v>
      </c>
      <c r="G285" s="557"/>
      <c r="H285" s="560">
        <f t="shared" si="119"/>
        <v>3934</v>
      </c>
      <c r="I285" s="520"/>
      <c r="J285" s="517">
        <f t="shared" si="120"/>
        <v>3934</v>
      </c>
      <c r="K285" s="521" t="s">
        <v>1516</v>
      </c>
      <c r="L285" s="522">
        <v>3934</v>
      </c>
      <c r="M285" s="521"/>
      <c r="N285" s="522"/>
      <c r="O285" s="521"/>
      <c r="P285" s="522"/>
      <c r="Q285" s="1"/>
      <c r="R285" s="1"/>
      <c r="S285" s="1"/>
      <c r="T285" s="1"/>
      <c r="U285" s="1"/>
      <c r="V285" s="1"/>
      <c r="W285" s="1"/>
      <c r="X285" s="1"/>
      <c r="Y285" s="1"/>
      <c r="Z285" s="1"/>
      <c r="AA285" s="1"/>
    </row>
    <row r="286" spans="1:27" ht="15.75" customHeight="1">
      <c r="A286" s="1"/>
      <c r="B286" s="556" t="s">
        <v>1721</v>
      </c>
      <c r="C286" s="557" t="s">
        <v>1514</v>
      </c>
      <c r="D286" s="174" t="s">
        <v>1722</v>
      </c>
      <c r="E286" s="558">
        <f t="shared" si="118"/>
        <v>4772.2689075630251</v>
      </c>
      <c r="F286" s="559" t="s">
        <v>1291</v>
      </c>
      <c r="G286" s="557"/>
      <c r="H286" s="560">
        <f t="shared" si="119"/>
        <v>5679</v>
      </c>
      <c r="I286" s="520"/>
      <c r="J286" s="517">
        <f t="shared" si="120"/>
        <v>5679</v>
      </c>
      <c r="K286" s="521" t="s">
        <v>1516</v>
      </c>
      <c r="L286" s="522">
        <v>5679</v>
      </c>
      <c r="M286" s="521"/>
      <c r="N286" s="522"/>
      <c r="O286" s="521"/>
      <c r="P286" s="522"/>
      <c r="Q286" s="1"/>
      <c r="R286" s="1"/>
      <c r="S286" s="1"/>
      <c r="T286" s="1"/>
      <c r="U286" s="1"/>
      <c r="V286" s="1"/>
      <c r="W286" s="1"/>
      <c r="X286" s="1"/>
      <c r="Y286" s="1"/>
      <c r="Z286" s="1"/>
      <c r="AA286" s="1"/>
    </row>
    <row r="287" spans="1:27" ht="15.75" customHeight="1">
      <c r="A287" s="1"/>
      <c r="B287" s="556" t="s">
        <v>1723</v>
      </c>
      <c r="C287" s="557" t="s">
        <v>1514</v>
      </c>
      <c r="D287" s="174" t="s">
        <v>2542</v>
      </c>
      <c r="E287" s="558">
        <f t="shared" si="118"/>
        <v>6026.8907563025214</v>
      </c>
      <c r="F287" s="559" t="s">
        <v>1291</v>
      </c>
      <c r="G287" s="557"/>
      <c r="H287" s="560">
        <f t="shared" si="119"/>
        <v>7172</v>
      </c>
      <c r="I287" s="520"/>
      <c r="J287" s="517">
        <f t="shared" si="120"/>
        <v>7172</v>
      </c>
      <c r="K287" s="521" t="s">
        <v>1516</v>
      </c>
      <c r="L287" s="522">
        <v>11446</v>
      </c>
      <c r="M287" s="521" t="s">
        <v>1292</v>
      </c>
      <c r="N287" s="522">
        <v>4550</v>
      </c>
      <c r="O287" s="521" t="s">
        <v>1305</v>
      </c>
      <c r="P287" s="522">
        <v>5520</v>
      </c>
      <c r="Q287" s="1"/>
      <c r="R287" s="1"/>
      <c r="S287" s="1"/>
      <c r="T287" s="1"/>
      <c r="U287" s="1"/>
      <c r="V287" s="1"/>
      <c r="W287" s="1"/>
      <c r="X287" s="1"/>
      <c r="Y287" s="1"/>
      <c r="Z287" s="1"/>
      <c r="AA287" s="1"/>
    </row>
    <row r="288" spans="1:27" ht="15.75" customHeight="1">
      <c r="A288" s="1"/>
      <c r="B288" s="556" t="s">
        <v>1724</v>
      </c>
      <c r="C288" s="557" t="s">
        <v>1514</v>
      </c>
      <c r="D288" s="174" t="s">
        <v>1725</v>
      </c>
      <c r="E288" s="558">
        <f t="shared" si="118"/>
        <v>41779.831932773108</v>
      </c>
      <c r="F288" s="559" t="s">
        <v>1291</v>
      </c>
      <c r="G288" s="557"/>
      <c r="H288" s="560">
        <f t="shared" si="119"/>
        <v>49718</v>
      </c>
      <c r="I288" s="520"/>
      <c r="J288" s="517">
        <f t="shared" si="120"/>
        <v>49718</v>
      </c>
      <c r="K288" s="521" t="s">
        <v>1516</v>
      </c>
      <c r="L288" s="522">
        <v>49718</v>
      </c>
      <c r="M288" s="521"/>
      <c r="N288" s="522"/>
      <c r="O288" s="521"/>
      <c r="P288" s="522"/>
      <c r="Q288" s="1"/>
      <c r="R288" s="1"/>
      <c r="S288" s="1"/>
      <c r="T288" s="1"/>
      <c r="U288" s="1"/>
      <c r="V288" s="1"/>
      <c r="W288" s="1"/>
      <c r="X288" s="1"/>
      <c r="Y288" s="1"/>
      <c r="Z288" s="1"/>
      <c r="AA288" s="1"/>
    </row>
    <row r="289" spans="1:27" ht="15.75" customHeight="1">
      <c r="A289" s="1"/>
      <c r="B289" s="556"/>
      <c r="C289" s="557"/>
      <c r="D289" s="174"/>
      <c r="E289" s="558"/>
      <c r="F289" s="559"/>
      <c r="G289" s="557"/>
      <c r="H289" s="560"/>
      <c r="I289" s="520"/>
      <c r="J289" s="517"/>
      <c r="K289" s="521"/>
      <c r="L289" s="522"/>
      <c r="M289" s="521"/>
      <c r="N289" s="522"/>
      <c r="O289" s="521"/>
      <c r="P289" s="522"/>
      <c r="Q289" s="1"/>
      <c r="R289" s="1"/>
      <c r="S289" s="1"/>
      <c r="T289" s="1"/>
      <c r="U289" s="1"/>
      <c r="V289" s="1"/>
      <c r="W289" s="1"/>
      <c r="X289" s="1"/>
      <c r="Y289" s="1"/>
      <c r="Z289" s="1"/>
      <c r="AA289" s="1"/>
    </row>
    <row r="290" spans="1:27" ht="15.75" customHeight="1">
      <c r="A290" s="1"/>
      <c r="B290" s="556" t="s">
        <v>1726</v>
      </c>
      <c r="C290" s="557" t="s">
        <v>1514</v>
      </c>
      <c r="D290" s="174" t="s">
        <v>1727</v>
      </c>
      <c r="E290" s="558">
        <f t="shared" ref="E290:E299" si="121">+H290/1.19</f>
        <v>35210.08403361345</v>
      </c>
      <c r="F290" s="559" t="s">
        <v>1291</v>
      </c>
      <c r="G290" s="557"/>
      <c r="H290" s="560">
        <f t="shared" ref="H290:H302" si="122">ROUNDUP($J290*(1+$C$10),0)</f>
        <v>41900</v>
      </c>
      <c r="I290" s="520"/>
      <c r="J290" s="517">
        <f t="shared" ref="J290:J299" si="123">IFERROR(AVERAGEIF($K$13:$P$13,"PRECIO IVA INC.",K290:P290),)</f>
        <v>41900</v>
      </c>
      <c r="K290" s="521" t="s">
        <v>1292</v>
      </c>
      <c r="L290" s="522">
        <v>41900</v>
      </c>
      <c r="M290" s="521"/>
      <c r="N290" s="522"/>
      <c r="O290" s="521"/>
      <c r="P290" s="522"/>
      <c r="Q290" s="1"/>
      <c r="R290" s="1"/>
      <c r="S290" s="1"/>
      <c r="T290" s="1"/>
      <c r="U290" s="1"/>
      <c r="V290" s="1"/>
      <c r="W290" s="1"/>
      <c r="X290" s="1"/>
      <c r="Y290" s="1"/>
      <c r="Z290" s="1"/>
      <c r="AA290" s="1"/>
    </row>
    <row r="291" spans="1:27" ht="15.75" customHeight="1">
      <c r="A291" s="1"/>
      <c r="B291" s="556" t="s">
        <v>1728</v>
      </c>
      <c r="C291" s="557" t="s">
        <v>1514</v>
      </c>
      <c r="D291" s="174" t="s">
        <v>1729</v>
      </c>
      <c r="E291" s="558">
        <f t="shared" si="121"/>
        <v>12544.53781512605</v>
      </c>
      <c r="F291" s="559" t="s">
        <v>1291</v>
      </c>
      <c r="G291" s="557"/>
      <c r="H291" s="560">
        <f t="shared" si="122"/>
        <v>14928</v>
      </c>
      <c r="I291" s="520"/>
      <c r="J291" s="517">
        <f t="shared" si="123"/>
        <v>14928</v>
      </c>
      <c r="K291" s="521" t="s">
        <v>1516</v>
      </c>
      <c r="L291" s="522">
        <v>14928</v>
      </c>
      <c r="M291" s="521"/>
      <c r="N291" s="522"/>
      <c r="O291" s="521"/>
      <c r="P291" s="522"/>
      <c r="Q291" s="1"/>
      <c r="R291" s="1"/>
      <c r="S291" s="1"/>
      <c r="T291" s="1"/>
      <c r="U291" s="1"/>
      <c r="V291" s="1"/>
      <c r="W291" s="1"/>
      <c r="X291" s="1"/>
      <c r="Y291" s="1"/>
      <c r="Z291" s="1"/>
      <c r="AA291" s="1"/>
    </row>
    <row r="292" spans="1:27" ht="15.75" customHeight="1">
      <c r="A292" s="1"/>
      <c r="B292" s="556" t="s">
        <v>1730</v>
      </c>
      <c r="C292" s="557" t="s">
        <v>1514</v>
      </c>
      <c r="D292" s="174" t="s">
        <v>1731</v>
      </c>
      <c r="E292" s="558">
        <f t="shared" si="121"/>
        <v>7983.1932773109247</v>
      </c>
      <c r="F292" s="559" t="s">
        <v>1291</v>
      </c>
      <c r="G292" s="557"/>
      <c r="H292" s="560">
        <f t="shared" si="122"/>
        <v>9500</v>
      </c>
      <c r="I292" s="520"/>
      <c r="J292" s="517">
        <f t="shared" si="123"/>
        <v>9500</v>
      </c>
      <c r="K292" s="521" t="s">
        <v>1292</v>
      </c>
      <c r="L292" s="522">
        <v>9500</v>
      </c>
      <c r="M292" s="1"/>
      <c r="N292" s="1"/>
      <c r="O292" s="1"/>
      <c r="P292" s="1"/>
      <c r="Q292" s="1"/>
      <c r="R292" s="1"/>
      <c r="S292" s="1"/>
      <c r="T292" s="1"/>
      <c r="U292" s="1"/>
      <c r="V292" s="1"/>
      <c r="W292" s="1"/>
      <c r="X292" s="1"/>
      <c r="Y292" s="1"/>
      <c r="Z292" s="1"/>
      <c r="AA292" s="1"/>
    </row>
    <row r="293" spans="1:27" ht="15.75" customHeight="1">
      <c r="A293" s="1"/>
      <c r="B293" s="556" t="s">
        <v>1732</v>
      </c>
      <c r="C293" s="557" t="s">
        <v>1514</v>
      </c>
      <c r="D293" s="174" t="s">
        <v>1733</v>
      </c>
      <c r="E293" s="558">
        <f t="shared" si="121"/>
        <v>10000</v>
      </c>
      <c r="F293" s="559" t="s">
        <v>1291</v>
      </c>
      <c r="G293" s="557"/>
      <c r="H293" s="560">
        <f t="shared" si="122"/>
        <v>11900</v>
      </c>
      <c r="I293" s="520"/>
      <c r="J293" s="517">
        <f t="shared" si="123"/>
        <v>11900</v>
      </c>
      <c r="K293" s="521" t="s">
        <v>1292</v>
      </c>
      <c r="L293" s="522">
        <v>11900</v>
      </c>
      <c r="M293" s="1"/>
      <c r="N293" s="1"/>
      <c r="O293" s="1"/>
      <c r="P293" s="1"/>
      <c r="Q293" s="1"/>
      <c r="R293" s="1"/>
      <c r="S293" s="1"/>
      <c r="T293" s="1"/>
      <c r="U293" s="1"/>
      <c r="V293" s="1"/>
      <c r="W293" s="1"/>
      <c r="X293" s="1"/>
      <c r="Y293" s="1"/>
      <c r="Z293" s="1"/>
      <c r="AA293" s="1"/>
    </row>
    <row r="294" spans="1:27" ht="15.75" customHeight="1">
      <c r="A294" s="1"/>
      <c r="B294" s="556" t="s">
        <v>1734</v>
      </c>
      <c r="C294" s="557" t="s">
        <v>1514</v>
      </c>
      <c r="D294" s="174" t="s">
        <v>1735</v>
      </c>
      <c r="E294" s="558">
        <f t="shared" si="121"/>
        <v>277389.07563025213</v>
      </c>
      <c r="F294" s="559" t="s">
        <v>1291</v>
      </c>
      <c r="G294" s="557"/>
      <c r="H294" s="560">
        <f t="shared" si="122"/>
        <v>330093</v>
      </c>
      <c r="I294" s="520"/>
      <c r="J294" s="517">
        <f t="shared" si="123"/>
        <v>330092.5</v>
      </c>
      <c r="K294" s="521" t="s">
        <v>1736</v>
      </c>
      <c r="L294" s="522">
        <v>208938</v>
      </c>
      <c r="M294" s="1" t="s">
        <v>1737</v>
      </c>
      <c r="N294" s="564">
        <v>451247</v>
      </c>
      <c r="O294" s="1"/>
      <c r="P294" s="1"/>
      <c r="Q294" s="1"/>
      <c r="R294" s="1"/>
      <c r="S294" s="1"/>
      <c r="T294" s="1"/>
      <c r="U294" s="1"/>
      <c r="V294" s="1"/>
      <c r="W294" s="1"/>
      <c r="X294" s="1"/>
      <c r="Y294" s="1"/>
      <c r="Z294" s="1"/>
      <c r="AA294" s="1"/>
    </row>
    <row r="295" spans="1:27" ht="15.75" customHeight="1">
      <c r="A295" s="1"/>
      <c r="B295" s="556" t="s">
        <v>1738</v>
      </c>
      <c r="C295" s="557" t="s">
        <v>1514</v>
      </c>
      <c r="D295" s="174" t="s">
        <v>1739</v>
      </c>
      <c r="E295" s="558">
        <f t="shared" si="121"/>
        <v>405396.63865546219</v>
      </c>
      <c r="F295" s="559" t="s">
        <v>1291</v>
      </c>
      <c r="G295" s="557"/>
      <c r="H295" s="560">
        <f t="shared" si="122"/>
        <v>482422</v>
      </c>
      <c r="I295" s="520"/>
      <c r="J295" s="517">
        <f t="shared" si="123"/>
        <v>482421.5</v>
      </c>
      <c r="K295" s="521" t="s">
        <v>1736</v>
      </c>
      <c r="L295" s="522">
        <v>305164</v>
      </c>
      <c r="M295" s="1" t="s">
        <v>1737</v>
      </c>
      <c r="N295" s="564">
        <v>659679</v>
      </c>
      <c r="O295" s="1"/>
      <c r="P295" s="1"/>
      <c r="Q295" s="1"/>
      <c r="R295" s="1"/>
      <c r="S295" s="1"/>
      <c r="T295" s="1"/>
      <c r="U295" s="1"/>
      <c r="V295" s="1"/>
      <c r="W295" s="1"/>
      <c r="X295" s="1"/>
      <c r="Y295" s="1"/>
      <c r="Z295" s="1"/>
      <c r="AA295" s="1"/>
    </row>
    <row r="296" spans="1:27" ht="15.75" customHeight="1">
      <c r="A296" s="1"/>
      <c r="B296" s="556" t="s">
        <v>1740</v>
      </c>
      <c r="C296" s="557" t="s">
        <v>1514</v>
      </c>
      <c r="D296" s="174" t="s">
        <v>1741</v>
      </c>
      <c r="E296" s="558">
        <f t="shared" si="121"/>
        <v>28562.18487394958</v>
      </c>
      <c r="F296" s="559" t="s">
        <v>1291</v>
      </c>
      <c r="G296" s="557"/>
      <c r="H296" s="560">
        <f t="shared" si="122"/>
        <v>33989</v>
      </c>
      <c r="I296" s="520"/>
      <c r="J296" s="517">
        <f t="shared" si="123"/>
        <v>33989</v>
      </c>
      <c r="K296" s="521" t="s">
        <v>1737</v>
      </c>
      <c r="L296" s="522">
        <v>33989</v>
      </c>
      <c r="M296" s="1"/>
      <c r="N296" s="1"/>
      <c r="O296" s="1"/>
      <c r="P296" s="1"/>
      <c r="Q296" s="1"/>
      <c r="R296" s="1"/>
      <c r="S296" s="1"/>
      <c r="T296" s="1"/>
      <c r="U296" s="1"/>
      <c r="V296" s="1"/>
      <c r="W296" s="1"/>
      <c r="X296" s="1"/>
      <c r="Y296" s="1"/>
      <c r="Z296" s="1"/>
      <c r="AA296" s="1"/>
    </row>
    <row r="297" spans="1:27" ht="15.75" customHeight="1">
      <c r="A297" s="1"/>
      <c r="B297" s="556" t="s">
        <v>1742</v>
      </c>
      <c r="C297" s="557" t="s">
        <v>1514</v>
      </c>
      <c r="D297" s="174" t="s">
        <v>2627</v>
      </c>
      <c r="E297" s="558">
        <f t="shared" ref="E297" si="124">+H297/1.19</f>
        <v>18907.563025210085</v>
      </c>
      <c r="F297" s="559" t="s">
        <v>1291</v>
      </c>
      <c r="G297" s="557"/>
      <c r="H297" s="560">
        <f t="shared" si="122"/>
        <v>22500</v>
      </c>
      <c r="I297" s="520"/>
      <c r="J297" s="517">
        <f t="shared" ref="J297" si="125">IFERROR(AVERAGEIF($K$13:$P$13,"PRECIO IVA INC.",K297:P297),)</f>
        <v>22500</v>
      </c>
      <c r="K297" s="521" t="s">
        <v>1737</v>
      </c>
      <c r="L297" s="522">
        <v>22500</v>
      </c>
      <c r="M297" s="1"/>
      <c r="N297" s="1"/>
      <c r="O297" s="1"/>
      <c r="P297" s="1"/>
      <c r="Q297" s="1"/>
      <c r="R297" s="1"/>
      <c r="S297" s="1"/>
      <c r="T297" s="1"/>
      <c r="U297" s="1"/>
      <c r="V297" s="1"/>
      <c r="W297" s="1"/>
      <c r="X297" s="1"/>
      <c r="Y297" s="1"/>
      <c r="Z297" s="1"/>
      <c r="AA297" s="1"/>
    </row>
    <row r="298" spans="1:27" ht="15.75" customHeight="1">
      <c r="A298" s="1"/>
      <c r="B298" s="556" t="s">
        <v>1743</v>
      </c>
      <c r="C298" s="557" t="s">
        <v>1514</v>
      </c>
      <c r="D298" s="174" t="s">
        <v>1744</v>
      </c>
      <c r="E298" s="558">
        <f t="shared" si="121"/>
        <v>8403.361344537816</v>
      </c>
      <c r="F298" s="559" t="s">
        <v>1291</v>
      </c>
      <c r="G298" s="557"/>
      <c r="H298" s="560">
        <f t="shared" si="122"/>
        <v>10000</v>
      </c>
      <c r="I298" s="520"/>
      <c r="J298" s="517">
        <f t="shared" si="123"/>
        <v>10000</v>
      </c>
      <c r="K298" s="521" t="s">
        <v>1737</v>
      </c>
      <c r="L298" s="522">
        <v>10000</v>
      </c>
      <c r="M298" s="1"/>
      <c r="N298" s="1"/>
      <c r="O298" s="1"/>
      <c r="P298" s="1"/>
      <c r="Q298" s="1"/>
      <c r="R298" s="1"/>
      <c r="S298" s="1"/>
      <c r="T298" s="1"/>
      <c r="U298" s="1"/>
      <c r="V298" s="1"/>
      <c r="W298" s="1"/>
      <c r="X298" s="1"/>
      <c r="Y298" s="1"/>
      <c r="Z298" s="1"/>
      <c r="AA298" s="1"/>
    </row>
    <row r="299" spans="1:27" ht="15.75" customHeight="1">
      <c r="A299" s="1"/>
      <c r="B299" s="556" t="s">
        <v>1745</v>
      </c>
      <c r="C299" s="557" t="s">
        <v>1514</v>
      </c>
      <c r="D299" s="565" t="s">
        <v>2538</v>
      </c>
      <c r="E299" s="558">
        <f t="shared" si="121"/>
        <v>15042.01680672269</v>
      </c>
      <c r="F299" s="566" t="s">
        <v>710</v>
      </c>
      <c r="G299" s="567"/>
      <c r="H299" s="560">
        <f t="shared" si="122"/>
        <v>17900</v>
      </c>
      <c r="I299" s="520"/>
      <c r="J299" s="517">
        <f t="shared" si="123"/>
        <v>17900</v>
      </c>
      <c r="K299" s="521" t="s">
        <v>1292</v>
      </c>
      <c r="L299" s="548">
        <v>17900</v>
      </c>
      <c r="M299" s="1"/>
      <c r="N299" s="1"/>
      <c r="O299" s="1"/>
      <c r="P299" s="1"/>
      <c r="Q299" s="1"/>
      <c r="R299" s="1"/>
      <c r="S299" s="1"/>
      <c r="T299" s="1"/>
      <c r="U299" s="1"/>
      <c r="V299" s="1"/>
      <c r="W299" s="1"/>
      <c r="X299" s="1"/>
      <c r="Y299" s="1"/>
      <c r="Z299" s="1"/>
      <c r="AA299" s="1"/>
    </row>
    <row r="300" spans="1:27" ht="15.75" customHeight="1">
      <c r="A300" s="1"/>
      <c r="B300" s="556" t="s">
        <v>1746</v>
      </c>
      <c r="C300" s="557" t="s">
        <v>1514</v>
      </c>
      <c r="D300" s="565" t="s">
        <v>2626</v>
      </c>
      <c r="E300" s="558">
        <f t="shared" ref="E300" si="126">+H300/1.19</f>
        <v>22184.873949579833</v>
      </c>
      <c r="F300" s="566" t="s">
        <v>1291</v>
      </c>
      <c r="G300" s="567"/>
      <c r="H300" s="560">
        <f t="shared" si="122"/>
        <v>26400</v>
      </c>
      <c r="I300" s="520"/>
      <c r="J300" s="517">
        <f t="shared" ref="J300" si="127">IFERROR(AVERAGEIF($K$13:$P$13,"PRECIO IVA INC.",K300:P300),)</f>
        <v>26400</v>
      </c>
      <c r="K300" s="521" t="s">
        <v>1292</v>
      </c>
      <c r="L300" s="548">
        <v>26400</v>
      </c>
      <c r="M300" s="1"/>
      <c r="N300" s="1"/>
      <c r="O300" s="1"/>
      <c r="P300" s="1"/>
      <c r="Q300" s="1"/>
      <c r="R300" s="1"/>
      <c r="S300" s="1"/>
      <c r="T300" s="1"/>
      <c r="U300" s="1"/>
      <c r="V300" s="1"/>
      <c r="W300" s="1"/>
      <c r="X300" s="1"/>
      <c r="Y300" s="1"/>
      <c r="Z300" s="1"/>
      <c r="AA300" s="1"/>
    </row>
    <row r="301" spans="1:27" ht="15.75" customHeight="1">
      <c r="A301" s="1"/>
      <c r="B301" s="556" t="s">
        <v>2420</v>
      </c>
      <c r="C301" s="557" t="s">
        <v>1514</v>
      </c>
      <c r="D301" s="565" t="s">
        <v>2419</v>
      </c>
      <c r="E301" s="558">
        <f t="shared" ref="E301" si="128">+H301/1.19</f>
        <v>2873.9495798319331</v>
      </c>
      <c r="F301" s="566" t="s">
        <v>1291</v>
      </c>
      <c r="G301" s="567"/>
      <c r="H301" s="560">
        <f t="shared" si="122"/>
        <v>3420</v>
      </c>
      <c r="I301" s="520"/>
      <c r="J301" s="517">
        <f t="shared" ref="J301" si="129">IFERROR(AVERAGEIF($K$13:$P$13,"PRECIO IVA INC.",K301:P301),)</f>
        <v>3420</v>
      </c>
      <c r="K301" s="521" t="s">
        <v>1292</v>
      </c>
      <c r="L301" s="548">
        <v>3420</v>
      </c>
      <c r="M301" s="1"/>
      <c r="N301" s="1"/>
      <c r="O301" s="1"/>
      <c r="P301" s="1"/>
      <c r="Q301" s="1"/>
      <c r="R301" s="1"/>
      <c r="S301" s="1"/>
      <c r="T301" s="1"/>
      <c r="U301" s="1"/>
      <c r="V301" s="1"/>
      <c r="W301" s="1"/>
      <c r="X301" s="1"/>
      <c r="Y301" s="1"/>
      <c r="Z301" s="1"/>
      <c r="AA301" s="1"/>
    </row>
    <row r="302" spans="1:27" ht="15.75" customHeight="1">
      <c r="A302" s="1"/>
      <c r="B302" s="556" t="s">
        <v>2540</v>
      </c>
      <c r="C302" s="567"/>
      <c r="D302" s="565" t="s">
        <v>2539</v>
      </c>
      <c r="E302" s="558">
        <f t="shared" ref="E302" si="130">+H302/1.19</f>
        <v>4348.7394957983197</v>
      </c>
      <c r="F302" s="566" t="s">
        <v>1291</v>
      </c>
      <c r="G302" s="567"/>
      <c r="H302" s="560">
        <f t="shared" si="122"/>
        <v>5175</v>
      </c>
      <c r="I302" s="520"/>
      <c r="J302" s="517">
        <f t="shared" ref="J302" si="131">IFERROR(AVERAGEIF($K$13:$P$13,"PRECIO IVA INC.",K302:P302),)</f>
        <v>5175</v>
      </c>
      <c r="K302" s="521"/>
      <c r="L302" s="548">
        <f>4500*1.15</f>
        <v>5175</v>
      </c>
      <c r="M302" s="1"/>
      <c r="N302" s="1"/>
      <c r="O302" s="1"/>
      <c r="P302" s="1"/>
      <c r="Q302" s="1"/>
      <c r="R302" s="1"/>
      <c r="S302" s="1"/>
      <c r="T302" s="1"/>
      <c r="U302" s="1"/>
      <c r="V302" s="1"/>
      <c r="W302" s="1"/>
      <c r="X302" s="1"/>
      <c r="Y302" s="1"/>
      <c r="Z302" s="1"/>
      <c r="AA302" s="1"/>
    </row>
    <row r="303" spans="1:27" ht="15.75" customHeight="1">
      <c r="A303" s="1"/>
      <c r="B303" s="569"/>
      <c r="C303" s="567"/>
      <c r="D303" s="565"/>
      <c r="E303" s="570"/>
      <c r="F303" s="566"/>
      <c r="G303" s="567"/>
      <c r="H303" s="568"/>
      <c r="I303" s="520"/>
      <c r="J303" s="517"/>
      <c r="K303" s="521"/>
      <c r="L303" s="548"/>
      <c r="M303" s="1"/>
      <c r="N303" s="1"/>
      <c r="O303" s="1"/>
      <c r="P303" s="1"/>
      <c r="Q303" s="1"/>
      <c r="R303" s="1"/>
      <c r="S303" s="1"/>
      <c r="T303" s="1"/>
      <c r="U303" s="1"/>
      <c r="V303" s="1"/>
      <c r="W303" s="1"/>
      <c r="X303" s="1"/>
      <c r="Y303" s="1"/>
      <c r="Z303" s="1"/>
      <c r="AA303" s="1"/>
    </row>
    <row r="304" spans="1:27" ht="15.75" customHeight="1">
      <c r="A304" s="1"/>
      <c r="B304" s="569"/>
      <c r="C304" s="567"/>
      <c r="D304" s="565"/>
      <c r="E304" s="570"/>
      <c r="F304" s="566"/>
      <c r="G304" s="567"/>
      <c r="H304" s="568"/>
      <c r="I304" s="520"/>
      <c r="J304" s="517"/>
      <c r="K304" s="521"/>
      <c r="L304" s="548"/>
      <c r="M304" s="1"/>
      <c r="N304" s="1"/>
      <c r="O304" s="1"/>
      <c r="P304" s="1"/>
      <c r="Q304" s="1"/>
      <c r="R304" s="1"/>
      <c r="S304" s="1"/>
      <c r="T304" s="1"/>
      <c r="U304" s="1"/>
      <c r="V304" s="1"/>
      <c r="W304" s="1"/>
      <c r="X304" s="1"/>
      <c r="Y304" s="1"/>
      <c r="Z304" s="1"/>
      <c r="AA304" s="1"/>
    </row>
    <row r="305" spans="1:27" ht="15.75" customHeight="1">
      <c r="A305" s="1"/>
      <c r="B305" s="569"/>
      <c r="C305" s="567"/>
      <c r="D305" s="565"/>
      <c r="E305" s="570"/>
      <c r="F305" s="566"/>
      <c r="G305" s="567"/>
      <c r="H305" s="568"/>
      <c r="I305" s="520"/>
      <c r="J305" s="517"/>
      <c r="K305" s="521"/>
      <c r="L305" s="548"/>
      <c r="M305" s="1"/>
      <c r="N305" s="1"/>
      <c r="O305" s="1"/>
      <c r="P305" s="1"/>
      <c r="Q305" s="1"/>
      <c r="R305" s="1"/>
      <c r="S305" s="1"/>
      <c r="T305" s="1"/>
      <c r="U305" s="1"/>
      <c r="V305" s="1"/>
      <c r="W305" s="1"/>
      <c r="X305" s="1"/>
      <c r="Y305" s="1"/>
      <c r="Z305" s="1"/>
      <c r="AA305" s="1"/>
    </row>
    <row r="306" spans="1:27" ht="15.75" customHeight="1">
      <c r="A306" s="1"/>
      <c r="B306" s="569"/>
      <c r="C306" s="567"/>
      <c r="D306" s="565"/>
      <c r="E306" s="570"/>
      <c r="F306" s="566"/>
      <c r="G306" s="567"/>
      <c r="H306" s="568"/>
      <c r="I306" s="520"/>
      <c r="J306" s="517"/>
      <c r="K306" s="521"/>
      <c r="L306" s="548"/>
      <c r="M306" s="1"/>
      <c r="N306" s="1"/>
      <c r="O306" s="1"/>
      <c r="P306" s="1"/>
      <c r="Q306" s="1"/>
      <c r="R306" s="1"/>
      <c r="S306" s="1"/>
      <c r="T306" s="1"/>
      <c r="U306" s="1"/>
      <c r="V306" s="1"/>
      <c r="W306" s="1"/>
      <c r="X306" s="1"/>
      <c r="Y306" s="1"/>
      <c r="Z306" s="1"/>
      <c r="AA306" s="1"/>
    </row>
    <row r="307" spans="1:27" ht="15.75" customHeight="1">
      <c r="A307" s="1"/>
      <c r="B307" s="501" t="s">
        <v>1747</v>
      </c>
      <c r="C307" s="502"/>
      <c r="D307" s="503"/>
      <c r="E307" s="504"/>
      <c r="F307" s="505"/>
      <c r="G307" s="505"/>
      <c r="H307" s="506"/>
      <c r="I307" s="552"/>
      <c r="J307" s="553"/>
      <c r="K307" s="554"/>
      <c r="L307" s="554"/>
      <c r="M307" s="1"/>
      <c r="N307" s="1"/>
      <c r="O307" s="1"/>
      <c r="P307" s="1"/>
      <c r="Q307" s="1"/>
      <c r="R307" s="1"/>
      <c r="S307" s="1"/>
      <c r="T307" s="1"/>
      <c r="U307" s="1"/>
      <c r="V307" s="1"/>
      <c r="W307" s="1"/>
      <c r="X307" s="1"/>
      <c r="Y307" s="1"/>
      <c r="Z307" s="1"/>
      <c r="AA307" s="1"/>
    </row>
    <row r="308" spans="1:27" ht="15.75" customHeight="1">
      <c r="A308" s="1"/>
      <c r="B308" s="556" t="s">
        <v>1748</v>
      </c>
      <c r="C308" s="557" t="s">
        <v>1749</v>
      </c>
      <c r="D308" s="174" t="s">
        <v>1750</v>
      </c>
      <c r="E308" s="558">
        <f t="shared" ref="E308:E337" si="132">+H308/1.19</f>
        <v>197478.99159663866</v>
      </c>
      <c r="F308" s="559" t="s">
        <v>1751</v>
      </c>
      <c r="G308" s="557"/>
      <c r="H308" s="560">
        <f t="shared" ref="H308:H337" si="133">ROUNDUP($J308*(1+$C$10),0)</f>
        <v>235000</v>
      </c>
      <c r="I308" s="520"/>
      <c r="J308" s="517">
        <f t="shared" ref="J308:J337" si="134">IFERROR(AVERAGEIF($K$13:$P$13,"PRECIO IVA INC.",K308:P308),)</f>
        <v>235000</v>
      </c>
      <c r="K308" s="571" t="s">
        <v>1752</v>
      </c>
      <c r="L308" s="572">
        <v>235000</v>
      </c>
      <c r="M308" s="1"/>
      <c r="N308" s="1"/>
      <c r="O308" s="1"/>
      <c r="P308" s="1"/>
      <c r="Q308" s="1"/>
      <c r="R308" s="1"/>
      <c r="S308" s="1"/>
      <c r="T308" s="1"/>
      <c r="U308" s="1"/>
      <c r="V308" s="1"/>
      <c r="W308" s="1"/>
      <c r="X308" s="1"/>
      <c r="Y308" s="1"/>
      <c r="Z308" s="1"/>
      <c r="AA308" s="1"/>
    </row>
    <row r="309" spans="1:27" ht="15.75" customHeight="1">
      <c r="A309" s="1"/>
      <c r="B309" s="556" t="s">
        <v>1753</v>
      </c>
      <c r="C309" s="557" t="s">
        <v>1749</v>
      </c>
      <c r="D309" s="174" t="s">
        <v>1754</v>
      </c>
      <c r="E309" s="558">
        <f t="shared" si="132"/>
        <v>205882.35294117648</v>
      </c>
      <c r="F309" s="559" t="s">
        <v>1751</v>
      </c>
      <c r="G309" s="557"/>
      <c r="H309" s="560">
        <f t="shared" si="133"/>
        <v>245000</v>
      </c>
      <c r="I309" s="520"/>
      <c r="J309" s="517">
        <f t="shared" si="134"/>
        <v>245000</v>
      </c>
      <c r="K309" s="571" t="s">
        <v>1752</v>
      </c>
      <c r="L309" s="572">
        <v>245000</v>
      </c>
      <c r="M309" s="1"/>
      <c r="N309" s="1"/>
      <c r="O309" s="1"/>
      <c r="P309" s="1"/>
      <c r="Q309" s="1"/>
      <c r="R309" s="1"/>
      <c r="S309" s="1"/>
      <c r="T309" s="1"/>
      <c r="U309" s="1"/>
      <c r="V309" s="1"/>
      <c r="W309" s="1"/>
      <c r="X309" s="1"/>
      <c r="Y309" s="1"/>
      <c r="Z309" s="1"/>
      <c r="AA309" s="1"/>
    </row>
    <row r="310" spans="1:27" ht="15.75" customHeight="1">
      <c r="A310" s="1"/>
      <c r="B310" s="556" t="s">
        <v>1755</v>
      </c>
      <c r="C310" s="557" t="s">
        <v>1749</v>
      </c>
      <c r="D310" s="174" t="s">
        <v>1756</v>
      </c>
      <c r="E310" s="558">
        <f t="shared" si="132"/>
        <v>239495.79831932773</v>
      </c>
      <c r="F310" s="559" t="s">
        <v>1751</v>
      </c>
      <c r="G310" s="557"/>
      <c r="H310" s="560">
        <f t="shared" si="133"/>
        <v>285000</v>
      </c>
      <c r="I310" s="520"/>
      <c r="J310" s="517">
        <f t="shared" si="134"/>
        <v>285000</v>
      </c>
      <c r="K310" s="571" t="s">
        <v>1752</v>
      </c>
      <c r="L310" s="572">
        <v>285000</v>
      </c>
      <c r="M310" s="1"/>
      <c r="N310" s="1"/>
      <c r="O310" s="1"/>
      <c r="P310" s="1"/>
      <c r="Q310" s="1"/>
      <c r="R310" s="1"/>
      <c r="S310" s="1"/>
      <c r="T310" s="1"/>
      <c r="U310" s="1"/>
      <c r="V310" s="1"/>
      <c r="W310" s="1"/>
      <c r="X310" s="1"/>
      <c r="Y310" s="1"/>
      <c r="Z310" s="1"/>
      <c r="AA310" s="1"/>
    </row>
    <row r="311" spans="1:27" ht="15.75" customHeight="1">
      <c r="A311" s="1"/>
      <c r="B311" s="556" t="s">
        <v>1757</v>
      </c>
      <c r="C311" s="557" t="s">
        <v>1749</v>
      </c>
      <c r="D311" s="174" t="s">
        <v>1758</v>
      </c>
      <c r="E311" s="558">
        <f t="shared" si="132"/>
        <v>36485.71428571429</v>
      </c>
      <c r="F311" s="559" t="s">
        <v>1339</v>
      </c>
      <c r="G311" s="557"/>
      <c r="H311" s="560">
        <f t="shared" si="133"/>
        <v>43418</v>
      </c>
      <c r="I311" s="520"/>
      <c r="J311" s="517">
        <f t="shared" si="134"/>
        <v>43418</v>
      </c>
      <c r="K311" s="571" t="s">
        <v>1752</v>
      </c>
      <c r="L311" s="572">
        <v>43418</v>
      </c>
      <c r="M311" s="1"/>
      <c r="N311" s="1"/>
      <c r="O311" s="1"/>
      <c r="P311" s="1"/>
      <c r="Q311" s="1"/>
      <c r="R311" s="1"/>
      <c r="S311" s="1"/>
      <c r="T311" s="1"/>
      <c r="U311" s="1"/>
      <c r="V311" s="1"/>
      <c r="W311" s="1"/>
      <c r="X311" s="1"/>
      <c r="Y311" s="1"/>
      <c r="Z311" s="1"/>
      <c r="AA311" s="1"/>
    </row>
    <row r="312" spans="1:27" ht="15.75" customHeight="1">
      <c r="A312" s="1"/>
      <c r="B312" s="556" t="s">
        <v>1759</v>
      </c>
      <c r="C312" s="557" t="s">
        <v>1749</v>
      </c>
      <c r="D312" s="174" t="s">
        <v>1760</v>
      </c>
      <c r="E312" s="558">
        <f t="shared" si="132"/>
        <v>4773109.2436974794</v>
      </c>
      <c r="F312" s="559" t="s">
        <v>1339</v>
      </c>
      <c r="G312" s="557"/>
      <c r="H312" s="560">
        <f t="shared" si="133"/>
        <v>5680000</v>
      </c>
      <c r="I312" s="520"/>
      <c r="J312" s="517">
        <f t="shared" si="134"/>
        <v>5680000</v>
      </c>
      <c r="K312" s="521" t="s">
        <v>1761</v>
      </c>
      <c r="L312" s="522">
        <v>5680000</v>
      </c>
      <c r="M312" s="1"/>
      <c r="N312" s="1"/>
      <c r="O312" s="1"/>
      <c r="P312" s="1"/>
      <c r="Q312" s="1"/>
      <c r="R312" s="1"/>
      <c r="S312" s="1"/>
      <c r="T312" s="1"/>
      <c r="U312" s="1"/>
      <c r="V312" s="1"/>
      <c r="W312" s="1"/>
      <c r="X312" s="1"/>
      <c r="Y312" s="1"/>
      <c r="Z312" s="1"/>
      <c r="AA312" s="1"/>
    </row>
    <row r="313" spans="1:27" ht="15.75" customHeight="1">
      <c r="A313" s="1"/>
      <c r="B313" s="556" t="s">
        <v>1762</v>
      </c>
      <c r="C313" s="557" t="s">
        <v>1749</v>
      </c>
      <c r="D313" s="174" t="s">
        <v>1763</v>
      </c>
      <c r="E313" s="558">
        <f t="shared" si="132"/>
        <v>1520168.0672268909</v>
      </c>
      <c r="F313" s="559" t="s">
        <v>1339</v>
      </c>
      <c r="G313" s="557"/>
      <c r="H313" s="560">
        <f t="shared" si="133"/>
        <v>1809000</v>
      </c>
      <c r="I313" s="520"/>
      <c r="J313" s="517">
        <f t="shared" si="134"/>
        <v>1809000</v>
      </c>
      <c r="K313" s="521" t="s">
        <v>1764</v>
      </c>
      <c r="L313" s="522">
        <v>1809000</v>
      </c>
      <c r="M313" s="1"/>
      <c r="N313" s="1"/>
      <c r="O313" s="1"/>
      <c r="P313" s="1"/>
      <c r="Q313" s="1"/>
      <c r="R313" s="1"/>
      <c r="S313" s="1"/>
      <c r="T313" s="1"/>
      <c r="U313" s="1"/>
      <c r="V313" s="1"/>
      <c r="W313" s="1"/>
      <c r="X313" s="1"/>
      <c r="Y313" s="1"/>
      <c r="Z313" s="1"/>
      <c r="AA313" s="1"/>
    </row>
    <row r="314" spans="1:27" ht="15.75" customHeight="1">
      <c r="A314" s="1"/>
      <c r="B314" s="556" t="s">
        <v>1765</v>
      </c>
      <c r="C314" s="557" t="s">
        <v>1749</v>
      </c>
      <c r="D314" s="174" t="s">
        <v>1766</v>
      </c>
      <c r="E314" s="558">
        <f t="shared" si="132"/>
        <v>212631.93277310926</v>
      </c>
      <c r="F314" s="559" t="s">
        <v>1339</v>
      </c>
      <c r="G314" s="557"/>
      <c r="H314" s="560">
        <f t="shared" si="133"/>
        <v>253032</v>
      </c>
      <c r="I314" s="520"/>
      <c r="J314" s="517">
        <f t="shared" si="134"/>
        <v>253032</v>
      </c>
      <c r="K314" s="571" t="s">
        <v>1752</v>
      </c>
      <c r="L314" s="572">
        <v>253032</v>
      </c>
      <c r="M314" s="1"/>
      <c r="N314" s="1"/>
      <c r="O314" s="1"/>
      <c r="P314" s="1"/>
      <c r="Q314" s="1"/>
      <c r="R314" s="1"/>
      <c r="S314" s="1"/>
      <c r="T314" s="1"/>
      <c r="U314" s="1"/>
      <c r="V314" s="1"/>
      <c r="W314" s="1"/>
      <c r="X314" s="1"/>
      <c r="Y314" s="1"/>
      <c r="Z314" s="1"/>
      <c r="AA314" s="1"/>
    </row>
    <row r="315" spans="1:27" ht="15.75" customHeight="1">
      <c r="A315" s="1"/>
      <c r="B315" s="556" t="s">
        <v>1767</v>
      </c>
      <c r="C315" s="557" t="s">
        <v>1749</v>
      </c>
      <c r="D315" s="174" t="s">
        <v>1768</v>
      </c>
      <c r="E315" s="558">
        <f t="shared" si="132"/>
        <v>28347.058823529413</v>
      </c>
      <c r="F315" s="559" t="s">
        <v>1339</v>
      </c>
      <c r="G315" s="557"/>
      <c r="H315" s="560">
        <f t="shared" si="133"/>
        <v>33733</v>
      </c>
      <c r="I315" s="520"/>
      <c r="J315" s="517">
        <f t="shared" si="134"/>
        <v>33732.93</v>
      </c>
      <c r="K315" s="521" t="s">
        <v>1761</v>
      </c>
      <c r="L315" s="522">
        <f>28347*1.19</f>
        <v>33732.93</v>
      </c>
      <c r="M315" s="1"/>
      <c r="N315" s="1"/>
      <c r="O315" s="1"/>
      <c r="P315" s="1"/>
      <c r="Q315" s="1"/>
      <c r="R315" s="1"/>
      <c r="S315" s="1"/>
      <c r="T315" s="1"/>
      <c r="U315" s="1"/>
      <c r="V315" s="1"/>
      <c r="W315" s="1"/>
      <c r="X315" s="1"/>
      <c r="Y315" s="1"/>
      <c r="Z315" s="1"/>
      <c r="AA315" s="1"/>
    </row>
    <row r="316" spans="1:27" ht="15.75" customHeight="1">
      <c r="A316" s="1"/>
      <c r="B316" s="556" t="s">
        <v>1769</v>
      </c>
      <c r="C316" s="557" t="s">
        <v>1749</v>
      </c>
      <c r="D316" s="174" t="s">
        <v>1770</v>
      </c>
      <c r="E316" s="558">
        <f t="shared" si="132"/>
        <v>53094.117647058825</v>
      </c>
      <c r="F316" s="559" t="s">
        <v>1339</v>
      </c>
      <c r="G316" s="557"/>
      <c r="H316" s="560">
        <f t="shared" si="133"/>
        <v>63182</v>
      </c>
      <c r="I316" s="520"/>
      <c r="J316" s="517">
        <f t="shared" si="134"/>
        <v>63181.86</v>
      </c>
      <c r="K316" s="521" t="s">
        <v>1761</v>
      </c>
      <c r="L316" s="522">
        <f>53094*1.19</f>
        <v>63181.86</v>
      </c>
      <c r="M316" s="1"/>
      <c r="N316" s="1"/>
      <c r="O316" s="1"/>
      <c r="P316" s="1"/>
      <c r="Q316" s="1"/>
      <c r="R316" s="1"/>
      <c r="S316" s="1"/>
      <c r="T316" s="1"/>
      <c r="U316" s="1"/>
      <c r="V316" s="1"/>
      <c r="W316" s="1"/>
      <c r="X316" s="1"/>
      <c r="Y316" s="1"/>
      <c r="Z316" s="1"/>
      <c r="AA316" s="1"/>
    </row>
    <row r="317" spans="1:27" ht="15.75" customHeight="1">
      <c r="A317" s="1"/>
      <c r="B317" s="556" t="s">
        <v>1771</v>
      </c>
      <c r="C317" s="557" t="s">
        <v>1749</v>
      </c>
      <c r="D317" s="174" t="s">
        <v>1772</v>
      </c>
      <c r="E317" s="558">
        <f t="shared" si="132"/>
        <v>16500</v>
      </c>
      <c r="F317" s="559" t="s">
        <v>1339</v>
      </c>
      <c r="G317" s="557"/>
      <c r="H317" s="560">
        <f t="shared" si="133"/>
        <v>19635</v>
      </c>
      <c r="I317" s="520"/>
      <c r="J317" s="517">
        <f t="shared" si="134"/>
        <v>19635</v>
      </c>
      <c r="K317" s="521" t="s">
        <v>1761</v>
      </c>
      <c r="L317" s="522">
        <f>16500*1.19</f>
        <v>19635</v>
      </c>
      <c r="M317" s="1"/>
      <c r="N317" s="1"/>
      <c r="O317" s="1"/>
      <c r="P317" s="1"/>
      <c r="Q317" s="1"/>
      <c r="R317" s="1"/>
      <c r="S317" s="1"/>
      <c r="T317" s="1"/>
      <c r="U317" s="1"/>
      <c r="V317" s="1"/>
      <c r="W317" s="1"/>
      <c r="X317" s="1"/>
      <c r="Y317" s="1"/>
      <c r="Z317" s="1"/>
      <c r="AA317" s="1"/>
    </row>
    <row r="318" spans="1:27" ht="15.75" customHeight="1">
      <c r="A318" s="1"/>
      <c r="B318" s="556" t="s">
        <v>1773</v>
      </c>
      <c r="C318" s="557" t="s">
        <v>1749</v>
      </c>
      <c r="D318" s="174" t="s">
        <v>1774</v>
      </c>
      <c r="E318" s="558">
        <f t="shared" si="132"/>
        <v>22336.134453781513</v>
      </c>
      <c r="F318" s="559" t="s">
        <v>1339</v>
      </c>
      <c r="G318" s="557"/>
      <c r="H318" s="560">
        <f t="shared" si="133"/>
        <v>26580</v>
      </c>
      <c r="I318" s="520"/>
      <c r="J318" s="517">
        <f t="shared" si="134"/>
        <v>26579.84</v>
      </c>
      <c r="K318" s="521" t="s">
        <v>1761</v>
      </c>
      <c r="L318" s="522">
        <f>22336*1.19</f>
        <v>26579.84</v>
      </c>
      <c r="M318" s="1"/>
      <c r="N318" s="1"/>
      <c r="O318" s="1"/>
      <c r="P318" s="1"/>
      <c r="Q318" s="1"/>
      <c r="R318" s="1"/>
      <c r="S318" s="1"/>
      <c r="T318" s="1"/>
      <c r="U318" s="1"/>
      <c r="V318" s="1"/>
      <c r="W318" s="1"/>
      <c r="X318" s="1"/>
      <c r="Y318" s="1"/>
      <c r="Z318" s="1"/>
      <c r="AA318" s="1"/>
    </row>
    <row r="319" spans="1:27" ht="15.75" customHeight="1">
      <c r="A319" s="1"/>
      <c r="B319" s="556" t="s">
        <v>1775</v>
      </c>
      <c r="C319" s="557" t="s">
        <v>1749</v>
      </c>
      <c r="D319" s="174" t="s">
        <v>1776</v>
      </c>
      <c r="E319" s="558">
        <f t="shared" si="132"/>
        <v>88151.26050420168</v>
      </c>
      <c r="F319" s="559" t="s">
        <v>1339</v>
      </c>
      <c r="G319" s="557"/>
      <c r="H319" s="560">
        <f t="shared" si="133"/>
        <v>104900</v>
      </c>
      <c r="I319" s="520"/>
      <c r="J319" s="517">
        <f t="shared" si="134"/>
        <v>104900</v>
      </c>
      <c r="K319" s="521" t="s">
        <v>1292</v>
      </c>
      <c r="L319" s="522">
        <v>104900</v>
      </c>
      <c r="M319" s="1"/>
      <c r="N319" s="1"/>
      <c r="O319" s="1"/>
      <c r="P319" s="1"/>
      <c r="Q319" s="1"/>
      <c r="R319" s="1"/>
      <c r="S319" s="1"/>
      <c r="T319" s="1"/>
      <c r="U319" s="1"/>
      <c r="V319" s="1"/>
      <c r="W319" s="1"/>
      <c r="X319" s="1"/>
      <c r="Y319" s="1"/>
      <c r="Z319" s="1"/>
      <c r="AA319" s="1"/>
    </row>
    <row r="320" spans="1:27" ht="15.75" customHeight="1">
      <c r="A320" s="1"/>
      <c r="B320" s="556" t="s">
        <v>1777</v>
      </c>
      <c r="C320" s="557" t="s">
        <v>1749</v>
      </c>
      <c r="D320" s="174" t="s">
        <v>1778</v>
      </c>
      <c r="E320" s="558">
        <f t="shared" si="132"/>
        <v>104957.98319327731</v>
      </c>
      <c r="F320" s="559" t="s">
        <v>1339</v>
      </c>
      <c r="G320" s="557"/>
      <c r="H320" s="560">
        <f t="shared" si="133"/>
        <v>124900</v>
      </c>
      <c r="I320" s="520"/>
      <c r="J320" s="517">
        <f t="shared" si="134"/>
        <v>124900</v>
      </c>
      <c r="K320" s="521" t="s">
        <v>1292</v>
      </c>
      <c r="L320" s="522">
        <v>124900</v>
      </c>
      <c r="M320" s="1"/>
      <c r="N320" s="1"/>
      <c r="O320" s="1"/>
      <c r="P320" s="1"/>
      <c r="Q320" s="1"/>
      <c r="R320" s="1"/>
      <c r="S320" s="1"/>
      <c r="T320" s="1"/>
      <c r="U320" s="1"/>
      <c r="V320" s="1"/>
      <c r="W320" s="1"/>
      <c r="X320" s="1"/>
      <c r="Y320" s="1"/>
      <c r="Z320" s="1"/>
      <c r="AA320" s="1"/>
    </row>
    <row r="321" spans="1:27" ht="15.75" customHeight="1">
      <c r="A321" s="1"/>
      <c r="B321" s="556" t="s">
        <v>1779</v>
      </c>
      <c r="C321" s="557" t="s">
        <v>1749</v>
      </c>
      <c r="D321" s="174" t="s">
        <v>1780</v>
      </c>
      <c r="E321" s="558">
        <f t="shared" si="132"/>
        <v>63781.512605042022</v>
      </c>
      <c r="F321" s="559" t="s">
        <v>1339</v>
      </c>
      <c r="G321" s="557"/>
      <c r="H321" s="560">
        <f t="shared" si="133"/>
        <v>75900</v>
      </c>
      <c r="I321" s="520"/>
      <c r="J321" s="517">
        <f t="shared" si="134"/>
        <v>75900</v>
      </c>
      <c r="K321" s="521" t="s">
        <v>1292</v>
      </c>
      <c r="L321" s="522">
        <v>75900</v>
      </c>
      <c r="M321" s="1"/>
      <c r="N321" s="1"/>
      <c r="O321" s="1"/>
      <c r="P321" s="1"/>
      <c r="Q321" s="1"/>
      <c r="R321" s="1"/>
      <c r="S321" s="1"/>
      <c r="T321" s="1"/>
      <c r="U321" s="1"/>
      <c r="V321" s="1"/>
      <c r="W321" s="1"/>
      <c r="X321" s="1"/>
      <c r="Y321" s="1"/>
      <c r="Z321" s="1"/>
      <c r="AA321" s="1"/>
    </row>
    <row r="322" spans="1:27" ht="15.75" customHeight="1">
      <c r="A322" s="1"/>
      <c r="B322" s="556" t="s">
        <v>1781</v>
      </c>
      <c r="C322" s="557" t="s">
        <v>1749</v>
      </c>
      <c r="D322" s="174" t="s">
        <v>1782</v>
      </c>
      <c r="E322" s="558">
        <f t="shared" si="132"/>
        <v>28280.672268907565</v>
      </c>
      <c r="F322" s="559" t="s">
        <v>1339</v>
      </c>
      <c r="G322" s="557"/>
      <c r="H322" s="560">
        <f t="shared" si="133"/>
        <v>33654</v>
      </c>
      <c r="I322" s="520"/>
      <c r="J322" s="517">
        <f t="shared" si="134"/>
        <v>33654</v>
      </c>
      <c r="K322" s="571" t="s">
        <v>1752</v>
      </c>
      <c r="L322" s="572">
        <v>33654</v>
      </c>
      <c r="M322" s="1"/>
      <c r="N322" s="1"/>
      <c r="O322" s="1"/>
      <c r="P322" s="1"/>
      <c r="Q322" s="1"/>
      <c r="R322" s="1"/>
      <c r="S322" s="1"/>
      <c r="T322" s="1"/>
      <c r="U322" s="1"/>
      <c r="V322" s="1"/>
      <c r="W322" s="1"/>
      <c r="X322" s="1"/>
      <c r="Y322" s="1"/>
      <c r="Z322" s="1"/>
      <c r="AA322" s="1"/>
    </row>
    <row r="323" spans="1:27" ht="15.75" customHeight="1">
      <c r="A323" s="1"/>
      <c r="B323" s="556" t="s">
        <v>1783</v>
      </c>
      <c r="C323" s="557" t="s">
        <v>1749</v>
      </c>
      <c r="D323" s="174" t="s">
        <v>1741</v>
      </c>
      <c r="E323" s="558">
        <f t="shared" si="132"/>
        <v>68.907563025210081</v>
      </c>
      <c r="F323" s="559" t="s">
        <v>1784</v>
      </c>
      <c r="G323" s="557"/>
      <c r="H323" s="560">
        <f t="shared" si="133"/>
        <v>82</v>
      </c>
      <c r="I323" s="520"/>
      <c r="J323" s="517">
        <f t="shared" si="134"/>
        <v>82</v>
      </c>
      <c r="K323" s="521" t="s">
        <v>1292</v>
      </c>
      <c r="L323" s="522">
        <v>82</v>
      </c>
      <c r="M323" s="1"/>
      <c r="N323" s="1"/>
      <c r="O323" s="1"/>
      <c r="P323" s="1"/>
      <c r="Q323" s="1"/>
      <c r="R323" s="1"/>
      <c r="S323" s="1"/>
      <c r="T323" s="1"/>
      <c r="U323" s="1"/>
      <c r="V323" s="1"/>
      <c r="W323" s="1"/>
      <c r="X323" s="1"/>
      <c r="Y323" s="1"/>
      <c r="Z323" s="1"/>
      <c r="AA323" s="1"/>
    </row>
    <row r="324" spans="1:27" ht="15.75" customHeight="1">
      <c r="A324" s="1"/>
      <c r="B324" s="556" t="s">
        <v>1785</v>
      </c>
      <c r="C324" s="557" t="s">
        <v>1749</v>
      </c>
      <c r="D324" s="174" t="s">
        <v>1786</v>
      </c>
      <c r="E324" s="558">
        <f t="shared" si="132"/>
        <v>10059.663865546219</v>
      </c>
      <c r="F324" s="559" t="s">
        <v>1339</v>
      </c>
      <c r="G324" s="557"/>
      <c r="H324" s="560">
        <f t="shared" si="133"/>
        <v>11971</v>
      </c>
      <c r="I324" s="520"/>
      <c r="J324" s="517">
        <f t="shared" si="134"/>
        <v>11970.21</v>
      </c>
      <c r="K324" s="521" t="s">
        <v>1761</v>
      </c>
      <c r="L324" s="522">
        <f>10059*1.19</f>
        <v>11970.21</v>
      </c>
      <c r="M324" s="1"/>
      <c r="N324" s="1"/>
      <c r="O324" s="1"/>
      <c r="P324" s="1"/>
      <c r="Q324" s="1"/>
      <c r="R324" s="1"/>
      <c r="S324" s="1"/>
      <c r="T324" s="1"/>
      <c r="U324" s="1"/>
      <c r="V324" s="1"/>
      <c r="W324" s="1"/>
      <c r="X324" s="1"/>
      <c r="Y324" s="1"/>
      <c r="Z324" s="1"/>
      <c r="AA324" s="1"/>
    </row>
    <row r="325" spans="1:27" ht="15.75" customHeight="1">
      <c r="A325" s="1"/>
      <c r="B325" s="556" t="s">
        <v>1787</v>
      </c>
      <c r="C325" s="557" t="s">
        <v>1749</v>
      </c>
      <c r="D325" s="174" t="s">
        <v>1788</v>
      </c>
      <c r="E325" s="558">
        <f t="shared" si="132"/>
        <v>19149.579831932773</v>
      </c>
      <c r="F325" s="559" t="s">
        <v>1339</v>
      </c>
      <c r="G325" s="557"/>
      <c r="H325" s="560">
        <f t="shared" si="133"/>
        <v>22788</v>
      </c>
      <c r="I325" s="520"/>
      <c r="J325" s="517">
        <f t="shared" si="134"/>
        <v>22787.309999999998</v>
      </c>
      <c r="K325" s="521" t="s">
        <v>1761</v>
      </c>
      <c r="L325" s="522">
        <f>19149*1.19</f>
        <v>22787.309999999998</v>
      </c>
      <c r="M325" s="1"/>
      <c r="N325" s="1"/>
      <c r="O325" s="1"/>
      <c r="P325" s="1"/>
      <c r="Q325" s="1"/>
      <c r="R325" s="1"/>
      <c r="S325" s="1"/>
      <c r="T325" s="1"/>
      <c r="U325" s="1"/>
      <c r="V325" s="1"/>
      <c r="W325" s="1"/>
      <c r="X325" s="1"/>
      <c r="Y325" s="1"/>
      <c r="Z325" s="1"/>
      <c r="AA325" s="1"/>
    </row>
    <row r="326" spans="1:27" ht="15.75" customHeight="1">
      <c r="A326" s="1"/>
      <c r="B326" s="556" t="s">
        <v>1789</v>
      </c>
      <c r="C326" s="557" t="s">
        <v>1749</v>
      </c>
      <c r="D326" s="174" t="s">
        <v>1790</v>
      </c>
      <c r="E326" s="558">
        <f t="shared" si="132"/>
        <v>2350.4201680672272</v>
      </c>
      <c r="F326" s="559" t="s">
        <v>1339</v>
      </c>
      <c r="G326" s="557"/>
      <c r="H326" s="560">
        <f t="shared" si="133"/>
        <v>2797</v>
      </c>
      <c r="I326" s="520"/>
      <c r="J326" s="517">
        <f t="shared" si="134"/>
        <v>2796.3809999999999</v>
      </c>
      <c r="K326" s="521" t="s">
        <v>1761</v>
      </c>
      <c r="L326" s="522">
        <f>2349.9*1.19</f>
        <v>2796.3809999999999</v>
      </c>
      <c r="M326" s="1"/>
      <c r="N326" s="1"/>
      <c r="O326" s="1"/>
      <c r="P326" s="1"/>
      <c r="Q326" s="1"/>
      <c r="R326" s="1"/>
      <c r="S326" s="1"/>
      <c r="T326" s="1"/>
      <c r="U326" s="1"/>
      <c r="V326" s="1"/>
      <c r="W326" s="1"/>
      <c r="X326" s="1"/>
      <c r="Y326" s="1"/>
      <c r="Z326" s="1"/>
      <c r="AA326" s="1"/>
    </row>
    <row r="327" spans="1:27" ht="15.75" customHeight="1">
      <c r="A327" s="1"/>
      <c r="B327" s="556" t="s">
        <v>1791</v>
      </c>
      <c r="C327" s="557" t="s">
        <v>1749</v>
      </c>
      <c r="D327" s="174" t="s">
        <v>1792</v>
      </c>
      <c r="E327" s="558">
        <f t="shared" si="132"/>
        <v>3469.747899159664</v>
      </c>
      <c r="F327" s="559" t="s">
        <v>1339</v>
      </c>
      <c r="G327" s="557"/>
      <c r="H327" s="560">
        <f t="shared" si="133"/>
        <v>4129</v>
      </c>
      <c r="I327" s="520"/>
      <c r="J327" s="517">
        <f t="shared" si="134"/>
        <v>4128.1099999999997</v>
      </c>
      <c r="K327" s="521" t="s">
        <v>1761</v>
      </c>
      <c r="L327" s="522">
        <f>3469*1.19</f>
        <v>4128.1099999999997</v>
      </c>
      <c r="M327" s="1"/>
      <c r="N327" s="1"/>
      <c r="O327" s="1"/>
      <c r="P327" s="1"/>
      <c r="Q327" s="1"/>
      <c r="R327" s="1"/>
      <c r="S327" s="1"/>
      <c r="T327" s="1"/>
      <c r="U327" s="1"/>
      <c r="V327" s="1"/>
      <c r="W327" s="1"/>
      <c r="X327" s="1"/>
      <c r="Y327" s="1"/>
      <c r="Z327" s="1"/>
      <c r="AA327" s="1"/>
    </row>
    <row r="328" spans="1:27" ht="15.75" customHeight="1">
      <c r="A328" s="1"/>
      <c r="B328" s="556" t="s">
        <v>1793</v>
      </c>
      <c r="C328" s="557" t="s">
        <v>1749</v>
      </c>
      <c r="D328" s="174" t="s">
        <v>1794</v>
      </c>
      <c r="E328" s="558">
        <f t="shared" si="132"/>
        <v>42595.798319327732</v>
      </c>
      <c r="F328" s="559" t="s">
        <v>1339</v>
      </c>
      <c r="G328" s="557"/>
      <c r="H328" s="560">
        <f t="shared" si="133"/>
        <v>50689</v>
      </c>
      <c r="I328" s="520"/>
      <c r="J328" s="517">
        <f t="shared" si="134"/>
        <v>50689</v>
      </c>
      <c r="K328" s="571" t="s">
        <v>1752</v>
      </c>
      <c r="L328" s="572">
        <v>50689</v>
      </c>
      <c r="M328" s="1"/>
      <c r="N328" s="1"/>
      <c r="O328" s="1"/>
      <c r="P328" s="1"/>
      <c r="Q328" s="1"/>
      <c r="R328" s="1"/>
      <c r="S328" s="1"/>
      <c r="T328" s="1"/>
      <c r="U328" s="1"/>
      <c r="V328" s="1"/>
      <c r="W328" s="1"/>
      <c r="X328" s="1"/>
      <c r="Y328" s="1"/>
      <c r="Z328" s="1"/>
      <c r="AA328" s="1"/>
    </row>
    <row r="329" spans="1:27" ht="15.75" customHeight="1">
      <c r="A329" s="1"/>
      <c r="B329" s="556" t="s">
        <v>1795</v>
      </c>
      <c r="C329" s="557" t="s">
        <v>1749</v>
      </c>
      <c r="D329" s="174" t="s">
        <v>1796</v>
      </c>
      <c r="E329" s="558">
        <f t="shared" si="132"/>
        <v>8040.3361344537816</v>
      </c>
      <c r="F329" s="559" t="s">
        <v>1339</v>
      </c>
      <c r="G329" s="557"/>
      <c r="H329" s="560">
        <f t="shared" si="133"/>
        <v>9568</v>
      </c>
      <c r="I329" s="520"/>
      <c r="J329" s="517">
        <f t="shared" si="134"/>
        <v>9567.6</v>
      </c>
      <c r="K329" s="521" t="s">
        <v>1761</v>
      </c>
      <c r="L329" s="522">
        <f>8040*1.19</f>
        <v>9567.6</v>
      </c>
      <c r="M329" s="1"/>
      <c r="N329" s="1"/>
      <c r="O329" s="1"/>
      <c r="P329" s="1"/>
      <c r="Q329" s="1"/>
      <c r="R329" s="1"/>
      <c r="S329" s="1"/>
      <c r="T329" s="1"/>
      <c r="U329" s="1"/>
      <c r="V329" s="1"/>
      <c r="W329" s="1"/>
      <c r="X329" s="1"/>
      <c r="Y329" s="1"/>
      <c r="Z329" s="1"/>
      <c r="AA329" s="1"/>
    </row>
    <row r="330" spans="1:27" ht="15.75" customHeight="1">
      <c r="A330" s="1"/>
      <c r="B330" s="556" t="s">
        <v>1797</v>
      </c>
      <c r="C330" s="557" t="s">
        <v>1749</v>
      </c>
      <c r="D330" s="174" t="s">
        <v>1798</v>
      </c>
      <c r="E330" s="558">
        <f t="shared" si="132"/>
        <v>36990.756302521011</v>
      </c>
      <c r="F330" s="559" t="s">
        <v>1339</v>
      </c>
      <c r="G330" s="557"/>
      <c r="H330" s="560">
        <f t="shared" si="133"/>
        <v>44019</v>
      </c>
      <c r="I330" s="520"/>
      <c r="J330" s="517">
        <f t="shared" si="134"/>
        <v>44018.1</v>
      </c>
      <c r="K330" s="521" t="s">
        <v>1761</v>
      </c>
      <c r="L330" s="522">
        <f>36990*1.19</f>
        <v>44018.1</v>
      </c>
      <c r="M330" s="1"/>
      <c r="N330" s="1"/>
      <c r="O330" s="1"/>
      <c r="P330" s="1"/>
      <c r="Q330" s="1"/>
      <c r="R330" s="1"/>
      <c r="S330" s="1"/>
      <c r="T330" s="1"/>
      <c r="U330" s="1"/>
      <c r="V330" s="1"/>
      <c r="W330" s="1"/>
      <c r="X330" s="1"/>
      <c r="Y330" s="1"/>
      <c r="Z330" s="1"/>
      <c r="AA330" s="1"/>
    </row>
    <row r="331" spans="1:27" ht="15.75" customHeight="1">
      <c r="A331" s="1"/>
      <c r="B331" s="556" t="s">
        <v>1799</v>
      </c>
      <c r="C331" s="557" t="s">
        <v>1749</v>
      </c>
      <c r="D331" s="174" t="s">
        <v>1800</v>
      </c>
      <c r="E331" s="558">
        <f t="shared" si="132"/>
        <v>275827.731092437</v>
      </c>
      <c r="F331" s="559" t="s">
        <v>1339</v>
      </c>
      <c r="G331" s="557"/>
      <c r="H331" s="560">
        <f t="shared" si="133"/>
        <v>328235</v>
      </c>
      <c r="I331" s="520"/>
      <c r="J331" s="517">
        <f t="shared" si="134"/>
        <v>328235</v>
      </c>
      <c r="K331" s="571" t="s">
        <v>1752</v>
      </c>
      <c r="L331" s="572">
        <v>328235</v>
      </c>
      <c r="M331" s="1"/>
      <c r="N331" s="1"/>
      <c r="O331" s="1"/>
      <c r="P331" s="1"/>
      <c r="Q331" s="1"/>
      <c r="R331" s="1"/>
      <c r="S331" s="1"/>
      <c r="T331" s="1"/>
      <c r="U331" s="1"/>
      <c r="V331" s="1"/>
      <c r="W331" s="1"/>
      <c r="X331" s="1"/>
      <c r="Y331" s="1"/>
      <c r="Z331" s="1"/>
      <c r="AA331" s="1"/>
    </row>
    <row r="332" spans="1:27" ht="15.75" customHeight="1">
      <c r="A332" s="1"/>
      <c r="B332" s="556" t="s">
        <v>1801</v>
      </c>
      <c r="C332" s="557" t="s">
        <v>1749</v>
      </c>
      <c r="D332" s="174" t="s">
        <v>1802</v>
      </c>
      <c r="E332" s="558">
        <f t="shared" si="132"/>
        <v>29411.764705882353</v>
      </c>
      <c r="F332" s="559" t="s">
        <v>550</v>
      </c>
      <c r="G332" s="557"/>
      <c r="H332" s="560">
        <f t="shared" si="133"/>
        <v>35000</v>
      </c>
      <c r="I332" s="520"/>
      <c r="J332" s="517">
        <f t="shared" si="134"/>
        <v>35000</v>
      </c>
      <c r="K332" s="518" t="s">
        <v>1761</v>
      </c>
      <c r="L332" s="519">
        <v>35000</v>
      </c>
      <c r="M332" s="1"/>
      <c r="N332" s="1"/>
      <c r="O332" s="1"/>
      <c r="P332" s="1"/>
      <c r="Q332" s="1"/>
      <c r="R332" s="1"/>
      <c r="S332" s="1"/>
      <c r="T332" s="1"/>
      <c r="U332" s="1"/>
      <c r="V332" s="1"/>
      <c r="W332" s="1"/>
      <c r="X332" s="1"/>
      <c r="Y332" s="1"/>
      <c r="Z332" s="1"/>
      <c r="AA332" s="1"/>
    </row>
    <row r="333" spans="1:27" ht="15.75" customHeight="1">
      <c r="A333" s="1"/>
      <c r="B333" s="556" t="s">
        <v>1803</v>
      </c>
      <c r="C333" s="557" t="s">
        <v>1749</v>
      </c>
      <c r="D333" s="174" t="s">
        <v>1804</v>
      </c>
      <c r="E333" s="558">
        <f t="shared" si="132"/>
        <v>36531.092436974788</v>
      </c>
      <c r="F333" s="559" t="s">
        <v>550</v>
      </c>
      <c r="G333" s="557"/>
      <c r="H333" s="560">
        <f t="shared" si="133"/>
        <v>43472</v>
      </c>
      <c r="I333" s="520"/>
      <c r="J333" s="517">
        <f t="shared" si="134"/>
        <v>43471.833333333336</v>
      </c>
      <c r="K333" s="518" t="s">
        <v>1761</v>
      </c>
      <c r="L333" s="519">
        <f>260831/6</f>
        <v>43471.833333333336</v>
      </c>
      <c r="M333" s="1"/>
      <c r="N333" s="1"/>
      <c r="O333" s="1"/>
      <c r="P333" s="1"/>
      <c r="Q333" s="1"/>
      <c r="R333" s="1"/>
      <c r="S333" s="1"/>
      <c r="T333" s="1"/>
      <c r="U333" s="1"/>
      <c r="V333" s="1"/>
      <c r="W333" s="1"/>
      <c r="X333" s="1"/>
      <c r="Y333" s="1"/>
      <c r="Z333" s="1"/>
      <c r="AA333" s="1"/>
    </row>
    <row r="334" spans="1:27" ht="15.75" customHeight="1">
      <c r="A334" s="1"/>
      <c r="B334" s="556" t="s">
        <v>1805</v>
      </c>
      <c r="C334" s="557" t="s">
        <v>1749</v>
      </c>
      <c r="D334" s="174" t="s">
        <v>1806</v>
      </c>
      <c r="E334" s="558">
        <f t="shared" si="132"/>
        <v>43403.361344537814</v>
      </c>
      <c r="F334" s="559" t="s">
        <v>550</v>
      </c>
      <c r="G334" s="557"/>
      <c r="H334" s="560">
        <f t="shared" si="133"/>
        <v>51650</v>
      </c>
      <c r="I334" s="520"/>
      <c r="J334" s="517">
        <f t="shared" si="134"/>
        <v>51650</v>
      </c>
      <c r="K334" s="518" t="s">
        <v>1761</v>
      </c>
      <c r="L334" s="519">
        <f>309900/6</f>
        <v>51650</v>
      </c>
      <c r="M334" s="1"/>
      <c r="N334" s="1"/>
      <c r="O334" s="1"/>
      <c r="P334" s="1"/>
      <c r="Q334" s="1"/>
      <c r="R334" s="1"/>
      <c r="S334" s="1"/>
      <c r="T334" s="1"/>
      <c r="U334" s="1"/>
      <c r="V334" s="1"/>
      <c r="W334" s="1"/>
      <c r="X334" s="1"/>
      <c r="Y334" s="1"/>
      <c r="Z334" s="1"/>
      <c r="AA334" s="1"/>
    </row>
    <row r="335" spans="1:27" ht="15.75" customHeight="1">
      <c r="A335" s="1"/>
      <c r="B335" s="556" t="s">
        <v>1807</v>
      </c>
      <c r="C335" s="557" t="s">
        <v>1749</v>
      </c>
      <c r="D335" s="174" t="s">
        <v>1808</v>
      </c>
      <c r="E335" s="558">
        <f t="shared" si="132"/>
        <v>111378.15126050421</v>
      </c>
      <c r="F335" s="559" t="s">
        <v>1339</v>
      </c>
      <c r="G335" s="557"/>
      <c r="H335" s="560">
        <f t="shared" si="133"/>
        <v>132540</v>
      </c>
      <c r="I335" s="520"/>
      <c r="J335" s="517">
        <f t="shared" si="134"/>
        <v>132540</v>
      </c>
      <c r="K335" s="571" t="s">
        <v>1752</v>
      </c>
      <c r="L335" s="572">
        <v>132540</v>
      </c>
      <c r="M335" s="1"/>
      <c r="N335" s="1"/>
      <c r="O335" s="1"/>
      <c r="P335" s="1"/>
      <c r="Q335" s="1"/>
      <c r="R335" s="1"/>
      <c r="S335" s="1"/>
      <c r="T335" s="1"/>
      <c r="U335" s="1"/>
      <c r="V335" s="1"/>
      <c r="W335" s="1"/>
      <c r="X335" s="1"/>
      <c r="Y335" s="1"/>
      <c r="Z335" s="1"/>
      <c r="AA335" s="1"/>
    </row>
    <row r="336" spans="1:27" ht="15.75" customHeight="1">
      <c r="A336" s="1"/>
      <c r="B336" s="556" t="s">
        <v>1809</v>
      </c>
      <c r="C336" s="557" t="s">
        <v>1749</v>
      </c>
      <c r="D336" s="174" t="s">
        <v>1810</v>
      </c>
      <c r="E336" s="558">
        <f t="shared" si="132"/>
        <v>313884.87394957984</v>
      </c>
      <c r="F336" s="559" t="s">
        <v>1339</v>
      </c>
      <c r="G336" s="557"/>
      <c r="H336" s="560">
        <f t="shared" si="133"/>
        <v>373523</v>
      </c>
      <c r="I336" s="520"/>
      <c r="J336" s="517">
        <f t="shared" si="134"/>
        <v>373523</v>
      </c>
      <c r="K336" s="571" t="s">
        <v>1752</v>
      </c>
      <c r="L336" s="572">
        <v>373523</v>
      </c>
      <c r="M336" s="1"/>
      <c r="N336" s="1"/>
      <c r="O336" s="1"/>
      <c r="P336" s="1"/>
      <c r="Q336" s="1"/>
      <c r="R336" s="1"/>
      <c r="S336" s="1"/>
      <c r="T336" s="1"/>
      <c r="U336" s="1"/>
      <c r="V336" s="1"/>
      <c r="W336" s="1"/>
      <c r="X336" s="1"/>
      <c r="Y336" s="1"/>
      <c r="Z336" s="1"/>
      <c r="AA336" s="1"/>
    </row>
    <row r="337" spans="1:27" ht="15.75" customHeight="1">
      <c r="A337" s="1"/>
      <c r="B337" s="556" t="s">
        <v>1811</v>
      </c>
      <c r="C337" s="557" t="s">
        <v>1749</v>
      </c>
      <c r="D337" s="174" t="s">
        <v>1812</v>
      </c>
      <c r="E337" s="558">
        <f t="shared" si="132"/>
        <v>27931.932773109245</v>
      </c>
      <c r="F337" s="559" t="s">
        <v>1339</v>
      </c>
      <c r="G337" s="557"/>
      <c r="H337" s="560">
        <f t="shared" si="133"/>
        <v>33239</v>
      </c>
      <c r="I337" s="520"/>
      <c r="J337" s="517">
        <f t="shared" si="134"/>
        <v>33239</v>
      </c>
      <c r="K337" s="571" t="s">
        <v>1752</v>
      </c>
      <c r="L337" s="572">
        <v>33239</v>
      </c>
      <c r="M337" s="1"/>
      <c r="N337" s="1"/>
      <c r="O337" s="1"/>
      <c r="P337" s="1"/>
      <c r="Q337" s="1"/>
      <c r="R337" s="1"/>
      <c r="S337" s="1"/>
      <c r="T337" s="1"/>
      <c r="U337" s="1"/>
      <c r="V337" s="1"/>
      <c r="W337" s="1"/>
      <c r="X337" s="1"/>
      <c r="Y337" s="1"/>
      <c r="Z337" s="1"/>
      <c r="AA337" s="1"/>
    </row>
    <row r="338" spans="1:27" ht="15.75" customHeight="1">
      <c r="A338" s="1"/>
      <c r="B338" s="556"/>
      <c r="C338" s="557"/>
      <c r="D338" s="174"/>
      <c r="E338" s="558"/>
      <c r="F338" s="559"/>
      <c r="G338" s="557"/>
      <c r="H338" s="560"/>
      <c r="I338" s="523"/>
      <c r="J338" s="524"/>
      <c r="K338" s="521"/>
      <c r="L338" s="522"/>
      <c r="M338" s="1"/>
      <c r="N338" s="1"/>
      <c r="O338" s="1"/>
      <c r="P338" s="1"/>
      <c r="Q338" s="1"/>
      <c r="R338" s="1"/>
      <c r="S338" s="1"/>
      <c r="T338" s="1"/>
      <c r="U338" s="1"/>
      <c r="V338" s="1"/>
      <c r="W338" s="1"/>
      <c r="X338" s="1"/>
      <c r="Y338" s="1"/>
      <c r="Z338" s="1"/>
      <c r="AA338" s="1"/>
    </row>
    <row r="339" spans="1:27" ht="15.75" customHeight="1">
      <c r="A339" s="1"/>
      <c r="B339" s="501" t="s">
        <v>1813</v>
      </c>
      <c r="C339" s="502"/>
      <c r="D339" s="503"/>
      <c r="E339" s="504"/>
      <c r="F339" s="505"/>
      <c r="G339" s="505"/>
      <c r="H339" s="506"/>
      <c r="I339" s="552"/>
      <c r="J339" s="553"/>
      <c r="K339" s="554"/>
      <c r="L339" s="554"/>
      <c r="M339" s="1"/>
      <c r="N339" s="1"/>
      <c r="O339" s="1"/>
      <c r="P339" s="1"/>
      <c r="Q339" s="1"/>
      <c r="R339" s="1"/>
      <c r="S339" s="1"/>
      <c r="T339" s="1"/>
      <c r="U339" s="1"/>
      <c r="V339" s="1"/>
      <c r="W339" s="1"/>
      <c r="X339" s="1"/>
      <c r="Y339" s="1"/>
      <c r="Z339" s="1"/>
      <c r="AA339" s="1"/>
    </row>
    <row r="340" spans="1:27" ht="31.5" customHeight="1">
      <c r="A340" s="1"/>
      <c r="B340" s="556" t="s">
        <v>1814</v>
      </c>
      <c r="C340" s="557" t="s">
        <v>1815</v>
      </c>
      <c r="D340" s="174" t="s">
        <v>1816</v>
      </c>
      <c r="E340" s="573">
        <f t="shared" ref="E340:E342" si="135">+IF(H340="","",H340/1.19)</f>
        <v>226526.05042016809</v>
      </c>
      <c r="F340" s="559" t="s">
        <v>1339</v>
      </c>
      <c r="G340" s="557"/>
      <c r="H340" s="560">
        <f t="shared" ref="H340:H350" si="136">ROUNDUP($J340*(1+$C$10),0)</f>
        <v>269566</v>
      </c>
      <c r="I340" s="523"/>
      <c r="J340" s="524">
        <f t="shared" ref="J340:J348" si="137">IFERROR(AVERAGEIF($K$13:$P$13,"PRECIO IVA INC.",K340:P340),)</f>
        <v>269566</v>
      </c>
      <c r="K340" s="518"/>
      <c r="L340" s="574">
        <v>269566</v>
      </c>
      <c r="M340" s="1"/>
      <c r="N340" s="1"/>
      <c r="O340" s="1"/>
      <c r="P340" s="1"/>
      <c r="Q340" s="1"/>
      <c r="R340" s="1"/>
      <c r="S340" s="1"/>
      <c r="T340" s="1"/>
      <c r="U340" s="1"/>
      <c r="V340" s="1"/>
      <c r="W340" s="1"/>
      <c r="X340" s="1"/>
      <c r="Y340" s="1"/>
      <c r="Z340" s="1"/>
      <c r="AA340" s="1"/>
    </row>
    <row r="341" spans="1:27" ht="19.5" customHeight="1">
      <c r="A341" s="1"/>
      <c r="B341" s="556" t="s">
        <v>1817</v>
      </c>
      <c r="C341" s="557" t="s">
        <v>1815</v>
      </c>
      <c r="D341" s="174" t="s">
        <v>1818</v>
      </c>
      <c r="E341" s="573">
        <f t="shared" si="135"/>
        <v>198852.10084033615</v>
      </c>
      <c r="F341" s="559" t="s">
        <v>1291</v>
      </c>
      <c r="G341" s="557"/>
      <c r="H341" s="560">
        <f t="shared" si="136"/>
        <v>236634</v>
      </c>
      <c r="I341" s="523"/>
      <c r="J341" s="524">
        <f t="shared" si="137"/>
        <v>236634</v>
      </c>
      <c r="K341" s="518"/>
      <c r="L341" s="574">
        <v>236634</v>
      </c>
      <c r="M341" s="1"/>
      <c r="N341" s="1"/>
      <c r="O341" s="1"/>
      <c r="P341" s="1"/>
      <c r="Q341" s="1"/>
      <c r="R341" s="1"/>
      <c r="S341" s="1"/>
      <c r="T341" s="1"/>
      <c r="U341" s="1"/>
      <c r="V341" s="1"/>
      <c r="W341" s="1"/>
      <c r="X341" s="1"/>
      <c r="Y341" s="1"/>
      <c r="Z341" s="1"/>
      <c r="AA341" s="1"/>
    </row>
    <row r="342" spans="1:27" ht="15.75" customHeight="1">
      <c r="A342" s="1"/>
      <c r="B342" s="556" t="s">
        <v>1819</v>
      </c>
      <c r="C342" s="557" t="s">
        <v>1815</v>
      </c>
      <c r="D342" s="174" t="s">
        <v>1820</v>
      </c>
      <c r="E342" s="573">
        <f t="shared" si="135"/>
        <v>102138.65546218488</v>
      </c>
      <c r="F342" s="559" t="s">
        <v>1339</v>
      </c>
      <c r="G342" s="557"/>
      <c r="H342" s="560">
        <f t="shared" si="136"/>
        <v>121545</v>
      </c>
      <c r="I342" s="523"/>
      <c r="J342" s="524">
        <f t="shared" si="137"/>
        <v>121545</v>
      </c>
      <c r="K342" s="518"/>
      <c r="L342" s="574">
        <v>121545</v>
      </c>
      <c r="M342" s="1"/>
      <c r="N342" s="1"/>
      <c r="O342" s="1"/>
      <c r="P342" s="1"/>
      <c r="Q342" s="1"/>
      <c r="R342" s="1"/>
      <c r="S342" s="1"/>
      <c r="T342" s="1"/>
      <c r="U342" s="1"/>
      <c r="V342" s="1"/>
      <c r="W342" s="1"/>
      <c r="X342" s="1"/>
      <c r="Y342" s="1"/>
      <c r="Z342" s="1"/>
      <c r="AA342" s="1"/>
    </row>
    <row r="343" spans="1:27" ht="15.75" customHeight="1">
      <c r="A343" s="1"/>
      <c r="B343" s="556" t="s">
        <v>1821</v>
      </c>
      <c r="C343" s="557" t="s">
        <v>1815</v>
      </c>
      <c r="D343" s="174" t="s">
        <v>1822</v>
      </c>
      <c r="E343" s="573">
        <f t="shared" ref="E343:E350" si="138">+H343/1.19</f>
        <v>1012605.0420168068</v>
      </c>
      <c r="F343" s="559" t="s">
        <v>1291</v>
      </c>
      <c r="G343" s="557"/>
      <c r="H343" s="560">
        <f t="shared" si="136"/>
        <v>1205000</v>
      </c>
      <c r="I343" s="523"/>
      <c r="J343" s="524">
        <f t="shared" si="137"/>
        <v>1205000</v>
      </c>
      <c r="K343" s="518" t="s">
        <v>1823</v>
      </c>
      <c r="L343" s="574">
        <v>1205000</v>
      </c>
      <c r="M343" s="1"/>
      <c r="N343" s="1"/>
      <c r="O343" s="1"/>
      <c r="P343" s="1"/>
      <c r="Q343" s="1"/>
      <c r="R343" s="1"/>
      <c r="S343" s="1"/>
      <c r="T343" s="1"/>
      <c r="U343" s="1"/>
      <c r="V343" s="1"/>
      <c r="W343" s="1"/>
      <c r="X343" s="1"/>
      <c r="Y343" s="1"/>
      <c r="Z343" s="1"/>
      <c r="AA343" s="1"/>
    </row>
    <row r="344" spans="1:27" ht="15.75" customHeight="1">
      <c r="A344" s="1"/>
      <c r="B344" s="556" t="s">
        <v>1824</v>
      </c>
      <c r="C344" s="557"/>
      <c r="D344" s="174" t="s">
        <v>1825</v>
      </c>
      <c r="E344" s="573">
        <f t="shared" si="138"/>
        <v>9159.6638655462193</v>
      </c>
      <c r="F344" s="559" t="s">
        <v>1291</v>
      </c>
      <c r="G344" s="557"/>
      <c r="H344" s="560">
        <f t="shared" si="136"/>
        <v>10900</v>
      </c>
      <c r="I344" s="523"/>
      <c r="J344" s="524">
        <f t="shared" si="137"/>
        <v>10900</v>
      </c>
      <c r="K344" s="518" t="s">
        <v>1292</v>
      </c>
      <c r="L344" s="574">
        <v>10900</v>
      </c>
      <c r="M344" s="1"/>
      <c r="N344" s="1"/>
      <c r="O344" s="1"/>
      <c r="P344" s="1"/>
      <c r="Q344" s="1"/>
      <c r="R344" s="1"/>
      <c r="S344" s="1"/>
      <c r="T344" s="1"/>
      <c r="U344" s="1"/>
      <c r="V344" s="1"/>
      <c r="W344" s="1"/>
      <c r="X344" s="1"/>
      <c r="Y344" s="1"/>
      <c r="Z344" s="1"/>
      <c r="AA344" s="1"/>
    </row>
    <row r="345" spans="1:27" ht="15.75" customHeight="1">
      <c r="A345" s="1"/>
      <c r="B345" s="556" t="s">
        <v>1826</v>
      </c>
      <c r="C345" s="557" t="s">
        <v>1815</v>
      </c>
      <c r="D345" s="174" t="s">
        <v>1827</v>
      </c>
      <c r="E345" s="573">
        <f t="shared" si="138"/>
        <v>89447.058823529413</v>
      </c>
      <c r="F345" s="559" t="s">
        <v>1339</v>
      </c>
      <c r="G345" s="557"/>
      <c r="H345" s="560">
        <f t="shared" si="136"/>
        <v>106442</v>
      </c>
      <c r="I345" s="523"/>
      <c r="J345" s="524">
        <f t="shared" si="137"/>
        <v>106442</v>
      </c>
      <c r="K345" s="518"/>
      <c r="L345" s="574">
        <v>106442</v>
      </c>
      <c r="M345" s="1"/>
      <c r="N345" s="1"/>
      <c r="O345" s="1"/>
      <c r="P345" s="1"/>
      <c r="Q345" s="1"/>
      <c r="R345" s="1"/>
      <c r="S345" s="1"/>
      <c r="T345" s="1"/>
      <c r="U345" s="1"/>
      <c r="V345" s="1"/>
      <c r="W345" s="1"/>
      <c r="X345" s="1"/>
      <c r="Y345" s="1"/>
      <c r="Z345" s="1"/>
      <c r="AA345" s="1"/>
    </row>
    <row r="346" spans="1:27" ht="15.75" customHeight="1">
      <c r="A346" s="1"/>
      <c r="B346" s="556" t="s">
        <v>1828</v>
      </c>
      <c r="C346" s="557" t="s">
        <v>1815</v>
      </c>
      <c r="D346" s="174" t="s">
        <v>1829</v>
      </c>
      <c r="E346" s="573">
        <f t="shared" si="138"/>
        <v>6289.0756302521013</v>
      </c>
      <c r="F346" s="559" t="s">
        <v>303</v>
      </c>
      <c r="G346" s="557"/>
      <c r="H346" s="560">
        <f t="shared" si="136"/>
        <v>7484</v>
      </c>
      <c r="I346" s="523"/>
      <c r="J346" s="524">
        <f t="shared" si="137"/>
        <v>7483.333333333333</v>
      </c>
      <c r="K346" s="518" t="s">
        <v>1292</v>
      </c>
      <c r="L346" s="519">
        <f>44900/6</f>
        <v>7483.333333333333</v>
      </c>
      <c r="M346" s="1"/>
      <c r="N346" s="1"/>
      <c r="O346" s="1"/>
      <c r="P346" s="1"/>
      <c r="Q346" s="1"/>
      <c r="R346" s="1"/>
      <c r="S346" s="1"/>
      <c r="T346" s="1"/>
      <c r="U346" s="1"/>
      <c r="V346" s="1"/>
      <c r="W346" s="1"/>
      <c r="X346" s="1"/>
      <c r="Y346" s="1"/>
      <c r="Z346" s="1"/>
      <c r="AA346" s="1"/>
    </row>
    <row r="347" spans="1:27" ht="15.75" customHeight="1">
      <c r="A347" s="1"/>
      <c r="B347" s="556" t="s">
        <v>1830</v>
      </c>
      <c r="C347" s="557" t="s">
        <v>1815</v>
      </c>
      <c r="D347" s="174" t="s">
        <v>1831</v>
      </c>
      <c r="E347" s="573">
        <f t="shared" si="138"/>
        <v>134369.74789915967</v>
      </c>
      <c r="F347" s="559" t="s">
        <v>303</v>
      </c>
      <c r="G347" s="557"/>
      <c r="H347" s="560">
        <f t="shared" si="136"/>
        <v>159900</v>
      </c>
      <c r="I347" s="523"/>
      <c r="J347" s="524">
        <f t="shared" si="137"/>
        <v>159900</v>
      </c>
      <c r="K347" s="518" t="s">
        <v>1292</v>
      </c>
      <c r="L347" s="574">
        <v>159900</v>
      </c>
      <c r="M347" s="1"/>
      <c r="N347" s="1"/>
      <c r="O347" s="1"/>
      <c r="P347" s="1"/>
      <c r="Q347" s="1"/>
      <c r="R347" s="1"/>
      <c r="S347" s="1"/>
      <c r="T347" s="1"/>
      <c r="U347" s="1"/>
      <c r="V347" s="1"/>
      <c r="W347" s="1"/>
      <c r="X347" s="1"/>
      <c r="Y347" s="1"/>
      <c r="Z347" s="1"/>
      <c r="AA347" s="1"/>
    </row>
    <row r="348" spans="1:27" ht="15.75" customHeight="1">
      <c r="A348" s="1"/>
      <c r="B348" s="556" t="s">
        <v>1832</v>
      </c>
      <c r="C348" s="557" t="s">
        <v>1815</v>
      </c>
      <c r="D348" s="174" t="s">
        <v>1833</v>
      </c>
      <c r="E348" s="573">
        <f t="shared" si="138"/>
        <v>18403.361344537814</v>
      </c>
      <c r="F348" s="559" t="s">
        <v>1339</v>
      </c>
      <c r="G348" s="557"/>
      <c r="H348" s="560">
        <f t="shared" si="136"/>
        <v>21900</v>
      </c>
      <c r="I348" s="523"/>
      <c r="J348" s="517">
        <f t="shared" si="137"/>
        <v>21900</v>
      </c>
      <c r="K348" s="518" t="s">
        <v>1292</v>
      </c>
      <c r="L348" s="574">
        <v>21900</v>
      </c>
      <c r="M348" s="1"/>
      <c r="N348" s="1"/>
      <c r="O348" s="1"/>
      <c r="P348" s="1"/>
      <c r="Q348" s="1"/>
      <c r="R348" s="1"/>
      <c r="S348" s="1"/>
      <c r="T348" s="1"/>
      <c r="U348" s="1"/>
      <c r="V348" s="1"/>
      <c r="W348" s="1"/>
      <c r="X348" s="1"/>
      <c r="Y348" s="1"/>
      <c r="Z348" s="1"/>
      <c r="AA348" s="1"/>
    </row>
    <row r="349" spans="1:27" ht="15.75" customHeight="1">
      <c r="A349" s="1"/>
      <c r="B349" s="556" t="s">
        <v>1834</v>
      </c>
      <c r="C349" s="557" t="s">
        <v>1815</v>
      </c>
      <c r="D349" s="174" t="s">
        <v>1835</v>
      </c>
      <c r="E349" s="573">
        <f t="shared" si="138"/>
        <v>0</v>
      </c>
      <c r="F349" s="559" t="s">
        <v>303</v>
      </c>
      <c r="G349" s="557"/>
      <c r="H349" s="560">
        <f t="shared" si="136"/>
        <v>0</v>
      </c>
      <c r="I349" s="523"/>
      <c r="J349" s="517">
        <f t="shared" ref="J349:J350" si="139">IFERROR(AVERAGEIF($K$13:$P$13,"PRECIO IVA INC.",K349:P349),)</f>
        <v>0</v>
      </c>
      <c r="K349" s="518" t="s">
        <v>1292</v>
      </c>
      <c r="L349" s="574"/>
      <c r="M349" s="1"/>
      <c r="N349" s="1"/>
      <c r="O349" s="1"/>
      <c r="P349" s="1"/>
      <c r="Q349" s="1"/>
      <c r="R349" s="1"/>
      <c r="S349" s="1"/>
      <c r="T349" s="1"/>
      <c r="U349" s="1"/>
      <c r="V349" s="1"/>
      <c r="W349" s="1"/>
      <c r="X349" s="1"/>
      <c r="Y349" s="1"/>
      <c r="Z349" s="1"/>
      <c r="AA349" s="1"/>
    </row>
    <row r="350" spans="1:27" ht="15.75" customHeight="1">
      <c r="A350" s="1"/>
      <c r="B350" s="556" t="s">
        <v>1836</v>
      </c>
      <c r="C350" s="557" t="s">
        <v>1815</v>
      </c>
      <c r="D350" s="174" t="s">
        <v>2408</v>
      </c>
      <c r="E350" s="573">
        <f t="shared" si="138"/>
        <v>145294.11764705883</v>
      </c>
      <c r="F350" s="559" t="s">
        <v>1291</v>
      </c>
      <c r="G350" s="557"/>
      <c r="H350" s="560">
        <f t="shared" si="136"/>
        <v>172900</v>
      </c>
      <c r="I350" s="523"/>
      <c r="J350" s="517">
        <f t="shared" si="139"/>
        <v>172900</v>
      </c>
      <c r="K350" s="518" t="s">
        <v>1292</v>
      </c>
      <c r="L350" s="574">
        <v>172900</v>
      </c>
      <c r="M350" s="1"/>
      <c r="N350" s="1"/>
      <c r="O350" s="1"/>
      <c r="P350" s="1"/>
      <c r="Q350" s="1"/>
      <c r="R350" s="1"/>
      <c r="S350" s="1"/>
      <c r="T350" s="1"/>
      <c r="U350" s="1"/>
      <c r="V350" s="1"/>
      <c r="W350" s="1"/>
      <c r="X350" s="1"/>
      <c r="Y350" s="1"/>
      <c r="Z350" s="1"/>
      <c r="AA350" s="1"/>
    </row>
    <row r="351" spans="1:27" ht="15.75" customHeight="1">
      <c r="A351" s="1"/>
      <c r="B351" s="501" t="s">
        <v>1837</v>
      </c>
      <c r="C351" s="502"/>
      <c r="D351" s="503"/>
      <c r="E351" s="504"/>
      <c r="F351" s="505"/>
      <c r="G351" s="505"/>
      <c r="H351" s="506"/>
      <c r="I351" s="552"/>
      <c r="J351" s="553"/>
      <c r="K351" s="554"/>
      <c r="L351" s="554"/>
      <c r="M351" s="554"/>
      <c r="N351" s="554"/>
      <c r="O351" s="1"/>
      <c r="P351" s="1"/>
      <c r="Q351" s="1"/>
      <c r="R351" s="1"/>
      <c r="S351" s="1"/>
      <c r="T351" s="1"/>
      <c r="U351" s="1"/>
      <c r="V351" s="1"/>
      <c r="W351" s="1"/>
      <c r="X351" s="1"/>
      <c r="Y351" s="1"/>
      <c r="Z351" s="1"/>
      <c r="AA351" s="1"/>
    </row>
    <row r="352" spans="1:27" ht="15.75" customHeight="1">
      <c r="A352" s="1"/>
      <c r="B352" s="556" t="s">
        <v>1838</v>
      </c>
      <c r="C352" s="557" t="s">
        <v>1839</v>
      </c>
      <c r="D352" s="174" t="s">
        <v>2549</v>
      </c>
      <c r="E352" s="573">
        <f t="shared" ref="E352:E369" si="140">+H352/1.19</f>
        <v>7478.9915966386561</v>
      </c>
      <c r="F352" s="559" t="s">
        <v>1339</v>
      </c>
      <c r="G352" s="557"/>
      <c r="H352" s="560">
        <f t="shared" ref="H352:H374" si="141">ROUNDUP($J352*(1+$C$10),0)</f>
        <v>8900</v>
      </c>
      <c r="I352" s="523"/>
      <c r="J352" s="524">
        <f t="shared" ref="J352:J353" si="142">IFERROR(AVERAGEIF($K$13:$P$13,"PRECIO IVA INC.",K352:P352),)</f>
        <v>8900</v>
      </c>
      <c r="K352" s="521" t="s">
        <v>1292</v>
      </c>
      <c r="L352" s="522">
        <v>8900</v>
      </c>
      <c r="M352" s="518"/>
      <c r="N352" s="519"/>
      <c r="O352" s="1"/>
      <c r="P352" s="1"/>
      <c r="Q352" s="1"/>
      <c r="R352" s="1"/>
      <c r="S352" s="1"/>
      <c r="T352" s="1"/>
      <c r="U352" s="1"/>
      <c r="V352" s="1"/>
      <c r="W352" s="1"/>
      <c r="X352" s="1"/>
      <c r="Y352" s="1"/>
      <c r="Z352" s="1"/>
      <c r="AA352" s="1"/>
    </row>
    <row r="353" spans="1:27" ht="15.75" customHeight="1">
      <c r="A353" s="1"/>
      <c r="B353" s="556" t="s">
        <v>1840</v>
      </c>
      <c r="C353" s="557" t="s">
        <v>1839</v>
      </c>
      <c r="D353" s="174" t="s">
        <v>2552</v>
      </c>
      <c r="E353" s="573">
        <f t="shared" si="140"/>
        <v>10672.268907563026</v>
      </c>
      <c r="F353" s="559" t="s">
        <v>1291</v>
      </c>
      <c r="G353" s="557"/>
      <c r="H353" s="560">
        <f t="shared" si="141"/>
        <v>12700</v>
      </c>
      <c r="I353" s="523"/>
      <c r="J353" s="524">
        <f t="shared" si="142"/>
        <v>12700</v>
      </c>
      <c r="K353" s="521" t="s">
        <v>1292</v>
      </c>
      <c r="L353" s="522">
        <v>12700</v>
      </c>
      <c r="M353" s="518"/>
      <c r="N353" s="519"/>
      <c r="O353" s="1"/>
      <c r="P353" s="1"/>
      <c r="Q353" s="1"/>
      <c r="R353" s="1"/>
      <c r="S353" s="1"/>
      <c r="T353" s="1"/>
      <c r="U353" s="1"/>
      <c r="V353" s="1"/>
      <c r="W353" s="1"/>
      <c r="X353" s="1"/>
      <c r="Y353" s="1"/>
      <c r="Z353" s="1"/>
      <c r="AA353" s="1"/>
    </row>
    <row r="354" spans="1:27" ht="15.75" customHeight="1">
      <c r="A354" s="1"/>
      <c r="B354" s="556" t="s">
        <v>1841</v>
      </c>
      <c r="C354" s="557" t="s">
        <v>1839</v>
      </c>
      <c r="D354" s="174" t="s">
        <v>2562</v>
      </c>
      <c r="E354" s="558">
        <f t="shared" si="140"/>
        <v>11092.436974789916</v>
      </c>
      <c r="F354" s="559" t="s">
        <v>1277</v>
      </c>
      <c r="G354" s="557"/>
      <c r="H354" s="560">
        <f t="shared" si="141"/>
        <v>13200</v>
      </c>
      <c r="I354" s="520"/>
      <c r="J354" s="517">
        <f t="shared" ref="J354:J355" si="143">+AVERAGEIF($K$13:$P$13,"PRECIO IVA INC.",K354:P354)</f>
        <v>13200</v>
      </c>
      <c r="K354" s="521" t="s">
        <v>1292</v>
      </c>
      <c r="L354" s="522">
        <v>13200</v>
      </c>
      <c r="M354" s="518"/>
      <c r="N354" s="519"/>
      <c r="O354" s="1"/>
      <c r="P354" s="1"/>
      <c r="Q354" s="1"/>
      <c r="R354" s="1"/>
      <c r="S354" s="1"/>
      <c r="T354" s="1"/>
      <c r="U354" s="1"/>
      <c r="V354" s="1"/>
      <c r="W354" s="1"/>
      <c r="X354" s="1"/>
      <c r="Y354" s="1"/>
      <c r="Z354" s="1"/>
      <c r="AA354" s="1"/>
    </row>
    <row r="355" spans="1:27" ht="15.75" customHeight="1">
      <c r="A355" s="1"/>
      <c r="B355" s="556" t="s">
        <v>1842</v>
      </c>
      <c r="C355" s="557" t="s">
        <v>1839</v>
      </c>
      <c r="D355" s="174" t="s">
        <v>1843</v>
      </c>
      <c r="E355" s="558">
        <f t="shared" si="140"/>
        <v>4130.2521008403364</v>
      </c>
      <c r="F355" s="559" t="s">
        <v>454</v>
      </c>
      <c r="G355" s="557"/>
      <c r="H355" s="560">
        <f t="shared" si="141"/>
        <v>4915</v>
      </c>
      <c r="I355" s="520"/>
      <c r="J355" s="517">
        <f t="shared" si="143"/>
        <v>4915</v>
      </c>
      <c r="K355" s="521" t="s">
        <v>1292</v>
      </c>
      <c r="L355" s="522">
        <v>4030</v>
      </c>
      <c r="M355" s="521" t="s">
        <v>1844</v>
      </c>
      <c r="N355" s="522">
        <v>5800</v>
      </c>
      <c r="O355" s="1"/>
      <c r="P355" s="1"/>
      <c r="Q355" s="1"/>
      <c r="R355" s="1"/>
      <c r="S355" s="1"/>
      <c r="T355" s="1"/>
      <c r="U355" s="1"/>
      <c r="V355" s="1"/>
      <c r="W355" s="1"/>
      <c r="X355" s="1"/>
      <c r="Y355" s="1"/>
      <c r="Z355" s="1"/>
      <c r="AA355" s="1"/>
    </row>
    <row r="356" spans="1:27" ht="15.75" customHeight="1">
      <c r="A356" s="1"/>
      <c r="B356" s="556" t="s">
        <v>1845</v>
      </c>
      <c r="C356" s="557" t="s">
        <v>1839</v>
      </c>
      <c r="D356" s="174" t="s">
        <v>1846</v>
      </c>
      <c r="E356" s="558">
        <f t="shared" si="140"/>
        <v>6674.7899159663866</v>
      </c>
      <c r="F356" s="559" t="s">
        <v>454</v>
      </c>
      <c r="G356" s="557"/>
      <c r="H356" s="560">
        <f t="shared" si="141"/>
        <v>7943</v>
      </c>
      <c r="I356" s="520"/>
      <c r="J356" s="517">
        <f t="shared" ref="J356:J358" si="144">IFERROR(AVERAGEIF($K$13:$P$13,"PRECIO IVA INC.",K356:P356),)</f>
        <v>7942.15</v>
      </c>
      <c r="K356" s="521" t="s">
        <v>1847</v>
      </c>
      <c r="L356" s="522">
        <f>238229/30</f>
        <v>7940.9666666666662</v>
      </c>
      <c r="M356" s="521" t="s">
        <v>1848</v>
      </c>
      <c r="N356" s="522">
        <f>238300/30</f>
        <v>7943.333333333333</v>
      </c>
      <c r="O356" s="1"/>
      <c r="P356" s="1"/>
      <c r="Q356" s="1"/>
      <c r="R356" s="1"/>
      <c r="S356" s="1"/>
      <c r="T356" s="1"/>
      <c r="U356" s="1"/>
      <c r="V356" s="1"/>
      <c r="W356" s="1"/>
      <c r="X356" s="1"/>
      <c r="Y356" s="1"/>
      <c r="Z356" s="1"/>
      <c r="AA356" s="1"/>
    </row>
    <row r="357" spans="1:27" ht="15.75" customHeight="1">
      <c r="A357" s="1"/>
      <c r="B357" s="556" t="s">
        <v>1849</v>
      </c>
      <c r="C357" s="557" t="s">
        <v>1839</v>
      </c>
      <c r="D357" s="174" t="s">
        <v>1850</v>
      </c>
      <c r="E357" s="558">
        <f t="shared" si="140"/>
        <v>67352.941176470587</v>
      </c>
      <c r="F357" s="559" t="s">
        <v>1851</v>
      </c>
      <c r="G357" s="557"/>
      <c r="H357" s="560">
        <f t="shared" si="141"/>
        <v>80150</v>
      </c>
      <c r="I357" s="520"/>
      <c r="J357" s="517">
        <f t="shared" si="144"/>
        <v>80150</v>
      </c>
      <c r="K357" s="521" t="s">
        <v>1292</v>
      </c>
      <c r="L357" s="522">
        <v>64900</v>
      </c>
      <c r="M357" s="575" t="s">
        <v>1752</v>
      </c>
      <c r="N357" s="575">
        <v>95400</v>
      </c>
      <c r="O357" s="1"/>
      <c r="P357" s="1"/>
      <c r="Q357" s="1"/>
      <c r="R357" s="1"/>
      <c r="S357" s="1"/>
      <c r="T357" s="1"/>
      <c r="U357" s="1"/>
      <c r="V357" s="1"/>
      <c r="W357" s="1"/>
      <c r="X357" s="1"/>
      <c r="Y357" s="1"/>
      <c r="Z357" s="1"/>
      <c r="AA357" s="1"/>
    </row>
    <row r="358" spans="1:27" ht="15.75" customHeight="1">
      <c r="A358" s="1"/>
      <c r="B358" s="556" t="s">
        <v>1852</v>
      </c>
      <c r="C358" s="557" t="s">
        <v>1839</v>
      </c>
      <c r="D358" s="174" t="s">
        <v>2630</v>
      </c>
      <c r="E358" s="558">
        <f t="shared" si="140"/>
        <v>67983.193277310929</v>
      </c>
      <c r="F358" s="559" t="s">
        <v>1851</v>
      </c>
      <c r="G358" s="557"/>
      <c r="H358" s="560">
        <f t="shared" si="141"/>
        <v>80900</v>
      </c>
      <c r="I358" s="520"/>
      <c r="J358" s="517">
        <f t="shared" si="144"/>
        <v>80900</v>
      </c>
      <c r="K358" s="521" t="s">
        <v>1292</v>
      </c>
      <c r="L358" s="522">
        <v>80900</v>
      </c>
      <c r="M358" s="518"/>
      <c r="N358" s="519"/>
      <c r="O358" s="1"/>
      <c r="P358" s="1"/>
      <c r="Q358" s="1"/>
      <c r="R358" s="1"/>
      <c r="S358" s="1"/>
      <c r="T358" s="1"/>
      <c r="U358" s="1"/>
      <c r="V358" s="1"/>
      <c r="W358" s="1"/>
      <c r="X358" s="1"/>
      <c r="Y358" s="1"/>
      <c r="Z358" s="1"/>
      <c r="AA358" s="1"/>
    </row>
    <row r="359" spans="1:27" ht="15.75" customHeight="1">
      <c r="A359" s="1"/>
      <c r="B359" s="556" t="s">
        <v>1853</v>
      </c>
      <c r="C359" s="557" t="s">
        <v>1839</v>
      </c>
      <c r="D359" s="174" t="s">
        <v>1854</v>
      </c>
      <c r="E359" s="558">
        <f t="shared" si="140"/>
        <v>82689.075630252104</v>
      </c>
      <c r="F359" s="559" t="s">
        <v>1851</v>
      </c>
      <c r="G359" s="557"/>
      <c r="H359" s="560">
        <f t="shared" si="141"/>
        <v>98400</v>
      </c>
      <c r="I359" s="520"/>
      <c r="J359" s="517">
        <f>+AVERAGEIF($K$13:$P$13,"PRECIO IVA INC.",K359:P359)</f>
        <v>98400</v>
      </c>
      <c r="K359" s="521" t="s">
        <v>1292</v>
      </c>
      <c r="L359" s="522">
        <f>64900+52900</f>
        <v>117800</v>
      </c>
      <c r="M359" s="521" t="s">
        <v>1305</v>
      </c>
      <c r="N359" s="522">
        <f>39500+39500</f>
        <v>79000</v>
      </c>
      <c r="O359" s="1"/>
      <c r="P359" s="1"/>
      <c r="Q359" s="1"/>
      <c r="R359" s="1"/>
      <c r="S359" s="1"/>
      <c r="T359" s="1"/>
      <c r="U359" s="1"/>
      <c r="V359" s="1"/>
      <c r="W359" s="1"/>
      <c r="X359" s="1"/>
      <c r="Y359" s="1"/>
      <c r="Z359" s="1"/>
      <c r="AA359" s="1"/>
    </row>
    <row r="360" spans="1:27" ht="15.75" customHeight="1">
      <c r="A360" s="1"/>
      <c r="B360" s="556" t="s">
        <v>1855</v>
      </c>
      <c r="C360" s="557" t="s">
        <v>1839</v>
      </c>
      <c r="D360" s="174" t="s">
        <v>1409</v>
      </c>
      <c r="E360" s="558">
        <f t="shared" si="140"/>
        <v>0</v>
      </c>
      <c r="F360" s="559"/>
      <c r="G360" s="557"/>
      <c r="H360" s="560">
        <f t="shared" si="141"/>
        <v>0</v>
      </c>
      <c r="I360" s="523"/>
      <c r="J360" s="524">
        <f t="shared" ref="J360:J361" si="145">IFERROR(AVERAGEIF($K$13:$P$13,"PRECIO IVA INC.",K360:P360),)</f>
        <v>0</v>
      </c>
      <c r="K360" s="518"/>
      <c r="L360" s="519"/>
      <c r="M360" s="518"/>
      <c r="N360" s="519"/>
      <c r="O360" s="1"/>
      <c r="P360" s="1"/>
      <c r="Q360" s="1"/>
      <c r="R360" s="1"/>
      <c r="S360" s="1"/>
      <c r="T360" s="1"/>
      <c r="U360" s="1"/>
      <c r="V360" s="1"/>
      <c r="W360" s="1"/>
      <c r="X360" s="1"/>
      <c r="Y360" s="1"/>
      <c r="Z360" s="1"/>
      <c r="AA360" s="1"/>
    </row>
    <row r="361" spans="1:27" ht="33" customHeight="1">
      <c r="A361" s="1"/>
      <c r="B361" s="556" t="s">
        <v>1856</v>
      </c>
      <c r="C361" s="557" t="s">
        <v>1839</v>
      </c>
      <c r="D361" s="174" t="s">
        <v>1857</v>
      </c>
      <c r="E361" s="558">
        <f t="shared" si="140"/>
        <v>0</v>
      </c>
      <c r="F361" s="559" t="s">
        <v>303</v>
      </c>
      <c r="G361" s="557"/>
      <c r="H361" s="560">
        <f t="shared" si="141"/>
        <v>0</v>
      </c>
      <c r="I361" s="523"/>
      <c r="J361" s="524">
        <f t="shared" si="145"/>
        <v>0</v>
      </c>
      <c r="K361" s="518"/>
      <c r="L361" s="519"/>
      <c r="M361" s="518"/>
      <c r="N361" s="519"/>
      <c r="O361" s="1"/>
      <c r="P361" s="1"/>
      <c r="Q361" s="1"/>
      <c r="R361" s="1"/>
      <c r="S361" s="1"/>
      <c r="T361" s="1"/>
      <c r="U361" s="1"/>
      <c r="V361" s="1"/>
      <c r="W361" s="1"/>
      <c r="X361" s="1"/>
      <c r="Y361" s="1"/>
      <c r="Z361" s="1"/>
      <c r="AA361" s="1"/>
    </row>
    <row r="362" spans="1:27" ht="15.75" customHeight="1">
      <c r="A362" s="1"/>
      <c r="B362" s="556" t="s">
        <v>1858</v>
      </c>
      <c r="C362" s="557" t="s">
        <v>1839</v>
      </c>
      <c r="D362" s="174" t="s">
        <v>2618</v>
      </c>
      <c r="E362" s="573">
        <f t="shared" si="140"/>
        <v>117563.02521008404</v>
      </c>
      <c r="F362" s="559" t="s">
        <v>1851</v>
      </c>
      <c r="G362" s="557"/>
      <c r="H362" s="560">
        <f t="shared" si="141"/>
        <v>139900</v>
      </c>
      <c r="I362" s="520"/>
      <c r="J362" s="517">
        <f t="shared" ref="J362:J363" si="146">+AVERAGEIF($K$13:$P$13,"PRECIO IVA INC.",K362:P362)</f>
        <v>139900</v>
      </c>
      <c r="K362" s="521" t="s">
        <v>1292</v>
      </c>
      <c r="L362" s="522">
        <v>139900</v>
      </c>
      <c r="M362" s="518"/>
      <c r="N362" s="519"/>
      <c r="O362" s="1"/>
      <c r="P362" s="1"/>
      <c r="Q362" s="1"/>
      <c r="R362" s="1"/>
      <c r="S362" s="1"/>
      <c r="T362" s="1"/>
      <c r="U362" s="1"/>
      <c r="V362" s="1"/>
      <c r="W362" s="1"/>
      <c r="X362" s="1"/>
      <c r="Y362" s="1"/>
      <c r="Z362" s="1"/>
      <c r="AA362" s="1"/>
    </row>
    <row r="363" spans="1:27" ht="15.75" customHeight="1">
      <c r="A363" s="1"/>
      <c r="B363" s="556" t="s">
        <v>1859</v>
      </c>
      <c r="C363" s="557" t="s">
        <v>1839</v>
      </c>
      <c r="D363" s="174" t="s">
        <v>1860</v>
      </c>
      <c r="E363" s="573">
        <f t="shared" si="140"/>
        <v>117563.02521008404</v>
      </c>
      <c r="F363" s="559" t="s">
        <v>1851</v>
      </c>
      <c r="G363" s="557"/>
      <c r="H363" s="560">
        <f t="shared" si="141"/>
        <v>139900</v>
      </c>
      <c r="I363" s="520"/>
      <c r="J363" s="517">
        <f t="shared" si="146"/>
        <v>139900</v>
      </c>
      <c r="K363" s="521" t="s">
        <v>1292</v>
      </c>
      <c r="L363" s="522">
        <v>139900</v>
      </c>
      <c r="M363" s="518"/>
      <c r="N363" s="519"/>
      <c r="O363" s="1"/>
      <c r="P363" s="1"/>
      <c r="Q363" s="1"/>
      <c r="R363" s="1"/>
      <c r="S363" s="1"/>
      <c r="T363" s="1"/>
      <c r="U363" s="1"/>
      <c r="V363" s="1"/>
      <c r="W363" s="1"/>
      <c r="X363" s="1"/>
      <c r="Y363" s="1"/>
      <c r="Z363" s="1"/>
      <c r="AA363" s="1"/>
    </row>
    <row r="364" spans="1:27" ht="15.75" customHeight="1">
      <c r="A364" s="1"/>
      <c r="B364" s="556" t="s">
        <v>1861</v>
      </c>
      <c r="C364" s="557" t="s">
        <v>1839</v>
      </c>
      <c r="D364" s="174" t="str">
        <f>UPPER("Pintura poliuretano")</f>
        <v>PINTURA POLIURETANO</v>
      </c>
      <c r="E364" s="558">
        <f t="shared" si="140"/>
        <v>0</v>
      </c>
      <c r="F364" s="559" t="s">
        <v>1851</v>
      </c>
      <c r="G364" s="557"/>
      <c r="H364" s="560">
        <f t="shared" si="141"/>
        <v>0</v>
      </c>
      <c r="I364" s="523"/>
      <c r="J364" s="524">
        <f t="shared" ref="J364:J365" si="147">IFERROR(AVERAGEIF($K$13:$P$13,"PRECIO IVA INC.",K364:P364),)</f>
        <v>0</v>
      </c>
      <c r="K364" s="518"/>
      <c r="L364" s="519"/>
      <c r="M364" s="518"/>
      <c r="N364" s="519"/>
      <c r="O364" s="1"/>
      <c r="P364" s="1"/>
      <c r="Q364" s="1"/>
      <c r="R364" s="1"/>
      <c r="S364" s="1"/>
      <c r="T364" s="1"/>
      <c r="U364" s="1"/>
      <c r="V364" s="1"/>
      <c r="W364" s="1"/>
      <c r="X364" s="1"/>
      <c r="Y364" s="1"/>
      <c r="Z364" s="1"/>
      <c r="AA364" s="1"/>
    </row>
    <row r="365" spans="1:27" ht="15.75" customHeight="1">
      <c r="A365" s="1"/>
      <c r="B365" s="556" t="s">
        <v>1862</v>
      </c>
      <c r="C365" s="557" t="s">
        <v>1839</v>
      </c>
      <c r="D365" s="174" t="s">
        <v>1863</v>
      </c>
      <c r="E365" s="558">
        <f t="shared" si="140"/>
        <v>0</v>
      </c>
      <c r="F365" s="559" t="s">
        <v>454</v>
      </c>
      <c r="G365" s="557"/>
      <c r="H365" s="560">
        <f t="shared" si="141"/>
        <v>0</v>
      </c>
      <c r="I365" s="523"/>
      <c r="J365" s="524">
        <f t="shared" si="147"/>
        <v>0</v>
      </c>
      <c r="K365" s="518"/>
      <c r="L365" s="519"/>
      <c r="M365" s="518"/>
      <c r="N365" s="519"/>
      <c r="O365" s="1"/>
      <c r="P365" s="1"/>
      <c r="Q365" s="1"/>
      <c r="R365" s="1"/>
      <c r="S365" s="1"/>
      <c r="T365" s="1"/>
      <c r="U365" s="1"/>
      <c r="V365" s="1"/>
      <c r="W365" s="1"/>
      <c r="X365" s="1"/>
      <c r="Y365" s="1"/>
      <c r="Z365" s="1"/>
      <c r="AA365" s="1"/>
    </row>
    <row r="366" spans="1:27" ht="15.75" customHeight="1">
      <c r="A366" s="1"/>
      <c r="B366" s="556" t="s">
        <v>1864</v>
      </c>
      <c r="C366" s="557" t="s">
        <v>1839</v>
      </c>
      <c r="D366" s="174" t="s">
        <v>2571</v>
      </c>
      <c r="E366" s="573">
        <f t="shared" si="140"/>
        <v>34693.277310924372</v>
      </c>
      <c r="F366" s="559" t="s">
        <v>1851</v>
      </c>
      <c r="G366" s="557"/>
      <c r="H366" s="560">
        <f t="shared" si="141"/>
        <v>41285</v>
      </c>
      <c r="I366" s="523"/>
      <c r="J366" s="517">
        <f t="shared" ref="J366:J367" si="148">+AVERAGEIF($K$13:$P$13,"PRECIO IVA INC.",K366:P366)</f>
        <v>41285</v>
      </c>
      <c r="K366" s="521" t="s">
        <v>1292</v>
      </c>
      <c r="L366" s="522">
        <f>35900*1.15</f>
        <v>41285</v>
      </c>
      <c r="M366" s="521"/>
      <c r="N366" s="522"/>
      <c r="O366" s="1"/>
      <c r="P366" s="1"/>
      <c r="Q366" s="1"/>
      <c r="R366" s="1"/>
      <c r="S366" s="1"/>
      <c r="T366" s="1"/>
      <c r="U366" s="1"/>
      <c r="V366" s="1"/>
      <c r="W366" s="1"/>
      <c r="X366" s="1"/>
      <c r="Y366" s="1"/>
      <c r="Z366" s="1"/>
      <c r="AA366" s="1"/>
    </row>
    <row r="367" spans="1:27" ht="15.75" customHeight="1">
      <c r="A367" s="1"/>
      <c r="B367" s="556" t="s">
        <v>1865</v>
      </c>
      <c r="C367" s="557" t="s">
        <v>1839</v>
      </c>
      <c r="D367" s="174" t="s">
        <v>2563</v>
      </c>
      <c r="E367" s="573">
        <f t="shared" si="140"/>
        <v>1722.6890756302521</v>
      </c>
      <c r="F367" s="559" t="s">
        <v>1339</v>
      </c>
      <c r="G367" s="557"/>
      <c r="H367" s="560">
        <f t="shared" si="141"/>
        <v>2050</v>
      </c>
      <c r="I367" s="523"/>
      <c r="J367" s="517">
        <f t="shared" si="148"/>
        <v>2050</v>
      </c>
      <c r="K367" s="521" t="s">
        <v>1292</v>
      </c>
      <c r="L367" s="522">
        <v>2050</v>
      </c>
      <c r="M367" s="521"/>
      <c r="N367" s="522"/>
      <c r="O367" s="1"/>
      <c r="P367" s="1"/>
      <c r="Q367" s="1"/>
      <c r="R367" s="1"/>
      <c r="S367" s="1"/>
      <c r="T367" s="1"/>
      <c r="U367" s="1"/>
      <c r="V367" s="1"/>
      <c r="W367" s="1"/>
      <c r="X367" s="1"/>
      <c r="Y367" s="1"/>
      <c r="Z367" s="1"/>
      <c r="AA367" s="1"/>
    </row>
    <row r="368" spans="1:27" ht="15.75" customHeight="1">
      <c r="A368" s="1"/>
      <c r="B368" s="556" t="s">
        <v>1866</v>
      </c>
      <c r="C368" s="557" t="s">
        <v>1839</v>
      </c>
      <c r="D368" s="174" t="s">
        <v>2550</v>
      </c>
      <c r="E368" s="558">
        <f t="shared" si="140"/>
        <v>13361.344537815126</v>
      </c>
      <c r="F368" s="559" t="s">
        <v>1339</v>
      </c>
      <c r="G368" s="557"/>
      <c r="H368" s="560">
        <f t="shared" si="141"/>
        <v>15900</v>
      </c>
      <c r="I368" s="523"/>
      <c r="J368" s="524">
        <f t="shared" ref="J368:J369" si="149">IFERROR(AVERAGEIF($K$13:$P$13,"PRECIO IVA INC.",K368:P368),)</f>
        <v>15900</v>
      </c>
      <c r="K368" s="521" t="s">
        <v>1292</v>
      </c>
      <c r="L368" s="522">
        <v>15900</v>
      </c>
      <c r="M368" s="518"/>
      <c r="N368" s="519"/>
      <c r="O368" s="1"/>
      <c r="P368" s="1"/>
      <c r="Q368" s="1"/>
      <c r="R368" s="1"/>
      <c r="S368" s="1"/>
      <c r="T368" s="1"/>
      <c r="U368" s="1"/>
      <c r="V368" s="1"/>
      <c r="W368" s="1"/>
      <c r="X368" s="1"/>
      <c r="Y368" s="1"/>
      <c r="Z368" s="1"/>
      <c r="AA368" s="1"/>
    </row>
    <row r="369" spans="1:27" ht="15.75" customHeight="1">
      <c r="A369" s="1"/>
      <c r="B369" s="556" t="s">
        <v>1867</v>
      </c>
      <c r="C369" s="557" t="s">
        <v>1839</v>
      </c>
      <c r="D369" s="174" t="s">
        <v>2561</v>
      </c>
      <c r="E369" s="558">
        <f t="shared" si="140"/>
        <v>20798.319327731093</v>
      </c>
      <c r="F369" s="559" t="s">
        <v>2548</v>
      </c>
      <c r="G369" s="557"/>
      <c r="H369" s="560">
        <f t="shared" si="141"/>
        <v>24750</v>
      </c>
      <c r="I369" s="523"/>
      <c r="J369" s="524">
        <f t="shared" si="149"/>
        <v>24750.000000000004</v>
      </c>
      <c r="K369" s="521" t="s">
        <v>1292</v>
      </c>
      <c r="L369" s="522">
        <f>22500*1.1</f>
        <v>24750.000000000004</v>
      </c>
      <c r="M369" s="518"/>
      <c r="N369" s="519"/>
      <c r="O369" s="1"/>
      <c r="P369" s="1"/>
      <c r="Q369" s="1"/>
      <c r="R369" s="1"/>
      <c r="S369" s="1"/>
      <c r="T369" s="1"/>
      <c r="U369" s="1"/>
      <c r="V369" s="1"/>
      <c r="W369" s="1"/>
      <c r="X369" s="1"/>
      <c r="Y369" s="1"/>
      <c r="Z369" s="1"/>
      <c r="AA369" s="1"/>
    </row>
    <row r="370" spans="1:27" ht="15.75" customHeight="1">
      <c r="A370" s="1"/>
      <c r="B370" s="556" t="s">
        <v>1868</v>
      </c>
      <c r="C370" s="557" t="s">
        <v>1839</v>
      </c>
      <c r="D370" s="174" t="s">
        <v>2551</v>
      </c>
      <c r="E370" s="558">
        <f t="shared" ref="E370" si="150">+H370/1.19</f>
        <v>9151.2605042016803</v>
      </c>
      <c r="F370" s="559" t="s">
        <v>1291</v>
      </c>
      <c r="G370" s="557"/>
      <c r="H370" s="560">
        <f t="shared" si="141"/>
        <v>10890</v>
      </c>
      <c r="I370" s="523"/>
      <c r="J370" s="524">
        <f t="shared" ref="J370" si="151">IFERROR(AVERAGEIF($K$13:$P$13,"PRECIO IVA INC.",K370:P370),)</f>
        <v>10890</v>
      </c>
      <c r="K370" s="521"/>
      <c r="L370" s="522">
        <f>9900*1.1</f>
        <v>10890</v>
      </c>
      <c r="M370" s="518"/>
      <c r="N370" s="519"/>
      <c r="O370" s="1"/>
      <c r="P370" s="1"/>
      <c r="Q370" s="1"/>
      <c r="R370" s="1"/>
      <c r="S370" s="1"/>
      <c r="T370" s="1"/>
      <c r="U370" s="1"/>
      <c r="V370" s="1"/>
      <c r="W370" s="1"/>
      <c r="X370" s="1"/>
      <c r="Y370" s="1"/>
      <c r="Z370" s="1"/>
      <c r="AA370" s="1"/>
    </row>
    <row r="371" spans="1:27" ht="15.75" customHeight="1">
      <c r="A371" s="1"/>
      <c r="B371" s="556" t="s">
        <v>1869</v>
      </c>
      <c r="C371" s="557" t="s">
        <v>1839</v>
      </c>
      <c r="D371" s="174" t="s">
        <v>2553</v>
      </c>
      <c r="E371" s="558">
        <f t="shared" ref="E371" si="152">+H371/1.19</f>
        <v>4159.6638655462184</v>
      </c>
      <c r="F371" s="559" t="s">
        <v>454</v>
      </c>
      <c r="G371" s="557"/>
      <c r="H371" s="560">
        <f t="shared" si="141"/>
        <v>4950</v>
      </c>
      <c r="I371" s="523"/>
      <c r="J371" s="524">
        <f t="shared" ref="J371" si="153">IFERROR(AVERAGEIF($K$13:$P$13,"PRECIO IVA INC.",K371:P371),)</f>
        <v>4950</v>
      </c>
      <c r="K371" s="521"/>
      <c r="L371" s="522">
        <f>4500*1.1</f>
        <v>4950</v>
      </c>
      <c r="M371" s="518"/>
      <c r="N371" s="519"/>
      <c r="O371" s="1"/>
      <c r="P371" s="1"/>
      <c r="Q371" s="1"/>
      <c r="R371" s="1"/>
      <c r="S371" s="1"/>
      <c r="T371" s="1"/>
      <c r="U371" s="1"/>
      <c r="V371" s="1"/>
      <c r="W371" s="1"/>
      <c r="X371" s="1"/>
      <c r="Y371" s="1"/>
      <c r="Z371" s="1"/>
      <c r="AA371" s="1"/>
    </row>
    <row r="372" spans="1:27" ht="15.75" customHeight="1">
      <c r="A372" s="1"/>
      <c r="B372" s="556" t="s">
        <v>2572</v>
      </c>
      <c r="C372" s="557"/>
      <c r="D372" s="174" t="s">
        <v>2573</v>
      </c>
      <c r="E372" s="558">
        <f t="shared" ref="E372" si="154">+H372/1.19</f>
        <v>924.36974789915973</v>
      </c>
      <c r="F372" s="559" t="s">
        <v>1291</v>
      </c>
      <c r="G372" s="557"/>
      <c r="H372" s="560">
        <f t="shared" si="141"/>
        <v>1100</v>
      </c>
      <c r="I372" s="523"/>
      <c r="J372" s="524">
        <f t="shared" ref="J372" si="155">IFERROR(AVERAGEIF($K$13:$P$13,"PRECIO IVA INC.",K372:P372),)</f>
        <v>1100</v>
      </c>
      <c r="K372" s="521"/>
      <c r="L372" s="522">
        <v>1100</v>
      </c>
      <c r="M372" s="518"/>
      <c r="N372" s="519"/>
      <c r="O372" s="1"/>
      <c r="P372" s="1"/>
      <c r="Q372" s="1"/>
      <c r="R372" s="1"/>
      <c r="S372" s="1"/>
      <c r="T372" s="1"/>
      <c r="U372" s="1"/>
      <c r="V372" s="1"/>
      <c r="W372" s="1"/>
      <c r="X372" s="1"/>
      <c r="Y372" s="1"/>
      <c r="Z372" s="1"/>
      <c r="AA372" s="1"/>
    </row>
    <row r="373" spans="1:27" ht="15.75" customHeight="1">
      <c r="A373" s="1"/>
      <c r="B373" s="556" t="s">
        <v>2574</v>
      </c>
      <c r="C373" s="793"/>
      <c r="D373" s="794" t="s">
        <v>2575</v>
      </c>
      <c r="E373" s="558">
        <f t="shared" ref="E373" si="156">+H373/1.19</f>
        <v>34693.277310924372</v>
      </c>
      <c r="F373" s="559" t="s">
        <v>1851</v>
      </c>
      <c r="G373" s="557"/>
      <c r="H373" s="560">
        <f t="shared" si="141"/>
        <v>41285</v>
      </c>
      <c r="I373" s="523"/>
      <c r="J373" s="524">
        <f t="shared" ref="J373" si="157">IFERROR(AVERAGEIF($K$13:$P$13,"PRECIO IVA INC.",K373:P373),)</f>
        <v>41285</v>
      </c>
      <c r="K373" s="521"/>
      <c r="L373" s="522">
        <f>35900*1.15</f>
        <v>41285</v>
      </c>
      <c r="M373" s="518"/>
      <c r="N373" s="800"/>
      <c r="O373" s="1"/>
      <c r="P373" s="1"/>
      <c r="Q373" s="1"/>
      <c r="R373" s="1"/>
      <c r="S373" s="1"/>
      <c r="T373" s="1"/>
      <c r="U373" s="1"/>
      <c r="V373" s="1"/>
      <c r="W373" s="1"/>
      <c r="X373" s="1"/>
      <c r="Y373" s="1"/>
      <c r="Z373" s="1"/>
      <c r="AA373" s="1"/>
    </row>
    <row r="374" spans="1:27" ht="15.75" customHeight="1">
      <c r="A374" s="1"/>
      <c r="B374" s="556" t="s">
        <v>2577</v>
      </c>
      <c r="C374" s="793"/>
      <c r="D374" s="794" t="s">
        <v>2576</v>
      </c>
      <c r="E374" s="558">
        <f t="shared" ref="E374" si="158">+H374/1.19</f>
        <v>924.36974789915973</v>
      </c>
      <c r="F374" s="559" t="s">
        <v>1291</v>
      </c>
      <c r="G374" s="557"/>
      <c r="H374" s="560">
        <f t="shared" si="141"/>
        <v>1100</v>
      </c>
      <c r="I374" s="523"/>
      <c r="J374" s="524">
        <f t="shared" ref="J374" si="159">IFERROR(AVERAGEIF($K$13:$P$13,"PRECIO IVA INC.",K374:P374),)</f>
        <v>1100</v>
      </c>
      <c r="K374" s="521"/>
      <c r="L374" s="522">
        <v>1100</v>
      </c>
      <c r="M374" s="518"/>
      <c r="N374" s="800"/>
      <c r="O374" s="1"/>
      <c r="P374" s="1"/>
      <c r="Q374" s="1"/>
      <c r="R374" s="1"/>
      <c r="S374" s="1"/>
      <c r="T374" s="1"/>
      <c r="U374" s="1"/>
      <c r="V374" s="1"/>
      <c r="W374" s="1"/>
      <c r="X374" s="1"/>
      <c r="Y374" s="1"/>
      <c r="Z374" s="1"/>
      <c r="AA374" s="1"/>
    </row>
    <row r="375" spans="1:27" ht="15.75" customHeight="1">
      <c r="A375" s="1"/>
      <c r="B375" s="792"/>
      <c r="C375" s="793"/>
      <c r="D375" s="794"/>
      <c r="E375" s="795"/>
      <c r="F375" s="796"/>
      <c r="G375" s="793"/>
      <c r="H375" s="797"/>
      <c r="I375" s="798"/>
      <c r="J375" s="524"/>
      <c r="K375" s="521"/>
      <c r="L375" s="799"/>
      <c r="M375" s="518"/>
      <c r="N375" s="800"/>
      <c r="O375" s="1"/>
      <c r="P375" s="1"/>
      <c r="Q375" s="1"/>
      <c r="R375" s="1"/>
      <c r="S375" s="1"/>
      <c r="T375" s="1"/>
      <c r="U375" s="1"/>
      <c r="V375" s="1"/>
      <c r="W375" s="1"/>
      <c r="X375" s="1"/>
      <c r="Y375" s="1"/>
      <c r="Z375" s="1"/>
      <c r="AA375" s="1"/>
    </row>
    <row r="376" spans="1:27" ht="15.75" customHeight="1">
      <c r="A376" s="1"/>
      <c r="B376" s="792"/>
      <c r="C376" s="793"/>
      <c r="D376" s="794"/>
      <c r="E376" s="795"/>
      <c r="F376" s="796"/>
      <c r="G376" s="793"/>
      <c r="H376" s="797"/>
      <c r="I376" s="798"/>
      <c r="J376" s="524"/>
      <c r="K376" s="521"/>
      <c r="L376" s="799"/>
      <c r="M376" s="518"/>
      <c r="N376" s="800"/>
      <c r="O376" s="1"/>
      <c r="P376" s="1"/>
      <c r="Q376" s="1"/>
      <c r="R376" s="1"/>
      <c r="S376" s="1"/>
      <c r="T376" s="1"/>
      <c r="U376" s="1"/>
      <c r="V376" s="1"/>
      <c r="W376" s="1"/>
      <c r="X376" s="1"/>
      <c r="Y376" s="1"/>
      <c r="Z376" s="1"/>
      <c r="AA376" s="1"/>
    </row>
    <row r="377" spans="1:27" ht="15.75" customHeight="1">
      <c r="A377" s="1"/>
      <c r="B377" s="792"/>
      <c r="C377" s="793"/>
      <c r="D377" s="794"/>
      <c r="E377" s="795"/>
      <c r="F377" s="796"/>
      <c r="G377" s="793"/>
      <c r="H377" s="797"/>
      <c r="I377" s="798"/>
      <c r="J377" s="524"/>
      <c r="K377" s="521"/>
      <c r="L377" s="799"/>
      <c r="M377" s="518"/>
      <c r="N377" s="800"/>
      <c r="O377" s="1"/>
      <c r="P377" s="1"/>
      <c r="Q377" s="1"/>
      <c r="R377" s="1"/>
      <c r="S377" s="1"/>
      <c r="T377" s="1"/>
      <c r="U377" s="1"/>
      <c r="V377" s="1"/>
      <c r="W377" s="1"/>
      <c r="X377" s="1"/>
      <c r="Y377" s="1"/>
      <c r="Z377" s="1"/>
      <c r="AA377" s="1"/>
    </row>
    <row r="378" spans="1:27" ht="15.75" customHeight="1">
      <c r="A378" s="1"/>
      <c r="B378" s="501" t="s">
        <v>1870</v>
      </c>
      <c r="C378" s="502"/>
      <c r="D378" s="503"/>
      <c r="E378" s="504"/>
      <c r="F378" s="505"/>
      <c r="G378" s="505"/>
      <c r="H378" s="506"/>
      <c r="I378" s="552"/>
      <c r="J378" s="553"/>
      <c r="K378" s="554"/>
      <c r="L378" s="554"/>
      <c r="M378" s="554"/>
      <c r="N378" s="554"/>
      <c r="O378" s="1"/>
      <c r="P378" s="1"/>
      <c r="Q378" s="1"/>
      <c r="R378" s="1"/>
      <c r="S378" s="1"/>
      <c r="T378" s="1"/>
      <c r="U378" s="1"/>
      <c r="V378" s="1"/>
      <c r="W378" s="1"/>
      <c r="X378" s="1"/>
      <c r="Y378" s="1"/>
      <c r="Z378" s="1"/>
      <c r="AA378" s="1"/>
    </row>
    <row r="379" spans="1:27" ht="15.75" customHeight="1">
      <c r="A379" s="1"/>
      <c r="B379" s="556" t="s">
        <v>1871</v>
      </c>
      <c r="C379" s="557" t="s">
        <v>1872</v>
      </c>
      <c r="D379" s="174" t="s">
        <v>2555</v>
      </c>
      <c r="E379" s="558">
        <f t="shared" ref="E379:E389" si="160">+H379/1.19</f>
        <v>23823.529411764706</v>
      </c>
      <c r="F379" s="559" t="s">
        <v>1391</v>
      </c>
      <c r="G379" s="557"/>
      <c r="H379" s="560">
        <f t="shared" ref="H379:H389" si="161">ROUNDUP($J379*(1+$C$10),0)</f>
        <v>28350</v>
      </c>
      <c r="I379" s="520"/>
      <c r="J379" s="517">
        <f t="shared" ref="J379:J382" si="162">+AVERAGEIF($K$13:$P$13,"PRECIO IVA INC.",K379:P379)</f>
        <v>28350</v>
      </c>
      <c r="K379" s="521" t="s">
        <v>1844</v>
      </c>
      <c r="L379" s="522">
        <f>27000*1.05</f>
        <v>28350</v>
      </c>
      <c r="M379" s="518"/>
      <c r="N379" s="519"/>
      <c r="O379" s="1"/>
      <c r="P379" s="1"/>
      <c r="Q379" s="1"/>
      <c r="R379" s="1"/>
      <c r="S379" s="1"/>
      <c r="T379" s="1"/>
      <c r="U379" s="1"/>
      <c r="V379" s="1"/>
      <c r="W379" s="1"/>
      <c r="X379" s="1"/>
      <c r="Y379" s="1"/>
      <c r="Z379" s="1"/>
      <c r="AA379" s="1"/>
    </row>
    <row r="380" spans="1:27" ht="15.75" customHeight="1">
      <c r="A380" s="1"/>
      <c r="B380" s="556" t="s">
        <v>1873</v>
      </c>
      <c r="C380" s="557" t="s">
        <v>1872</v>
      </c>
      <c r="D380" s="174" t="s">
        <v>2558</v>
      </c>
      <c r="E380" s="558">
        <f t="shared" si="160"/>
        <v>5866.3865546218494</v>
      </c>
      <c r="F380" s="559" t="s">
        <v>454</v>
      </c>
      <c r="G380" s="557"/>
      <c r="H380" s="560">
        <f t="shared" si="161"/>
        <v>6981</v>
      </c>
      <c r="I380" s="520"/>
      <c r="J380" s="517">
        <f t="shared" si="162"/>
        <v>6980.0045</v>
      </c>
      <c r="K380" s="521" t="s">
        <v>1844</v>
      </c>
      <c r="L380" s="522">
        <f>5865.55*1.19</f>
        <v>6980.0045</v>
      </c>
      <c r="M380" s="518"/>
      <c r="N380" s="519"/>
      <c r="O380" s="1"/>
      <c r="P380" s="1"/>
      <c r="Q380" s="1"/>
      <c r="R380" s="1"/>
      <c r="S380" s="1"/>
      <c r="T380" s="1"/>
      <c r="U380" s="1"/>
      <c r="V380" s="1"/>
      <c r="W380" s="1"/>
      <c r="X380" s="1"/>
      <c r="Y380" s="1"/>
      <c r="Z380" s="1"/>
      <c r="AA380" s="1"/>
    </row>
    <row r="381" spans="1:27" ht="15.75" customHeight="1">
      <c r="A381" s="1"/>
      <c r="B381" s="556" t="s">
        <v>1874</v>
      </c>
      <c r="C381" s="557" t="s">
        <v>1872</v>
      </c>
      <c r="D381" s="174" t="s">
        <v>2556</v>
      </c>
      <c r="E381" s="558">
        <f t="shared" si="160"/>
        <v>9243.6974789915967</v>
      </c>
      <c r="F381" s="559" t="s">
        <v>2557</v>
      </c>
      <c r="G381" s="557"/>
      <c r="H381" s="560">
        <f t="shared" si="161"/>
        <v>11000</v>
      </c>
      <c r="I381" s="520"/>
      <c r="J381" s="517">
        <f t="shared" si="162"/>
        <v>11000</v>
      </c>
      <c r="K381" s="521" t="s">
        <v>1844</v>
      </c>
      <c r="L381" s="522">
        <f>11000</f>
        <v>11000</v>
      </c>
      <c r="M381" s="518"/>
      <c r="N381" s="519"/>
      <c r="O381" s="1"/>
      <c r="P381" s="1"/>
      <c r="Q381" s="1"/>
      <c r="R381" s="1"/>
      <c r="S381" s="1"/>
      <c r="T381" s="1"/>
      <c r="U381" s="1"/>
      <c r="V381" s="1"/>
      <c r="W381" s="1"/>
      <c r="X381" s="1"/>
      <c r="Y381" s="1"/>
      <c r="Z381" s="1"/>
      <c r="AA381" s="1"/>
    </row>
    <row r="382" spans="1:27" ht="15.75" customHeight="1">
      <c r="A382" s="1"/>
      <c r="B382" s="556" t="s">
        <v>1875</v>
      </c>
      <c r="C382" s="557" t="s">
        <v>1872</v>
      </c>
      <c r="D382" s="174" t="s">
        <v>1876</v>
      </c>
      <c r="E382" s="558">
        <f t="shared" si="160"/>
        <v>40504.201680672268</v>
      </c>
      <c r="F382" s="559" t="s">
        <v>303</v>
      </c>
      <c r="G382" s="557"/>
      <c r="H382" s="560">
        <f t="shared" si="161"/>
        <v>48200</v>
      </c>
      <c r="I382" s="520"/>
      <c r="J382" s="517">
        <f t="shared" si="162"/>
        <v>48199.997999999992</v>
      </c>
      <c r="K382" s="521" t="s">
        <v>1844</v>
      </c>
      <c r="L382" s="522">
        <f>40504.2*1.19</f>
        <v>48199.997999999992</v>
      </c>
      <c r="M382" s="518"/>
      <c r="N382" s="519"/>
      <c r="O382" s="1"/>
      <c r="P382" s="1"/>
      <c r="Q382" s="1"/>
      <c r="R382" s="1"/>
      <c r="S382" s="1"/>
      <c r="T382" s="1"/>
      <c r="U382" s="1"/>
      <c r="V382" s="1"/>
      <c r="W382" s="1"/>
      <c r="X382" s="1"/>
      <c r="Y382" s="1"/>
      <c r="Z382" s="1"/>
      <c r="AA382" s="1"/>
    </row>
    <row r="383" spans="1:27" ht="15.75" customHeight="1">
      <c r="A383" s="1"/>
      <c r="B383" s="556" t="s">
        <v>1877</v>
      </c>
      <c r="C383" s="557" t="s">
        <v>1872</v>
      </c>
      <c r="D383" s="174" t="s">
        <v>1878</v>
      </c>
      <c r="E383" s="558">
        <f t="shared" si="160"/>
        <v>61848.73949579832</v>
      </c>
      <c r="F383" s="559" t="s">
        <v>303</v>
      </c>
      <c r="G383" s="557"/>
      <c r="H383" s="560">
        <f t="shared" si="161"/>
        <v>73600</v>
      </c>
      <c r="I383" s="520"/>
      <c r="J383" s="517">
        <f t="shared" ref="J383:J389" si="163">IFERROR(AVERAGEIF($K$13:$P$13,"PRECIO IVA INC.",K383:P383),)</f>
        <v>73600</v>
      </c>
      <c r="K383" s="521" t="s">
        <v>1844</v>
      </c>
      <c r="L383" s="522">
        <v>76100</v>
      </c>
      <c r="M383" s="521" t="s">
        <v>1844</v>
      </c>
      <c r="N383" s="522">
        <v>71100</v>
      </c>
      <c r="O383" s="1"/>
      <c r="P383" s="1"/>
      <c r="Q383" s="1"/>
      <c r="R383" s="1"/>
      <c r="S383" s="1"/>
      <c r="T383" s="1"/>
      <c r="U383" s="1"/>
      <c r="V383" s="1"/>
      <c r="W383" s="1"/>
      <c r="X383" s="1"/>
      <c r="Y383" s="1"/>
      <c r="Z383" s="1"/>
      <c r="AA383" s="1"/>
    </row>
    <row r="384" spans="1:27" ht="15.75" customHeight="1">
      <c r="A384" s="1"/>
      <c r="B384" s="556" t="s">
        <v>1879</v>
      </c>
      <c r="C384" s="557" t="s">
        <v>1872</v>
      </c>
      <c r="D384" s="174" t="s">
        <v>1880</v>
      </c>
      <c r="E384" s="558">
        <f t="shared" si="160"/>
        <v>0</v>
      </c>
      <c r="F384" s="559" t="s">
        <v>550</v>
      </c>
      <c r="G384" s="557"/>
      <c r="H384" s="560">
        <f t="shared" si="161"/>
        <v>0</v>
      </c>
      <c r="I384" s="523"/>
      <c r="J384" s="524">
        <f t="shared" si="163"/>
        <v>0</v>
      </c>
      <c r="K384" s="518"/>
      <c r="L384" s="519"/>
      <c r="M384" s="518"/>
      <c r="N384" s="519"/>
      <c r="O384" s="1"/>
      <c r="P384" s="1"/>
      <c r="Q384" s="1"/>
      <c r="R384" s="1"/>
      <c r="S384" s="1"/>
      <c r="T384" s="1"/>
      <c r="U384" s="1"/>
      <c r="V384" s="1"/>
      <c r="W384" s="1"/>
      <c r="X384" s="1"/>
      <c r="Y384" s="1"/>
      <c r="Z384" s="1"/>
      <c r="AA384" s="1"/>
    </row>
    <row r="385" spans="1:27" ht="15.75" customHeight="1">
      <c r="A385" s="1"/>
      <c r="B385" s="556" t="s">
        <v>1881</v>
      </c>
      <c r="C385" s="557" t="s">
        <v>1872</v>
      </c>
      <c r="D385" s="174" t="s">
        <v>2554</v>
      </c>
      <c r="E385" s="558">
        <f t="shared" si="160"/>
        <v>50756.302521008409</v>
      </c>
      <c r="F385" s="559" t="s">
        <v>303</v>
      </c>
      <c r="G385" s="557"/>
      <c r="H385" s="560">
        <f t="shared" si="161"/>
        <v>60400</v>
      </c>
      <c r="I385" s="520"/>
      <c r="J385" s="517">
        <f t="shared" si="163"/>
        <v>60400</v>
      </c>
      <c r="K385" s="575" t="s">
        <v>1882</v>
      </c>
      <c r="L385" s="576">
        <v>60400</v>
      </c>
      <c r="M385" s="518"/>
      <c r="N385" s="519"/>
      <c r="O385" s="1"/>
      <c r="P385" s="1"/>
      <c r="Q385" s="1"/>
      <c r="R385" s="1"/>
      <c r="S385" s="1"/>
      <c r="T385" s="1"/>
      <c r="U385" s="1"/>
      <c r="V385" s="1"/>
      <c r="W385" s="1"/>
      <c r="X385" s="1"/>
      <c r="Y385" s="1"/>
      <c r="Z385" s="1"/>
      <c r="AA385" s="1"/>
    </row>
    <row r="386" spans="1:27" ht="15.75" customHeight="1">
      <c r="A386" s="1"/>
      <c r="B386" s="556" t="s">
        <v>1883</v>
      </c>
      <c r="C386" s="557" t="s">
        <v>1872</v>
      </c>
      <c r="D386" s="174" t="s">
        <v>1884</v>
      </c>
      <c r="E386" s="558">
        <f t="shared" si="160"/>
        <v>61596.638655462186</v>
      </c>
      <c r="F386" s="559" t="s">
        <v>303</v>
      </c>
      <c r="G386" s="557"/>
      <c r="H386" s="560">
        <f t="shared" si="161"/>
        <v>73300</v>
      </c>
      <c r="I386" s="520"/>
      <c r="J386" s="517">
        <f t="shared" si="163"/>
        <v>73300</v>
      </c>
      <c r="K386" s="521" t="s">
        <v>1844</v>
      </c>
      <c r="L386" s="522">
        <v>73300</v>
      </c>
      <c r="M386" s="518"/>
      <c r="N386" s="519"/>
      <c r="O386" s="1"/>
      <c r="P386" s="1"/>
      <c r="Q386" s="1"/>
      <c r="R386" s="1"/>
      <c r="S386" s="1"/>
      <c r="T386" s="1"/>
      <c r="U386" s="1"/>
      <c r="V386" s="1"/>
      <c r="W386" s="1"/>
      <c r="X386" s="1"/>
      <c r="Y386" s="1"/>
      <c r="Z386" s="1"/>
      <c r="AA386" s="1"/>
    </row>
    <row r="387" spans="1:27" ht="15.75" customHeight="1">
      <c r="A387" s="1"/>
      <c r="B387" s="556" t="s">
        <v>1885</v>
      </c>
      <c r="C387" s="557" t="s">
        <v>1872</v>
      </c>
      <c r="D387" s="174" t="s">
        <v>1886</v>
      </c>
      <c r="E387" s="558">
        <f t="shared" si="160"/>
        <v>80588.23529411765</v>
      </c>
      <c r="F387" s="559" t="s">
        <v>303</v>
      </c>
      <c r="G387" s="557"/>
      <c r="H387" s="560">
        <f t="shared" si="161"/>
        <v>95900</v>
      </c>
      <c r="I387" s="520"/>
      <c r="J387" s="517">
        <f t="shared" si="163"/>
        <v>95900</v>
      </c>
      <c r="K387" s="521" t="s">
        <v>1844</v>
      </c>
      <c r="L387" s="522">
        <v>95900</v>
      </c>
      <c r="M387" s="518"/>
      <c r="N387" s="519"/>
      <c r="O387" s="1"/>
      <c r="P387" s="1"/>
      <c r="Q387" s="1"/>
      <c r="R387" s="1"/>
      <c r="S387" s="1"/>
      <c r="T387" s="1"/>
      <c r="U387" s="1"/>
      <c r="V387" s="1"/>
      <c r="W387" s="1"/>
      <c r="X387" s="1"/>
      <c r="Y387" s="1"/>
      <c r="Z387" s="1"/>
      <c r="AA387" s="1"/>
    </row>
    <row r="388" spans="1:27" ht="15.75" customHeight="1">
      <c r="A388" s="1"/>
      <c r="B388" s="556" t="s">
        <v>1887</v>
      </c>
      <c r="C388" s="557" t="s">
        <v>1872</v>
      </c>
      <c r="D388" s="174" t="s">
        <v>1888</v>
      </c>
      <c r="E388" s="558">
        <f t="shared" si="160"/>
        <v>0</v>
      </c>
      <c r="F388" s="559" t="s">
        <v>1339</v>
      </c>
      <c r="G388" s="557"/>
      <c r="H388" s="560">
        <f t="shared" si="161"/>
        <v>0</v>
      </c>
      <c r="I388" s="523"/>
      <c r="J388" s="524">
        <f t="shared" si="163"/>
        <v>0</v>
      </c>
      <c r="K388" s="518"/>
      <c r="L388" s="519"/>
      <c r="M388" s="518"/>
      <c r="N388" s="519"/>
      <c r="O388" s="1"/>
      <c r="P388" s="1"/>
      <c r="Q388" s="1"/>
      <c r="R388" s="1"/>
      <c r="S388" s="1"/>
      <c r="T388" s="1"/>
      <c r="U388" s="1"/>
      <c r="V388" s="1"/>
      <c r="W388" s="1"/>
      <c r="X388" s="1"/>
      <c r="Y388" s="1"/>
      <c r="Z388" s="1"/>
      <c r="AA388" s="1"/>
    </row>
    <row r="389" spans="1:27" ht="15.75" customHeight="1">
      <c r="A389" s="1"/>
      <c r="B389" s="556" t="s">
        <v>1889</v>
      </c>
      <c r="C389" s="557" t="s">
        <v>1872</v>
      </c>
      <c r="D389" s="174" t="s">
        <v>1890</v>
      </c>
      <c r="E389" s="558">
        <f t="shared" si="160"/>
        <v>0</v>
      </c>
      <c r="F389" s="559" t="s">
        <v>303</v>
      </c>
      <c r="G389" s="557"/>
      <c r="H389" s="560">
        <f t="shared" si="161"/>
        <v>0</v>
      </c>
      <c r="I389" s="523"/>
      <c r="J389" s="524">
        <f t="shared" si="163"/>
        <v>0</v>
      </c>
      <c r="K389" s="518"/>
      <c r="L389" s="519"/>
      <c r="M389" s="518"/>
      <c r="N389" s="519"/>
      <c r="O389" s="1"/>
      <c r="P389" s="1"/>
      <c r="Q389" s="1"/>
      <c r="R389" s="1"/>
      <c r="S389" s="1"/>
      <c r="T389" s="1"/>
      <c r="U389" s="1"/>
      <c r="V389" s="1"/>
      <c r="W389" s="1"/>
      <c r="X389" s="1"/>
      <c r="Y389" s="1"/>
      <c r="Z389" s="1"/>
      <c r="AA389" s="1"/>
    </row>
    <row r="390" spans="1:27" ht="15.75" customHeight="1">
      <c r="A390" s="1"/>
      <c r="B390" s="569"/>
      <c r="C390" s="567"/>
      <c r="D390" s="565"/>
      <c r="E390" s="577"/>
      <c r="F390" s="566"/>
      <c r="G390" s="567"/>
      <c r="H390" s="568"/>
      <c r="I390" s="523"/>
      <c r="J390" s="524"/>
      <c r="K390" s="518"/>
      <c r="L390" s="549"/>
      <c r="M390" s="518"/>
      <c r="N390" s="549"/>
      <c r="O390" s="1"/>
      <c r="P390" s="1"/>
      <c r="Q390" s="1"/>
      <c r="R390" s="1"/>
      <c r="S390" s="1"/>
      <c r="T390" s="1"/>
      <c r="U390" s="1"/>
      <c r="V390" s="1"/>
      <c r="W390" s="1"/>
      <c r="X390" s="1"/>
      <c r="Y390" s="1"/>
      <c r="Z390" s="1"/>
      <c r="AA390" s="1"/>
    </row>
    <row r="391" spans="1:27" ht="15.75" customHeight="1">
      <c r="A391" s="1"/>
      <c r="B391" s="501" t="s">
        <v>1891</v>
      </c>
      <c r="C391" s="502"/>
      <c r="D391" s="503"/>
      <c r="E391" s="504"/>
      <c r="F391" s="505"/>
      <c r="G391" s="505"/>
      <c r="H391" s="506"/>
      <c r="I391" s="552"/>
      <c r="J391" s="553"/>
      <c r="K391" s="554"/>
      <c r="L391" s="554"/>
      <c r="M391" s="554"/>
      <c r="N391" s="554"/>
      <c r="O391" s="1"/>
      <c r="P391" s="1"/>
      <c r="Q391" s="1"/>
      <c r="R391" s="1"/>
      <c r="S391" s="1"/>
      <c r="T391" s="1"/>
      <c r="U391" s="1"/>
      <c r="V391" s="1"/>
      <c r="W391" s="1"/>
      <c r="X391" s="1"/>
      <c r="Y391" s="1"/>
      <c r="Z391" s="1"/>
      <c r="AA391" s="1"/>
    </row>
    <row r="392" spans="1:27" ht="15.75" customHeight="1">
      <c r="A392" s="1"/>
      <c r="B392" s="556" t="s">
        <v>1892</v>
      </c>
      <c r="C392" s="557" t="s">
        <v>1893</v>
      </c>
      <c r="D392" s="174" t="s">
        <v>1894</v>
      </c>
      <c r="E392" s="558">
        <f t="shared" ref="E392:E400" si="164">+H392/1.19</f>
        <v>999.15966386554624</v>
      </c>
      <c r="F392" s="559" t="s">
        <v>550</v>
      </c>
      <c r="G392" s="557"/>
      <c r="H392" s="560">
        <f t="shared" ref="H392:H400" si="165">ROUNDUP($J392*(1+$C$10),0)</f>
        <v>1189</v>
      </c>
      <c r="I392" s="520"/>
      <c r="J392" s="517">
        <f t="shared" ref="J392:J400" si="166">IFERROR(AVERAGEIF($K$13:$P$13,"PRECIO IVA INC.",K392:P392),)</f>
        <v>1189</v>
      </c>
      <c r="K392" s="521" t="s">
        <v>1292</v>
      </c>
      <c r="L392" s="522">
        <v>1189</v>
      </c>
      <c r="M392" s="518"/>
      <c r="N392" s="519"/>
      <c r="O392" s="518"/>
      <c r="P392" s="519"/>
      <c r="Q392" s="1"/>
      <c r="R392" s="1"/>
      <c r="S392" s="1"/>
      <c r="T392" s="1"/>
      <c r="U392" s="1"/>
      <c r="V392" s="1"/>
      <c r="W392" s="1"/>
      <c r="X392" s="1"/>
      <c r="Y392" s="1"/>
      <c r="Z392" s="1"/>
      <c r="AA392" s="1"/>
    </row>
    <row r="393" spans="1:27" ht="15.75" customHeight="1">
      <c r="A393" s="1"/>
      <c r="B393" s="556" t="s">
        <v>1895</v>
      </c>
      <c r="C393" s="557" t="s">
        <v>1893</v>
      </c>
      <c r="D393" s="174" t="s">
        <v>1896</v>
      </c>
      <c r="E393" s="558">
        <f t="shared" si="164"/>
        <v>247899.15966386555</v>
      </c>
      <c r="F393" s="559" t="s">
        <v>303</v>
      </c>
      <c r="G393" s="557"/>
      <c r="H393" s="560">
        <f t="shared" si="165"/>
        <v>295000</v>
      </c>
      <c r="I393" s="523"/>
      <c r="J393" s="524">
        <f t="shared" si="166"/>
        <v>295000</v>
      </c>
      <c r="K393" s="575" t="s">
        <v>1752</v>
      </c>
      <c r="L393" s="576">
        <v>295000</v>
      </c>
      <c r="M393" s="518"/>
      <c r="N393" s="519"/>
      <c r="O393" s="518"/>
      <c r="P393" s="519"/>
      <c r="Q393" s="1"/>
      <c r="R393" s="1"/>
      <c r="S393" s="1"/>
      <c r="T393" s="1"/>
      <c r="U393" s="1"/>
      <c r="V393" s="1"/>
      <c r="W393" s="1"/>
      <c r="X393" s="1"/>
      <c r="Y393" s="1"/>
      <c r="Z393" s="1"/>
      <c r="AA393" s="1"/>
    </row>
    <row r="394" spans="1:27" ht="15.75" customHeight="1">
      <c r="A394" s="1"/>
      <c r="B394" s="556" t="s">
        <v>1897</v>
      </c>
      <c r="C394" s="557" t="s">
        <v>1893</v>
      </c>
      <c r="D394" s="174" t="s">
        <v>1898</v>
      </c>
      <c r="E394" s="558">
        <f t="shared" si="164"/>
        <v>988072.26890756306</v>
      </c>
      <c r="F394" s="559" t="s">
        <v>303</v>
      </c>
      <c r="G394" s="557"/>
      <c r="H394" s="560">
        <f t="shared" si="165"/>
        <v>1175806</v>
      </c>
      <c r="I394" s="523"/>
      <c r="J394" s="524">
        <f t="shared" si="166"/>
        <v>1175806</v>
      </c>
      <c r="K394" s="575" t="s">
        <v>1752</v>
      </c>
      <c r="L394" s="576">
        <v>1175806</v>
      </c>
      <c r="M394" s="518"/>
      <c r="N394" s="519"/>
      <c r="O394" s="518"/>
      <c r="P394" s="519"/>
      <c r="Q394" s="1"/>
      <c r="R394" s="1"/>
      <c r="S394" s="1"/>
      <c r="T394" s="1"/>
      <c r="U394" s="1"/>
      <c r="V394" s="1"/>
      <c r="W394" s="1"/>
      <c r="X394" s="1"/>
      <c r="Y394" s="1"/>
      <c r="Z394" s="1"/>
      <c r="AA394" s="1"/>
    </row>
    <row r="395" spans="1:27" ht="15.75" customHeight="1">
      <c r="A395" s="1"/>
      <c r="B395" s="556" t="s">
        <v>1899</v>
      </c>
      <c r="C395" s="557" t="s">
        <v>1893</v>
      </c>
      <c r="D395" s="174" t="s">
        <v>1900</v>
      </c>
      <c r="E395" s="558">
        <f t="shared" si="164"/>
        <v>146953.78151260506</v>
      </c>
      <c r="F395" s="559" t="s">
        <v>303</v>
      </c>
      <c r="G395" s="557"/>
      <c r="H395" s="560">
        <f t="shared" si="165"/>
        <v>174875</v>
      </c>
      <c r="I395" s="523"/>
      <c r="J395" s="524">
        <f t="shared" si="166"/>
        <v>174875</v>
      </c>
      <c r="K395" s="521" t="s">
        <v>1292</v>
      </c>
      <c r="L395" s="522">
        <f>139900/0.8</f>
        <v>174875</v>
      </c>
      <c r="M395" s="518"/>
      <c r="N395" s="519"/>
      <c r="O395" s="518"/>
      <c r="P395" s="519"/>
      <c r="Q395" s="1"/>
      <c r="R395" s="1"/>
      <c r="S395" s="1"/>
      <c r="T395" s="1"/>
      <c r="U395" s="1"/>
      <c r="V395" s="1"/>
      <c r="W395" s="1"/>
      <c r="X395" s="1"/>
      <c r="Y395" s="1"/>
      <c r="Z395" s="1"/>
      <c r="AA395" s="1"/>
    </row>
    <row r="396" spans="1:27" ht="15.75" customHeight="1">
      <c r="A396" s="1"/>
      <c r="B396" s="556" t="s">
        <v>1901</v>
      </c>
      <c r="C396" s="557" t="s">
        <v>1893</v>
      </c>
      <c r="D396" s="174" t="s">
        <v>1902</v>
      </c>
      <c r="E396" s="558">
        <f t="shared" si="164"/>
        <v>1863573.1092436975</v>
      </c>
      <c r="F396" s="559" t="s">
        <v>1291</v>
      </c>
      <c r="G396" s="557"/>
      <c r="H396" s="560">
        <f t="shared" si="165"/>
        <v>2217652</v>
      </c>
      <c r="I396" s="520"/>
      <c r="J396" s="517">
        <f t="shared" si="166"/>
        <v>2217651.6349999998</v>
      </c>
      <c r="K396" s="521" t="s">
        <v>1903</v>
      </c>
      <c r="L396" s="522">
        <v>2120000</v>
      </c>
      <c r="M396" s="521" t="s">
        <v>1904</v>
      </c>
      <c r="N396" s="522">
        <f>1945633*1.19</f>
        <v>2315303.27</v>
      </c>
      <c r="O396" s="518"/>
      <c r="P396" s="519"/>
      <c r="Q396" s="1"/>
      <c r="R396" s="1"/>
      <c r="S396" s="1"/>
      <c r="T396" s="1"/>
      <c r="U396" s="1"/>
      <c r="V396" s="1"/>
      <c r="W396" s="1"/>
      <c r="X396" s="1"/>
      <c r="Y396" s="1"/>
      <c r="Z396" s="1"/>
      <c r="AA396" s="1"/>
    </row>
    <row r="397" spans="1:27" ht="15.75" customHeight="1">
      <c r="A397" s="1"/>
      <c r="B397" s="556" t="s">
        <v>1905</v>
      </c>
      <c r="C397" s="557" t="s">
        <v>1893</v>
      </c>
      <c r="D397" s="174" t="s">
        <v>1906</v>
      </c>
      <c r="E397" s="558">
        <f t="shared" si="164"/>
        <v>488074.78991596639</v>
      </c>
      <c r="F397" s="559" t="s">
        <v>303</v>
      </c>
      <c r="G397" s="557"/>
      <c r="H397" s="560">
        <f t="shared" si="165"/>
        <v>580809</v>
      </c>
      <c r="I397" s="520"/>
      <c r="J397" s="517">
        <f t="shared" si="166"/>
        <v>580808.08080808073</v>
      </c>
      <c r="K397" s="521" t="s">
        <v>1907</v>
      </c>
      <c r="L397" s="522">
        <v>580808.08080808073</v>
      </c>
      <c r="M397" s="518"/>
      <c r="N397" s="519"/>
      <c r="O397" s="518"/>
      <c r="P397" s="519"/>
      <c r="Q397" s="1"/>
      <c r="R397" s="1"/>
      <c r="S397" s="1"/>
      <c r="T397" s="1"/>
      <c r="U397" s="1"/>
      <c r="V397" s="1"/>
      <c r="W397" s="1"/>
      <c r="X397" s="1"/>
      <c r="Y397" s="1"/>
      <c r="Z397" s="1"/>
      <c r="AA397" s="1"/>
    </row>
    <row r="398" spans="1:27" ht="32.25" customHeight="1">
      <c r="A398" s="1"/>
      <c r="B398" s="556" t="s">
        <v>1908</v>
      </c>
      <c r="C398" s="557" t="s">
        <v>1893</v>
      </c>
      <c r="D398" s="174" t="s">
        <v>1909</v>
      </c>
      <c r="E398" s="558">
        <f t="shared" si="164"/>
        <v>457563.02521008404</v>
      </c>
      <c r="F398" s="559" t="s">
        <v>303</v>
      </c>
      <c r="G398" s="557"/>
      <c r="H398" s="560">
        <f t="shared" si="165"/>
        <v>544500</v>
      </c>
      <c r="I398" s="520"/>
      <c r="J398" s="517">
        <f t="shared" si="166"/>
        <v>544500</v>
      </c>
      <c r="K398" s="521" t="s">
        <v>1907</v>
      </c>
      <c r="L398" s="522">
        <v>544500</v>
      </c>
      <c r="M398" s="518"/>
      <c r="N398" s="519"/>
      <c r="O398" s="518"/>
      <c r="P398" s="519"/>
      <c r="Q398" s="1"/>
      <c r="R398" s="1"/>
      <c r="S398" s="1"/>
      <c r="T398" s="1"/>
      <c r="U398" s="1"/>
      <c r="V398" s="1"/>
      <c r="W398" s="1"/>
      <c r="X398" s="1"/>
      <c r="Y398" s="1"/>
      <c r="Z398" s="1"/>
      <c r="AA398" s="1"/>
    </row>
    <row r="399" spans="1:27" ht="15.75" customHeight="1">
      <c r="A399" s="1"/>
      <c r="B399" s="556" t="s">
        <v>1910</v>
      </c>
      <c r="C399" s="557" t="s">
        <v>1893</v>
      </c>
      <c r="D399" s="174" t="s">
        <v>1911</v>
      </c>
      <c r="E399" s="558">
        <f t="shared" si="164"/>
        <v>495798.31932773109</v>
      </c>
      <c r="F399" s="559" t="s">
        <v>303</v>
      </c>
      <c r="G399" s="557"/>
      <c r="H399" s="560">
        <f t="shared" si="165"/>
        <v>590000</v>
      </c>
      <c r="I399" s="520"/>
      <c r="J399" s="517">
        <f t="shared" si="166"/>
        <v>590000</v>
      </c>
      <c r="K399" s="521" t="s">
        <v>1907</v>
      </c>
      <c r="L399" s="522">
        <v>590000</v>
      </c>
      <c r="M399" s="518"/>
      <c r="N399" s="519"/>
      <c r="O399" s="518"/>
      <c r="P399" s="519"/>
      <c r="Q399" s="1"/>
      <c r="R399" s="1"/>
      <c r="S399" s="1"/>
      <c r="T399" s="1"/>
      <c r="U399" s="1"/>
      <c r="V399" s="1"/>
      <c r="W399" s="1"/>
      <c r="X399" s="1"/>
      <c r="Y399" s="1"/>
      <c r="Z399" s="1"/>
      <c r="AA399" s="1"/>
    </row>
    <row r="400" spans="1:27" ht="15.75" customHeight="1">
      <c r="A400" s="1"/>
      <c r="B400" s="556"/>
      <c r="C400" s="557"/>
      <c r="D400" s="174"/>
      <c r="E400" s="558">
        <f t="shared" si="164"/>
        <v>0</v>
      </c>
      <c r="F400" s="559"/>
      <c r="G400" s="557"/>
      <c r="H400" s="560">
        <f t="shared" si="165"/>
        <v>0</v>
      </c>
      <c r="I400" s="523"/>
      <c r="J400" s="524">
        <f t="shared" si="166"/>
        <v>0</v>
      </c>
      <c r="K400" s="518"/>
      <c r="L400" s="519"/>
      <c r="M400" s="518"/>
      <c r="N400" s="519"/>
      <c r="O400" s="518"/>
      <c r="P400" s="519"/>
      <c r="Q400" s="1"/>
      <c r="R400" s="1"/>
      <c r="S400" s="1"/>
      <c r="T400" s="1"/>
      <c r="U400" s="1"/>
      <c r="V400" s="1"/>
      <c r="W400" s="1"/>
      <c r="X400" s="1"/>
      <c r="Y400" s="1"/>
      <c r="Z400" s="1"/>
      <c r="AA400" s="1"/>
    </row>
    <row r="401" spans="1:27" ht="15.75" customHeight="1">
      <c r="A401" s="1"/>
      <c r="B401" s="501" t="s">
        <v>1912</v>
      </c>
      <c r="C401" s="502"/>
      <c r="D401" s="503"/>
      <c r="E401" s="504"/>
      <c r="F401" s="505"/>
      <c r="G401" s="505"/>
      <c r="H401" s="506"/>
      <c r="I401" s="552"/>
      <c r="J401" s="553"/>
      <c r="K401" s="554"/>
      <c r="L401" s="554"/>
      <c r="M401" s="554"/>
      <c r="N401" s="554"/>
      <c r="O401" s="554"/>
      <c r="P401" s="555"/>
      <c r="Q401" s="1"/>
      <c r="R401" s="1"/>
      <c r="S401" s="1"/>
      <c r="T401" s="1"/>
      <c r="U401" s="1"/>
      <c r="V401" s="1"/>
      <c r="W401" s="1"/>
      <c r="X401" s="1"/>
      <c r="Y401" s="1"/>
      <c r="Z401" s="1"/>
      <c r="AA401" s="1"/>
    </row>
    <row r="402" spans="1:27" ht="15.75" customHeight="1">
      <c r="A402" s="1"/>
      <c r="B402" s="556" t="s">
        <v>1913</v>
      </c>
      <c r="C402" s="557" t="s">
        <v>1914</v>
      </c>
      <c r="D402" s="174" t="s">
        <v>1252</v>
      </c>
      <c r="E402" s="558">
        <f t="shared" ref="E402:E419" si="167">+H402/1.19</f>
        <v>19401.680672268907</v>
      </c>
      <c r="F402" s="559" t="s">
        <v>454</v>
      </c>
      <c r="G402" s="557"/>
      <c r="H402" s="560">
        <f t="shared" ref="H402:H421" si="168">ROUNDUP($J402*(1+$C$10),0)</f>
        <v>23088</v>
      </c>
      <c r="I402" s="520"/>
      <c r="J402" s="517">
        <f t="shared" ref="J402:J419" si="169">IFERROR(AVERAGEIF($K$13:$P$13,"PRECIO IVA INC.",K402:P402),)</f>
        <v>23087.5</v>
      </c>
      <c r="K402" s="521" t="s">
        <v>1292</v>
      </c>
      <c r="L402" s="522">
        <f>99900/4</f>
        <v>24975</v>
      </c>
      <c r="M402" s="521" t="s">
        <v>1305</v>
      </c>
      <c r="N402" s="522">
        <v>21200</v>
      </c>
      <c r="O402" s="518"/>
      <c r="P402" s="519"/>
      <c r="Q402" s="1"/>
      <c r="R402" s="1"/>
      <c r="S402" s="1"/>
      <c r="T402" s="1"/>
      <c r="U402" s="1"/>
      <c r="V402" s="1"/>
      <c r="W402" s="1"/>
      <c r="X402" s="1"/>
      <c r="Y402" s="1"/>
      <c r="Z402" s="1"/>
      <c r="AA402" s="1"/>
    </row>
    <row r="403" spans="1:27" ht="15.75" customHeight="1">
      <c r="A403" s="1"/>
      <c r="B403" s="556" t="s">
        <v>1915</v>
      </c>
      <c r="C403" s="557" t="s">
        <v>1914</v>
      </c>
      <c r="D403" s="174" t="s">
        <v>1257</v>
      </c>
      <c r="E403" s="558">
        <f t="shared" si="167"/>
        <v>20476.470588235294</v>
      </c>
      <c r="F403" s="559" t="s">
        <v>454</v>
      </c>
      <c r="G403" s="557"/>
      <c r="H403" s="560">
        <f t="shared" si="168"/>
        <v>24367</v>
      </c>
      <c r="I403" s="520"/>
      <c r="J403" s="517">
        <f t="shared" si="169"/>
        <v>24367</v>
      </c>
      <c r="K403" s="521" t="s">
        <v>1292</v>
      </c>
      <c r="L403" s="522">
        <f>ROUNDUP(123900/4.5,0)</f>
        <v>27534</v>
      </c>
      <c r="M403" s="521" t="s">
        <v>1305</v>
      </c>
      <c r="N403" s="522">
        <v>21200</v>
      </c>
      <c r="O403" s="518"/>
      <c r="P403" s="519"/>
      <c r="Q403" s="1"/>
      <c r="R403" s="1"/>
      <c r="S403" s="1"/>
      <c r="T403" s="1"/>
      <c r="U403" s="1"/>
      <c r="V403" s="1"/>
      <c r="W403" s="1"/>
      <c r="X403" s="1"/>
      <c r="Y403" s="1"/>
      <c r="Z403" s="1"/>
      <c r="AA403" s="1"/>
    </row>
    <row r="404" spans="1:27" ht="15.75" customHeight="1">
      <c r="A404" s="1"/>
      <c r="B404" s="556" t="s">
        <v>1916</v>
      </c>
      <c r="C404" s="557" t="s">
        <v>1914</v>
      </c>
      <c r="D404" s="174" t="s">
        <v>1917</v>
      </c>
      <c r="E404" s="558">
        <f t="shared" si="167"/>
        <v>0</v>
      </c>
      <c r="F404" s="559" t="s">
        <v>1339</v>
      </c>
      <c r="G404" s="557"/>
      <c r="H404" s="560">
        <f t="shared" si="168"/>
        <v>0</v>
      </c>
      <c r="I404" s="523"/>
      <c r="J404" s="524">
        <f t="shared" si="169"/>
        <v>0</v>
      </c>
      <c r="K404" s="518"/>
      <c r="L404" s="519"/>
      <c r="M404" s="518"/>
      <c r="N404" s="519"/>
      <c r="O404" s="518"/>
      <c r="P404" s="519"/>
      <c r="Q404" s="1"/>
      <c r="R404" s="1"/>
      <c r="S404" s="1"/>
      <c r="T404" s="1"/>
      <c r="U404" s="1"/>
      <c r="V404" s="1"/>
      <c r="W404" s="1"/>
      <c r="X404" s="1"/>
      <c r="Y404" s="1"/>
      <c r="Z404" s="1"/>
      <c r="AA404" s="1"/>
    </row>
    <row r="405" spans="1:27" ht="15.75" customHeight="1">
      <c r="A405" s="1"/>
      <c r="B405" s="556" t="s">
        <v>1918</v>
      </c>
      <c r="C405" s="557" t="s">
        <v>1914</v>
      </c>
      <c r="D405" s="174" t="s">
        <v>1919</v>
      </c>
      <c r="E405" s="558">
        <f t="shared" si="167"/>
        <v>0</v>
      </c>
      <c r="F405" s="559" t="s">
        <v>1920</v>
      </c>
      <c r="G405" s="557"/>
      <c r="H405" s="560">
        <f t="shared" si="168"/>
        <v>0</v>
      </c>
      <c r="I405" s="523"/>
      <c r="J405" s="524">
        <f t="shared" si="169"/>
        <v>0</v>
      </c>
      <c r="K405" s="518"/>
      <c r="L405" s="519"/>
      <c r="M405" s="518"/>
      <c r="N405" s="519"/>
      <c r="O405" s="518"/>
      <c r="P405" s="519"/>
      <c r="Q405" s="1"/>
      <c r="R405" s="1"/>
      <c r="S405" s="1"/>
      <c r="T405" s="1"/>
      <c r="U405" s="1"/>
      <c r="V405" s="1"/>
      <c r="W405" s="1"/>
      <c r="X405" s="1"/>
      <c r="Y405" s="1"/>
      <c r="Z405" s="1"/>
      <c r="AA405" s="1"/>
    </row>
    <row r="406" spans="1:27" ht="15.75" customHeight="1">
      <c r="A406" s="1"/>
      <c r="B406" s="556" t="s">
        <v>1921</v>
      </c>
      <c r="C406" s="557" t="s">
        <v>1914</v>
      </c>
      <c r="D406" s="174" t="s">
        <v>1922</v>
      </c>
      <c r="E406" s="558">
        <f t="shared" si="167"/>
        <v>0</v>
      </c>
      <c r="F406" s="559" t="s">
        <v>1291</v>
      </c>
      <c r="G406" s="557"/>
      <c r="H406" s="560">
        <f t="shared" si="168"/>
        <v>0</v>
      </c>
      <c r="I406" s="523"/>
      <c r="J406" s="524">
        <f t="shared" si="169"/>
        <v>0</v>
      </c>
      <c r="K406" s="518"/>
      <c r="L406" s="519"/>
      <c r="M406" s="518"/>
      <c r="N406" s="519"/>
      <c r="O406" s="518"/>
      <c r="P406" s="519"/>
      <c r="Q406" s="1"/>
      <c r="R406" s="1"/>
      <c r="S406" s="1"/>
      <c r="T406" s="1"/>
      <c r="U406" s="1"/>
      <c r="V406" s="1"/>
      <c r="W406" s="1"/>
      <c r="X406" s="1"/>
      <c r="Y406" s="1"/>
      <c r="Z406" s="1"/>
      <c r="AA406" s="1"/>
    </row>
    <row r="407" spans="1:27" ht="15.75" customHeight="1">
      <c r="A407" s="1"/>
      <c r="B407" s="556" t="s">
        <v>1923</v>
      </c>
      <c r="C407" s="557" t="s">
        <v>1914</v>
      </c>
      <c r="D407" s="174" t="s">
        <v>1924</v>
      </c>
      <c r="E407" s="558">
        <f t="shared" si="167"/>
        <v>10000</v>
      </c>
      <c r="F407" s="559" t="s">
        <v>303</v>
      </c>
      <c r="G407" s="557"/>
      <c r="H407" s="560">
        <f t="shared" si="168"/>
        <v>11900</v>
      </c>
      <c r="I407" s="520"/>
      <c r="J407" s="517">
        <f t="shared" si="169"/>
        <v>11899.555555555557</v>
      </c>
      <c r="K407" s="521" t="s">
        <v>1925</v>
      </c>
      <c r="L407" s="522">
        <v>8557</v>
      </c>
      <c r="M407" s="521" t="s">
        <v>1292</v>
      </c>
      <c r="N407" s="522">
        <v>8400</v>
      </c>
      <c r="O407" s="521" t="s">
        <v>1305</v>
      </c>
      <c r="P407" s="522">
        <f>22490/(1.2*1)</f>
        <v>18741.666666666668</v>
      </c>
      <c r="Q407" s="1"/>
      <c r="R407" s="1"/>
      <c r="S407" s="1"/>
      <c r="T407" s="1"/>
      <c r="U407" s="1"/>
      <c r="V407" s="1"/>
      <c r="W407" s="1"/>
      <c r="X407" s="1"/>
      <c r="Y407" s="1"/>
      <c r="Z407" s="1"/>
      <c r="AA407" s="1"/>
    </row>
    <row r="408" spans="1:27" ht="15.75" customHeight="1">
      <c r="A408" s="1"/>
      <c r="B408" s="556" t="s">
        <v>1926</v>
      </c>
      <c r="C408" s="557" t="s">
        <v>1914</v>
      </c>
      <c r="D408" s="174" t="s">
        <v>1927</v>
      </c>
      <c r="E408" s="558">
        <f t="shared" si="167"/>
        <v>0</v>
      </c>
      <c r="F408" s="559" t="s">
        <v>303</v>
      </c>
      <c r="G408" s="557"/>
      <c r="H408" s="560">
        <f t="shared" si="168"/>
        <v>0</v>
      </c>
      <c r="I408" s="523"/>
      <c r="J408" s="524">
        <f t="shared" si="169"/>
        <v>0</v>
      </c>
      <c r="K408" s="518"/>
      <c r="L408" s="519"/>
      <c r="M408" s="518"/>
      <c r="N408" s="519"/>
      <c r="O408" s="518"/>
      <c r="P408" s="519"/>
      <c r="Q408" s="1"/>
      <c r="R408" s="1"/>
      <c r="S408" s="1"/>
      <c r="T408" s="1"/>
      <c r="U408" s="1"/>
      <c r="V408" s="1"/>
      <c r="W408" s="1"/>
      <c r="X408" s="1"/>
      <c r="Y408" s="1"/>
      <c r="Z408" s="1"/>
      <c r="AA408" s="1"/>
    </row>
    <row r="409" spans="1:27" ht="15.75" customHeight="1">
      <c r="A409" s="1"/>
      <c r="B409" s="556" t="s">
        <v>1928</v>
      </c>
      <c r="C409" s="557" t="s">
        <v>1914</v>
      </c>
      <c r="D409" s="174" t="s">
        <v>1929</v>
      </c>
      <c r="E409" s="558">
        <f t="shared" si="167"/>
        <v>33336.134453781517</v>
      </c>
      <c r="F409" s="559" t="s">
        <v>303</v>
      </c>
      <c r="G409" s="557"/>
      <c r="H409" s="560">
        <f t="shared" si="168"/>
        <v>39670</v>
      </c>
      <c r="I409" s="520"/>
      <c r="J409" s="517">
        <f t="shared" si="169"/>
        <v>39669.399999999994</v>
      </c>
      <c r="K409" s="521" t="s">
        <v>1930</v>
      </c>
      <c r="L409" s="522">
        <v>33500</v>
      </c>
      <c r="M409" s="521" t="s">
        <v>1516</v>
      </c>
      <c r="N409" s="522">
        <f>38520*1.19</f>
        <v>45838.799999999996</v>
      </c>
      <c r="O409" s="521"/>
      <c r="P409" s="522"/>
      <c r="Q409" s="1"/>
      <c r="R409" s="1"/>
      <c r="S409" s="1"/>
      <c r="T409" s="1"/>
      <c r="U409" s="1"/>
      <c r="V409" s="1"/>
      <c r="W409" s="1"/>
      <c r="X409" s="1"/>
      <c r="Y409" s="1"/>
      <c r="Z409" s="1"/>
      <c r="AA409" s="1"/>
    </row>
    <row r="410" spans="1:27" ht="15.75" customHeight="1">
      <c r="A410" s="1"/>
      <c r="B410" s="556" t="s">
        <v>1931</v>
      </c>
      <c r="C410" s="557" t="s">
        <v>1914</v>
      </c>
      <c r="D410" s="174" t="s">
        <v>1932</v>
      </c>
      <c r="E410" s="558">
        <f t="shared" si="167"/>
        <v>22589.0756302521</v>
      </c>
      <c r="F410" s="559" t="s">
        <v>454</v>
      </c>
      <c r="G410" s="557"/>
      <c r="H410" s="560">
        <f t="shared" si="168"/>
        <v>26881</v>
      </c>
      <c r="I410" s="520"/>
      <c r="J410" s="517">
        <f t="shared" si="169"/>
        <v>26881</v>
      </c>
      <c r="K410" s="521" t="s">
        <v>1292</v>
      </c>
      <c r="L410" s="578">
        <v>26881</v>
      </c>
      <c r="M410" s="521"/>
      <c r="N410" s="522"/>
      <c r="O410" s="521"/>
      <c r="P410" s="522"/>
      <c r="Q410" s="1"/>
      <c r="R410" s="1"/>
      <c r="S410" s="1"/>
      <c r="T410" s="1"/>
      <c r="U410" s="1"/>
      <c r="V410" s="1"/>
      <c r="W410" s="1"/>
      <c r="X410" s="1"/>
      <c r="Y410" s="1"/>
      <c r="Z410" s="1"/>
      <c r="AA410" s="1"/>
    </row>
    <row r="411" spans="1:27" ht="15.75" customHeight="1">
      <c r="A411" s="1"/>
      <c r="B411" s="556" t="s">
        <v>1933</v>
      </c>
      <c r="C411" s="557" t="s">
        <v>1914</v>
      </c>
      <c r="D411" s="174" t="s">
        <v>1934</v>
      </c>
      <c r="E411" s="558">
        <f t="shared" si="167"/>
        <v>3605.042016806723</v>
      </c>
      <c r="F411" s="559" t="s">
        <v>303</v>
      </c>
      <c r="G411" s="557"/>
      <c r="H411" s="560">
        <f t="shared" si="168"/>
        <v>4290</v>
      </c>
      <c r="I411" s="520"/>
      <c r="J411" s="517">
        <f t="shared" si="169"/>
        <v>4290</v>
      </c>
      <c r="K411" s="521" t="s">
        <v>1292</v>
      </c>
      <c r="L411" s="578">
        <v>4290</v>
      </c>
      <c r="M411" s="521"/>
      <c r="N411" s="522"/>
      <c r="O411" s="521"/>
      <c r="P411" s="522"/>
      <c r="Q411" s="1"/>
      <c r="R411" s="1"/>
      <c r="S411" s="1"/>
      <c r="T411" s="1"/>
      <c r="U411" s="1"/>
      <c r="V411" s="1"/>
      <c r="W411" s="1"/>
      <c r="X411" s="1"/>
      <c r="Y411" s="1"/>
      <c r="Z411" s="1"/>
      <c r="AA411" s="1"/>
    </row>
    <row r="412" spans="1:27" ht="15.75" customHeight="1">
      <c r="A412" s="1"/>
      <c r="B412" s="556" t="s">
        <v>1935</v>
      </c>
      <c r="C412" s="557" t="s">
        <v>1914</v>
      </c>
      <c r="D412" s="174" t="s">
        <v>1936</v>
      </c>
      <c r="E412" s="558">
        <f t="shared" si="167"/>
        <v>206050.42016806724</v>
      </c>
      <c r="F412" s="559" t="s">
        <v>454</v>
      </c>
      <c r="G412" s="557"/>
      <c r="H412" s="560">
        <f t="shared" si="168"/>
        <v>245200</v>
      </c>
      <c r="I412" s="520"/>
      <c r="J412" s="517">
        <f t="shared" si="169"/>
        <v>245199.16666666669</v>
      </c>
      <c r="K412" s="521" t="s">
        <v>1292</v>
      </c>
      <c r="L412" s="522">
        <f>720900/3</f>
        <v>240300</v>
      </c>
      <c r="M412" s="521" t="s">
        <v>1666</v>
      </c>
      <c r="N412" s="522">
        <f>750295/3</f>
        <v>250098.33333333334</v>
      </c>
      <c r="O412" s="521"/>
      <c r="P412" s="522"/>
      <c r="Q412" s="1"/>
      <c r="R412" s="1"/>
      <c r="S412" s="1"/>
      <c r="T412" s="1"/>
      <c r="U412" s="1"/>
      <c r="V412" s="1"/>
      <c r="W412" s="1"/>
      <c r="X412" s="1"/>
      <c r="Y412" s="1"/>
      <c r="Z412" s="1"/>
      <c r="AA412" s="1"/>
    </row>
    <row r="413" spans="1:27" ht="15.75" customHeight="1">
      <c r="A413" s="1"/>
      <c r="B413" s="556" t="s">
        <v>1937</v>
      </c>
      <c r="C413" s="557" t="s">
        <v>1914</v>
      </c>
      <c r="D413" s="174" t="s">
        <v>1938</v>
      </c>
      <c r="E413" s="558">
        <f t="shared" si="167"/>
        <v>168.0672268907563</v>
      </c>
      <c r="F413" s="559" t="s">
        <v>1939</v>
      </c>
      <c r="G413" s="557"/>
      <c r="H413" s="560">
        <f t="shared" si="168"/>
        <v>200</v>
      </c>
      <c r="I413" s="523"/>
      <c r="J413" s="524">
        <f t="shared" si="169"/>
        <v>199.65517241379311</v>
      </c>
      <c r="K413" s="521" t="s">
        <v>1292</v>
      </c>
      <c r="L413" s="522">
        <f>57900/290</f>
        <v>199.65517241379311</v>
      </c>
      <c r="M413" s="518"/>
      <c r="N413" s="519"/>
      <c r="O413" s="518"/>
      <c r="P413" s="519"/>
      <c r="Q413" s="1"/>
      <c r="R413" s="1"/>
      <c r="S413" s="1"/>
      <c r="T413" s="1"/>
      <c r="U413" s="1"/>
      <c r="V413" s="1"/>
      <c r="W413" s="1"/>
      <c r="X413" s="1"/>
      <c r="Y413" s="1"/>
      <c r="Z413" s="1"/>
      <c r="AA413" s="1"/>
    </row>
    <row r="414" spans="1:27" ht="15.75" customHeight="1">
      <c r="A414" s="1"/>
      <c r="B414" s="556" t="s">
        <v>1940</v>
      </c>
      <c r="C414" s="557" t="s">
        <v>1914</v>
      </c>
      <c r="D414" s="174" t="s">
        <v>1941</v>
      </c>
      <c r="E414" s="558">
        <f t="shared" si="167"/>
        <v>0</v>
      </c>
      <c r="F414" s="559" t="s">
        <v>454</v>
      </c>
      <c r="G414" s="557"/>
      <c r="H414" s="560">
        <f t="shared" si="168"/>
        <v>0</v>
      </c>
      <c r="I414" s="523"/>
      <c r="J414" s="524">
        <f t="shared" si="169"/>
        <v>0</v>
      </c>
      <c r="K414" s="518"/>
      <c r="L414" s="519"/>
      <c r="M414" s="518"/>
      <c r="N414" s="519"/>
      <c r="O414" s="518"/>
      <c r="P414" s="519"/>
      <c r="Q414" s="1"/>
      <c r="R414" s="1"/>
      <c r="S414" s="1"/>
      <c r="T414" s="1"/>
      <c r="U414" s="1"/>
      <c r="V414" s="1"/>
      <c r="W414" s="1"/>
      <c r="X414" s="1"/>
      <c r="Y414" s="1"/>
      <c r="Z414" s="1"/>
      <c r="AA414" s="1"/>
    </row>
    <row r="415" spans="1:27" ht="15.75" customHeight="1">
      <c r="A415" s="1"/>
      <c r="B415" s="556" t="s">
        <v>1942</v>
      </c>
      <c r="C415" s="557" t="s">
        <v>1914</v>
      </c>
      <c r="D415" s="174" t="s">
        <v>1943</v>
      </c>
      <c r="E415" s="558">
        <f t="shared" si="167"/>
        <v>32864.705882352944</v>
      </c>
      <c r="F415" s="559" t="s">
        <v>454</v>
      </c>
      <c r="G415" s="557"/>
      <c r="H415" s="560">
        <f t="shared" si="168"/>
        <v>39109</v>
      </c>
      <c r="I415" s="520"/>
      <c r="J415" s="517">
        <f t="shared" si="169"/>
        <v>39108.333333333328</v>
      </c>
      <c r="K415" s="521" t="s">
        <v>1292</v>
      </c>
      <c r="L415" s="522">
        <f>721900/18</f>
        <v>40105.555555555555</v>
      </c>
      <c r="M415" s="521" t="s">
        <v>1944</v>
      </c>
      <c r="N415" s="522">
        <f>686000/18</f>
        <v>38111.111111111109</v>
      </c>
      <c r="O415" s="518"/>
      <c r="P415" s="519"/>
      <c r="Q415" s="1"/>
      <c r="R415" s="1"/>
      <c r="S415" s="1"/>
      <c r="T415" s="1"/>
      <c r="U415" s="1"/>
      <c r="V415" s="1"/>
      <c r="W415" s="1"/>
      <c r="X415" s="1"/>
      <c r="Y415" s="1"/>
      <c r="Z415" s="1"/>
      <c r="AA415" s="1"/>
    </row>
    <row r="416" spans="1:27" ht="15.75" customHeight="1">
      <c r="A416" s="1"/>
      <c r="B416" s="556" t="s">
        <v>1945</v>
      </c>
      <c r="C416" s="557" t="s">
        <v>1914</v>
      </c>
      <c r="D416" s="174" t="s">
        <v>1946</v>
      </c>
      <c r="E416" s="558">
        <f t="shared" si="167"/>
        <v>115264.70588235295</v>
      </c>
      <c r="F416" s="559" t="s">
        <v>454</v>
      </c>
      <c r="G416" s="557"/>
      <c r="H416" s="560">
        <f t="shared" si="168"/>
        <v>137165</v>
      </c>
      <c r="I416" s="523"/>
      <c r="J416" s="524">
        <f t="shared" si="169"/>
        <v>137164.20000000001</v>
      </c>
      <c r="K416" s="518"/>
      <c r="L416" s="519">
        <v>137164.20000000001</v>
      </c>
      <c r="M416" s="518"/>
      <c r="N416" s="519"/>
      <c r="O416" s="518"/>
      <c r="P416" s="519"/>
      <c r="Q416" s="1"/>
      <c r="R416" s="1"/>
      <c r="S416" s="1"/>
      <c r="T416" s="1"/>
      <c r="U416" s="1"/>
      <c r="V416" s="1"/>
      <c r="W416" s="1"/>
      <c r="X416" s="1"/>
      <c r="Y416" s="1"/>
      <c r="Z416" s="1"/>
      <c r="AA416" s="1"/>
    </row>
    <row r="417" spans="1:27" ht="15.75" customHeight="1">
      <c r="A417" s="1"/>
      <c r="B417" s="556" t="s">
        <v>1947</v>
      </c>
      <c r="C417" s="557" t="s">
        <v>1914</v>
      </c>
      <c r="D417" s="174" t="s">
        <v>2505</v>
      </c>
      <c r="E417" s="558">
        <f t="shared" si="167"/>
        <v>25210.084033613446</v>
      </c>
      <c r="F417" s="559" t="s">
        <v>303</v>
      </c>
      <c r="G417" s="557"/>
      <c r="H417" s="560">
        <f t="shared" si="168"/>
        <v>30000</v>
      </c>
      <c r="I417" s="523"/>
      <c r="J417" s="524">
        <f t="shared" si="169"/>
        <v>30000</v>
      </c>
      <c r="K417" s="518" t="s">
        <v>1292</v>
      </c>
      <c r="L417" s="519">
        <v>30000</v>
      </c>
      <c r="M417" s="518"/>
      <c r="N417" s="519"/>
      <c r="O417" s="518"/>
      <c r="P417" s="519"/>
      <c r="Q417" s="1"/>
      <c r="R417" s="1"/>
      <c r="S417" s="1"/>
      <c r="T417" s="1"/>
      <c r="U417" s="1"/>
      <c r="V417" s="1"/>
      <c r="W417" s="1"/>
      <c r="X417" s="1"/>
      <c r="Y417" s="1"/>
      <c r="Z417" s="1"/>
      <c r="AA417" s="1"/>
    </row>
    <row r="418" spans="1:27" ht="15.75" customHeight="1">
      <c r="A418" s="1"/>
      <c r="B418" s="556" t="s">
        <v>1948</v>
      </c>
      <c r="C418" s="557" t="s">
        <v>1914</v>
      </c>
      <c r="D418" s="565" t="s">
        <v>2559</v>
      </c>
      <c r="E418" s="558">
        <f t="shared" si="167"/>
        <v>12605.042016806723</v>
      </c>
      <c r="F418" s="566" t="s">
        <v>2548</v>
      </c>
      <c r="G418" s="567"/>
      <c r="H418" s="560">
        <f t="shared" si="168"/>
        <v>15000</v>
      </c>
      <c r="I418" s="523"/>
      <c r="J418" s="524">
        <f t="shared" si="169"/>
        <v>15000</v>
      </c>
      <c r="K418" s="518"/>
      <c r="L418" s="549">
        <v>15000</v>
      </c>
      <c r="M418" s="518"/>
      <c r="N418" s="549"/>
      <c r="O418" s="518"/>
      <c r="P418" s="563"/>
      <c r="Q418" s="1"/>
      <c r="R418" s="1"/>
      <c r="S418" s="1"/>
      <c r="T418" s="1"/>
      <c r="U418" s="1"/>
      <c r="V418" s="1"/>
      <c r="W418" s="1"/>
      <c r="X418" s="1"/>
      <c r="Y418" s="1"/>
      <c r="Z418" s="1"/>
      <c r="AA418" s="1"/>
    </row>
    <row r="419" spans="1:27" ht="15.75" customHeight="1">
      <c r="A419" s="1"/>
      <c r="B419" s="556" t="s">
        <v>1949</v>
      </c>
      <c r="C419" s="557" t="s">
        <v>1914</v>
      </c>
      <c r="D419" s="565" t="s">
        <v>2560</v>
      </c>
      <c r="E419" s="558">
        <f t="shared" si="167"/>
        <v>13865.546218487396</v>
      </c>
      <c r="F419" s="566" t="s">
        <v>2548</v>
      </c>
      <c r="G419" s="567"/>
      <c r="H419" s="560">
        <f t="shared" si="168"/>
        <v>16500</v>
      </c>
      <c r="I419" s="523"/>
      <c r="J419" s="524">
        <f t="shared" si="169"/>
        <v>16500</v>
      </c>
      <c r="K419" s="518" t="s">
        <v>1292</v>
      </c>
      <c r="L419" s="549">
        <f>15000*1.1</f>
        <v>16500</v>
      </c>
      <c r="M419" s="518"/>
      <c r="N419" s="549"/>
      <c r="O419" s="518"/>
      <c r="P419" s="563"/>
      <c r="Q419" s="1"/>
      <c r="R419" s="1"/>
      <c r="S419" s="1"/>
      <c r="T419" s="1"/>
      <c r="U419" s="1"/>
      <c r="V419" s="1"/>
      <c r="W419" s="1"/>
      <c r="X419" s="1"/>
      <c r="Y419" s="1"/>
      <c r="Z419" s="1"/>
      <c r="AA419" s="1"/>
    </row>
    <row r="420" spans="1:27" ht="15.75" customHeight="1">
      <c r="A420" s="1"/>
      <c r="B420" s="556" t="s">
        <v>1950</v>
      </c>
      <c r="C420" s="557" t="s">
        <v>1914</v>
      </c>
      <c r="D420" s="565" t="s">
        <v>2410</v>
      </c>
      <c r="E420" s="558">
        <f t="shared" ref="E420" si="170">+H420/1.19</f>
        <v>326257.98319327732</v>
      </c>
      <c r="F420" s="559" t="s">
        <v>1291</v>
      </c>
      <c r="G420" s="557"/>
      <c r="H420" s="560">
        <f t="shared" si="168"/>
        <v>388247</v>
      </c>
      <c r="I420" s="520"/>
      <c r="J420" s="517">
        <f t="shared" ref="J420" si="171">IFERROR(AVERAGEIF($K$13:$P$13,"PRECIO IVA INC.",K420:P420),)</f>
        <v>388247</v>
      </c>
      <c r="K420" s="521"/>
      <c r="L420" s="522">
        <v>388247</v>
      </c>
      <c r="M420" s="521"/>
      <c r="N420" s="522"/>
      <c r="O420" s="518"/>
      <c r="P420" s="563"/>
      <c r="Q420" s="1"/>
      <c r="R420" s="1"/>
      <c r="S420" s="1"/>
      <c r="T420" s="1"/>
      <c r="U420" s="1"/>
      <c r="V420" s="1"/>
      <c r="W420" s="1"/>
      <c r="X420" s="1"/>
      <c r="Y420" s="1"/>
      <c r="Z420" s="1"/>
      <c r="AA420" s="1"/>
    </row>
    <row r="421" spans="1:27" ht="15.75" customHeight="1">
      <c r="A421" s="1"/>
      <c r="B421" s="556" t="s">
        <v>1951</v>
      </c>
      <c r="C421" s="557" t="s">
        <v>1914</v>
      </c>
      <c r="D421" s="565" t="s">
        <v>2411</v>
      </c>
      <c r="E421" s="558">
        <f t="shared" ref="E421" si="172">+H421/1.19</f>
        <v>35210.08403361345</v>
      </c>
      <c r="F421" s="559" t="s">
        <v>1291</v>
      </c>
      <c r="G421" s="557"/>
      <c r="H421" s="560">
        <f t="shared" si="168"/>
        <v>41900</v>
      </c>
      <c r="I421" s="520"/>
      <c r="J421" s="517">
        <f t="shared" ref="J421" si="173">IFERROR(AVERAGEIF($K$13:$P$13,"PRECIO IVA INC.",K421:P421),)</f>
        <v>41900</v>
      </c>
      <c r="K421" s="521"/>
      <c r="L421" s="522">
        <v>41900</v>
      </c>
      <c r="M421" s="518"/>
      <c r="N421" s="549"/>
      <c r="O421" s="518"/>
      <c r="P421" s="563"/>
      <c r="Q421" s="1"/>
      <c r="R421" s="1"/>
      <c r="S421" s="1"/>
      <c r="T421" s="1"/>
      <c r="U421" s="1"/>
      <c r="V421" s="1"/>
      <c r="W421" s="1"/>
      <c r="X421" s="1"/>
      <c r="Y421" s="1"/>
      <c r="Z421" s="1"/>
      <c r="AA421" s="1"/>
    </row>
    <row r="422" spans="1:27" ht="15.75" customHeight="1">
      <c r="A422" s="1"/>
      <c r="B422" s="569"/>
      <c r="C422" s="567"/>
      <c r="D422" s="565"/>
      <c r="E422" s="570"/>
      <c r="F422" s="566"/>
      <c r="G422" s="567"/>
      <c r="H422" s="568"/>
      <c r="I422" s="523"/>
      <c r="J422" s="524"/>
      <c r="K422" s="518"/>
      <c r="L422" s="549"/>
      <c r="M422" s="518"/>
      <c r="N422" s="549"/>
      <c r="O422" s="518"/>
      <c r="P422" s="563"/>
      <c r="Q422" s="1"/>
      <c r="R422" s="1"/>
      <c r="S422" s="1"/>
      <c r="T422" s="1"/>
      <c r="U422" s="1"/>
      <c r="V422" s="1"/>
      <c r="W422" s="1"/>
      <c r="X422" s="1"/>
      <c r="Y422" s="1"/>
      <c r="Z422" s="1"/>
      <c r="AA422" s="1"/>
    </row>
    <row r="423" spans="1:27" ht="15.75" customHeight="1">
      <c r="A423" s="1"/>
      <c r="B423" s="569"/>
      <c r="C423" s="567"/>
      <c r="D423" s="565"/>
      <c r="E423" s="570"/>
      <c r="F423" s="566"/>
      <c r="G423" s="567"/>
      <c r="H423" s="568"/>
      <c r="I423" s="523"/>
      <c r="J423" s="524"/>
      <c r="K423" s="518"/>
      <c r="L423" s="549"/>
      <c r="M423" s="518"/>
      <c r="N423" s="549"/>
      <c r="O423" s="518"/>
      <c r="P423" s="563"/>
      <c r="Q423" s="1"/>
      <c r="R423" s="1"/>
      <c r="S423" s="1"/>
      <c r="T423" s="1"/>
      <c r="U423" s="1"/>
      <c r="V423" s="1"/>
      <c r="W423" s="1"/>
      <c r="X423" s="1"/>
      <c r="Y423" s="1"/>
      <c r="Z423" s="1"/>
      <c r="AA423" s="1"/>
    </row>
    <row r="424" spans="1:27" ht="15.75" customHeight="1">
      <c r="A424" s="1"/>
      <c r="B424" s="501" t="s">
        <v>1952</v>
      </c>
      <c r="C424" s="502"/>
      <c r="D424" s="503"/>
      <c r="E424" s="504"/>
      <c r="F424" s="505"/>
      <c r="G424" s="505"/>
      <c r="H424" s="506"/>
      <c r="I424" s="552"/>
      <c r="J424" s="553"/>
      <c r="K424" s="554"/>
      <c r="L424" s="554"/>
      <c r="M424" s="554"/>
      <c r="N424" s="554"/>
      <c r="O424" s="554"/>
      <c r="P424" s="555"/>
      <c r="Q424" s="1"/>
      <c r="R424" s="1"/>
      <c r="S424" s="1"/>
      <c r="T424" s="1"/>
      <c r="U424" s="1"/>
      <c r="V424" s="1"/>
      <c r="W424" s="1"/>
      <c r="X424" s="1"/>
      <c r="Y424" s="1"/>
      <c r="Z424" s="1"/>
      <c r="AA424" s="1"/>
    </row>
    <row r="425" spans="1:27" ht="15.75" customHeight="1">
      <c r="A425" s="1"/>
      <c r="B425" s="556" t="s">
        <v>1446</v>
      </c>
      <c r="C425" s="557" t="s">
        <v>1953</v>
      </c>
      <c r="D425" s="174" t="s">
        <v>1954</v>
      </c>
      <c r="E425" s="573">
        <f t="shared" ref="E425:E427" si="174">+H425/1.19</f>
        <v>0</v>
      </c>
      <c r="F425" s="559" t="s">
        <v>1339</v>
      </c>
      <c r="G425" s="557"/>
      <c r="H425" s="560">
        <f t="shared" ref="H425:H427" si="175">ROUNDUP($J425*(1+$C$10),0)</f>
        <v>0</v>
      </c>
      <c r="I425" s="523"/>
      <c r="J425" s="524">
        <f t="shared" ref="J425:J427" si="176">IFERROR(AVERAGEIF($K$13:$P$13,"PRECIO IVA INC.",K425:P425),)</f>
        <v>0</v>
      </c>
      <c r="K425" s="518"/>
      <c r="L425" s="519"/>
      <c r="M425" s="518"/>
      <c r="N425" s="519"/>
      <c r="O425" s="518"/>
      <c r="P425" s="519"/>
      <c r="Q425" s="1"/>
      <c r="R425" s="1"/>
      <c r="S425" s="1"/>
      <c r="T425" s="1"/>
      <c r="U425" s="1"/>
      <c r="V425" s="1"/>
      <c r="W425" s="1"/>
      <c r="X425" s="1"/>
      <c r="Y425" s="1"/>
      <c r="Z425" s="1"/>
      <c r="AA425" s="1"/>
    </row>
    <row r="426" spans="1:27" ht="15.75" customHeight="1">
      <c r="A426" s="1"/>
      <c r="B426" s="556" t="s">
        <v>1450</v>
      </c>
      <c r="C426" s="557" t="s">
        <v>1953</v>
      </c>
      <c r="D426" s="174" t="s">
        <v>1955</v>
      </c>
      <c r="E426" s="573">
        <f t="shared" si="174"/>
        <v>0</v>
      </c>
      <c r="F426" s="559" t="s">
        <v>1339</v>
      </c>
      <c r="G426" s="557"/>
      <c r="H426" s="560">
        <f t="shared" si="175"/>
        <v>0</v>
      </c>
      <c r="I426" s="523"/>
      <c r="J426" s="524">
        <f t="shared" si="176"/>
        <v>0</v>
      </c>
      <c r="K426" s="518"/>
      <c r="L426" s="519"/>
      <c r="M426" s="518"/>
      <c r="N426" s="519"/>
      <c r="O426" s="518"/>
      <c r="P426" s="519"/>
      <c r="Q426" s="1"/>
      <c r="R426" s="1"/>
      <c r="S426" s="1"/>
      <c r="T426" s="1"/>
      <c r="U426" s="1"/>
      <c r="V426" s="1"/>
      <c r="W426" s="1"/>
      <c r="X426" s="1"/>
      <c r="Y426" s="1"/>
      <c r="Z426" s="1"/>
      <c r="AA426" s="1"/>
    </row>
    <row r="427" spans="1:27" ht="15.75" customHeight="1">
      <c r="A427" s="1"/>
      <c r="B427" s="556" t="s">
        <v>1452</v>
      </c>
      <c r="C427" s="557" t="s">
        <v>1953</v>
      </c>
      <c r="D427" s="174" t="s">
        <v>1956</v>
      </c>
      <c r="E427" s="573">
        <f t="shared" si="174"/>
        <v>0</v>
      </c>
      <c r="F427" s="559" t="s">
        <v>1339</v>
      </c>
      <c r="G427" s="557"/>
      <c r="H427" s="560">
        <f t="shared" si="175"/>
        <v>0</v>
      </c>
      <c r="I427" s="523"/>
      <c r="J427" s="524">
        <f t="shared" si="176"/>
        <v>0</v>
      </c>
      <c r="K427" s="518"/>
      <c r="L427" s="519"/>
      <c r="M427" s="518"/>
      <c r="N427" s="519"/>
      <c r="O427" s="518"/>
      <c r="P427" s="519"/>
      <c r="Q427" s="1"/>
      <c r="R427" s="1"/>
      <c r="S427" s="1"/>
      <c r="T427" s="1"/>
      <c r="U427" s="1"/>
      <c r="V427" s="1"/>
      <c r="W427" s="1"/>
      <c r="X427" s="1"/>
      <c r="Y427" s="1"/>
      <c r="Z427" s="1"/>
      <c r="AA427" s="1"/>
    </row>
    <row r="428" spans="1:27" ht="15.75" customHeight="1">
      <c r="A428" s="1"/>
      <c r="B428" s="569"/>
      <c r="C428" s="567"/>
      <c r="D428" s="565"/>
      <c r="E428" s="577"/>
      <c r="F428" s="566"/>
      <c r="G428" s="567"/>
      <c r="H428" s="568"/>
      <c r="I428" s="523"/>
      <c r="J428" s="524"/>
      <c r="K428" s="518"/>
      <c r="L428" s="549"/>
      <c r="M428" s="518"/>
      <c r="N428" s="549"/>
      <c r="O428" s="518"/>
      <c r="P428" s="563"/>
      <c r="Q428" s="1"/>
      <c r="R428" s="1"/>
      <c r="S428" s="1"/>
      <c r="T428" s="1"/>
      <c r="U428" s="1"/>
      <c r="V428" s="1"/>
      <c r="W428" s="1"/>
      <c r="X428" s="1"/>
      <c r="Y428" s="1"/>
      <c r="Z428" s="1"/>
      <c r="AA428" s="1"/>
    </row>
    <row r="429" spans="1:27" ht="15.75" customHeight="1">
      <c r="A429" s="1"/>
      <c r="B429" s="501" t="s">
        <v>1957</v>
      </c>
      <c r="C429" s="502"/>
      <c r="D429" s="503"/>
      <c r="E429" s="504"/>
      <c r="F429" s="505"/>
      <c r="G429" s="505"/>
      <c r="H429" s="506"/>
      <c r="I429" s="552"/>
      <c r="J429" s="553"/>
      <c r="K429" s="554"/>
      <c r="L429" s="554"/>
      <c r="M429" s="554"/>
      <c r="N429" s="554"/>
      <c r="O429" s="554"/>
      <c r="P429" s="555"/>
      <c r="Q429" s="1"/>
      <c r="R429" s="1"/>
      <c r="S429" s="1"/>
      <c r="T429" s="1"/>
      <c r="U429" s="1"/>
      <c r="V429" s="1"/>
      <c r="W429" s="1"/>
      <c r="X429" s="1"/>
      <c r="Y429" s="1"/>
      <c r="Z429" s="1"/>
      <c r="AA429" s="1"/>
    </row>
    <row r="430" spans="1:27" ht="15.75" customHeight="1">
      <c r="A430" s="1"/>
      <c r="B430" s="556" t="s">
        <v>1958</v>
      </c>
      <c r="C430" s="557" t="s">
        <v>1959</v>
      </c>
      <c r="D430" s="174" t="s">
        <v>2502</v>
      </c>
      <c r="E430" s="573">
        <f t="shared" ref="E430:E445" si="177">+H430/1.19</f>
        <v>4621.8487394957983</v>
      </c>
      <c r="F430" s="559" t="s">
        <v>1339</v>
      </c>
      <c r="G430" s="557"/>
      <c r="H430" s="560">
        <f t="shared" ref="H430:H445" si="178">ROUNDUP($J430*(1+$C$10),0)</f>
        <v>5500</v>
      </c>
      <c r="I430" s="520"/>
      <c r="J430" s="517">
        <f t="shared" ref="J430:J445" si="179">IFERROR(AVERAGEIF($K$13:$P$13,"PRECIO IVA INC.",K430:P430),)</f>
        <v>5500</v>
      </c>
      <c r="K430" s="521" t="s">
        <v>1292</v>
      </c>
      <c r="L430" s="522">
        <v>5500</v>
      </c>
      <c r="M430" s="518"/>
      <c r="N430" s="519"/>
      <c r="O430" s="1"/>
      <c r="P430" s="1"/>
      <c r="Q430" s="1"/>
      <c r="R430" s="1"/>
      <c r="S430" s="1"/>
      <c r="T430" s="1"/>
      <c r="U430" s="1"/>
      <c r="V430" s="1"/>
      <c r="W430" s="1"/>
      <c r="X430" s="1"/>
      <c r="Y430" s="1"/>
      <c r="Z430" s="1"/>
      <c r="AA430" s="1"/>
    </row>
    <row r="431" spans="1:27" ht="15.75" customHeight="1">
      <c r="A431" s="1"/>
      <c r="B431" s="556" t="s">
        <v>1960</v>
      </c>
      <c r="C431" s="557" t="s">
        <v>1959</v>
      </c>
      <c r="D431" s="174" t="s">
        <v>1961</v>
      </c>
      <c r="E431" s="573">
        <f t="shared" si="177"/>
        <v>5966.3865546218494</v>
      </c>
      <c r="F431" s="559" t="s">
        <v>1339</v>
      </c>
      <c r="G431" s="557"/>
      <c r="H431" s="560">
        <f t="shared" si="178"/>
        <v>7100</v>
      </c>
      <c r="I431" s="520"/>
      <c r="J431" s="517">
        <f t="shared" si="179"/>
        <v>7100</v>
      </c>
      <c r="K431" s="521" t="s">
        <v>1292</v>
      </c>
      <c r="L431" s="522">
        <v>7100</v>
      </c>
      <c r="M431" s="518"/>
      <c r="N431" s="519"/>
      <c r="O431" s="1"/>
      <c r="P431" s="1"/>
      <c r="Q431" s="1"/>
      <c r="R431" s="1"/>
      <c r="S431" s="1"/>
      <c r="T431" s="1"/>
      <c r="U431" s="1"/>
      <c r="V431" s="1"/>
      <c r="W431" s="1"/>
      <c r="X431" s="1"/>
      <c r="Y431" s="1"/>
      <c r="Z431" s="1"/>
      <c r="AA431" s="1"/>
    </row>
    <row r="432" spans="1:27" ht="15.75" customHeight="1">
      <c r="A432" s="1"/>
      <c r="B432" s="556" t="s">
        <v>1962</v>
      </c>
      <c r="C432" s="557" t="s">
        <v>1959</v>
      </c>
      <c r="D432" s="174" t="s">
        <v>1963</v>
      </c>
      <c r="E432" s="573">
        <f t="shared" si="177"/>
        <v>27647.058823529413</v>
      </c>
      <c r="F432" s="559" t="s">
        <v>1339</v>
      </c>
      <c r="G432" s="557"/>
      <c r="H432" s="560">
        <f t="shared" si="178"/>
        <v>32900</v>
      </c>
      <c r="I432" s="520"/>
      <c r="J432" s="517">
        <f t="shared" si="179"/>
        <v>32900</v>
      </c>
      <c r="K432" s="521" t="s">
        <v>1292</v>
      </c>
      <c r="L432" s="522">
        <v>32900</v>
      </c>
      <c r="M432" s="518"/>
      <c r="N432" s="519"/>
      <c r="O432" s="1"/>
      <c r="P432" s="1"/>
      <c r="Q432" s="1"/>
      <c r="R432" s="1"/>
      <c r="S432" s="1"/>
      <c r="T432" s="1"/>
      <c r="U432" s="1"/>
      <c r="V432" s="1"/>
      <c r="W432" s="1"/>
      <c r="X432" s="1"/>
      <c r="Y432" s="1"/>
      <c r="Z432" s="1"/>
      <c r="AA432" s="1"/>
    </row>
    <row r="433" spans="1:27" ht="15.75" customHeight="1">
      <c r="A433" s="1"/>
      <c r="B433" s="556" t="s">
        <v>1964</v>
      </c>
      <c r="C433" s="557" t="s">
        <v>1959</v>
      </c>
      <c r="D433" s="174" t="s">
        <v>1965</v>
      </c>
      <c r="E433" s="573">
        <f t="shared" si="177"/>
        <v>56218.487394957985</v>
      </c>
      <c r="F433" s="559" t="s">
        <v>1339</v>
      </c>
      <c r="G433" s="557"/>
      <c r="H433" s="560">
        <f t="shared" si="178"/>
        <v>66900</v>
      </c>
      <c r="I433" s="520"/>
      <c r="J433" s="517">
        <f t="shared" si="179"/>
        <v>66900</v>
      </c>
      <c r="K433" s="521" t="s">
        <v>1292</v>
      </c>
      <c r="L433" s="522">
        <v>66900</v>
      </c>
      <c r="M433" s="518"/>
      <c r="N433" s="519"/>
      <c r="O433" s="1"/>
      <c r="P433" s="1"/>
      <c r="Q433" s="1"/>
      <c r="R433" s="1"/>
      <c r="S433" s="1"/>
      <c r="T433" s="1"/>
      <c r="U433" s="1"/>
      <c r="V433" s="1"/>
      <c r="W433" s="1"/>
      <c r="X433" s="1"/>
      <c r="Y433" s="1"/>
      <c r="Z433" s="1"/>
      <c r="AA433" s="1"/>
    </row>
    <row r="434" spans="1:27" ht="15.75" customHeight="1">
      <c r="A434" s="1"/>
      <c r="B434" s="556" t="s">
        <v>1966</v>
      </c>
      <c r="C434" s="557" t="s">
        <v>1959</v>
      </c>
      <c r="D434" s="174" t="s">
        <v>1967</v>
      </c>
      <c r="E434" s="573">
        <f t="shared" si="177"/>
        <v>19243.697478991598</v>
      </c>
      <c r="F434" s="559" t="s">
        <v>1339</v>
      </c>
      <c r="G434" s="557"/>
      <c r="H434" s="560">
        <f t="shared" si="178"/>
        <v>22900</v>
      </c>
      <c r="I434" s="520"/>
      <c r="J434" s="517">
        <f t="shared" si="179"/>
        <v>22900</v>
      </c>
      <c r="K434" s="521" t="s">
        <v>1292</v>
      </c>
      <c r="L434" s="522">
        <v>22900</v>
      </c>
      <c r="M434" s="518"/>
      <c r="N434" s="519"/>
      <c r="O434" s="1"/>
      <c r="P434" s="1"/>
      <c r="Q434" s="1"/>
      <c r="R434" s="1"/>
      <c r="S434" s="1"/>
      <c r="T434" s="1"/>
      <c r="U434" s="1"/>
      <c r="V434" s="1"/>
      <c r="W434" s="1"/>
      <c r="X434" s="1"/>
      <c r="Y434" s="1"/>
      <c r="Z434" s="1"/>
      <c r="AA434" s="1"/>
    </row>
    <row r="435" spans="1:27" ht="15.75" customHeight="1">
      <c r="A435" s="1"/>
      <c r="B435" s="556" t="s">
        <v>1968</v>
      </c>
      <c r="C435" s="557" t="s">
        <v>1959</v>
      </c>
      <c r="D435" s="174" t="s">
        <v>1969</v>
      </c>
      <c r="E435" s="573">
        <f t="shared" si="177"/>
        <v>56218.487394957985</v>
      </c>
      <c r="F435" s="559" t="s">
        <v>1339</v>
      </c>
      <c r="G435" s="557"/>
      <c r="H435" s="560">
        <f t="shared" si="178"/>
        <v>66900</v>
      </c>
      <c r="I435" s="520"/>
      <c r="J435" s="517">
        <f t="shared" si="179"/>
        <v>66900</v>
      </c>
      <c r="K435" s="521" t="s">
        <v>1292</v>
      </c>
      <c r="L435" s="522">
        <v>66900</v>
      </c>
      <c r="M435" s="518"/>
      <c r="N435" s="519"/>
      <c r="O435" s="1"/>
      <c r="P435" s="1"/>
      <c r="Q435" s="1"/>
      <c r="R435" s="1"/>
      <c r="S435" s="1"/>
      <c r="T435" s="1"/>
      <c r="U435" s="1"/>
      <c r="V435" s="1"/>
      <c r="W435" s="1"/>
      <c r="X435" s="1"/>
      <c r="Y435" s="1"/>
      <c r="Z435" s="1"/>
      <c r="AA435" s="1"/>
    </row>
    <row r="436" spans="1:27" ht="15.75" customHeight="1">
      <c r="A436" s="1"/>
      <c r="B436" s="556" t="s">
        <v>1970</v>
      </c>
      <c r="C436" s="557" t="s">
        <v>1959</v>
      </c>
      <c r="D436" s="174" t="s">
        <v>1971</v>
      </c>
      <c r="E436" s="573">
        <f t="shared" si="177"/>
        <v>8823.5294117647063</v>
      </c>
      <c r="F436" s="559" t="s">
        <v>1339</v>
      </c>
      <c r="G436" s="557"/>
      <c r="H436" s="560">
        <f t="shared" si="178"/>
        <v>10500</v>
      </c>
      <c r="I436" s="520"/>
      <c r="J436" s="517">
        <f t="shared" si="179"/>
        <v>10500</v>
      </c>
      <c r="K436" s="521" t="s">
        <v>1292</v>
      </c>
      <c r="L436" s="522">
        <v>10500</v>
      </c>
      <c r="M436" s="518" t="s">
        <v>1972</v>
      </c>
      <c r="N436" s="519"/>
      <c r="O436" s="1"/>
      <c r="P436" s="1"/>
      <c r="Q436" s="1"/>
      <c r="R436" s="1"/>
      <c r="S436" s="1"/>
      <c r="T436" s="1"/>
      <c r="U436" s="1"/>
      <c r="V436" s="1"/>
      <c r="W436" s="1"/>
      <c r="X436" s="1"/>
      <c r="Y436" s="1"/>
      <c r="Z436" s="1"/>
      <c r="AA436" s="1"/>
    </row>
    <row r="437" spans="1:27" ht="15.75" customHeight="1">
      <c r="A437" s="1"/>
      <c r="B437" s="556" t="s">
        <v>1973</v>
      </c>
      <c r="C437" s="557" t="s">
        <v>1959</v>
      </c>
      <c r="D437" s="174" t="s">
        <v>2496</v>
      </c>
      <c r="E437" s="573">
        <f t="shared" si="177"/>
        <v>13150.420168067227</v>
      </c>
      <c r="F437" s="559" t="s">
        <v>1406</v>
      </c>
      <c r="G437" s="557"/>
      <c r="H437" s="560">
        <f t="shared" si="178"/>
        <v>15649</v>
      </c>
      <c r="I437" s="520"/>
      <c r="J437" s="517">
        <f t="shared" si="179"/>
        <v>15649</v>
      </c>
      <c r="K437" s="521" t="s">
        <v>1974</v>
      </c>
      <c r="L437" s="522">
        <v>15649</v>
      </c>
      <c r="M437" s="518"/>
      <c r="N437" s="519"/>
      <c r="O437" s="1"/>
      <c r="P437" s="1"/>
      <c r="Q437" s="1"/>
      <c r="R437" s="1"/>
      <c r="S437" s="1"/>
      <c r="T437" s="1"/>
      <c r="U437" s="1"/>
      <c r="V437" s="1"/>
      <c r="W437" s="1"/>
      <c r="X437" s="1"/>
      <c r="Y437" s="1"/>
      <c r="Z437" s="1"/>
      <c r="AA437" s="1"/>
    </row>
    <row r="438" spans="1:27" ht="15.75" customHeight="1">
      <c r="A438" s="1"/>
      <c r="B438" s="556" t="s">
        <v>1975</v>
      </c>
      <c r="C438" s="557" t="s">
        <v>1959</v>
      </c>
      <c r="D438" s="565" t="s">
        <v>2497</v>
      </c>
      <c r="E438" s="573">
        <f t="shared" si="177"/>
        <v>16806.722689075632</v>
      </c>
      <c r="F438" s="559" t="s">
        <v>1406</v>
      </c>
      <c r="G438" s="557"/>
      <c r="H438" s="560">
        <f t="shared" si="178"/>
        <v>20000</v>
      </c>
      <c r="I438" s="520"/>
      <c r="J438" s="517">
        <f t="shared" si="179"/>
        <v>20000</v>
      </c>
      <c r="K438" s="521" t="s">
        <v>1974</v>
      </c>
      <c r="L438" s="522">
        <v>20000</v>
      </c>
      <c r="M438" s="518"/>
      <c r="N438" s="519"/>
      <c r="O438" s="1"/>
      <c r="P438" s="1"/>
      <c r="Q438" s="1"/>
      <c r="R438" s="1"/>
      <c r="S438" s="1"/>
      <c r="T438" s="1"/>
      <c r="U438" s="1"/>
      <c r="V438" s="1"/>
      <c r="W438" s="1"/>
      <c r="X438" s="1"/>
      <c r="Y438" s="1"/>
      <c r="Z438" s="1"/>
      <c r="AA438" s="1"/>
    </row>
    <row r="439" spans="1:27" ht="15.75" customHeight="1">
      <c r="A439" s="1"/>
      <c r="B439" s="556" t="s">
        <v>1976</v>
      </c>
      <c r="C439" s="557" t="s">
        <v>1959</v>
      </c>
      <c r="D439" s="565" t="s">
        <v>2499</v>
      </c>
      <c r="E439" s="573">
        <f t="shared" si="177"/>
        <v>42016.806722689078</v>
      </c>
      <c r="F439" s="559" t="s">
        <v>1339</v>
      </c>
      <c r="G439" s="557"/>
      <c r="H439" s="560">
        <f t="shared" si="178"/>
        <v>50000</v>
      </c>
      <c r="I439" s="520"/>
      <c r="J439" s="517">
        <f t="shared" si="179"/>
        <v>50000</v>
      </c>
      <c r="K439" s="521" t="s">
        <v>1292</v>
      </c>
      <c r="L439" s="522">
        <v>50000</v>
      </c>
      <c r="M439" s="518"/>
      <c r="N439" s="519"/>
      <c r="O439" s="1"/>
      <c r="P439" s="1"/>
      <c r="Q439" s="1"/>
      <c r="R439" s="1"/>
      <c r="S439" s="1"/>
      <c r="T439" s="1"/>
      <c r="U439" s="1"/>
      <c r="V439" s="1"/>
      <c r="W439" s="1"/>
      <c r="X439" s="1"/>
      <c r="Y439" s="1"/>
      <c r="Z439" s="1"/>
      <c r="AA439" s="1"/>
    </row>
    <row r="440" spans="1:27" ht="15.75" customHeight="1">
      <c r="A440" s="1"/>
      <c r="B440" s="556" t="s">
        <v>1977</v>
      </c>
      <c r="C440" s="557" t="s">
        <v>1959</v>
      </c>
      <c r="D440" s="565" t="s">
        <v>1978</v>
      </c>
      <c r="E440" s="573">
        <f t="shared" si="177"/>
        <v>15966.386554621849</v>
      </c>
      <c r="F440" s="559" t="s">
        <v>1339</v>
      </c>
      <c r="G440" s="557"/>
      <c r="H440" s="560">
        <f t="shared" si="178"/>
        <v>19000</v>
      </c>
      <c r="I440" s="520"/>
      <c r="J440" s="517">
        <f t="shared" si="179"/>
        <v>19000</v>
      </c>
      <c r="K440" s="521" t="s">
        <v>1292</v>
      </c>
      <c r="L440" s="522">
        <v>19000</v>
      </c>
      <c r="M440" s="518"/>
      <c r="N440" s="519"/>
      <c r="O440" s="1"/>
      <c r="P440" s="1"/>
      <c r="Q440" s="1"/>
      <c r="R440" s="1"/>
      <c r="S440" s="1"/>
      <c r="T440" s="1"/>
      <c r="U440" s="1"/>
      <c r="V440" s="1"/>
      <c r="W440" s="1"/>
      <c r="X440" s="1"/>
      <c r="Y440" s="1"/>
      <c r="Z440" s="1"/>
      <c r="AA440" s="1"/>
    </row>
    <row r="441" spans="1:27" ht="15.75" customHeight="1">
      <c r="A441" s="1"/>
      <c r="B441" s="556" t="s">
        <v>1979</v>
      </c>
      <c r="C441" s="557" t="s">
        <v>1959</v>
      </c>
      <c r="D441" s="565" t="s">
        <v>1980</v>
      </c>
      <c r="E441" s="573">
        <f t="shared" si="177"/>
        <v>15966.386554621849</v>
      </c>
      <c r="F441" s="559" t="s">
        <v>1339</v>
      </c>
      <c r="G441" s="557"/>
      <c r="H441" s="560">
        <f t="shared" si="178"/>
        <v>19000</v>
      </c>
      <c r="I441" s="520"/>
      <c r="J441" s="517">
        <f t="shared" si="179"/>
        <v>19000</v>
      </c>
      <c r="K441" s="521" t="s">
        <v>1292</v>
      </c>
      <c r="L441" s="522">
        <v>19000</v>
      </c>
      <c r="M441" s="518"/>
      <c r="N441" s="519"/>
      <c r="O441" s="1"/>
      <c r="P441" s="1"/>
      <c r="Q441" s="1"/>
      <c r="R441" s="1"/>
      <c r="S441" s="1"/>
      <c r="T441" s="1"/>
      <c r="U441" s="1"/>
      <c r="V441" s="1"/>
      <c r="W441" s="1"/>
      <c r="X441" s="1"/>
      <c r="Y441" s="1"/>
      <c r="Z441" s="1"/>
      <c r="AA441" s="1"/>
    </row>
    <row r="442" spans="1:27" ht="15.75" customHeight="1">
      <c r="A442" s="1"/>
      <c r="B442" s="556" t="s">
        <v>1981</v>
      </c>
      <c r="C442" s="557" t="s">
        <v>1959</v>
      </c>
      <c r="D442" s="565" t="s">
        <v>1982</v>
      </c>
      <c r="E442" s="573">
        <f t="shared" si="177"/>
        <v>31008.403361344539</v>
      </c>
      <c r="F442" s="559" t="s">
        <v>1339</v>
      </c>
      <c r="G442" s="557"/>
      <c r="H442" s="560">
        <f t="shared" si="178"/>
        <v>36900</v>
      </c>
      <c r="I442" s="520"/>
      <c r="J442" s="517">
        <f t="shared" si="179"/>
        <v>36900</v>
      </c>
      <c r="K442" s="521" t="s">
        <v>1292</v>
      </c>
      <c r="L442" s="522">
        <v>36900</v>
      </c>
      <c r="M442" s="518"/>
      <c r="N442" s="519"/>
      <c r="O442" s="1"/>
      <c r="P442" s="1"/>
      <c r="Q442" s="1"/>
      <c r="R442" s="1"/>
      <c r="S442" s="1"/>
      <c r="T442" s="1"/>
      <c r="U442" s="1"/>
      <c r="V442" s="1"/>
      <c r="W442" s="1"/>
      <c r="X442" s="1"/>
      <c r="Y442" s="1"/>
      <c r="Z442" s="1"/>
      <c r="AA442" s="1"/>
    </row>
    <row r="443" spans="1:27" ht="15.75" customHeight="1">
      <c r="A443" s="1"/>
      <c r="B443" s="556" t="s">
        <v>1983</v>
      </c>
      <c r="C443" s="557" t="s">
        <v>1959</v>
      </c>
      <c r="D443" s="565" t="s">
        <v>1984</v>
      </c>
      <c r="E443" s="573">
        <f t="shared" si="177"/>
        <v>2184.8739495798322</v>
      </c>
      <c r="F443" s="566" t="s">
        <v>1339</v>
      </c>
      <c r="G443" s="567"/>
      <c r="H443" s="560">
        <f t="shared" si="178"/>
        <v>2600</v>
      </c>
      <c r="I443" s="520"/>
      <c r="J443" s="517">
        <f t="shared" si="179"/>
        <v>2600</v>
      </c>
      <c r="K443" s="521" t="s">
        <v>1292</v>
      </c>
      <c r="L443" s="522">
        <v>2600</v>
      </c>
      <c r="M443" s="518"/>
      <c r="N443" s="519"/>
      <c r="O443" s="1"/>
      <c r="P443" s="1"/>
      <c r="Q443" s="1"/>
      <c r="R443" s="1"/>
      <c r="S443" s="1"/>
      <c r="T443" s="1"/>
      <c r="U443" s="1"/>
      <c r="V443" s="1"/>
      <c r="W443" s="1"/>
      <c r="X443" s="1"/>
      <c r="Y443" s="1"/>
      <c r="Z443" s="1"/>
      <c r="AA443" s="1"/>
    </row>
    <row r="444" spans="1:27" ht="15.75" customHeight="1">
      <c r="A444" s="1"/>
      <c r="B444" s="556" t="s">
        <v>1985</v>
      </c>
      <c r="C444" s="557" t="s">
        <v>1959</v>
      </c>
      <c r="D444" s="565" t="s">
        <v>1986</v>
      </c>
      <c r="E444" s="573">
        <f t="shared" si="177"/>
        <v>10840.336134453783</v>
      </c>
      <c r="F444" s="566" t="s">
        <v>303</v>
      </c>
      <c r="G444" s="567"/>
      <c r="H444" s="560">
        <f t="shared" si="178"/>
        <v>12900</v>
      </c>
      <c r="I444" s="520"/>
      <c r="J444" s="517">
        <f t="shared" si="179"/>
        <v>12900</v>
      </c>
      <c r="K444" s="521" t="s">
        <v>1292</v>
      </c>
      <c r="L444" s="522">
        <v>12900</v>
      </c>
      <c r="M444" s="518"/>
      <c r="N444" s="519"/>
      <c r="O444" s="1"/>
      <c r="P444" s="1"/>
      <c r="Q444" s="1"/>
      <c r="R444" s="1"/>
      <c r="S444" s="1"/>
      <c r="T444" s="1"/>
      <c r="U444" s="1"/>
      <c r="V444" s="1"/>
      <c r="W444" s="1"/>
      <c r="X444" s="1"/>
      <c r="Y444" s="1"/>
      <c r="Z444" s="1"/>
      <c r="AA444" s="1"/>
    </row>
    <row r="445" spans="1:27" ht="15.75" customHeight="1">
      <c r="A445" s="1"/>
      <c r="B445" s="556" t="s">
        <v>1987</v>
      </c>
      <c r="C445" s="557" t="s">
        <v>1959</v>
      </c>
      <c r="D445" s="565" t="s">
        <v>1988</v>
      </c>
      <c r="E445" s="573">
        <f t="shared" si="177"/>
        <v>5042.0168067226896</v>
      </c>
      <c r="F445" s="566" t="s">
        <v>303</v>
      </c>
      <c r="G445" s="567"/>
      <c r="H445" s="560">
        <f t="shared" si="178"/>
        <v>6000</v>
      </c>
      <c r="I445" s="520"/>
      <c r="J445" s="517">
        <f t="shared" si="179"/>
        <v>6000</v>
      </c>
      <c r="K445" s="521" t="s">
        <v>1292</v>
      </c>
      <c r="L445" s="522">
        <v>6000</v>
      </c>
      <c r="M445" s="518"/>
      <c r="N445" s="519"/>
      <c r="O445" s="1"/>
      <c r="P445" s="1"/>
      <c r="Q445" s="1"/>
      <c r="R445" s="1"/>
      <c r="S445" s="1"/>
      <c r="T445" s="1"/>
      <c r="U445" s="1"/>
      <c r="V445" s="1"/>
      <c r="W445" s="1"/>
      <c r="X445" s="1"/>
      <c r="Y445" s="1"/>
      <c r="Z445" s="1"/>
      <c r="AA445" s="1"/>
    </row>
    <row r="446" spans="1:27" ht="15.75" customHeight="1">
      <c r="A446" s="1"/>
      <c r="B446" s="569"/>
      <c r="C446" s="567"/>
      <c r="D446" s="565"/>
      <c r="E446" s="577"/>
      <c r="F446" s="566"/>
      <c r="G446" s="567"/>
      <c r="H446" s="568"/>
      <c r="I446" s="523"/>
      <c r="J446" s="524"/>
      <c r="K446" s="518"/>
      <c r="L446" s="579"/>
      <c r="M446" s="518"/>
      <c r="N446" s="549"/>
      <c r="O446" s="1"/>
      <c r="P446" s="1"/>
      <c r="Q446" s="1"/>
      <c r="R446" s="1"/>
      <c r="S446" s="1"/>
      <c r="T446" s="1"/>
      <c r="U446" s="1"/>
      <c r="V446" s="1"/>
      <c r="W446" s="1"/>
      <c r="X446" s="1"/>
      <c r="Y446" s="1"/>
      <c r="Z446" s="1"/>
      <c r="AA446" s="1"/>
    </row>
    <row r="447" spans="1:27" ht="15.75" customHeight="1">
      <c r="A447" s="1"/>
      <c r="B447" s="569"/>
      <c r="C447" s="567"/>
      <c r="D447" s="565"/>
      <c r="E447" s="577"/>
      <c r="F447" s="566"/>
      <c r="G447" s="567"/>
      <c r="H447" s="568"/>
      <c r="I447" s="523"/>
      <c r="J447" s="524"/>
      <c r="K447" s="518"/>
      <c r="L447" s="579"/>
      <c r="M447" s="518"/>
      <c r="N447" s="549"/>
      <c r="O447" s="1"/>
      <c r="P447" s="1"/>
      <c r="Q447" s="1"/>
      <c r="R447" s="1"/>
      <c r="S447" s="1"/>
      <c r="T447" s="1"/>
      <c r="U447" s="1"/>
      <c r="V447" s="1"/>
      <c r="W447" s="1"/>
      <c r="X447" s="1"/>
      <c r="Y447" s="1"/>
      <c r="Z447" s="1"/>
      <c r="AA447" s="1"/>
    </row>
    <row r="448" spans="1:27" ht="15.75" customHeight="1">
      <c r="A448" s="1"/>
      <c r="B448" s="569"/>
      <c r="C448" s="567"/>
      <c r="D448" s="565"/>
      <c r="E448" s="577"/>
      <c r="F448" s="566"/>
      <c r="G448" s="567"/>
      <c r="H448" s="568"/>
      <c r="I448" s="523"/>
      <c r="J448" s="524"/>
      <c r="K448" s="518"/>
      <c r="L448" s="579"/>
      <c r="M448" s="518"/>
      <c r="N448" s="549"/>
      <c r="O448" s="1"/>
      <c r="P448" s="1"/>
      <c r="Q448" s="1"/>
      <c r="R448" s="1"/>
      <c r="S448" s="1"/>
      <c r="T448" s="1"/>
      <c r="U448" s="1"/>
      <c r="V448" s="1"/>
      <c r="W448" s="1"/>
      <c r="X448" s="1"/>
      <c r="Y448" s="1"/>
      <c r="Z448" s="1"/>
      <c r="AA448" s="1"/>
    </row>
    <row r="449" spans="1:27" ht="15.75" customHeight="1">
      <c r="A449" s="1"/>
      <c r="B449" s="569"/>
      <c r="C449" s="567"/>
      <c r="D449" s="565"/>
      <c r="E449" s="577"/>
      <c r="F449" s="566"/>
      <c r="G449" s="567"/>
      <c r="H449" s="568"/>
      <c r="I449" s="523"/>
      <c r="J449" s="524"/>
      <c r="K449" s="518"/>
      <c r="L449" s="579"/>
      <c r="M449" s="518"/>
      <c r="N449" s="549"/>
      <c r="O449" s="1"/>
      <c r="P449" s="1"/>
      <c r="Q449" s="1"/>
      <c r="R449" s="1"/>
      <c r="S449" s="1"/>
      <c r="T449" s="1"/>
      <c r="U449" s="1"/>
      <c r="V449" s="1"/>
      <c r="W449" s="1"/>
      <c r="X449" s="1"/>
      <c r="Y449" s="1"/>
      <c r="Z449" s="1"/>
      <c r="AA449" s="1"/>
    </row>
    <row r="450" spans="1:27" ht="15.75" customHeight="1">
      <c r="A450" s="1"/>
      <c r="B450" s="569"/>
      <c r="C450" s="567"/>
      <c r="D450" s="565"/>
      <c r="E450" s="577"/>
      <c r="F450" s="566"/>
      <c r="G450" s="567"/>
      <c r="H450" s="568"/>
      <c r="I450" s="523"/>
      <c r="J450" s="524"/>
      <c r="K450" s="518"/>
      <c r="L450" s="579"/>
      <c r="M450" s="518"/>
      <c r="N450" s="549"/>
      <c r="O450" s="1"/>
      <c r="P450" s="1"/>
      <c r="Q450" s="1"/>
      <c r="R450" s="1"/>
      <c r="S450" s="1"/>
      <c r="T450" s="1"/>
      <c r="U450" s="1"/>
      <c r="V450" s="1"/>
      <c r="W450" s="1"/>
      <c r="X450" s="1"/>
      <c r="Y450" s="1"/>
      <c r="Z450" s="1"/>
      <c r="AA450" s="1"/>
    </row>
    <row r="451" spans="1:27" ht="15.75" customHeight="1">
      <c r="A451" s="1"/>
      <c r="B451" s="569"/>
      <c r="C451" s="567"/>
      <c r="D451" s="565"/>
      <c r="E451" s="577"/>
      <c r="F451" s="566"/>
      <c r="G451" s="567"/>
      <c r="H451" s="568"/>
      <c r="I451" s="523"/>
      <c r="J451" s="524"/>
      <c r="K451" s="518"/>
      <c r="L451" s="579"/>
      <c r="M451" s="518"/>
      <c r="N451" s="549"/>
      <c r="O451" s="1"/>
      <c r="P451" s="1"/>
      <c r="Q451" s="1"/>
      <c r="R451" s="1"/>
      <c r="S451" s="1"/>
      <c r="T451" s="1"/>
      <c r="U451" s="1"/>
      <c r="V451" s="1"/>
      <c r="W451" s="1"/>
      <c r="X451" s="1"/>
      <c r="Y451" s="1"/>
      <c r="Z451" s="1"/>
      <c r="AA451" s="1"/>
    </row>
    <row r="452" spans="1:27" ht="15.75" customHeight="1">
      <c r="A452" s="1"/>
      <c r="B452" s="569"/>
      <c r="C452" s="567"/>
      <c r="D452" s="565"/>
      <c r="E452" s="577"/>
      <c r="F452" s="566"/>
      <c r="G452" s="567"/>
      <c r="H452" s="568"/>
      <c r="I452" s="523"/>
      <c r="J452" s="524"/>
      <c r="K452" s="518"/>
      <c r="L452" s="579"/>
      <c r="M452" s="518"/>
      <c r="N452" s="549"/>
      <c r="O452" s="1"/>
      <c r="P452" s="1"/>
      <c r="Q452" s="1"/>
      <c r="R452" s="1"/>
      <c r="S452" s="1"/>
      <c r="T452" s="1"/>
      <c r="U452" s="1"/>
      <c r="V452" s="1"/>
      <c r="W452" s="1"/>
      <c r="X452" s="1"/>
      <c r="Y452" s="1"/>
      <c r="Z452" s="1"/>
      <c r="AA452" s="1"/>
    </row>
    <row r="453" spans="1:27" ht="15.75" customHeight="1">
      <c r="A453" s="1"/>
      <c r="B453" s="569"/>
      <c r="C453" s="567"/>
      <c r="D453" s="565"/>
      <c r="E453" s="577"/>
      <c r="F453" s="566"/>
      <c r="G453" s="567"/>
      <c r="H453" s="568"/>
      <c r="I453" s="523"/>
      <c r="J453" s="524"/>
      <c r="K453" s="518"/>
      <c r="L453" s="579"/>
      <c r="M453" s="518"/>
      <c r="N453" s="549"/>
      <c r="O453" s="1"/>
      <c r="P453" s="1"/>
      <c r="Q453" s="1"/>
      <c r="R453" s="1"/>
      <c r="S453" s="1"/>
      <c r="T453" s="1"/>
      <c r="U453" s="1"/>
      <c r="V453" s="1"/>
      <c r="W453" s="1"/>
      <c r="X453" s="1"/>
      <c r="Y453" s="1"/>
      <c r="Z453" s="1"/>
      <c r="AA453" s="1"/>
    </row>
    <row r="454" spans="1:27" ht="15.75" customHeight="1">
      <c r="A454" s="1"/>
      <c r="B454" s="569"/>
      <c r="C454" s="567"/>
      <c r="D454" s="565"/>
      <c r="E454" s="577"/>
      <c r="F454" s="566"/>
      <c r="G454" s="567"/>
      <c r="H454" s="568"/>
      <c r="I454" s="523"/>
      <c r="J454" s="524"/>
      <c r="K454" s="518"/>
      <c r="L454" s="579"/>
      <c r="M454" s="518"/>
      <c r="N454" s="549"/>
      <c r="O454" s="1"/>
      <c r="P454" s="1"/>
      <c r="Q454" s="1"/>
      <c r="R454" s="1"/>
      <c r="S454" s="1"/>
      <c r="T454" s="1"/>
      <c r="U454" s="1"/>
      <c r="V454" s="1"/>
      <c r="W454" s="1"/>
      <c r="X454" s="1"/>
      <c r="Y454" s="1"/>
      <c r="Z454" s="1"/>
      <c r="AA454" s="1"/>
    </row>
    <row r="455" spans="1:27" ht="15.75" customHeight="1">
      <c r="A455" s="1"/>
      <c r="B455" s="501" t="s">
        <v>1989</v>
      </c>
      <c r="C455" s="502"/>
      <c r="D455" s="503"/>
      <c r="E455" s="504"/>
      <c r="F455" s="505"/>
      <c r="G455" s="505"/>
      <c r="H455" s="506"/>
      <c r="I455" s="552"/>
      <c r="J455" s="553"/>
      <c r="K455" s="554"/>
      <c r="L455" s="554"/>
      <c r="M455" s="554"/>
      <c r="N455" s="554"/>
      <c r="O455" s="1"/>
      <c r="P455" s="1"/>
      <c r="Q455" s="1"/>
      <c r="R455" s="1"/>
      <c r="S455" s="1"/>
      <c r="T455" s="1"/>
      <c r="U455" s="1"/>
      <c r="V455" s="1"/>
      <c r="W455" s="1"/>
      <c r="X455" s="1"/>
      <c r="Y455" s="1"/>
      <c r="Z455" s="1"/>
      <c r="AA455" s="1"/>
    </row>
    <row r="456" spans="1:27" ht="15.75" customHeight="1">
      <c r="A456" s="1"/>
      <c r="B456" s="556" t="s">
        <v>1990</v>
      </c>
      <c r="C456" s="557" t="s">
        <v>1991</v>
      </c>
      <c r="D456" s="174" t="s">
        <v>1992</v>
      </c>
      <c r="E456" s="558">
        <f t="shared" ref="E456:E482" si="180">+H456/1.19</f>
        <v>3781.5126050420172</v>
      </c>
      <c r="F456" s="559" t="s">
        <v>1339</v>
      </c>
      <c r="G456" s="557"/>
      <c r="H456" s="560">
        <f t="shared" ref="H456:H482" si="181">ROUNDUP($J456*(1+$C$10),0)</f>
        <v>4500</v>
      </c>
      <c r="I456" s="520"/>
      <c r="J456" s="517">
        <f t="shared" ref="J456:J482" si="182">IFERROR(AVERAGEIF($K$13:$P$13,"PRECIO IVA INC.",K456:P456),)</f>
        <v>4500</v>
      </c>
      <c r="K456" s="521" t="s">
        <v>1844</v>
      </c>
      <c r="L456" s="522">
        <v>4500</v>
      </c>
      <c r="M456" s="518"/>
      <c r="N456" s="519"/>
      <c r="O456" s="1"/>
      <c r="P456" s="1"/>
      <c r="Q456" s="1"/>
      <c r="R456" s="1"/>
      <c r="S456" s="1"/>
      <c r="T456" s="1"/>
      <c r="U456" s="1"/>
      <c r="V456" s="1"/>
      <c r="W456" s="1"/>
      <c r="X456" s="1"/>
      <c r="Y456" s="1"/>
      <c r="Z456" s="1"/>
      <c r="AA456" s="1"/>
    </row>
    <row r="457" spans="1:27" ht="15.75" customHeight="1">
      <c r="A457" s="1"/>
      <c r="B457" s="556" t="s">
        <v>1993</v>
      </c>
      <c r="C457" s="557" t="s">
        <v>1991</v>
      </c>
      <c r="D457" s="174" t="s">
        <v>1994</v>
      </c>
      <c r="E457" s="558">
        <f t="shared" si="180"/>
        <v>563361.3445378152</v>
      </c>
      <c r="F457" s="559" t="s">
        <v>1339</v>
      </c>
      <c r="G457" s="557"/>
      <c r="H457" s="560">
        <f t="shared" si="181"/>
        <v>670400</v>
      </c>
      <c r="I457" s="520"/>
      <c r="J457" s="517">
        <f t="shared" si="182"/>
        <v>670400</v>
      </c>
      <c r="K457" s="521" t="s">
        <v>1292</v>
      </c>
      <c r="L457" s="522">
        <v>538900</v>
      </c>
      <c r="M457" s="521" t="s">
        <v>1844</v>
      </c>
      <c r="N457" s="522">
        <v>801900</v>
      </c>
      <c r="O457" s="1"/>
      <c r="P457" s="1"/>
      <c r="Q457" s="1"/>
      <c r="R457" s="1"/>
      <c r="S457" s="1"/>
      <c r="T457" s="1"/>
      <c r="U457" s="1"/>
      <c r="V457" s="1"/>
      <c r="W457" s="1"/>
      <c r="X457" s="1"/>
      <c r="Y457" s="1"/>
      <c r="Z457" s="1"/>
      <c r="AA457" s="1"/>
    </row>
    <row r="458" spans="1:27" ht="15.75" customHeight="1">
      <c r="A458" s="1"/>
      <c r="B458" s="556" t="s">
        <v>1995</v>
      </c>
      <c r="C458" s="557" t="s">
        <v>1991</v>
      </c>
      <c r="D458" s="174" t="s">
        <v>1996</v>
      </c>
      <c r="E458" s="558">
        <f t="shared" si="180"/>
        <v>237731.09243697481</v>
      </c>
      <c r="F458" s="559" t="s">
        <v>1339</v>
      </c>
      <c r="G458" s="557"/>
      <c r="H458" s="560">
        <f t="shared" si="181"/>
        <v>282900</v>
      </c>
      <c r="I458" s="520"/>
      <c r="J458" s="517">
        <f t="shared" si="182"/>
        <v>282899.99709999998</v>
      </c>
      <c r="K458" s="521" t="s">
        <v>1844</v>
      </c>
      <c r="L458" s="522">
        <f>237731.09*1.19</f>
        <v>282899.99709999998</v>
      </c>
      <c r="M458" s="518"/>
      <c r="N458" s="519"/>
      <c r="O458" s="1"/>
      <c r="P458" s="1"/>
      <c r="Q458" s="1"/>
      <c r="R458" s="1"/>
      <c r="S458" s="1"/>
      <c r="T458" s="1"/>
      <c r="U458" s="1"/>
      <c r="V458" s="1"/>
      <c r="W458" s="1"/>
      <c r="X458" s="1"/>
      <c r="Y458" s="1"/>
      <c r="Z458" s="1"/>
      <c r="AA458" s="1"/>
    </row>
    <row r="459" spans="1:27" ht="15.75" customHeight="1">
      <c r="A459" s="1"/>
      <c r="B459" s="556" t="s">
        <v>1997</v>
      </c>
      <c r="C459" s="557" t="s">
        <v>1991</v>
      </c>
      <c r="D459" s="174" t="s">
        <v>1998</v>
      </c>
      <c r="E459" s="558">
        <f t="shared" si="180"/>
        <v>152857.14285714287</v>
      </c>
      <c r="F459" s="559" t="s">
        <v>1339</v>
      </c>
      <c r="G459" s="557"/>
      <c r="H459" s="560">
        <f t="shared" si="181"/>
        <v>181900</v>
      </c>
      <c r="I459" s="520"/>
      <c r="J459" s="517">
        <f t="shared" si="182"/>
        <v>181900</v>
      </c>
      <c r="K459" s="521" t="s">
        <v>1844</v>
      </c>
      <c r="L459" s="522">
        <v>181900</v>
      </c>
      <c r="M459" s="518"/>
      <c r="N459" s="519"/>
      <c r="O459" s="1"/>
      <c r="P459" s="1"/>
      <c r="Q459" s="1"/>
      <c r="R459" s="1"/>
      <c r="S459" s="1"/>
      <c r="T459" s="1"/>
      <c r="U459" s="1"/>
      <c r="V459" s="1"/>
      <c r="W459" s="1"/>
      <c r="X459" s="1"/>
      <c r="Y459" s="1"/>
      <c r="Z459" s="1"/>
      <c r="AA459" s="1"/>
    </row>
    <row r="460" spans="1:27" ht="15.75" customHeight="1">
      <c r="A460" s="1"/>
      <c r="B460" s="556" t="s">
        <v>1999</v>
      </c>
      <c r="C460" s="557" t="s">
        <v>1991</v>
      </c>
      <c r="D460" s="174" t="s">
        <v>2628</v>
      </c>
      <c r="E460" s="558">
        <f t="shared" si="180"/>
        <v>243.69747899159665</v>
      </c>
      <c r="F460" s="559" t="s">
        <v>1339</v>
      </c>
      <c r="G460" s="557"/>
      <c r="H460" s="560">
        <f t="shared" si="181"/>
        <v>290</v>
      </c>
      <c r="I460" s="520"/>
      <c r="J460" s="517">
        <f t="shared" si="182"/>
        <v>290</v>
      </c>
      <c r="K460" s="521" t="s">
        <v>1292</v>
      </c>
      <c r="L460" s="522">
        <v>290</v>
      </c>
      <c r="M460" s="518"/>
      <c r="N460" s="519"/>
      <c r="O460" s="1"/>
      <c r="P460" s="1"/>
      <c r="Q460" s="1"/>
      <c r="R460" s="1"/>
      <c r="S460" s="1"/>
      <c r="T460" s="1"/>
      <c r="U460" s="1"/>
      <c r="V460" s="1"/>
      <c r="W460" s="1"/>
      <c r="X460" s="1"/>
      <c r="Y460" s="1"/>
      <c r="Z460" s="1"/>
      <c r="AA460" s="1"/>
    </row>
    <row r="461" spans="1:27" ht="15.75" customHeight="1">
      <c r="A461" s="1"/>
      <c r="B461" s="556" t="s">
        <v>2000</v>
      </c>
      <c r="C461" s="557" t="s">
        <v>1991</v>
      </c>
      <c r="D461" s="174" t="s">
        <v>2001</v>
      </c>
      <c r="E461" s="558">
        <f t="shared" si="180"/>
        <v>255378.15126050421</v>
      </c>
      <c r="F461" s="559" t="s">
        <v>1339</v>
      </c>
      <c r="G461" s="557"/>
      <c r="H461" s="560">
        <f t="shared" si="181"/>
        <v>303900</v>
      </c>
      <c r="I461" s="520"/>
      <c r="J461" s="517">
        <f t="shared" si="182"/>
        <v>303899.99849999999</v>
      </c>
      <c r="K461" s="521" t="s">
        <v>1844</v>
      </c>
      <c r="L461" s="522">
        <f>255378.15*1.19</f>
        <v>303899.99849999999</v>
      </c>
      <c r="M461" s="518"/>
      <c r="N461" s="519"/>
      <c r="O461" s="1"/>
      <c r="P461" s="1"/>
      <c r="Q461" s="1"/>
      <c r="R461" s="1"/>
      <c r="S461" s="1"/>
      <c r="T461" s="1"/>
      <c r="U461" s="1"/>
      <c r="V461" s="1"/>
      <c r="W461" s="1"/>
      <c r="X461" s="1"/>
      <c r="Y461" s="1"/>
      <c r="Z461" s="1"/>
      <c r="AA461" s="1"/>
    </row>
    <row r="462" spans="1:27" ht="15.75" customHeight="1">
      <c r="A462" s="1"/>
      <c r="B462" s="556" t="s">
        <v>2002</v>
      </c>
      <c r="C462" s="557" t="s">
        <v>1991</v>
      </c>
      <c r="D462" s="174" t="s">
        <v>2003</v>
      </c>
      <c r="E462" s="558">
        <f t="shared" si="180"/>
        <v>462100.84033613448</v>
      </c>
      <c r="F462" s="559" t="s">
        <v>1339</v>
      </c>
      <c r="G462" s="557"/>
      <c r="H462" s="560">
        <f t="shared" si="181"/>
        <v>549900</v>
      </c>
      <c r="I462" s="520"/>
      <c r="J462" s="517">
        <f t="shared" si="182"/>
        <v>549899.99959999998</v>
      </c>
      <c r="K462" s="521" t="s">
        <v>1844</v>
      </c>
      <c r="L462" s="522">
        <f>462100.84*1.19</f>
        <v>549899.99959999998</v>
      </c>
      <c r="M462" s="518"/>
      <c r="N462" s="519"/>
      <c r="O462" s="1"/>
      <c r="P462" s="1"/>
      <c r="Q462" s="1"/>
      <c r="R462" s="1"/>
      <c r="S462" s="1"/>
      <c r="T462" s="1"/>
      <c r="U462" s="1"/>
      <c r="V462" s="1"/>
      <c r="W462" s="1"/>
      <c r="X462" s="1"/>
      <c r="Y462" s="1"/>
      <c r="Z462" s="1"/>
      <c r="AA462" s="1"/>
    </row>
    <row r="463" spans="1:27" ht="15.75" customHeight="1">
      <c r="A463" s="1"/>
      <c r="B463" s="556" t="s">
        <v>2004</v>
      </c>
      <c r="C463" s="557" t="s">
        <v>1991</v>
      </c>
      <c r="D463" s="174" t="s">
        <v>2005</v>
      </c>
      <c r="E463" s="558">
        <f t="shared" si="180"/>
        <v>223446.21848739497</v>
      </c>
      <c r="F463" s="559" t="s">
        <v>1339</v>
      </c>
      <c r="G463" s="557"/>
      <c r="H463" s="560">
        <f t="shared" si="181"/>
        <v>265901</v>
      </c>
      <c r="I463" s="520"/>
      <c r="J463" s="517">
        <f t="shared" si="182"/>
        <v>265900.00219999999</v>
      </c>
      <c r="K463" s="521" t="s">
        <v>1844</v>
      </c>
      <c r="L463" s="522">
        <f>223445.38*1.19</f>
        <v>265900.00219999999</v>
      </c>
      <c r="M463" s="518"/>
      <c r="N463" s="519"/>
      <c r="O463" s="1"/>
      <c r="P463" s="1"/>
      <c r="Q463" s="1"/>
      <c r="R463" s="1"/>
      <c r="S463" s="1"/>
      <c r="T463" s="1"/>
      <c r="U463" s="1"/>
      <c r="V463" s="1"/>
      <c r="W463" s="1"/>
      <c r="X463" s="1"/>
      <c r="Y463" s="1"/>
      <c r="Z463" s="1"/>
      <c r="AA463" s="1"/>
    </row>
    <row r="464" spans="1:27" ht="15.75" customHeight="1">
      <c r="A464" s="1"/>
      <c r="B464" s="556" t="s">
        <v>2006</v>
      </c>
      <c r="C464" s="557" t="s">
        <v>1991</v>
      </c>
      <c r="D464" s="174" t="s">
        <v>2007</v>
      </c>
      <c r="E464" s="558">
        <f t="shared" si="180"/>
        <v>36470.588235294119</v>
      </c>
      <c r="F464" s="559" t="s">
        <v>1339</v>
      </c>
      <c r="G464" s="557"/>
      <c r="H464" s="560">
        <f t="shared" si="181"/>
        <v>43400</v>
      </c>
      <c r="I464" s="520"/>
      <c r="J464" s="517">
        <f t="shared" si="182"/>
        <v>43400</v>
      </c>
      <c r="K464" s="521" t="s">
        <v>1844</v>
      </c>
      <c r="L464" s="522">
        <v>43400</v>
      </c>
      <c r="M464" s="518"/>
      <c r="N464" s="519"/>
      <c r="O464" s="1"/>
      <c r="P464" s="1"/>
      <c r="Q464" s="1"/>
      <c r="R464" s="1"/>
      <c r="S464" s="1"/>
      <c r="T464" s="1"/>
      <c r="U464" s="1"/>
      <c r="V464" s="1"/>
      <c r="W464" s="1"/>
      <c r="X464" s="1"/>
      <c r="Y464" s="1"/>
      <c r="Z464" s="1"/>
      <c r="AA464" s="1"/>
    </row>
    <row r="465" spans="1:27" ht="15.75" customHeight="1">
      <c r="A465" s="1"/>
      <c r="B465" s="556" t="s">
        <v>2008</v>
      </c>
      <c r="C465" s="557" t="s">
        <v>1991</v>
      </c>
      <c r="D465" s="174" t="s">
        <v>2009</v>
      </c>
      <c r="E465" s="558">
        <f t="shared" si="180"/>
        <v>390672.26890756306</v>
      </c>
      <c r="F465" s="559" t="s">
        <v>1339</v>
      </c>
      <c r="G465" s="557"/>
      <c r="H465" s="560">
        <f t="shared" si="181"/>
        <v>464900</v>
      </c>
      <c r="I465" s="520"/>
      <c r="J465" s="517">
        <f t="shared" si="182"/>
        <v>464900</v>
      </c>
      <c r="K465" s="521" t="s">
        <v>1844</v>
      </c>
      <c r="L465" s="522">
        <v>464900</v>
      </c>
      <c r="M465" s="518"/>
      <c r="N465" s="519"/>
      <c r="O465" s="1"/>
      <c r="P465" s="1"/>
      <c r="Q465" s="1"/>
      <c r="R465" s="1"/>
      <c r="S465" s="1"/>
      <c r="T465" s="1"/>
      <c r="U465" s="1"/>
      <c r="V465" s="1"/>
      <c r="W465" s="1"/>
      <c r="X465" s="1"/>
      <c r="Y465" s="1"/>
      <c r="Z465" s="1"/>
      <c r="AA465" s="1"/>
    </row>
    <row r="466" spans="1:27" ht="15.75" customHeight="1">
      <c r="A466" s="1"/>
      <c r="B466" s="556" t="s">
        <v>2010</v>
      </c>
      <c r="C466" s="557" t="s">
        <v>1991</v>
      </c>
      <c r="D466" s="174" t="s">
        <v>2011</v>
      </c>
      <c r="E466" s="558">
        <f t="shared" si="180"/>
        <v>15924.36974789916</v>
      </c>
      <c r="F466" s="559" t="s">
        <v>1339</v>
      </c>
      <c r="G466" s="557"/>
      <c r="H466" s="560">
        <f t="shared" si="181"/>
        <v>18950</v>
      </c>
      <c r="I466" s="520"/>
      <c r="J466" s="517">
        <f t="shared" si="182"/>
        <v>18950</v>
      </c>
      <c r="K466" s="521" t="s">
        <v>1844</v>
      </c>
      <c r="L466" s="522">
        <v>18950</v>
      </c>
      <c r="M466" s="518"/>
      <c r="N466" s="519"/>
      <c r="O466" s="1"/>
      <c r="P466" s="1"/>
      <c r="Q466" s="1"/>
      <c r="R466" s="1"/>
      <c r="S466" s="1"/>
      <c r="T466" s="1"/>
      <c r="U466" s="1"/>
      <c r="V466" s="1"/>
      <c r="W466" s="1"/>
      <c r="X466" s="1"/>
      <c r="Y466" s="1"/>
      <c r="Z466" s="1"/>
      <c r="AA466" s="1"/>
    </row>
    <row r="467" spans="1:27" ht="15.75" customHeight="1">
      <c r="A467" s="1"/>
      <c r="B467" s="556" t="s">
        <v>2012</v>
      </c>
      <c r="C467" s="557" t="s">
        <v>1991</v>
      </c>
      <c r="D467" s="174" t="s">
        <v>2013</v>
      </c>
      <c r="E467" s="558">
        <f t="shared" si="180"/>
        <v>568824.36974789924</v>
      </c>
      <c r="F467" s="559" t="s">
        <v>1339</v>
      </c>
      <c r="G467" s="557"/>
      <c r="H467" s="560">
        <f t="shared" si="181"/>
        <v>676901</v>
      </c>
      <c r="I467" s="520"/>
      <c r="J467" s="517">
        <f t="shared" si="182"/>
        <v>676900.00069999998</v>
      </c>
      <c r="K467" s="521" t="s">
        <v>1844</v>
      </c>
      <c r="L467" s="522">
        <f>568823.53*1.19</f>
        <v>676900.00069999998</v>
      </c>
      <c r="M467" s="518"/>
      <c r="N467" s="519"/>
      <c r="O467" s="1"/>
      <c r="P467" s="1"/>
      <c r="Q467" s="1"/>
      <c r="R467" s="1"/>
      <c r="S467" s="1"/>
      <c r="T467" s="1"/>
      <c r="U467" s="1"/>
      <c r="V467" s="1"/>
      <c r="W467" s="1"/>
      <c r="X467" s="1"/>
      <c r="Y467" s="1"/>
      <c r="Z467" s="1"/>
      <c r="AA467" s="1"/>
    </row>
    <row r="468" spans="1:27" ht="15.75" customHeight="1">
      <c r="A468" s="1"/>
      <c r="B468" s="556" t="s">
        <v>2014</v>
      </c>
      <c r="C468" s="557" t="s">
        <v>1991</v>
      </c>
      <c r="D468" s="174" t="s">
        <v>2015</v>
      </c>
      <c r="E468" s="558">
        <f t="shared" si="180"/>
        <v>371344.53781512607</v>
      </c>
      <c r="F468" s="559" t="s">
        <v>1339</v>
      </c>
      <c r="G468" s="557"/>
      <c r="H468" s="560">
        <f t="shared" si="181"/>
        <v>441900</v>
      </c>
      <c r="I468" s="520"/>
      <c r="J468" s="517">
        <f t="shared" si="182"/>
        <v>441900</v>
      </c>
      <c r="K468" s="521" t="s">
        <v>1844</v>
      </c>
      <c r="L468" s="522">
        <v>441900</v>
      </c>
      <c r="M468" s="518"/>
      <c r="N468" s="519"/>
      <c r="O468" s="1"/>
      <c r="P468" s="1"/>
      <c r="Q468" s="1"/>
      <c r="R468" s="1"/>
      <c r="S468" s="1"/>
      <c r="T468" s="1"/>
      <c r="U468" s="1"/>
      <c r="V468" s="1"/>
      <c r="W468" s="1"/>
      <c r="X468" s="1"/>
      <c r="Y468" s="1"/>
      <c r="Z468" s="1"/>
      <c r="AA468" s="1"/>
    </row>
    <row r="469" spans="1:27" ht="15.75" customHeight="1">
      <c r="A469" s="1"/>
      <c r="B469" s="556" t="s">
        <v>2016</v>
      </c>
      <c r="C469" s="557" t="s">
        <v>1991</v>
      </c>
      <c r="D469" s="174" t="s">
        <v>2017</v>
      </c>
      <c r="E469" s="558">
        <f t="shared" si="180"/>
        <v>12184.873949579833</v>
      </c>
      <c r="F469" s="559" t="s">
        <v>1339</v>
      </c>
      <c r="G469" s="557"/>
      <c r="H469" s="560">
        <f t="shared" si="181"/>
        <v>14500</v>
      </c>
      <c r="I469" s="520"/>
      <c r="J469" s="517">
        <f t="shared" si="182"/>
        <v>14499.9953</v>
      </c>
      <c r="K469" s="521" t="s">
        <v>1844</v>
      </c>
      <c r="L469" s="522">
        <f>12184.87*1.19</f>
        <v>14499.9953</v>
      </c>
      <c r="M469" s="518"/>
      <c r="N469" s="519"/>
      <c r="O469" s="1"/>
      <c r="P469" s="1"/>
      <c r="Q469" s="1"/>
      <c r="R469" s="1"/>
      <c r="S469" s="1"/>
      <c r="T469" s="1"/>
      <c r="U469" s="1"/>
      <c r="V469" s="1"/>
      <c r="W469" s="1"/>
      <c r="X469" s="1"/>
      <c r="Y469" s="1"/>
      <c r="Z469" s="1"/>
      <c r="AA469" s="1"/>
    </row>
    <row r="470" spans="1:27" ht="15.75" customHeight="1">
      <c r="A470" s="1"/>
      <c r="B470" s="556" t="s">
        <v>2018</v>
      </c>
      <c r="C470" s="557" t="s">
        <v>1991</v>
      </c>
      <c r="D470" s="174" t="s">
        <v>2019</v>
      </c>
      <c r="E470" s="558">
        <f t="shared" si="180"/>
        <v>20924.36974789916</v>
      </c>
      <c r="F470" s="559" t="s">
        <v>1339</v>
      </c>
      <c r="G470" s="557"/>
      <c r="H470" s="560">
        <f t="shared" si="181"/>
        <v>24900</v>
      </c>
      <c r="I470" s="520"/>
      <c r="J470" s="517">
        <f t="shared" si="182"/>
        <v>24900</v>
      </c>
      <c r="K470" s="521" t="s">
        <v>1292</v>
      </c>
      <c r="L470" s="522">
        <v>24900</v>
      </c>
      <c r="M470" s="518"/>
      <c r="N470" s="519"/>
      <c r="O470" s="1"/>
      <c r="P470" s="1"/>
      <c r="Q470" s="1"/>
      <c r="R470" s="1"/>
      <c r="S470" s="1"/>
      <c r="T470" s="1"/>
      <c r="U470" s="1"/>
      <c r="V470" s="1"/>
      <c r="W470" s="1"/>
      <c r="X470" s="1"/>
      <c r="Y470" s="1"/>
      <c r="Z470" s="1"/>
      <c r="AA470" s="1"/>
    </row>
    <row r="471" spans="1:27" ht="15.75" customHeight="1">
      <c r="A471" s="1"/>
      <c r="B471" s="556" t="s">
        <v>2409</v>
      </c>
      <c r="C471" s="557" t="s">
        <v>1991</v>
      </c>
      <c r="D471" s="174" t="s">
        <v>2622</v>
      </c>
      <c r="E471" s="558">
        <f t="shared" ref="E471" si="183">+H471/1.19</f>
        <v>32374.789915966387</v>
      </c>
      <c r="F471" s="559" t="s">
        <v>1339</v>
      </c>
      <c r="G471" s="557"/>
      <c r="H471" s="560">
        <f t="shared" si="181"/>
        <v>38526</v>
      </c>
      <c r="I471" s="520"/>
      <c r="J471" s="517">
        <f t="shared" ref="J471" si="184">IFERROR(AVERAGEIF($K$13:$P$13,"PRECIO IVA INC.",K471:P471),)</f>
        <v>38526</v>
      </c>
      <c r="K471" s="521" t="s">
        <v>1292</v>
      </c>
      <c r="L471" s="522">
        <v>38526</v>
      </c>
      <c r="M471" s="518"/>
      <c r="N471" s="519"/>
      <c r="O471" s="1"/>
      <c r="P471" s="1"/>
      <c r="Q471" s="1"/>
      <c r="R471" s="1"/>
      <c r="S471" s="1"/>
      <c r="T471" s="1"/>
      <c r="U471" s="1"/>
      <c r="V471" s="1"/>
      <c r="W471" s="1"/>
      <c r="X471" s="1"/>
      <c r="Y471" s="1"/>
      <c r="Z471" s="1"/>
      <c r="AA471" s="1"/>
    </row>
    <row r="472" spans="1:27" ht="15.75" customHeight="1">
      <c r="A472" s="1"/>
      <c r="B472" s="556" t="s">
        <v>2417</v>
      </c>
      <c r="C472" s="557" t="s">
        <v>1991</v>
      </c>
      <c r="D472" s="174" t="s">
        <v>2418</v>
      </c>
      <c r="E472" s="558">
        <f t="shared" ref="E472" si="185">+H472/1.19</f>
        <v>86470.588235294126</v>
      </c>
      <c r="F472" s="559" t="s">
        <v>1339</v>
      </c>
      <c r="G472" s="557"/>
      <c r="H472" s="560">
        <f t="shared" si="181"/>
        <v>102900</v>
      </c>
      <c r="I472" s="520"/>
      <c r="J472" s="517">
        <f t="shared" ref="J472" si="186">IFERROR(AVERAGEIF($K$13:$P$13,"PRECIO IVA INC.",K472:P472),)</f>
        <v>102900</v>
      </c>
      <c r="K472" s="521" t="s">
        <v>1292</v>
      </c>
      <c r="L472" s="522">
        <v>102900</v>
      </c>
      <c r="M472" s="518"/>
      <c r="N472" s="519"/>
      <c r="O472" s="1"/>
      <c r="P472" s="1"/>
      <c r="Q472" s="1"/>
      <c r="R472" s="1"/>
      <c r="S472" s="1"/>
      <c r="T472" s="1"/>
      <c r="U472" s="1"/>
      <c r="V472" s="1"/>
      <c r="W472" s="1"/>
      <c r="X472" s="1"/>
      <c r="Y472" s="1"/>
      <c r="Z472" s="1"/>
      <c r="AA472" s="1"/>
    </row>
    <row r="473" spans="1:27" ht="15.75" customHeight="1">
      <c r="A473" s="1"/>
      <c r="B473" s="556" t="s">
        <v>2020</v>
      </c>
      <c r="C473" s="557" t="s">
        <v>1991</v>
      </c>
      <c r="D473" s="174" t="s">
        <v>2421</v>
      </c>
      <c r="E473" s="558">
        <f t="shared" ref="E473" si="187">+H473/1.19</f>
        <v>130252.10084033613</v>
      </c>
      <c r="F473" s="559" t="s">
        <v>1339</v>
      </c>
      <c r="G473" s="557"/>
      <c r="H473" s="560">
        <f t="shared" si="181"/>
        <v>155000</v>
      </c>
      <c r="I473" s="520"/>
      <c r="J473" s="517">
        <f t="shared" ref="J473" si="188">IFERROR(AVERAGEIF($K$13:$P$13,"PRECIO IVA INC.",K473:P473),)</f>
        <v>155000</v>
      </c>
      <c r="K473" s="521" t="s">
        <v>1292</v>
      </c>
      <c r="L473" s="522">
        <v>155000</v>
      </c>
      <c r="M473" s="518"/>
      <c r="N473" s="519"/>
      <c r="O473" s="1"/>
      <c r="P473" s="1"/>
      <c r="Q473" s="1"/>
      <c r="R473" s="1"/>
      <c r="S473" s="1"/>
      <c r="T473" s="1"/>
      <c r="U473" s="1"/>
      <c r="V473" s="1"/>
      <c r="W473" s="1"/>
      <c r="X473" s="1"/>
      <c r="Y473" s="1"/>
      <c r="Z473" s="1"/>
      <c r="AA473" s="1"/>
    </row>
    <row r="474" spans="1:27" ht="15.75" customHeight="1">
      <c r="A474" s="1"/>
      <c r="B474" s="556" t="s">
        <v>2021</v>
      </c>
      <c r="C474" s="557" t="s">
        <v>1991</v>
      </c>
      <c r="D474" s="174" t="s">
        <v>2422</v>
      </c>
      <c r="E474" s="558">
        <f t="shared" ref="E474" si="189">+H474/1.19</f>
        <v>30252.100840336137</v>
      </c>
      <c r="F474" s="559" t="s">
        <v>1339</v>
      </c>
      <c r="G474" s="557"/>
      <c r="H474" s="560">
        <f t="shared" si="181"/>
        <v>36000</v>
      </c>
      <c r="I474" s="520"/>
      <c r="J474" s="517">
        <f t="shared" ref="J474" si="190">IFERROR(AVERAGEIF($K$13:$P$13,"PRECIO IVA INC.",K474:P474),)</f>
        <v>36000</v>
      </c>
      <c r="K474" s="521" t="s">
        <v>1292</v>
      </c>
      <c r="L474" s="522">
        <v>36000</v>
      </c>
      <c r="M474" s="518"/>
      <c r="N474" s="519"/>
      <c r="O474" s="1"/>
      <c r="P474" s="1"/>
      <c r="Q474" s="1"/>
      <c r="R474" s="1"/>
      <c r="S474" s="1"/>
      <c r="T474" s="1"/>
      <c r="U474" s="1"/>
      <c r="V474" s="1"/>
      <c r="W474" s="1"/>
      <c r="X474" s="1"/>
      <c r="Y474" s="1"/>
      <c r="Z474" s="1"/>
      <c r="AA474" s="1"/>
    </row>
    <row r="475" spans="1:27" ht="15.75" customHeight="1">
      <c r="A475" s="1"/>
      <c r="B475" s="556"/>
      <c r="C475" s="557"/>
      <c r="D475" s="174"/>
      <c r="E475" s="558">
        <f t="shared" si="180"/>
        <v>0</v>
      </c>
      <c r="F475" s="559"/>
      <c r="G475" s="557"/>
      <c r="H475" s="560">
        <f t="shared" si="181"/>
        <v>0</v>
      </c>
      <c r="I475" s="523"/>
      <c r="J475" s="524">
        <f t="shared" si="182"/>
        <v>0</v>
      </c>
      <c r="K475" s="518"/>
      <c r="L475" s="574"/>
      <c r="M475" s="518"/>
      <c r="N475" s="519"/>
      <c r="O475" s="1"/>
      <c r="P475" s="1"/>
      <c r="Q475" s="1"/>
      <c r="R475" s="1"/>
      <c r="S475" s="1"/>
      <c r="T475" s="1"/>
      <c r="U475" s="1"/>
      <c r="V475" s="1"/>
      <c r="W475" s="1"/>
      <c r="X475" s="1"/>
      <c r="Y475" s="1"/>
      <c r="Z475" s="1"/>
      <c r="AA475" s="1"/>
    </row>
    <row r="476" spans="1:27" ht="15.75" customHeight="1">
      <c r="A476" s="1"/>
      <c r="B476" s="556"/>
      <c r="C476" s="557"/>
      <c r="D476" s="174"/>
      <c r="E476" s="558">
        <f t="shared" si="180"/>
        <v>0</v>
      </c>
      <c r="F476" s="559"/>
      <c r="G476" s="557"/>
      <c r="H476" s="560">
        <f t="shared" si="181"/>
        <v>0</v>
      </c>
      <c r="I476" s="523"/>
      <c r="J476" s="524">
        <f t="shared" si="182"/>
        <v>0</v>
      </c>
      <c r="K476" s="518"/>
      <c r="L476" s="574"/>
      <c r="M476" s="518"/>
      <c r="N476" s="519"/>
      <c r="O476" s="1"/>
      <c r="P476" s="1"/>
      <c r="Q476" s="1"/>
      <c r="R476" s="1"/>
      <c r="S476" s="1"/>
      <c r="T476" s="1"/>
      <c r="U476" s="1"/>
      <c r="V476" s="1"/>
      <c r="W476" s="1"/>
      <c r="X476" s="1"/>
      <c r="Y476" s="1"/>
      <c r="Z476" s="1"/>
      <c r="AA476" s="1"/>
    </row>
    <row r="477" spans="1:27" ht="15.75" customHeight="1">
      <c r="A477" s="1"/>
      <c r="B477" s="556"/>
      <c r="C477" s="557"/>
      <c r="D477" s="174"/>
      <c r="E477" s="558">
        <f t="shared" si="180"/>
        <v>0</v>
      </c>
      <c r="F477" s="559"/>
      <c r="G477" s="557"/>
      <c r="H477" s="560">
        <f t="shared" si="181"/>
        <v>0</v>
      </c>
      <c r="I477" s="523"/>
      <c r="J477" s="524">
        <f t="shared" si="182"/>
        <v>0</v>
      </c>
      <c r="K477" s="518"/>
      <c r="L477" s="574"/>
      <c r="M477" s="518"/>
      <c r="N477" s="519"/>
      <c r="O477" s="1"/>
      <c r="P477" s="1"/>
      <c r="Q477" s="1"/>
      <c r="R477" s="1"/>
      <c r="S477" s="1"/>
      <c r="T477" s="1"/>
      <c r="U477" s="1"/>
      <c r="V477" s="1"/>
      <c r="W477" s="1"/>
      <c r="X477" s="1"/>
      <c r="Y477" s="1"/>
      <c r="Z477" s="1"/>
      <c r="AA477" s="1"/>
    </row>
    <row r="478" spans="1:27" ht="15.75" customHeight="1">
      <c r="A478" s="1"/>
      <c r="B478" s="556"/>
      <c r="C478" s="557"/>
      <c r="D478" s="174"/>
      <c r="E478" s="558">
        <f t="shared" si="180"/>
        <v>0</v>
      </c>
      <c r="F478" s="559"/>
      <c r="G478" s="557"/>
      <c r="H478" s="560">
        <f t="shared" si="181"/>
        <v>0</v>
      </c>
      <c r="I478" s="523"/>
      <c r="J478" s="524">
        <f t="shared" si="182"/>
        <v>0</v>
      </c>
      <c r="K478" s="518"/>
      <c r="L478" s="574"/>
      <c r="M478" s="518"/>
      <c r="N478" s="519"/>
      <c r="O478" s="1"/>
      <c r="P478" s="1"/>
      <c r="Q478" s="1"/>
      <c r="R478" s="1"/>
      <c r="S478" s="1"/>
      <c r="T478" s="1"/>
      <c r="U478" s="1"/>
      <c r="V478" s="1"/>
      <c r="W478" s="1"/>
      <c r="X478" s="1"/>
      <c r="Y478" s="1"/>
      <c r="Z478" s="1"/>
      <c r="AA478" s="1"/>
    </row>
    <row r="479" spans="1:27" ht="15.75" customHeight="1">
      <c r="A479" s="1"/>
      <c r="B479" s="556"/>
      <c r="C479" s="557"/>
      <c r="D479" s="174"/>
      <c r="E479" s="558">
        <f t="shared" si="180"/>
        <v>0</v>
      </c>
      <c r="F479" s="559"/>
      <c r="G479" s="557"/>
      <c r="H479" s="560">
        <f t="shared" si="181"/>
        <v>0</v>
      </c>
      <c r="I479" s="523"/>
      <c r="J479" s="524">
        <f t="shared" si="182"/>
        <v>0</v>
      </c>
      <c r="K479" s="518"/>
      <c r="L479" s="574"/>
      <c r="M479" s="518"/>
      <c r="N479" s="519"/>
      <c r="O479" s="1"/>
      <c r="P479" s="1"/>
      <c r="Q479" s="1"/>
      <c r="R479" s="1"/>
      <c r="S479" s="1"/>
      <c r="T479" s="1"/>
      <c r="U479" s="1"/>
      <c r="V479" s="1"/>
      <c r="W479" s="1"/>
      <c r="X479" s="1"/>
      <c r="Y479" s="1"/>
      <c r="Z479" s="1"/>
      <c r="AA479" s="1"/>
    </row>
    <row r="480" spans="1:27" ht="15.75" customHeight="1">
      <c r="A480" s="1"/>
      <c r="B480" s="556"/>
      <c r="C480" s="557"/>
      <c r="D480" s="174"/>
      <c r="E480" s="558">
        <f t="shared" si="180"/>
        <v>0</v>
      </c>
      <c r="F480" s="559"/>
      <c r="G480" s="557"/>
      <c r="H480" s="560">
        <f t="shared" si="181"/>
        <v>0</v>
      </c>
      <c r="I480" s="523"/>
      <c r="J480" s="524">
        <f t="shared" si="182"/>
        <v>0</v>
      </c>
      <c r="K480" s="518"/>
      <c r="L480" s="574"/>
      <c r="M480" s="518"/>
      <c r="N480" s="519"/>
      <c r="O480" s="1"/>
      <c r="P480" s="1"/>
      <c r="Q480" s="1"/>
      <c r="R480" s="1"/>
      <c r="S480" s="1"/>
      <c r="T480" s="1"/>
      <c r="U480" s="1"/>
      <c r="V480" s="1"/>
      <c r="W480" s="1"/>
      <c r="X480" s="1"/>
      <c r="Y480" s="1"/>
      <c r="Z480" s="1"/>
      <c r="AA480" s="1"/>
    </row>
    <row r="481" spans="1:27" ht="15.75" customHeight="1">
      <c r="A481" s="1"/>
      <c r="B481" s="556"/>
      <c r="C481" s="557"/>
      <c r="D481" s="174"/>
      <c r="E481" s="558">
        <f t="shared" si="180"/>
        <v>0</v>
      </c>
      <c r="F481" s="559"/>
      <c r="G481" s="557"/>
      <c r="H481" s="560">
        <f t="shared" si="181"/>
        <v>0</v>
      </c>
      <c r="I481" s="523"/>
      <c r="J481" s="524">
        <f t="shared" si="182"/>
        <v>0</v>
      </c>
      <c r="K481" s="518"/>
      <c r="L481" s="574"/>
      <c r="M481" s="518"/>
      <c r="N481" s="519"/>
      <c r="O481" s="1"/>
      <c r="P481" s="1"/>
      <c r="Q481" s="1"/>
      <c r="R481" s="1"/>
      <c r="S481" s="1"/>
      <c r="T481" s="1"/>
      <c r="U481" s="1"/>
      <c r="V481" s="1"/>
      <c r="W481" s="1"/>
      <c r="X481" s="1"/>
      <c r="Y481" s="1"/>
      <c r="Z481" s="1"/>
      <c r="AA481" s="1"/>
    </row>
    <row r="482" spans="1:27" ht="15.75" customHeight="1">
      <c r="A482" s="1"/>
      <c r="B482" s="556"/>
      <c r="C482" s="557"/>
      <c r="D482" s="174"/>
      <c r="E482" s="558">
        <f t="shared" si="180"/>
        <v>0</v>
      </c>
      <c r="F482" s="559"/>
      <c r="G482" s="557"/>
      <c r="H482" s="560">
        <f t="shared" si="181"/>
        <v>0</v>
      </c>
      <c r="I482" s="523"/>
      <c r="J482" s="524">
        <f t="shared" si="182"/>
        <v>0</v>
      </c>
      <c r="K482" s="518"/>
      <c r="L482" s="574"/>
      <c r="M482" s="518"/>
      <c r="N482" s="519"/>
      <c r="O482" s="1"/>
      <c r="P482" s="1"/>
      <c r="Q482" s="1"/>
      <c r="R482" s="1"/>
      <c r="S482" s="1"/>
      <c r="T482" s="1"/>
      <c r="U482" s="1"/>
      <c r="V482" s="1"/>
      <c r="W482" s="1"/>
      <c r="X482" s="1"/>
      <c r="Y482" s="1"/>
      <c r="Z482" s="1"/>
      <c r="AA482" s="1"/>
    </row>
    <row r="483" spans="1:27" ht="15.75" customHeight="1">
      <c r="A483" s="1"/>
      <c r="B483" s="501" t="s">
        <v>2022</v>
      </c>
      <c r="C483" s="502"/>
      <c r="D483" s="503"/>
      <c r="E483" s="504"/>
      <c r="F483" s="505"/>
      <c r="G483" s="505"/>
      <c r="H483" s="506"/>
      <c r="I483" s="552"/>
      <c r="J483" s="553"/>
      <c r="K483" s="554"/>
      <c r="L483" s="554"/>
      <c r="M483" s="554"/>
      <c r="N483" s="554"/>
      <c r="O483" s="1"/>
      <c r="P483" s="1"/>
      <c r="Q483" s="1"/>
      <c r="R483" s="1"/>
      <c r="S483" s="1"/>
      <c r="T483" s="1"/>
      <c r="U483" s="1"/>
      <c r="V483" s="1"/>
      <c r="W483" s="1"/>
      <c r="X483" s="1"/>
      <c r="Y483" s="1"/>
      <c r="Z483" s="1"/>
      <c r="AA483" s="1"/>
    </row>
    <row r="484" spans="1:27" ht="15.75" customHeight="1">
      <c r="A484" s="1"/>
      <c r="B484" s="556" t="s">
        <v>2023</v>
      </c>
      <c r="C484" s="557" t="s">
        <v>2024</v>
      </c>
      <c r="D484" s="174" t="s">
        <v>2025</v>
      </c>
      <c r="E484" s="558">
        <f t="shared" ref="E484:E582" si="191">+H484/1.19</f>
        <v>8647.0588235294126</v>
      </c>
      <c r="F484" s="559" t="s">
        <v>1291</v>
      </c>
      <c r="G484" s="557"/>
      <c r="H484" s="560">
        <f t="shared" ref="H484:H596" si="192">ROUNDUP($J484*(1+$C$10),0)</f>
        <v>10290</v>
      </c>
      <c r="I484" s="523"/>
      <c r="J484" s="524">
        <f t="shared" ref="J484:J582" si="193">IFERROR(AVERAGEIF($K$13:$P$13,"PRECIO IVA INC.",K484:P484),)</f>
        <v>10290</v>
      </c>
      <c r="K484" s="518" t="s">
        <v>2026</v>
      </c>
      <c r="L484" s="519">
        <v>10290</v>
      </c>
      <c r="M484" s="518"/>
      <c r="N484" s="519"/>
      <c r="O484" s="1"/>
      <c r="P484" s="1"/>
      <c r="Q484" s="1"/>
      <c r="R484" s="1"/>
      <c r="S484" s="1"/>
      <c r="T484" s="1"/>
      <c r="U484" s="1"/>
      <c r="V484" s="1"/>
      <c r="W484" s="1"/>
      <c r="X484" s="1"/>
      <c r="Y484" s="1"/>
      <c r="Z484" s="1"/>
      <c r="AA484" s="1"/>
    </row>
    <row r="485" spans="1:27" ht="15.75" customHeight="1">
      <c r="A485" s="1"/>
      <c r="B485" s="556" t="s">
        <v>2027</v>
      </c>
      <c r="C485" s="557" t="s">
        <v>2024</v>
      </c>
      <c r="D485" s="174" t="s">
        <v>2615</v>
      </c>
      <c r="E485" s="558">
        <f t="shared" si="191"/>
        <v>3529.4117647058824</v>
      </c>
      <c r="F485" s="559" t="s">
        <v>1291</v>
      </c>
      <c r="G485" s="557"/>
      <c r="H485" s="560">
        <f t="shared" si="192"/>
        <v>4200</v>
      </c>
      <c r="I485" s="523"/>
      <c r="J485" s="524">
        <f t="shared" si="193"/>
        <v>4200</v>
      </c>
      <c r="K485" s="518" t="s">
        <v>2026</v>
      </c>
      <c r="L485" s="519">
        <v>4200</v>
      </c>
      <c r="M485" s="518"/>
      <c r="N485" s="519"/>
      <c r="O485" s="1"/>
      <c r="P485" s="1"/>
      <c r="Q485" s="1"/>
      <c r="R485" s="1"/>
      <c r="S485" s="1"/>
      <c r="T485" s="1"/>
      <c r="U485" s="1"/>
      <c r="V485" s="1"/>
      <c r="W485" s="1"/>
      <c r="X485" s="1"/>
      <c r="Y485" s="1"/>
      <c r="Z485" s="1"/>
      <c r="AA485" s="1"/>
    </row>
    <row r="486" spans="1:27" ht="15.75" customHeight="1">
      <c r="A486" s="1"/>
      <c r="B486" s="556" t="s">
        <v>2028</v>
      </c>
      <c r="C486" s="557" t="s">
        <v>2024</v>
      </c>
      <c r="D486" s="174" t="s">
        <v>2029</v>
      </c>
      <c r="E486" s="558">
        <f t="shared" si="191"/>
        <v>185882.35294117648</v>
      </c>
      <c r="F486" s="559" t="s">
        <v>1291</v>
      </c>
      <c r="G486" s="557"/>
      <c r="H486" s="560">
        <f t="shared" si="192"/>
        <v>221200</v>
      </c>
      <c r="I486" s="523"/>
      <c r="J486" s="524">
        <f t="shared" si="193"/>
        <v>221200</v>
      </c>
      <c r="K486" s="518" t="s">
        <v>2026</v>
      </c>
      <c r="L486" s="519">
        <v>221200</v>
      </c>
      <c r="M486" s="518"/>
      <c r="N486" s="519"/>
      <c r="O486" s="1"/>
      <c r="P486" s="1"/>
      <c r="Q486" s="1"/>
      <c r="R486" s="1"/>
      <c r="S486" s="1"/>
      <c r="T486" s="1"/>
      <c r="U486" s="1"/>
      <c r="V486" s="1"/>
      <c r="W486" s="1"/>
      <c r="X486" s="1"/>
      <c r="Y486" s="1"/>
      <c r="Z486" s="1"/>
      <c r="AA486" s="1"/>
    </row>
    <row r="487" spans="1:27" ht="15.75" customHeight="1">
      <c r="A487" s="1"/>
      <c r="B487" s="556" t="s">
        <v>2030</v>
      </c>
      <c r="C487" s="557" t="s">
        <v>2024</v>
      </c>
      <c r="D487" s="174" t="s">
        <v>2031</v>
      </c>
      <c r="E487" s="558">
        <f t="shared" si="191"/>
        <v>25470.588235294119</v>
      </c>
      <c r="F487" s="559" t="s">
        <v>1291</v>
      </c>
      <c r="G487" s="557"/>
      <c r="H487" s="560">
        <f t="shared" si="192"/>
        <v>30310</v>
      </c>
      <c r="I487" s="523"/>
      <c r="J487" s="524">
        <f t="shared" si="193"/>
        <v>30309.999999999996</v>
      </c>
      <c r="K487" s="518" t="s">
        <v>2026</v>
      </c>
      <c r="L487" s="519">
        <v>30309.999999999996</v>
      </c>
      <c r="M487" s="518"/>
      <c r="N487" s="519"/>
      <c r="O487" s="1"/>
      <c r="P487" s="1"/>
      <c r="Q487" s="1"/>
      <c r="R487" s="1"/>
      <c r="S487" s="1"/>
      <c r="T487" s="1"/>
      <c r="U487" s="1"/>
      <c r="V487" s="1"/>
      <c r="W487" s="1"/>
      <c r="X487" s="1"/>
      <c r="Y487" s="1"/>
      <c r="Z487" s="1"/>
      <c r="AA487" s="1"/>
    </row>
    <row r="488" spans="1:27" ht="15.75" customHeight="1">
      <c r="A488" s="1"/>
      <c r="B488" s="556" t="s">
        <v>2032</v>
      </c>
      <c r="C488" s="557" t="s">
        <v>2024</v>
      </c>
      <c r="D488" s="174" t="s">
        <v>2033</v>
      </c>
      <c r="E488" s="558">
        <f t="shared" si="191"/>
        <v>3294.1176470588239</v>
      </c>
      <c r="F488" s="559" t="s">
        <v>710</v>
      </c>
      <c r="G488" s="557"/>
      <c r="H488" s="560">
        <f t="shared" si="192"/>
        <v>3920</v>
      </c>
      <c r="I488" s="523"/>
      <c r="J488" s="524">
        <f t="shared" si="193"/>
        <v>3919.9999999999995</v>
      </c>
      <c r="K488" s="518" t="s">
        <v>2026</v>
      </c>
      <c r="L488" s="519">
        <v>3919.9999999999995</v>
      </c>
      <c r="M488" s="518"/>
      <c r="N488" s="519"/>
      <c r="O488" s="1"/>
      <c r="P488" s="1"/>
      <c r="Q488" s="1"/>
      <c r="R488" s="1"/>
      <c r="S488" s="1"/>
      <c r="T488" s="1"/>
      <c r="U488" s="1"/>
      <c r="V488" s="1"/>
      <c r="W488" s="1"/>
      <c r="X488" s="1"/>
      <c r="Y488" s="1"/>
      <c r="Z488" s="1"/>
      <c r="AA488" s="1"/>
    </row>
    <row r="489" spans="1:27" ht="15.75" customHeight="1">
      <c r="A489" s="1"/>
      <c r="B489" s="556" t="s">
        <v>2034</v>
      </c>
      <c r="C489" s="557" t="s">
        <v>2024</v>
      </c>
      <c r="D489" s="174" t="s">
        <v>2035</v>
      </c>
      <c r="E489" s="558">
        <f t="shared" si="191"/>
        <v>764.70588235294122</v>
      </c>
      <c r="F489" s="559" t="s">
        <v>1291</v>
      </c>
      <c r="G489" s="557"/>
      <c r="H489" s="560">
        <f t="shared" si="192"/>
        <v>910</v>
      </c>
      <c r="I489" s="523"/>
      <c r="J489" s="524">
        <f t="shared" si="193"/>
        <v>909.99999999999989</v>
      </c>
      <c r="K489" s="518" t="s">
        <v>2026</v>
      </c>
      <c r="L489" s="519">
        <v>909.99999999999989</v>
      </c>
      <c r="M489" s="518"/>
      <c r="N489" s="519"/>
      <c r="O489" s="1"/>
      <c r="P489" s="1"/>
      <c r="Q489" s="1"/>
      <c r="R489" s="1"/>
      <c r="S489" s="1"/>
      <c r="T489" s="1"/>
      <c r="U489" s="1"/>
      <c r="V489" s="1"/>
      <c r="W489" s="1"/>
      <c r="X489" s="1"/>
      <c r="Y489" s="1"/>
      <c r="Z489" s="1"/>
      <c r="AA489" s="1"/>
    </row>
    <row r="490" spans="1:27" ht="15.75" customHeight="1">
      <c r="A490" s="1"/>
      <c r="B490" s="556" t="s">
        <v>2036</v>
      </c>
      <c r="C490" s="557" t="s">
        <v>2024</v>
      </c>
      <c r="D490" s="174" t="s">
        <v>2037</v>
      </c>
      <c r="E490" s="558">
        <f t="shared" si="191"/>
        <v>4117.6470588235297</v>
      </c>
      <c r="F490" s="559" t="s">
        <v>1291</v>
      </c>
      <c r="G490" s="557"/>
      <c r="H490" s="560">
        <f t="shared" si="192"/>
        <v>4900</v>
      </c>
      <c r="I490" s="523"/>
      <c r="J490" s="524">
        <f t="shared" si="193"/>
        <v>4900</v>
      </c>
      <c r="K490" s="518" t="s">
        <v>2026</v>
      </c>
      <c r="L490" s="519">
        <v>4900</v>
      </c>
      <c r="M490" s="518"/>
      <c r="N490" s="519"/>
      <c r="O490" s="1"/>
      <c r="P490" s="1"/>
      <c r="Q490" s="1"/>
      <c r="R490" s="1"/>
      <c r="S490" s="1"/>
      <c r="T490" s="1"/>
      <c r="U490" s="1"/>
      <c r="V490" s="1"/>
      <c r="W490" s="1"/>
      <c r="X490" s="1"/>
      <c r="Y490" s="1"/>
      <c r="Z490" s="1"/>
      <c r="AA490" s="1"/>
    </row>
    <row r="491" spans="1:27" ht="15.75" customHeight="1">
      <c r="A491" s="1"/>
      <c r="B491" s="556" t="s">
        <v>2038</v>
      </c>
      <c r="C491" s="557" t="s">
        <v>2024</v>
      </c>
      <c r="D491" s="174" t="s">
        <v>2039</v>
      </c>
      <c r="E491" s="558">
        <f t="shared" si="191"/>
        <v>15294.117647058823</v>
      </c>
      <c r="F491" s="559" t="s">
        <v>1291</v>
      </c>
      <c r="G491" s="557"/>
      <c r="H491" s="560">
        <f t="shared" si="192"/>
        <v>18200</v>
      </c>
      <c r="I491" s="523"/>
      <c r="J491" s="524">
        <f t="shared" si="193"/>
        <v>18200</v>
      </c>
      <c r="K491" s="518" t="s">
        <v>2026</v>
      </c>
      <c r="L491" s="519">
        <v>18200</v>
      </c>
      <c r="M491" s="518"/>
      <c r="N491" s="519"/>
      <c r="O491" s="1"/>
      <c r="P491" s="1"/>
      <c r="Q491" s="1"/>
      <c r="R491" s="1"/>
      <c r="S491" s="1"/>
      <c r="T491" s="1"/>
      <c r="U491" s="1"/>
      <c r="V491" s="1"/>
      <c r="W491" s="1"/>
      <c r="X491" s="1"/>
      <c r="Y491" s="1"/>
      <c r="Z491" s="1"/>
      <c r="AA491" s="1"/>
    </row>
    <row r="492" spans="1:27" ht="15.75" customHeight="1">
      <c r="A492" s="1"/>
      <c r="B492" s="556" t="s">
        <v>2040</v>
      </c>
      <c r="C492" s="557" t="s">
        <v>2024</v>
      </c>
      <c r="D492" s="174" t="s">
        <v>2041</v>
      </c>
      <c r="E492" s="558">
        <f t="shared" si="191"/>
        <v>146588.23529411765</v>
      </c>
      <c r="F492" s="559" t="s">
        <v>2042</v>
      </c>
      <c r="G492" s="557"/>
      <c r="H492" s="560">
        <f t="shared" si="192"/>
        <v>174440</v>
      </c>
      <c r="I492" s="523"/>
      <c r="J492" s="524">
        <f t="shared" si="193"/>
        <v>174440</v>
      </c>
      <c r="K492" s="518" t="s">
        <v>2026</v>
      </c>
      <c r="L492" s="519">
        <v>174440</v>
      </c>
      <c r="M492" s="518"/>
      <c r="N492" s="519"/>
      <c r="O492" s="1"/>
      <c r="P492" s="1"/>
      <c r="Q492" s="1"/>
      <c r="R492" s="1"/>
      <c r="S492" s="1"/>
      <c r="T492" s="1"/>
      <c r="U492" s="1"/>
      <c r="V492" s="1"/>
      <c r="W492" s="1"/>
      <c r="X492" s="1"/>
      <c r="Y492" s="1"/>
      <c r="Z492" s="1"/>
      <c r="AA492" s="1"/>
    </row>
    <row r="493" spans="1:27" ht="15.75" customHeight="1">
      <c r="A493" s="1"/>
      <c r="B493" s="556" t="s">
        <v>2043</v>
      </c>
      <c r="C493" s="557" t="s">
        <v>2024</v>
      </c>
      <c r="D493" s="174" t="s">
        <v>2044</v>
      </c>
      <c r="E493" s="558">
        <f t="shared" si="191"/>
        <v>316.80672268907563</v>
      </c>
      <c r="F493" s="559" t="s">
        <v>2045</v>
      </c>
      <c r="G493" s="557"/>
      <c r="H493" s="560">
        <f t="shared" si="192"/>
        <v>377</v>
      </c>
      <c r="I493" s="523"/>
      <c r="J493" s="524">
        <f t="shared" si="193"/>
        <v>376.59999999999997</v>
      </c>
      <c r="K493" s="518" t="s">
        <v>2026</v>
      </c>
      <c r="L493" s="519">
        <v>376.59999999999997</v>
      </c>
      <c r="M493" s="518"/>
      <c r="N493" s="519"/>
      <c r="O493" s="1"/>
      <c r="P493" s="1"/>
      <c r="Q493" s="1"/>
      <c r="R493" s="1"/>
      <c r="S493" s="1"/>
      <c r="T493" s="1"/>
      <c r="U493" s="1"/>
      <c r="V493" s="1"/>
      <c r="W493" s="1"/>
      <c r="X493" s="1"/>
      <c r="Y493" s="1"/>
      <c r="Z493" s="1"/>
      <c r="AA493" s="1"/>
    </row>
    <row r="494" spans="1:27" ht="15.75" customHeight="1">
      <c r="A494" s="1"/>
      <c r="B494" s="556" t="s">
        <v>2046</v>
      </c>
      <c r="C494" s="557" t="s">
        <v>2024</v>
      </c>
      <c r="D494" s="174" t="s">
        <v>2047</v>
      </c>
      <c r="E494" s="558">
        <f t="shared" si="191"/>
        <v>135647.05882352943</v>
      </c>
      <c r="F494" s="559" t="s">
        <v>1291</v>
      </c>
      <c r="G494" s="557"/>
      <c r="H494" s="560">
        <f t="shared" si="192"/>
        <v>161420</v>
      </c>
      <c r="I494" s="523"/>
      <c r="J494" s="524">
        <f t="shared" si="193"/>
        <v>161420</v>
      </c>
      <c r="K494" s="518" t="s">
        <v>2026</v>
      </c>
      <c r="L494" s="519">
        <v>161420</v>
      </c>
      <c r="M494" s="518"/>
      <c r="N494" s="519"/>
      <c r="O494" s="1"/>
      <c r="P494" s="1"/>
      <c r="Q494" s="1"/>
      <c r="R494" s="1"/>
      <c r="S494" s="1"/>
      <c r="T494" s="1"/>
      <c r="U494" s="1"/>
      <c r="V494" s="1"/>
      <c r="W494" s="1"/>
      <c r="X494" s="1"/>
      <c r="Y494" s="1"/>
      <c r="Z494" s="1"/>
      <c r="AA494" s="1"/>
    </row>
    <row r="495" spans="1:27" ht="15.75" customHeight="1">
      <c r="A495" s="1"/>
      <c r="B495" s="556" t="s">
        <v>2048</v>
      </c>
      <c r="C495" s="557" t="s">
        <v>2024</v>
      </c>
      <c r="D495" s="174" t="s">
        <v>2049</v>
      </c>
      <c r="E495" s="558">
        <f t="shared" si="191"/>
        <v>1647058.8235294118</v>
      </c>
      <c r="F495" s="559" t="s">
        <v>1291</v>
      </c>
      <c r="G495" s="557"/>
      <c r="H495" s="560">
        <f t="shared" si="192"/>
        <v>1960000</v>
      </c>
      <c r="I495" s="523"/>
      <c r="J495" s="524">
        <f t="shared" si="193"/>
        <v>1959999.9999999998</v>
      </c>
      <c r="K495" s="518" t="s">
        <v>2050</v>
      </c>
      <c r="L495" s="519">
        <v>1959999.9999999998</v>
      </c>
      <c r="M495" s="1"/>
      <c r="N495" s="1"/>
      <c r="O495" s="1"/>
      <c r="P495" s="1"/>
      <c r="Q495" s="1"/>
      <c r="R495" s="1"/>
      <c r="S495" s="1"/>
      <c r="T495" s="1"/>
      <c r="U495" s="1"/>
      <c r="V495" s="1"/>
      <c r="W495" s="1"/>
      <c r="X495" s="1"/>
      <c r="Y495" s="1"/>
      <c r="Z495" s="1"/>
      <c r="AA495" s="1"/>
    </row>
    <row r="496" spans="1:27" ht="15.75" customHeight="1">
      <c r="A496" s="1"/>
      <c r="B496" s="556" t="s">
        <v>2051</v>
      </c>
      <c r="C496" s="557" t="s">
        <v>2024</v>
      </c>
      <c r="D496" s="174" t="s">
        <v>2052</v>
      </c>
      <c r="E496" s="558">
        <f t="shared" si="191"/>
        <v>285764.70588235295</v>
      </c>
      <c r="F496" s="559" t="s">
        <v>1291</v>
      </c>
      <c r="G496" s="557"/>
      <c r="H496" s="560">
        <f t="shared" si="192"/>
        <v>340060</v>
      </c>
      <c r="I496" s="523"/>
      <c r="J496" s="524">
        <f t="shared" si="193"/>
        <v>340060</v>
      </c>
      <c r="K496" s="518" t="s">
        <v>2026</v>
      </c>
      <c r="L496" s="519">
        <v>340060</v>
      </c>
      <c r="M496" s="1"/>
      <c r="N496" s="1"/>
      <c r="O496" s="1"/>
      <c r="P496" s="1"/>
      <c r="Q496" s="1"/>
      <c r="R496" s="1"/>
      <c r="S496" s="1"/>
      <c r="T496" s="1"/>
      <c r="U496" s="1"/>
      <c r="V496" s="1"/>
      <c r="W496" s="1"/>
      <c r="X496" s="1"/>
      <c r="Y496" s="1"/>
      <c r="Z496" s="1"/>
      <c r="AA496" s="1"/>
    </row>
    <row r="497" spans="1:27" ht="15.75" customHeight="1">
      <c r="A497" s="1"/>
      <c r="B497" s="556" t="s">
        <v>2053</v>
      </c>
      <c r="C497" s="557" t="s">
        <v>2024</v>
      </c>
      <c r="D497" s="174" t="s">
        <v>2054</v>
      </c>
      <c r="E497" s="558">
        <f t="shared" si="191"/>
        <v>3705.8823529411766</v>
      </c>
      <c r="F497" s="559" t="s">
        <v>1291</v>
      </c>
      <c r="G497" s="557"/>
      <c r="H497" s="560">
        <f t="shared" si="192"/>
        <v>4410</v>
      </c>
      <c r="I497" s="523"/>
      <c r="J497" s="524">
        <f t="shared" si="193"/>
        <v>4410</v>
      </c>
      <c r="K497" s="518" t="s">
        <v>2026</v>
      </c>
      <c r="L497" s="519">
        <v>4410</v>
      </c>
      <c r="M497" s="1"/>
      <c r="N497" s="1"/>
      <c r="O497" s="1"/>
      <c r="P497" s="1"/>
      <c r="Q497" s="1"/>
      <c r="R497" s="1"/>
      <c r="S497" s="1"/>
      <c r="T497" s="1"/>
      <c r="U497" s="1"/>
      <c r="V497" s="1"/>
      <c r="W497" s="1"/>
      <c r="X497" s="1"/>
      <c r="Y497" s="1"/>
      <c r="Z497" s="1"/>
      <c r="AA497" s="1"/>
    </row>
    <row r="498" spans="1:27" ht="15.75" customHeight="1">
      <c r="A498" s="1"/>
      <c r="B498" s="556" t="s">
        <v>2055</v>
      </c>
      <c r="C498" s="557" t="s">
        <v>2024</v>
      </c>
      <c r="D498" s="174" t="s">
        <v>2056</v>
      </c>
      <c r="E498" s="558">
        <f t="shared" si="191"/>
        <v>294.11764705882354</v>
      </c>
      <c r="F498" s="559" t="s">
        <v>1291</v>
      </c>
      <c r="G498" s="557"/>
      <c r="H498" s="560">
        <f t="shared" si="192"/>
        <v>350</v>
      </c>
      <c r="I498" s="523"/>
      <c r="J498" s="524">
        <f t="shared" si="193"/>
        <v>350</v>
      </c>
      <c r="K498" s="518" t="s">
        <v>2026</v>
      </c>
      <c r="L498" s="519">
        <v>350</v>
      </c>
      <c r="M498" s="1"/>
      <c r="N498" s="1"/>
      <c r="O498" s="1"/>
      <c r="P498" s="1"/>
      <c r="Q498" s="1"/>
      <c r="R498" s="1"/>
      <c r="S498" s="1"/>
      <c r="T498" s="1"/>
      <c r="U498" s="1"/>
      <c r="V498" s="1"/>
      <c r="W498" s="1"/>
      <c r="X498" s="1"/>
      <c r="Y498" s="1"/>
      <c r="Z498" s="1"/>
      <c r="AA498" s="1"/>
    </row>
    <row r="499" spans="1:27" ht="15.75" customHeight="1">
      <c r="A499" s="1"/>
      <c r="B499" s="556" t="s">
        <v>2057</v>
      </c>
      <c r="C499" s="557" t="s">
        <v>2024</v>
      </c>
      <c r="D499" s="174" t="s">
        <v>2058</v>
      </c>
      <c r="E499" s="558">
        <f t="shared" si="191"/>
        <v>1352.9411764705883</v>
      </c>
      <c r="F499" s="559" t="s">
        <v>1291</v>
      </c>
      <c r="G499" s="557"/>
      <c r="H499" s="560">
        <f t="shared" si="192"/>
        <v>1610</v>
      </c>
      <c r="I499" s="523"/>
      <c r="J499" s="524">
        <f t="shared" si="193"/>
        <v>1610</v>
      </c>
      <c r="K499" s="518" t="s">
        <v>2026</v>
      </c>
      <c r="L499" s="519">
        <v>1610</v>
      </c>
      <c r="M499" s="1"/>
      <c r="N499" s="1"/>
      <c r="O499" s="1"/>
      <c r="P499" s="1"/>
      <c r="Q499" s="1"/>
      <c r="R499" s="1"/>
      <c r="S499" s="1"/>
      <c r="T499" s="1"/>
      <c r="U499" s="1"/>
      <c r="V499" s="1"/>
      <c r="W499" s="1"/>
      <c r="X499" s="1"/>
      <c r="Y499" s="1"/>
      <c r="Z499" s="1"/>
      <c r="AA499" s="1"/>
    </row>
    <row r="500" spans="1:27" ht="15.75" customHeight="1">
      <c r="A500" s="1"/>
      <c r="B500" s="556" t="s">
        <v>2059</v>
      </c>
      <c r="C500" s="557" t="s">
        <v>2024</v>
      </c>
      <c r="D500" s="174" t="s">
        <v>2060</v>
      </c>
      <c r="E500" s="558">
        <f t="shared" si="191"/>
        <v>1720294.1176470588</v>
      </c>
      <c r="F500" s="559" t="s">
        <v>1291</v>
      </c>
      <c r="G500" s="557"/>
      <c r="H500" s="560">
        <f t="shared" si="192"/>
        <v>2047150</v>
      </c>
      <c r="I500" s="523"/>
      <c r="J500" s="524">
        <f t="shared" si="193"/>
        <v>2047149.9999999998</v>
      </c>
      <c r="K500" s="518" t="s">
        <v>2026</v>
      </c>
      <c r="L500" s="519">
        <v>2047149.9999999998</v>
      </c>
      <c r="M500" s="1"/>
      <c r="N500" s="1"/>
      <c r="O500" s="1"/>
      <c r="P500" s="1"/>
      <c r="Q500" s="1"/>
      <c r="R500" s="1"/>
      <c r="S500" s="1"/>
      <c r="T500" s="1"/>
      <c r="U500" s="1"/>
      <c r="V500" s="1"/>
      <c r="W500" s="1"/>
      <c r="X500" s="1"/>
      <c r="Y500" s="1"/>
      <c r="Z500" s="1"/>
      <c r="AA500" s="1"/>
    </row>
    <row r="501" spans="1:27" ht="15.75" customHeight="1">
      <c r="A501" s="1"/>
      <c r="B501" s="556" t="s">
        <v>2061</v>
      </c>
      <c r="C501" s="557" t="s">
        <v>2024</v>
      </c>
      <c r="D501" s="174" t="s">
        <v>2062</v>
      </c>
      <c r="E501" s="558">
        <f t="shared" si="191"/>
        <v>2282764.7058823532</v>
      </c>
      <c r="F501" s="559" t="s">
        <v>1291</v>
      </c>
      <c r="G501" s="557"/>
      <c r="H501" s="560">
        <f t="shared" si="192"/>
        <v>2716490</v>
      </c>
      <c r="I501" s="523"/>
      <c r="J501" s="524">
        <f t="shared" si="193"/>
        <v>2716490</v>
      </c>
      <c r="K501" s="518" t="s">
        <v>2026</v>
      </c>
      <c r="L501" s="519">
        <v>2716490</v>
      </c>
      <c r="M501" s="1"/>
      <c r="N501" s="1"/>
      <c r="O501" s="1"/>
      <c r="P501" s="1"/>
      <c r="Q501" s="1"/>
      <c r="R501" s="1"/>
      <c r="S501" s="1"/>
      <c r="T501" s="1"/>
      <c r="U501" s="1"/>
      <c r="V501" s="1"/>
      <c r="W501" s="1"/>
      <c r="X501" s="1"/>
      <c r="Y501" s="1"/>
      <c r="Z501" s="1"/>
      <c r="AA501" s="1"/>
    </row>
    <row r="502" spans="1:27" ht="15.75" customHeight="1">
      <c r="A502" s="1"/>
      <c r="B502" s="556" t="s">
        <v>2063</v>
      </c>
      <c r="C502" s="557" t="s">
        <v>2024</v>
      </c>
      <c r="D502" s="174" t="s">
        <v>2064</v>
      </c>
      <c r="E502" s="558">
        <f t="shared" si="191"/>
        <v>182117.64705882352</v>
      </c>
      <c r="F502" s="559" t="s">
        <v>1291</v>
      </c>
      <c r="G502" s="557"/>
      <c r="H502" s="560">
        <f t="shared" si="192"/>
        <v>216720</v>
      </c>
      <c r="I502" s="523"/>
      <c r="J502" s="524">
        <f t="shared" si="193"/>
        <v>216720</v>
      </c>
      <c r="K502" s="518" t="s">
        <v>2026</v>
      </c>
      <c r="L502" s="519">
        <v>216720</v>
      </c>
      <c r="M502" s="1"/>
      <c r="N502" s="1"/>
      <c r="O502" s="1"/>
      <c r="P502" s="1"/>
      <c r="Q502" s="1"/>
      <c r="R502" s="1"/>
      <c r="S502" s="1"/>
      <c r="T502" s="1"/>
      <c r="U502" s="1"/>
      <c r="V502" s="1"/>
      <c r="W502" s="1"/>
      <c r="X502" s="1"/>
      <c r="Y502" s="1"/>
      <c r="Z502" s="1"/>
      <c r="AA502" s="1"/>
    </row>
    <row r="503" spans="1:27" ht="15.75" customHeight="1">
      <c r="A503" s="1"/>
      <c r="B503" s="556" t="s">
        <v>2065</v>
      </c>
      <c r="C503" s="557" t="s">
        <v>2024</v>
      </c>
      <c r="D503" s="174" t="s">
        <v>2066</v>
      </c>
      <c r="E503" s="558">
        <f t="shared" si="191"/>
        <v>167882.35294117648</v>
      </c>
      <c r="F503" s="559" t="s">
        <v>1291</v>
      </c>
      <c r="G503" s="557"/>
      <c r="H503" s="560">
        <f t="shared" si="192"/>
        <v>199780</v>
      </c>
      <c r="I503" s="523"/>
      <c r="J503" s="524">
        <f t="shared" si="193"/>
        <v>199780</v>
      </c>
      <c r="K503" s="518" t="s">
        <v>2026</v>
      </c>
      <c r="L503" s="519">
        <v>199780</v>
      </c>
      <c r="M503" s="1"/>
      <c r="N503" s="1"/>
      <c r="O503" s="1"/>
      <c r="P503" s="1"/>
      <c r="Q503" s="1"/>
      <c r="R503" s="1"/>
      <c r="S503" s="1"/>
      <c r="T503" s="1"/>
      <c r="U503" s="1"/>
      <c r="V503" s="1"/>
      <c r="W503" s="1"/>
      <c r="X503" s="1"/>
      <c r="Y503" s="1"/>
      <c r="Z503" s="1"/>
      <c r="AA503" s="1"/>
    </row>
    <row r="504" spans="1:27" ht="15.75" customHeight="1">
      <c r="A504" s="1"/>
      <c r="B504" s="556" t="s">
        <v>2067</v>
      </c>
      <c r="C504" s="557" t="s">
        <v>2024</v>
      </c>
      <c r="D504" s="174" t="s">
        <v>2068</v>
      </c>
      <c r="E504" s="558">
        <f t="shared" si="191"/>
        <v>1092.4369747899161</v>
      </c>
      <c r="F504" s="559" t="s">
        <v>1291</v>
      </c>
      <c r="G504" s="557"/>
      <c r="H504" s="560">
        <f t="shared" si="192"/>
        <v>1300</v>
      </c>
      <c r="I504" s="523"/>
      <c r="J504" s="524">
        <f t="shared" si="193"/>
        <v>1300</v>
      </c>
      <c r="K504" s="518" t="s">
        <v>2069</v>
      </c>
      <c r="L504" s="519">
        <v>1300</v>
      </c>
      <c r="M504" s="1"/>
      <c r="N504" s="1"/>
      <c r="O504" s="1"/>
      <c r="P504" s="1"/>
      <c r="Q504" s="1"/>
      <c r="R504" s="1"/>
      <c r="S504" s="1"/>
      <c r="T504" s="1"/>
      <c r="U504" s="1"/>
      <c r="V504" s="1"/>
      <c r="W504" s="1"/>
      <c r="X504" s="1"/>
      <c r="Y504" s="1"/>
      <c r="Z504" s="1"/>
      <c r="AA504" s="1"/>
    </row>
    <row r="505" spans="1:27" ht="15.75" customHeight="1">
      <c r="A505" s="1"/>
      <c r="B505" s="556" t="s">
        <v>2070</v>
      </c>
      <c r="C505" s="557" t="s">
        <v>2024</v>
      </c>
      <c r="D505" s="174" t="s">
        <v>2071</v>
      </c>
      <c r="E505" s="558">
        <f t="shared" si="191"/>
        <v>1092.4369747899161</v>
      </c>
      <c r="F505" s="559" t="s">
        <v>1291</v>
      </c>
      <c r="G505" s="557"/>
      <c r="H505" s="560">
        <f t="shared" si="192"/>
        <v>1300</v>
      </c>
      <c r="I505" s="523"/>
      <c r="J505" s="524">
        <f t="shared" si="193"/>
        <v>1300</v>
      </c>
      <c r="K505" s="518" t="s">
        <v>2069</v>
      </c>
      <c r="L505" s="519">
        <v>1300</v>
      </c>
      <c r="M505" s="1"/>
      <c r="N505" s="1"/>
      <c r="O505" s="1"/>
      <c r="P505" s="1"/>
      <c r="Q505" s="1"/>
      <c r="R505" s="1"/>
      <c r="S505" s="1"/>
      <c r="T505" s="1"/>
      <c r="U505" s="1"/>
      <c r="V505" s="1"/>
      <c r="W505" s="1"/>
      <c r="X505" s="1"/>
      <c r="Y505" s="1"/>
      <c r="Z505" s="1"/>
      <c r="AA505" s="1"/>
    </row>
    <row r="506" spans="1:27" ht="15.75" customHeight="1">
      <c r="A506" s="1"/>
      <c r="B506" s="556" t="s">
        <v>2072</v>
      </c>
      <c r="C506" s="557" t="s">
        <v>2024</v>
      </c>
      <c r="D506" s="174" t="s">
        <v>2073</v>
      </c>
      <c r="E506" s="558">
        <f t="shared" si="191"/>
        <v>294117.64705882355</v>
      </c>
      <c r="F506" s="559" t="s">
        <v>1291</v>
      </c>
      <c r="G506" s="557"/>
      <c r="H506" s="560">
        <f t="shared" si="192"/>
        <v>350000</v>
      </c>
      <c r="I506" s="523"/>
      <c r="J506" s="524">
        <f t="shared" si="193"/>
        <v>350000</v>
      </c>
      <c r="K506" s="518"/>
      <c r="L506" s="519">
        <v>350000</v>
      </c>
      <c r="M506" s="1"/>
      <c r="N506" s="1"/>
      <c r="O506" s="1"/>
      <c r="P506" s="1"/>
      <c r="Q506" s="1"/>
      <c r="R506" s="1"/>
      <c r="S506" s="1"/>
      <c r="T506" s="1"/>
      <c r="U506" s="1"/>
      <c r="V506" s="1"/>
      <c r="W506" s="1"/>
      <c r="X506" s="1"/>
      <c r="Y506" s="1"/>
      <c r="Z506" s="1"/>
      <c r="AA506" s="1"/>
    </row>
    <row r="507" spans="1:27" ht="15.75" customHeight="1">
      <c r="A507" s="1"/>
      <c r="B507" s="556" t="s">
        <v>2074</v>
      </c>
      <c r="C507" s="557" t="s">
        <v>2024</v>
      </c>
      <c r="D507" s="174" t="s">
        <v>2075</v>
      </c>
      <c r="E507" s="558">
        <f t="shared" si="191"/>
        <v>48411.764705882357</v>
      </c>
      <c r="F507" s="559" t="s">
        <v>710</v>
      </c>
      <c r="G507" s="557"/>
      <c r="H507" s="560">
        <f t="shared" si="192"/>
        <v>57610</v>
      </c>
      <c r="I507" s="523"/>
      <c r="J507" s="524">
        <f t="shared" si="193"/>
        <v>57609.999999999993</v>
      </c>
      <c r="K507" s="518" t="s">
        <v>2026</v>
      </c>
      <c r="L507" s="519">
        <v>57609.999999999993</v>
      </c>
      <c r="M507" s="1"/>
      <c r="N507" s="1"/>
      <c r="O507" s="1"/>
      <c r="P507" s="1"/>
      <c r="Q507" s="1"/>
      <c r="R507" s="1"/>
      <c r="S507" s="1"/>
      <c r="T507" s="1"/>
      <c r="U507" s="1"/>
      <c r="V507" s="1"/>
      <c r="W507" s="1"/>
      <c r="X507" s="1"/>
      <c r="Y507" s="1"/>
      <c r="Z507" s="1"/>
      <c r="AA507" s="1"/>
    </row>
    <row r="508" spans="1:27" ht="15.75" customHeight="1">
      <c r="A508" s="1"/>
      <c r="B508" s="556" t="s">
        <v>2076</v>
      </c>
      <c r="C508" s="557" t="s">
        <v>2024</v>
      </c>
      <c r="D508" s="174" t="s">
        <v>2077</v>
      </c>
      <c r="E508" s="558">
        <f t="shared" si="191"/>
        <v>12176.470588235296</v>
      </c>
      <c r="F508" s="559" t="s">
        <v>710</v>
      </c>
      <c r="G508" s="557"/>
      <c r="H508" s="560">
        <f t="shared" si="192"/>
        <v>14490</v>
      </c>
      <c r="I508" s="523"/>
      <c r="J508" s="524">
        <f t="shared" si="193"/>
        <v>14489.999999999998</v>
      </c>
      <c r="K508" s="518" t="s">
        <v>2026</v>
      </c>
      <c r="L508" s="519">
        <v>14489.999999999998</v>
      </c>
      <c r="M508" s="1"/>
      <c r="N508" s="1"/>
      <c r="O508" s="1"/>
      <c r="P508" s="1"/>
      <c r="Q508" s="1"/>
      <c r="R508" s="1"/>
      <c r="S508" s="1"/>
      <c r="T508" s="1"/>
      <c r="U508" s="1"/>
      <c r="V508" s="1"/>
      <c r="W508" s="1"/>
      <c r="X508" s="1"/>
      <c r="Y508" s="1"/>
      <c r="Z508" s="1"/>
      <c r="AA508" s="1"/>
    </row>
    <row r="509" spans="1:27" ht="15.75" customHeight="1">
      <c r="A509" s="1"/>
      <c r="B509" s="556" t="s">
        <v>2078</v>
      </c>
      <c r="C509" s="557" t="s">
        <v>2024</v>
      </c>
      <c r="D509" s="174" t="s">
        <v>2079</v>
      </c>
      <c r="E509" s="558">
        <f t="shared" si="191"/>
        <v>8470.5882352941189</v>
      </c>
      <c r="F509" s="559" t="s">
        <v>1291</v>
      </c>
      <c r="G509" s="557"/>
      <c r="H509" s="560">
        <f t="shared" si="192"/>
        <v>10080</v>
      </c>
      <c r="I509" s="523"/>
      <c r="J509" s="524">
        <f t="shared" si="193"/>
        <v>10080</v>
      </c>
      <c r="K509" s="518" t="s">
        <v>2026</v>
      </c>
      <c r="L509" s="519">
        <v>10080</v>
      </c>
      <c r="M509" s="1"/>
      <c r="N509" s="1"/>
      <c r="O509" s="1"/>
      <c r="P509" s="1"/>
      <c r="Q509" s="1"/>
      <c r="R509" s="1"/>
      <c r="S509" s="1"/>
      <c r="T509" s="1"/>
      <c r="U509" s="1"/>
      <c r="V509" s="1"/>
      <c r="W509" s="1"/>
      <c r="X509" s="1"/>
      <c r="Y509" s="1"/>
      <c r="Z509" s="1"/>
      <c r="AA509" s="1"/>
    </row>
    <row r="510" spans="1:27" ht="15.75" customHeight="1">
      <c r="A510" s="1"/>
      <c r="B510" s="556" t="s">
        <v>2080</v>
      </c>
      <c r="C510" s="557" t="s">
        <v>2024</v>
      </c>
      <c r="D510" s="174" t="s">
        <v>2081</v>
      </c>
      <c r="E510" s="558">
        <f t="shared" si="191"/>
        <v>8647.0588235294126</v>
      </c>
      <c r="F510" s="559" t="s">
        <v>710</v>
      </c>
      <c r="G510" s="557"/>
      <c r="H510" s="560">
        <f t="shared" si="192"/>
        <v>10290</v>
      </c>
      <c r="I510" s="523"/>
      <c r="J510" s="524">
        <f t="shared" si="193"/>
        <v>10290</v>
      </c>
      <c r="K510" s="518" t="s">
        <v>2026</v>
      </c>
      <c r="L510" s="519">
        <v>10290</v>
      </c>
      <c r="M510" s="1"/>
      <c r="N510" s="1"/>
      <c r="O510" s="1"/>
      <c r="P510" s="1"/>
      <c r="Q510" s="1"/>
      <c r="R510" s="1"/>
      <c r="S510" s="1"/>
      <c r="T510" s="1"/>
      <c r="U510" s="1"/>
      <c r="V510" s="1"/>
      <c r="W510" s="1"/>
      <c r="X510" s="1"/>
      <c r="Y510" s="1"/>
      <c r="Z510" s="1"/>
      <c r="AA510" s="1"/>
    </row>
    <row r="511" spans="1:27" ht="15.75" customHeight="1">
      <c r="A511" s="1"/>
      <c r="B511" s="556" t="s">
        <v>2082</v>
      </c>
      <c r="C511" s="557" t="s">
        <v>2024</v>
      </c>
      <c r="D511" s="174" t="s">
        <v>2083</v>
      </c>
      <c r="E511" s="558">
        <f t="shared" si="191"/>
        <v>25210084.033613447</v>
      </c>
      <c r="F511" s="559" t="s">
        <v>1291</v>
      </c>
      <c r="G511" s="557"/>
      <c r="H511" s="560">
        <f t="shared" si="192"/>
        <v>30000000</v>
      </c>
      <c r="I511" s="523"/>
      <c r="J511" s="524">
        <f t="shared" si="193"/>
        <v>30000000</v>
      </c>
      <c r="K511" s="518" t="s">
        <v>2084</v>
      </c>
      <c r="L511" s="519">
        <v>30000000</v>
      </c>
      <c r="M511" s="1"/>
      <c r="N511" s="1"/>
      <c r="O511" s="1"/>
      <c r="P511" s="1"/>
      <c r="Q511" s="1"/>
      <c r="R511" s="1"/>
      <c r="S511" s="1"/>
      <c r="T511" s="1"/>
      <c r="U511" s="1"/>
      <c r="V511" s="1"/>
      <c r="W511" s="1"/>
      <c r="X511" s="1"/>
      <c r="Y511" s="1"/>
      <c r="Z511" s="1"/>
      <c r="AA511" s="1"/>
    </row>
    <row r="512" spans="1:27" ht="15.75" customHeight="1">
      <c r="A512" s="1"/>
      <c r="B512" s="556" t="s">
        <v>2085</v>
      </c>
      <c r="C512" s="557" t="s">
        <v>2024</v>
      </c>
      <c r="D512" s="174" t="s">
        <v>2086</v>
      </c>
      <c r="E512" s="558">
        <f t="shared" si="191"/>
        <v>1411.7647058823529</v>
      </c>
      <c r="F512" s="559" t="s">
        <v>1291</v>
      </c>
      <c r="G512" s="557"/>
      <c r="H512" s="560">
        <f t="shared" si="192"/>
        <v>1680</v>
      </c>
      <c r="I512" s="523"/>
      <c r="J512" s="524">
        <f t="shared" si="193"/>
        <v>1680</v>
      </c>
      <c r="K512" s="518" t="s">
        <v>2026</v>
      </c>
      <c r="L512" s="519">
        <v>1680</v>
      </c>
      <c r="M512" s="1"/>
      <c r="N512" s="1"/>
      <c r="O512" s="1"/>
      <c r="P512" s="1"/>
      <c r="Q512" s="1"/>
      <c r="R512" s="1"/>
      <c r="S512" s="1"/>
      <c r="T512" s="1"/>
      <c r="U512" s="1"/>
      <c r="V512" s="1"/>
      <c r="W512" s="1"/>
      <c r="X512" s="1"/>
      <c r="Y512" s="1"/>
      <c r="Z512" s="1"/>
      <c r="AA512" s="1"/>
    </row>
    <row r="513" spans="1:27" ht="15.75" customHeight="1">
      <c r="A513" s="1"/>
      <c r="B513" s="556" t="s">
        <v>2087</v>
      </c>
      <c r="C513" s="557" t="s">
        <v>2024</v>
      </c>
      <c r="D513" s="174" t="s">
        <v>2088</v>
      </c>
      <c r="E513" s="558">
        <f t="shared" si="191"/>
        <v>43705.882352941182</v>
      </c>
      <c r="F513" s="559" t="s">
        <v>1291</v>
      </c>
      <c r="G513" s="557"/>
      <c r="H513" s="560">
        <f t="shared" si="192"/>
        <v>52010</v>
      </c>
      <c r="I513" s="523"/>
      <c r="J513" s="524">
        <f t="shared" si="193"/>
        <v>52010</v>
      </c>
      <c r="K513" s="518" t="s">
        <v>2026</v>
      </c>
      <c r="L513" s="519">
        <v>52010</v>
      </c>
      <c r="M513" s="1"/>
      <c r="N513" s="1"/>
      <c r="O513" s="1"/>
      <c r="P513" s="1"/>
      <c r="Q513" s="1"/>
      <c r="R513" s="1"/>
      <c r="S513" s="1"/>
      <c r="T513" s="1"/>
      <c r="U513" s="1"/>
      <c r="V513" s="1"/>
      <c r="W513" s="1"/>
      <c r="X513" s="1"/>
      <c r="Y513" s="1"/>
      <c r="Z513" s="1"/>
      <c r="AA513" s="1"/>
    </row>
    <row r="514" spans="1:27" ht="15.75" customHeight="1">
      <c r="A514" s="1"/>
      <c r="B514" s="556" t="s">
        <v>2089</v>
      </c>
      <c r="C514" s="557" t="s">
        <v>2024</v>
      </c>
      <c r="D514" s="174" t="s">
        <v>2090</v>
      </c>
      <c r="E514" s="558">
        <f t="shared" si="191"/>
        <v>22470.588235294119</v>
      </c>
      <c r="F514" s="559" t="s">
        <v>1291</v>
      </c>
      <c r="G514" s="557"/>
      <c r="H514" s="560">
        <f t="shared" si="192"/>
        <v>26740</v>
      </c>
      <c r="I514" s="523"/>
      <c r="J514" s="524">
        <f t="shared" si="193"/>
        <v>26740</v>
      </c>
      <c r="K514" s="518" t="s">
        <v>2026</v>
      </c>
      <c r="L514" s="519">
        <v>26740</v>
      </c>
      <c r="M514" s="1"/>
      <c r="N514" s="1"/>
      <c r="O514" s="1"/>
      <c r="P514" s="1"/>
      <c r="Q514" s="1"/>
      <c r="R514" s="1"/>
      <c r="S514" s="1"/>
      <c r="T514" s="1"/>
      <c r="U514" s="1"/>
      <c r="V514" s="1"/>
      <c r="W514" s="1"/>
      <c r="X514" s="1"/>
      <c r="Y514" s="1"/>
      <c r="Z514" s="1"/>
      <c r="AA514" s="1"/>
    </row>
    <row r="515" spans="1:27" ht="15.75" customHeight="1">
      <c r="A515" s="1"/>
      <c r="B515" s="556" t="s">
        <v>2091</v>
      </c>
      <c r="C515" s="557" t="s">
        <v>2024</v>
      </c>
      <c r="D515" s="174" t="s">
        <v>2092</v>
      </c>
      <c r="E515" s="558">
        <f t="shared" si="191"/>
        <v>125941.17647058824</v>
      </c>
      <c r="F515" s="559" t="s">
        <v>1291</v>
      </c>
      <c r="G515" s="557"/>
      <c r="H515" s="560">
        <f t="shared" si="192"/>
        <v>149870</v>
      </c>
      <c r="I515" s="523"/>
      <c r="J515" s="524">
        <f t="shared" si="193"/>
        <v>149870</v>
      </c>
      <c r="K515" s="518" t="s">
        <v>2026</v>
      </c>
      <c r="L515" s="519">
        <v>149870</v>
      </c>
      <c r="M515" s="1"/>
      <c r="N515" s="1"/>
      <c r="O515" s="1"/>
      <c r="P515" s="1"/>
      <c r="Q515" s="1"/>
      <c r="R515" s="1"/>
      <c r="S515" s="1"/>
      <c r="T515" s="1"/>
      <c r="U515" s="1"/>
      <c r="V515" s="1"/>
      <c r="W515" s="1"/>
      <c r="X515" s="1"/>
      <c r="Y515" s="1"/>
      <c r="Z515" s="1"/>
      <c r="AA515" s="1"/>
    </row>
    <row r="516" spans="1:27" ht="15.75" customHeight="1">
      <c r="A516" s="1"/>
      <c r="B516" s="556" t="s">
        <v>2093</v>
      </c>
      <c r="C516" s="557" t="s">
        <v>2024</v>
      </c>
      <c r="D516" s="174" t="s">
        <v>2094</v>
      </c>
      <c r="E516" s="558">
        <f t="shared" si="191"/>
        <v>300117.64705882355</v>
      </c>
      <c r="F516" s="559" t="s">
        <v>1291</v>
      </c>
      <c r="G516" s="557"/>
      <c r="H516" s="560">
        <f t="shared" si="192"/>
        <v>357140</v>
      </c>
      <c r="I516" s="523"/>
      <c r="J516" s="524">
        <f t="shared" si="193"/>
        <v>357140</v>
      </c>
      <c r="K516" s="518" t="s">
        <v>2026</v>
      </c>
      <c r="L516" s="519">
        <v>357140</v>
      </c>
      <c r="M516" s="1"/>
      <c r="N516" s="1"/>
      <c r="O516" s="1"/>
      <c r="P516" s="1"/>
      <c r="Q516" s="1"/>
      <c r="R516" s="1"/>
      <c r="S516" s="1"/>
      <c r="T516" s="1"/>
      <c r="U516" s="1"/>
      <c r="V516" s="1"/>
      <c r="W516" s="1"/>
      <c r="X516" s="1"/>
      <c r="Y516" s="1"/>
      <c r="Z516" s="1"/>
      <c r="AA516" s="1"/>
    </row>
    <row r="517" spans="1:27" ht="15.75" customHeight="1">
      <c r="A517" s="1"/>
      <c r="B517" s="556" t="s">
        <v>2095</v>
      </c>
      <c r="C517" s="557" t="s">
        <v>2024</v>
      </c>
      <c r="D517" s="174" t="s">
        <v>2096</v>
      </c>
      <c r="E517" s="558">
        <f t="shared" si="191"/>
        <v>15621.848739495799</v>
      </c>
      <c r="F517" s="559" t="s">
        <v>1291</v>
      </c>
      <c r="G517" s="557"/>
      <c r="H517" s="560">
        <f t="shared" si="192"/>
        <v>18590</v>
      </c>
      <c r="I517" s="523"/>
      <c r="J517" s="524">
        <f t="shared" si="193"/>
        <v>18590</v>
      </c>
      <c r="K517" s="518" t="s">
        <v>2097</v>
      </c>
      <c r="L517" s="519">
        <v>18590</v>
      </c>
      <c r="M517" s="1"/>
      <c r="N517" s="1"/>
      <c r="O517" s="1"/>
      <c r="P517" s="1"/>
      <c r="Q517" s="1"/>
      <c r="R517" s="1"/>
      <c r="S517" s="1"/>
      <c r="T517" s="1"/>
      <c r="U517" s="1"/>
      <c r="V517" s="1"/>
      <c r="W517" s="1"/>
      <c r="X517" s="1"/>
      <c r="Y517" s="1"/>
      <c r="Z517" s="1"/>
      <c r="AA517" s="1"/>
    </row>
    <row r="518" spans="1:27" ht="15.75" customHeight="1">
      <c r="A518" s="1"/>
      <c r="B518" s="556" t="s">
        <v>2098</v>
      </c>
      <c r="C518" s="557" t="s">
        <v>2024</v>
      </c>
      <c r="D518" s="174" t="s">
        <v>2099</v>
      </c>
      <c r="E518" s="558">
        <f t="shared" si="191"/>
        <v>60705882.352941178</v>
      </c>
      <c r="F518" s="559" t="s">
        <v>1291</v>
      </c>
      <c r="G518" s="557"/>
      <c r="H518" s="560">
        <f t="shared" si="192"/>
        <v>72240000</v>
      </c>
      <c r="I518" s="523"/>
      <c r="J518" s="524">
        <f t="shared" si="193"/>
        <v>72240000</v>
      </c>
      <c r="K518" s="518" t="s">
        <v>2050</v>
      </c>
      <c r="L518" s="519">
        <v>72240000</v>
      </c>
      <c r="M518" s="1"/>
      <c r="N518" s="1"/>
      <c r="O518" s="1"/>
      <c r="P518" s="1"/>
      <c r="Q518" s="1"/>
      <c r="R518" s="1"/>
      <c r="S518" s="1"/>
      <c r="T518" s="1"/>
      <c r="U518" s="1"/>
      <c r="V518" s="1"/>
      <c r="W518" s="1"/>
      <c r="X518" s="1"/>
      <c r="Y518" s="1"/>
      <c r="Z518" s="1"/>
      <c r="AA518" s="1"/>
    </row>
    <row r="519" spans="1:27" ht="15.75" customHeight="1">
      <c r="A519" s="1"/>
      <c r="B519" s="556" t="s">
        <v>2100</v>
      </c>
      <c r="C519" s="557" t="s">
        <v>2024</v>
      </c>
      <c r="D519" s="174" t="s">
        <v>2101</v>
      </c>
      <c r="E519" s="558">
        <f t="shared" si="191"/>
        <v>16806722.68907563</v>
      </c>
      <c r="F519" s="559" t="s">
        <v>1291</v>
      </c>
      <c r="G519" s="557"/>
      <c r="H519" s="560">
        <f t="shared" si="192"/>
        <v>20000000</v>
      </c>
      <c r="I519" s="523"/>
      <c r="J519" s="524">
        <f t="shared" si="193"/>
        <v>20000000</v>
      </c>
      <c r="K519" s="518" t="s">
        <v>2084</v>
      </c>
      <c r="L519" s="519">
        <v>20000000</v>
      </c>
      <c r="M519" s="1"/>
      <c r="N519" s="1"/>
      <c r="O519" s="1"/>
      <c r="P519" s="1"/>
      <c r="Q519" s="1"/>
      <c r="R519" s="1"/>
      <c r="S519" s="1"/>
      <c r="T519" s="1"/>
      <c r="U519" s="1"/>
      <c r="V519" s="1"/>
      <c r="W519" s="1"/>
      <c r="X519" s="1"/>
      <c r="Y519" s="1"/>
      <c r="Z519" s="1"/>
      <c r="AA519" s="1"/>
    </row>
    <row r="520" spans="1:27" ht="15.75" customHeight="1">
      <c r="A520" s="1"/>
      <c r="B520" s="556" t="s">
        <v>2102</v>
      </c>
      <c r="C520" s="557" t="s">
        <v>2024</v>
      </c>
      <c r="D520" s="174" t="s">
        <v>2103</v>
      </c>
      <c r="E520" s="558">
        <f t="shared" si="191"/>
        <v>60117.647058823532</v>
      </c>
      <c r="F520" s="559" t="s">
        <v>1291</v>
      </c>
      <c r="G520" s="557"/>
      <c r="H520" s="560">
        <f t="shared" si="192"/>
        <v>71540</v>
      </c>
      <c r="I520" s="523"/>
      <c r="J520" s="524">
        <f t="shared" si="193"/>
        <v>71540</v>
      </c>
      <c r="K520" s="518" t="s">
        <v>2026</v>
      </c>
      <c r="L520" s="519">
        <v>71540</v>
      </c>
      <c r="M520" s="1"/>
      <c r="N520" s="1"/>
      <c r="O520" s="1"/>
      <c r="P520" s="1"/>
      <c r="Q520" s="1"/>
      <c r="R520" s="1"/>
      <c r="S520" s="1"/>
      <c r="T520" s="1"/>
      <c r="U520" s="1"/>
      <c r="V520" s="1"/>
      <c r="W520" s="1"/>
      <c r="X520" s="1"/>
      <c r="Y520" s="1"/>
      <c r="Z520" s="1"/>
      <c r="AA520" s="1"/>
    </row>
    <row r="521" spans="1:27" ht="15.75" customHeight="1">
      <c r="A521" s="1"/>
      <c r="B521" s="556" t="s">
        <v>2104</v>
      </c>
      <c r="C521" s="557" t="s">
        <v>2024</v>
      </c>
      <c r="D521" s="174" t="s">
        <v>2105</v>
      </c>
      <c r="E521" s="558">
        <f t="shared" si="191"/>
        <v>5823.5294117647063</v>
      </c>
      <c r="F521" s="559" t="s">
        <v>1291</v>
      </c>
      <c r="G521" s="557"/>
      <c r="H521" s="560">
        <f t="shared" si="192"/>
        <v>6930</v>
      </c>
      <c r="I521" s="523"/>
      <c r="J521" s="524">
        <f t="shared" si="193"/>
        <v>6930</v>
      </c>
      <c r="K521" s="518" t="s">
        <v>2026</v>
      </c>
      <c r="L521" s="519">
        <v>6930</v>
      </c>
      <c r="M521" s="1"/>
      <c r="N521" s="1"/>
      <c r="O521" s="1"/>
      <c r="P521" s="1"/>
      <c r="Q521" s="1"/>
      <c r="R521" s="1"/>
      <c r="S521" s="1"/>
      <c r="T521" s="1"/>
      <c r="U521" s="1"/>
      <c r="V521" s="1"/>
      <c r="W521" s="1"/>
      <c r="X521" s="1"/>
      <c r="Y521" s="1"/>
      <c r="Z521" s="1"/>
      <c r="AA521" s="1"/>
    </row>
    <row r="522" spans="1:27" ht="15.75" customHeight="1">
      <c r="A522" s="1"/>
      <c r="B522" s="556" t="s">
        <v>2106</v>
      </c>
      <c r="C522" s="557" t="s">
        <v>2024</v>
      </c>
      <c r="D522" s="174" t="s">
        <v>2107</v>
      </c>
      <c r="E522" s="558">
        <f t="shared" si="191"/>
        <v>38705.882352941175</v>
      </c>
      <c r="F522" s="559" t="s">
        <v>1291</v>
      </c>
      <c r="G522" s="557"/>
      <c r="H522" s="560">
        <f t="shared" si="192"/>
        <v>46060</v>
      </c>
      <c r="I522" s="523"/>
      <c r="J522" s="524">
        <f t="shared" si="193"/>
        <v>46060</v>
      </c>
      <c r="K522" s="518" t="s">
        <v>2026</v>
      </c>
      <c r="L522" s="519">
        <v>46060</v>
      </c>
      <c r="M522" s="1"/>
      <c r="N522" s="1"/>
      <c r="O522" s="1"/>
      <c r="P522" s="1"/>
      <c r="Q522" s="1"/>
      <c r="R522" s="1"/>
      <c r="S522" s="1"/>
      <c r="T522" s="1"/>
      <c r="U522" s="1"/>
      <c r="V522" s="1"/>
      <c r="W522" s="1"/>
      <c r="X522" s="1"/>
      <c r="Y522" s="1"/>
      <c r="Z522" s="1"/>
      <c r="AA522" s="1"/>
    </row>
    <row r="523" spans="1:27" ht="15.75" customHeight="1">
      <c r="A523" s="1"/>
      <c r="B523" s="556" t="s">
        <v>2108</v>
      </c>
      <c r="C523" s="557" t="s">
        <v>2024</v>
      </c>
      <c r="D523" s="174" t="s">
        <v>2109</v>
      </c>
      <c r="E523" s="558">
        <f t="shared" si="191"/>
        <v>117.64705882352942</v>
      </c>
      <c r="F523" s="559" t="s">
        <v>1291</v>
      </c>
      <c r="G523" s="557"/>
      <c r="H523" s="560">
        <f t="shared" si="192"/>
        <v>140</v>
      </c>
      <c r="I523" s="523"/>
      <c r="J523" s="524">
        <f t="shared" si="193"/>
        <v>140</v>
      </c>
      <c r="K523" s="518" t="s">
        <v>2026</v>
      </c>
      <c r="L523" s="519">
        <v>140</v>
      </c>
      <c r="M523" s="1"/>
      <c r="N523" s="1"/>
      <c r="O523" s="1"/>
      <c r="P523" s="1"/>
      <c r="Q523" s="1"/>
      <c r="R523" s="1"/>
      <c r="S523" s="1"/>
      <c r="T523" s="1"/>
      <c r="U523" s="1"/>
      <c r="V523" s="1"/>
      <c r="W523" s="1"/>
      <c r="X523" s="1"/>
      <c r="Y523" s="1"/>
      <c r="Z523" s="1"/>
      <c r="AA523" s="1"/>
    </row>
    <row r="524" spans="1:27" ht="15.75" customHeight="1">
      <c r="A524" s="1"/>
      <c r="B524" s="556" t="s">
        <v>2110</v>
      </c>
      <c r="C524" s="557" t="s">
        <v>2024</v>
      </c>
      <c r="D524" s="174" t="s">
        <v>2111</v>
      </c>
      <c r="E524" s="558">
        <f t="shared" si="191"/>
        <v>176.47058823529412</v>
      </c>
      <c r="F524" s="559" t="s">
        <v>1291</v>
      </c>
      <c r="G524" s="557"/>
      <c r="H524" s="560">
        <f t="shared" si="192"/>
        <v>210</v>
      </c>
      <c r="I524" s="523"/>
      <c r="J524" s="524">
        <f t="shared" si="193"/>
        <v>210</v>
      </c>
      <c r="K524" s="518" t="s">
        <v>2026</v>
      </c>
      <c r="L524" s="519">
        <v>210</v>
      </c>
      <c r="M524" s="1"/>
      <c r="N524" s="1"/>
      <c r="O524" s="1"/>
      <c r="P524" s="1"/>
      <c r="Q524" s="1"/>
      <c r="R524" s="1"/>
      <c r="S524" s="1"/>
      <c r="T524" s="1"/>
      <c r="U524" s="1"/>
      <c r="V524" s="1"/>
      <c r="W524" s="1"/>
      <c r="X524" s="1"/>
      <c r="Y524" s="1"/>
      <c r="Z524" s="1"/>
      <c r="AA524" s="1"/>
    </row>
    <row r="525" spans="1:27" ht="15.75" customHeight="1">
      <c r="A525" s="1"/>
      <c r="B525" s="556" t="s">
        <v>2112</v>
      </c>
      <c r="C525" s="557" t="s">
        <v>2024</v>
      </c>
      <c r="D525" s="174" t="s">
        <v>2113</v>
      </c>
      <c r="E525" s="558">
        <f t="shared" si="191"/>
        <v>9923.5294117647063</v>
      </c>
      <c r="F525" s="559" t="s">
        <v>1291</v>
      </c>
      <c r="G525" s="557"/>
      <c r="H525" s="560">
        <f t="shared" si="192"/>
        <v>11809</v>
      </c>
      <c r="I525" s="523"/>
      <c r="J525" s="524">
        <f t="shared" si="193"/>
        <v>11809</v>
      </c>
      <c r="K525" s="518" t="s">
        <v>2026</v>
      </c>
      <c r="L525" s="519">
        <v>11809</v>
      </c>
      <c r="M525" s="1"/>
      <c r="N525" s="1"/>
      <c r="O525" s="1"/>
      <c r="P525" s="1"/>
      <c r="Q525" s="1"/>
      <c r="R525" s="1"/>
      <c r="S525" s="1"/>
      <c r="T525" s="1"/>
      <c r="U525" s="1"/>
      <c r="V525" s="1"/>
      <c r="W525" s="1"/>
      <c r="X525" s="1"/>
      <c r="Y525" s="1"/>
      <c r="Z525" s="1"/>
      <c r="AA525" s="1"/>
    </row>
    <row r="526" spans="1:27" ht="15.75" customHeight="1">
      <c r="A526" s="1"/>
      <c r="B526" s="556" t="s">
        <v>2114</v>
      </c>
      <c r="C526" s="557" t="s">
        <v>2024</v>
      </c>
      <c r="D526" s="174" t="s">
        <v>2617</v>
      </c>
      <c r="E526" s="558">
        <f t="shared" si="191"/>
        <v>901.68067226890764</v>
      </c>
      <c r="F526" s="559" t="s">
        <v>1291</v>
      </c>
      <c r="G526" s="557"/>
      <c r="H526" s="560">
        <f t="shared" si="192"/>
        <v>1073</v>
      </c>
      <c r="I526" s="523"/>
      <c r="J526" s="524">
        <f t="shared" si="193"/>
        <v>1072.3999999999999</v>
      </c>
      <c r="K526" s="518" t="s">
        <v>2115</v>
      </c>
      <c r="L526" s="519">
        <v>1072.3999999999999</v>
      </c>
      <c r="M526" s="1"/>
      <c r="N526" s="1"/>
      <c r="O526" s="1"/>
      <c r="P526" s="1"/>
      <c r="Q526" s="1"/>
      <c r="R526" s="1"/>
      <c r="S526" s="1"/>
      <c r="T526" s="1"/>
      <c r="U526" s="1"/>
      <c r="V526" s="1"/>
      <c r="W526" s="1"/>
      <c r="X526" s="1"/>
      <c r="Y526" s="1"/>
      <c r="Z526" s="1"/>
      <c r="AA526" s="1"/>
    </row>
    <row r="527" spans="1:27" ht="15.75" customHeight="1">
      <c r="A527" s="1"/>
      <c r="B527" s="556" t="s">
        <v>2116</v>
      </c>
      <c r="C527" s="557" t="s">
        <v>2024</v>
      </c>
      <c r="D527" s="174" t="s">
        <v>2117</v>
      </c>
      <c r="E527" s="558">
        <f t="shared" si="191"/>
        <v>8705.8823529411766</v>
      </c>
      <c r="F527" s="559" t="s">
        <v>710</v>
      </c>
      <c r="G527" s="557"/>
      <c r="H527" s="560">
        <f t="shared" si="192"/>
        <v>10360</v>
      </c>
      <c r="I527" s="523"/>
      <c r="J527" s="524">
        <f t="shared" si="193"/>
        <v>10360</v>
      </c>
      <c r="K527" s="518" t="s">
        <v>2026</v>
      </c>
      <c r="L527" s="519">
        <v>10360</v>
      </c>
      <c r="M527" s="1"/>
      <c r="N527" s="1"/>
      <c r="O527" s="1"/>
      <c r="P527" s="1"/>
      <c r="Q527" s="1"/>
      <c r="R527" s="1"/>
      <c r="S527" s="1"/>
      <c r="T527" s="1"/>
      <c r="U527" s="1"/>
      <c r="V527" s="1"/>
      <c r="W527" s="1"/>
      <c r="X527" s="1"/>
      <c r="Y527" s="1"/>
      <c r="Z527" s="1"/>
      <c r="AA527" s="1"/>
    </row>
    <row r="528" spans="1:27" ht="15.75" customHeight="1">
      <c r="A528" s="1"/>
      <c r="B528" s="556" t="s">
        <v>2118</v>
      </c>
      <c r="C528" s="557" t="s">
        <v>2024</v>
      </c>
      <c r="D528" s="174" t="s">
        <v>2119</v>
      </c>
      <c r="E528" s="558">
        <f t="shared" si="191"/>
        <v>8117.6470588235297</v>
      </c>
      <c r="F528" s="559" t="s">
        <v>710</v>
      </c>
      <c r="G528" s="557"/>
      <c r="H528" s="560">
        <f t="shared" si="192"/>
        <v>9660</v>
      </c>
      <c r="I528" s="523"/>
      <c r="J528" s="524">
        <f t="shared" si="193"/>
        <v>9660</v>
      </c>
      <c r="K528" s="518" t="s">
        <v>2026</v>
      </c>
      <c r="L528" s="519">
        <v>9660</v>
      </c>
      <c r="M528" s="1"/>
      <c r="N528" s="1"/>
      <c r="O528" s="1"/>
      <c r="P528" s="1"/>
      <c r="Q528" s="1"/>
      <c r="R528" s="1"/>
      <c r="S528" s="1"/>
      <c r="T528" s="1"/>
      <c r="U528" s="1"/>
      <c r="V528" s="1"/>
      <c r="W528" s="1"/>
      <c r="X528" s="1"/>
      <c r="Y528" s="1"/>
      <c r="Z528" s="1"/>
      <c r="AA528" s="1"/>
    </row>
    <row r="529" spans="1:27" ht="15.75" customHeight="1">
      <c r="A529" s="1"/>
      <c r="B529" s="556" t="s">
        <v>2120</v>
      </c>
      <c r="C529" s="557" t="s">
        <v>2024</v>
      </c>
      <c r="D529" s="174" t="s">
        <v>2121</v>
      </c>
      <c r="E529" s="558">
        <f t="shared" si="191"/>
        <v>42000</v>
      </c>
      <c r="F529" s="559" t="s">
        <v>1291</v>
      </c>
      <c r="G529" s="557"/>
      <c r="H529" s="560">
        <f t="shared" si="192"/>
        <v>49980</v>
      </c>
      <c r="I529" s="523"/>
      <c r="J529" s="524">
        <f t="shared" si="193"/>
        <v>49980</v>
      </c>
      <c r="K529" s="518" t="s">
        <v>2026</v>
      </c>
      <c r="L529" s="519">
        <v>49980</v>
      </c>
      <c r="M529" s="1"/>
      <c r="N529" s="1"/>
      <c r="O529" s="1"/>
      <c r="P529" s="1"/>
      <c r="Q529" s="1"/>
      <c r="R529" s="1"/>
      <c r="S529" s="1"/>
      <c r="T529" s="1"/>
      <c r="U529" s="1"/>
      <c r="V529" s="1"/>
      <c r="W529" s="1"/>
      <c r="X529" s="1"/>
      <c r="Y529" s="1"/>
      <c r="Z529" s="1"/>
      <c r="AA529" s="1"/>
    </row>
    <row r="530" spans="1:27" ht="15.75" customHeight="1">
      <c r="A530" s="1"/>
      <c r="B530" s="556" t="s">
        <v>2122</v>
      </c>
      <c r="C530" s="557" t="s">
        <v>2024</v>
      </c>
      <c r="D530" s="174" t="s">
        <v>2123</v>
      </c>
      <c r="E530" s="558">
        <f t="shared" si="191"/>
        <v>32294.117647058825</v>
      </c>
      <c r="F530" s="559" t="s">
        <v>1291</v>
      </c>
      <c r="G530" s="557"/>
      <c r="H530" s="560">
        <f t="shared" si="192"/>
        <v>38430</v>
      </c>
      <c r="I530" s="523"/>
      <c r="J530" s="524">
        <f t="shared" si="193"/>
        <v>38430</v>
      </c>
      <c r="K530" s="518" t="s">
        <v>2026</v>
      </c>
      <c r="L530" s="519">
        <v>38430</v>
      </c>
      <c r="M530" s="1"/>
      <c r="N530" s="1"/>
      <c r="O530" s="1"/>
      <c r="P530" s="1"/>
      <c r="Q530" s="1"/>
      <c r="R530" s="1"/>
      <c r="S530" s="1"/>
      <c r="T530" s="1"/>
      <c r="U530" s="1"/>
      <c r="V530" s="1"/>
      <c r="W530" s="1"/>
      <c r="X530" s="1"/>
      <c r="Y530" s="1"/>
      <c r="Z530" s="1"/>
      <c r="AA530" s="1"/>
    </row>
    <row r="531" spans="1:27" ht="15.75" customHeight="1">
      <c r="A531" s="1"/>
      <c r="B531" s="556" t="s">
        <v>2124</v>
      </c>
      <c r="C531" s="557" t="s">
        <v>2024</v>
      </c>
      <c r="D531" s="174" t="s">
        <v>2125</v>
      </c>
      <c r="E531" s="558">
        <f t="shared" si="191"/>
        <v>235.29411764705884</v>
      </c>
      <c r="F531" s="559" t="s">
        <v>1291</v>
      </c>
      <c r="G531" s="557"/>
      <c r="H531" s="560">
        <f t="shared" si="192"/>
        <v>280</v>
      </c>
      <c r="I531" s="523"/>
      <c r="J531" s="524">
        <f t="shared" si="193"/>
        <v>280</v>
      </c>
      <c r="K531" s="518" t="s">
        <v>2026</v>
      </c>
      <c r="L531" s="519">
        <v>280</v>
      </c>
      <c r="M531" s="1"/>
      <c r="N531" s="1"/>
      <c r="O531" s="1"/>
      <c r="P531" s="1"/>
      <c r="Q531" s="1"/>
      <c r="R531" s="1"/>
      <c r="S531" s="1"/>
      <c r="T531" s="1"/>
      <c r="U531" s="1"/>
      <c r="V531" s="1"/>
      <c r="W531" s="1"/>
      <c r="X531" s="1"/>
      <c r="Y531" s="1"/>
      <c r="Z531" s="1"/>
      <c r="AA531" s="1"/>
    </row>
    <row r="532" spans="1:27" ht="15.75" customHeight="1">
      <c r="A532" s="1"/>
      <c r="B532" s="556" t="s">
        <v>2126</v>
      </c>
      <c r="C532" s="557" t="s">
        <v>2024</v>
      </c>
      <c r="D532" s="174" t="s">
        <v>2127</v>
      </c>
      <c r="E532" s="558">
        <f t="shared" si="191"/>
        <v>168.0672268907563</v>
      </c>
      <c r="F532" s="559" t="s">
        <v>1291</v>
      </c>
      <c r="G532" s="557"/>
      <c r="H532" s="560">
        <f t="shared" si="192"/>
        <v>200</v>
      </c>
      <c r="I532" s="523"/>
      <c r="J532" s="524">
        <f t="shared" si="193"/>
        <v>200</v>
      </c>
      <c r="K532" s="518" t="s">
        <v>2069</v>
      </c>
      <c r="L532" s="519">
        <v>200</v>
      </c>
      <c r="M532" s="1"/>
      <c r="N532" s="1"/>
      <c r="O532" s="1"/>
      <c r="P532" s="1"/>
      <c r="Q532" s="1"/>
      <c r="R532" s="1"/>
      <c r="S532" s="1"/>
      <c r="T532" s="1"/>
      <c r="U532" s="1"/>
      <c r="V532" s="1"/>
      <c r="W532" s="1"/>
      <c r="X532" s="1"/>
      <c r="Y532" s="1"/>
      <c r="Z532" s="1"/>
      <c r="AA532" s="1"/>
    </row>
    <row r="533" spans="1:27" ht="15.75" customHeight="1">
      <c r="A533" s="1"/>
      <c r="B533" s="556" t="s">
        <v>2128</v>
      </c>
      <c r="C533" s="557" t="s">
        <v>2024</v>
      </c>
      <c r="D533" s="174" t="s">
        <v>2604</v>
      </c>
      <c r="E533" s="558">
        <f t="shared" si="191"/>
        <v>882.35294117647061</v>
      </c>
      <c r="F533" s="559" t="s">
        <v>1291</v>
      </c>
      <c r="G533" s="557"/>
      <c r="H533" s="560">
        <f t="shared" si="192"/>
        <v>1050</v>
      </c>
      <c r="I533" s="523"/>
      <c r="J533" s="524">
        <f t="shared" si="193"/>
        <v>1050</v>
      </c>
      <c r="K533" s="518" t="s">
        <v>2026</v>
      </c>
      <c r="L533" s="519">
        <v>1050</v>
      </c>
      <c r="M533" s="1"/>
      <c r="N533" s="1"/>
      <c r="O533" s="1"/>
      <c r="P533" s="1"/>
      <c r="Q533" s="1"/>
      <c r="R533" s="1"/>
      <c r="S533" s="1"/>
      <c r="T533" s="1"/>
      <c r="U533" s="1"/>
      <c r="V533" s="1"/>
      <c r="W533" s="1"/>
      <c r="X533" s="1"/>
      <c r="Y533" s="1"/>
      <c r="Z533" s="1"/>
      <c r="AA533" s="1"/>
    </row>
    <row r="534" spans="1:27" ht="15.75" customHeight="1">
      <c r="A534" s="1"/>
      <c r="B534" s="556" t="s">
        <v>2129</v>
      </c>
      <c r="C534" s="557" t="s">
        <v>2024</v>
      </c>
      <c r="D534" s="174" t="s">
        <v>2130</v>
      </c>
      <c r="E534" s="558">
        <f t="shared" si="191"/>
        <v>3176.4705882352941</v>
      </c>
      <c r="F534" s="559" t="s">
        <v>710</v>
      </c>
      <c r="G534" s="557"/>
      <c r="H534" s="560">
        <f t="shared" si="192"/>
        <v>3780</v>
      </c>
      <c r="I534" s="523"/>
      <c r="J534" s="524">
        <f t="shared" si="193"/>
        <v>3779.9999999999995</v>
      </c>
      <c r="K534" s="518" t="s">
        <v>2026</v>
      </c>
      <c r="L534" s="519">
        <v>3779.9999999999995</v>
      </c>
      <c r="M534" s="1"/>
      <c r="N534" s="1"/>
      <c r="O534" s="1"/>
      <c r="P534" s="1"/>
      <c r="Q534" s="1"/>
      <c r="R534" s="1"/>
      <c r="S534" s="1"/>
      <c r="T534" s="1"/>
      <c r="U534" s="1"/>
      <c r="V534" s="1"/>
      <c r="W534" s="1"/>
      <c r="X534" s="1"/>
      <c r="Y534" s="1"/>
      <c r="Z534" s="1"/>
      <c r="AA534" s="1"/>
    </row>
    <row r="535" spans="1:27" ht="15.75" customHeight="1">
      <c r="A535" s="1"/>
      <c r="B535" s="556" t="s">
        <v>2131</v>
      </c>
      <c r="C535" s="557" t="s">
        <v>2024</v>
      </c>
      <c r="D535" s="174" t="s">
        <v>2132</v>
      </c>
      <c r="E535" s="558">
        <f t="shared" si="191"/>
        <v>6235.2941176470595</v>
      </c>
      <c r="F535" s="559" t="s">
        <v>1291</v>
      </c>
      <c r="G535" s="557"/>
      <c r="H535" s="560">
        <f t="shared" si="192"/>
        <v>7420</v>
      </c>
      <c r="I535" s="523"/>
      <c r="J535" s="524">
        <f t="shared" si="193"/>
        <v>7419.9999999999991</v>
      </c>
      <c r="K535" s="518" t="s">
        <v>2026</v>
      </c>
      <c r="L535" s="519">
        <v>7419.9999999999991</v>
      </c>
      <c r="M535" s="1"/>
      <c r="N535" s="1"/>
      <c r="O535" s="1"/>
      <c r="P535" s="1"/>
      <c r="Q535" s="1"/>
      <c r="R535" s="1"/>
      <c r="S535" s="1"/>
      <c r="T535" s="1"/>
      <c r="U535" s="1"/>
      <c r="V535" s="1"/>
      <c r="W535" s="1"/>
      <c r="X535" s="1"/>
      <c r="Y535" s="1"/>
      <c r="Z535" s="1"/>
      <c r="AA535" s="1"/>
    </row>
    <row r="536" spans="1:27" ht="15.75" customHeight="1">
      <c r="A536" s="1"/>
      <c r="B536" s="556" t="s">
        <v>2133</v>
      </c>
      <c r="C536" s="557" t="s">
        <v>2024</v>
      </c>
      <c r="D536" s="174" t="s">
        <v>2134</v>
      </c>
      <c r="E536" s="558">
        <f t="shared" si="191"/>
        <v>515294.11764705885</v>
      </c>
      <c r="F536" s="559" t="s">
        <v>1291</v>
      </c>
      <c r="G536" s="557"/>
      <c r="H536" s="560">
        <f t="shared" si="192"/>
        <v>613200</v>
      </c>
      <c r="I536" s="523"/>
      <c r="J536" s="524">
        <f t="shared" si="193"/>
        <v>613200</v>
      </c>
      <c r="K536" s="518" t="s">
        <v>2026</v>
      </c>
      <c r="L536" s="519">
        <v>613200</v>
      </c>
      <c r="M536" s="1"/>
      <c r="N536" s="1"/>
      <c r="O536" s="1"/>
      <c r="P536" s="1"/>
      <c r="Q536" s="1"/>
      <c r="R536" s="1"/>
      <c r="S536" s="1"/>
      <c r="T536" s="1"/>
      <c r="U536" s="1"/>
      <c r="V536" s="1"/>
      <c r="W536" s="1"/>
      <c r="X536" s="1"/>
      <c r="Y536" s="1"/>
      <c r="Z536" s="1"/>
      <c r="AA536" s="1"/>
    </row>
    <row r="537" spans="1:27" ht="15.75" customHeight="1">
      <c r="A537" s="1"/>
      <c r="B537" s="556" t="s">
        <v>2135</v>
      </c>
      <c r="C537" s="557" t="s">
        <v>2024</v>
      </c>
      <c r="D537" s="174" t="s">
        <v>2136</v>
      </c>
      <c r="E537" s="558">
        <f t="shared" si="191"/>
        <v>294.11764705882354</v>
      </c>
      <c r="F537" s="559" t="s">
        <v>1291</v>
      </c>
      <c r="G537" s="557"/>
      <c r="H537" s="560">
        <f t="shared" si="192"/>
        <v>350</v>
      </c>
      <c r="I537" s="523"/>
      <c r="J537" s="524">
        <f t="shared" si="193"/>
        <v>350</v>
      </c>
      <c r="K537" s="518" t="s">
        <v>2026</v>
      </c>
      <c r="L537" s="519">
        <v>350</v>
      </c>
      <c r="M537" s="1"/>
      <c r="N537" s="1"/>
      <c r="O537" s="1"/>
      <c r="P537" s="1"/>
      <c r="Q537" s="1"/>
      <c r="R537" s="1"/>
      <c r="S537" s="1"/>
      <c r="T537" s="1"/>
      <c r="U537" s="1"/>
      <c r="V537" s="1"/>
      <c r="W537" s="1"/>
      <c r="X537" s="1"/>
      <c r="Y537" s="1"/>
      <c r="Z537" s="1"/>
      <c r="AA537" s="1"/>
    </row>
    <row r="538" spans="1:27" ht="15.75" customHeight="1">
      <c r="A538" s="1"/>
      <c r="B538" s="556" t="s">
        <v>2137</v>
      </c>
      <c r="C538" s="557" t="s">
        <v>2024</v>
      </c>
      <c r="D538" s="174" t="s">
        <v>2616</v>
      </c>
      <c r="E538" s="558">
        <f t="shared" si="191"/>
        <v>14373.949579831933</v>
      </c>
      <c r="F538" s="559" t="s">
        <v>1291</v>
      </c>
      <c r="G538" s="557"/>
      <c r="H538" s="560">
        <f t="shared" si="192"/>
        <v>17105</v>
      </c>
      <c r="I538" s="523"/>
      <c r="J538" s="524">
        <f t="shared" si="193"/>
        <v>17105</v>
      </c>
      <c r="K538" s="518" t="s">
        <v>2069</v>
      </c>
      <c r="L538" s="519">
        <v>17105</v>
      </c>
      <c r="M538" s="1"/>
      <c r="N538" s="1"/>
      <c r="O538" s="1"/>
      <c r="P538" s="1"/>
      <c r="Q538" s="1"/>
      <c r="R538" s="1"/>
      <c r="S538" s="1"/>
      <c r="T538" s="1"/>
      <c r="U538" s="1"/>
      <c r="V538" s="1"/>
      <c r="W538" s="1"/>
      <c r="X538" s="1"/>
      <c r="Y538" s="1"/>
      <c r="Z538" s="1"/>
      <c r="AA538" s="1"/>
    </row>
    <row r="539" spans="1:27" ht="15.75" customHeight="1">
      <c r="A539" s="1"/>
      <c r="B539" s="556" t="s">
        <v>2138</v>
      </c>
      <c r="C539" s="557" t="s">
        <v>2024</v>
      </c>
      <c r="D539" s="174" t="s">
        <v>2139</v>
      </c>
      <c r="E539" s="558">
        <f t="shared" si="191"/>
        <v>50747.899159663866</v>
      </c>
      <c r="F539" s="559" t="s">
        <v>1291</v>
      </c>
      <c r="G539" s="557"/>
      <c r="H539" s="560">
        <f t="shared" si="192"/>
        <v>60390</v>
      </c>
      <c r="I539" s="523"/>
      <c r="J539" s="524">
        <f t="shared" si="193"/>
        <v>60390.000000000007</v>
      </c>
      <c r="K539" s="518" t="s">
        <v>2069</v>
      </c>
      <c r="L539" s="519">
        <v>60390.000000000007</v>
      </c>
      <c r="M539" s="1"/>
      <c r="N539" s="1"/>
      <c r="O539" s="1"/>
      <c r="P539" s="1"/>
      <c r="Q539" s="1"/>
      <c r="R539" s="1"/>
      <c r="S539" s="1"/>
      <c r="T539" s="1"/>
      <c r="U539" s="1"/>
      <c r="V539" s="1"/>
      <c r="W539" s="1"/>
      <c r="X539" s="1"/>
      <c r="Y539" s="1"/>
      <c r="Z539" s="1"/>
      <c r="AA539" s="1"/>
    </row>
    <row r="540" spans="1:27" ht="15.75" customHeight="1">
      <c r="A540" s="1"/>
      <c r="B540" s="556" t="s">
        <v>2140</v>
      </c>
      <c r="C540" s="557" t="s">
        <v>2024</v>
      </c>
      <c r="D540" s="174" t="s">
        <v>2141</v>
      </c>
      <c r="E540" s="558">
        <f t="shared" si="191"/>
        <v>52781.512605042022</v>
      </c>
      <c r="F540" s="559" t="s">
        <v>1291</v>
      </c>
      <c r="G540" s="557"/>
      <c r="H540" s="560">
        <f t="shared" si="192"/>
        <v>62810</v>
      </c>
      <c r="I540" s="523"/>
      <c r="J540" s="524">
        <f t="shared" si="193"/>
        <v>62810.000000000007</v>
      </c>
      <c r="K540" s="518" t="s">
        <v>2069</v>
      </c>
      <c r="L540" s="519">
        <v>62810.000000000007</v>
      </c>
      <c r="M540" s="1"/>
      <c r="N540" s="1"/>
      <c r="O540" s="1"/>
      <c r="P540" s="1"/>
      <c r="Q540" s="1"/>
      <c r="R540" s="1"/>
      <c r="S540" s="1"/>
      <c r="T540" s="1"/>
      <c r="U540" s="1"/>
      <c r="V540" s="1"/>
      <c r="W540" s="1"/>
      <c r="X540" s="1"/>
      <c r="Y540" s="1"/>
      <c r="Z540" s="1"/>
      <c r="AA540" s="1"/>
    </row>
    <row r="541" spans="1:27" ht="15.75" customHeight="1">
      <c r="A541" s="1"/>
      <c r="B541" s="556" t="s">
        <v>2142</v>
      </c>
      <c r="C541" s="557" t="s">
        <v>2024</v>
      </c>
      <c r="D541" s="174" t="s">
        <v>2143</v>
      </c>
      <c r="E541" s="558">
        <f t="shared" si="191"/>
        <v>230058.82352941178</v>
      </c>
      <c r="F541" s="559" t="s">
        <v>1291</v>
      </c>
      <c r="G541" s="557"/>
      <c r="H541" s="560">
        <f t="shared" si="192"/>
        <v>273770</v>
      </c>
      <c r="I541" s="523"/>
      <c r="J541" s="524">
        <f t="shared" si="193"/>
        <v>273770</v>
      </c>
      <c r="K541" s="518" t="s">
        <v>2026</v>
      </c>
      <c r="L541" s="519">
        <v>273770</v>
      </c>
      <c r="M541" s="1"/>
      <c r="N541" s="1"/>
      <c r="O541" s="1"/>
      <c r="P541" s="1"/>
      <c r="Q541" s="1"/>
      <c r="R541" s="1"/>
      <c r="S541" s="1"/>
      <c r="T541" s="1"/>
      <c r="U541" s="1"/>
      <c r="V541" s="1"/>
      <c r="W541" s="1"/>
      <c r="X541" s="1"/>
      <c r="Y541" s="1"/>
      <c r="Z541" s="1"/>
      <c r="AA541" s="1"/>
    </row>
    <row r="542" spans="1:27" ht="15.75" customHeight="1">
      <c r="A542" s="1"/>
      <c r="B542" s="556" t="s">
        <v>2144</v>
      </c>
      <c r="C542" s="557" t="s">
        <v>2024</v>
      </c>
      <c r="D542" s="174" t="s">
        <v>2145</v>
      </c>
      <c r="E542" s="558">
        <f t="shared" si="191"/>
        <v>29327.731092436978</v>
      </c>
      <c r="F542" s="559" t="s">
        <v>1291</v>
      </c>
      <c r="G542" s="557"/>
      <c r="H542" s="560">
        <f t="shared" si="192"/>
        <v>34900</v>
      </c>
      <c r="I542" s="523"/>
      <c r="J542" s="524">
        <f t="shared" si="193"/>
        <v>34900</v>
      </c>
      <c r="K542" s="518" t="s">
        <v>2069</v>
      </c>
      <c r="L542" s="519">
        <v>34900</v>
      </c>
      <c r="M542" s="1"/>
      <c r="N542" s="1"/>
      <c r="O542" s="1"/>
      <c r="P542" s="1"/>
      <c r="Q542" s="1"/>
      <c r="R542" s="1"/>
      <c r="S542" s="1"/>
      <c r="T542" s="1"/>
      <c r="U542" s="1"/>
      <c r="V542" s="1"/>
      <c r="W542" s="1"/>
      <c r="X542" s="1"/>
      <c r="Y542" s="1"/>
      <c r="Z542" s="1"/>
      <c r="AA542" s="1"/>
    </row>
    <row r="543" spans="1:27" ht="15.75" customHeight="1">
      <c r="A543" s="1"/>
      <c r="B543" s="556" t="s">
        <v>2146</v>
      </c>
      <c r="C543" s="557" t="s">
        <v>2024</v>
      </c>
      <c r="D543" s="174" t="s">
        <v>2147</v>
      </c>
      <c r="E543" s="558">
        <f t="shared" si="191"/>
        <v>4176.4705882352946</v>
      </c>
      <c r="F543" s="559" t="s">
        <v>1291</v>
      </c>
      <c r="G543" s="557"/>
      <c r="H543" s="560">
        <f t="shared" si="192"/>
        <v>4970</v>
      </c>
      <c r="I543" s="523"/>
      <c r="J543" s="524">
        <f t="shared" si="193"/>
        <v>4970</v>
      </c>
      <c r="K543" s="518" t="s">
        <v>2026</v>
      </c>
      <c r="L543" s="519">
        <v>4970</v>
      </c>
      <c r="M543" s="1"/>
      <c r="N543" s="1"/>
      <c r="O543" s="1"/>
      <c r="P543" s="1"/>
      <c r="Q543" s="1"/>
      <c r="R543" s="1"/>
      <c r="S543" s="1"/>
      <c r="T543" s="1"/>
      <c r="U543" s="1"/>
      <c r="V543" s="1"/>
      <c r="W543" s="1"/>
      <c r="X543" s="1"/>
      <c r="Y543" s="1"/>
      <c r="Z543" s="1"/>
      <c r="AA543" s="1"/>
    </row>
    <row r="544" spans="1:27" ht="15.75" customHeight="1">
      <c r="A544" s="1"/>
      <c r="B544" s="556" t="s">
        <v>2148</v>
      </c>
      <c r="C544" s="557" t="s">
        <v>2024</v>
      </c>
      <c r="D544" s="174" t="s">
        <v>2149</v>
      </c>
      <c r="E544" s="558">
        <f t="shared" si="191"/>
        <v>2000</v>
      </c>
      <c r="F544" s="559" t="s">
        <v>1291</v>
      </c>
      <c r="G544" s="557"/>
      <c r="H544" s="560">
        <f t="shared" si="192"/>
        <v>2380</v>
      </c>
      <c r="I544" s="523"/>
      <c r="J544" s="524">
        <f t="shared" si="193"/>
        <v>2380</v>
      </c>
      <c r="K544" s="518" t="s">
        <v>2150</v>
      </c>
      <c r="L544" s="519">
        <v>2380</v>
      </c>
      <c r="M544" s="1"/>
      <c r="N544" s="1"/>
      <c r="O544" s="1"/>
      <c r="P544" s="1"/>
      <c r="Q544" s="1"/>
      <c r="R544" s="1"/>
      <c r="S544" s="1"/>
      <c r="T544" s="1"/>
      <c r="U544" s="1"/>
      <c r="V544" s="1"/>
      <c r="W544" s="1"/>
      <c r="X544" s="1"/>
      <c r="Y544" s="1"/>
      <c r="Z544" s="1"/>
      <c r="AA544" s="1"/>
    </row>
    <row r="545" spans="1:27" ht="15.75" customHeight="1">
      <c r="A545" s="1"/>
      <c r="B545" s="556" t="s">
        <v>2151</v>
      </c>
      <c r="C545" s="557" t="s">
        <v>2024</v>
      </c>
      <c r="D545" s="174" t="s">
        <v>2152</v>
      </c>
      <c r="E545" s="558">
        <f t="shared" si="191"/>
        <v>3373.9495798319331</v>
      </c>
      <c r="F545" s="559" t="s">
        <v>1291</v>
      </c>
      <c r="G545" s="557"/>
      <c r="H545" s="560">
        <f t="shared" si="192"/>
        <v>4015</v>
      </c>
      <c r="I545" s="523"/>
      <c r="J545" s="524">
        <f t="shared" si="193"/>
        <v>4015.0000000000005</v>
      </c>
      <c r="K545" s="518" t="s">
        <v>2069</v>
      </c>
      <c r="L545" s="519">
        <v>4015.0000000000005</v>
      </c>
      <c r="M545" s="1"/>
      <c r="N545" s="1"/>
      <c r="O545" s="1"/>
      <c r="P545" s="1"/>
      <c r="Q545" s="1"/>
      <c r="R545" s="1"/>
      <c r="S545" s="1"/>
      <c r="T545" s="1"/>
      <c r="U545" s="1"/>
      <c r="V545" s="1"/>
      <c r="W545" s="1"/>
      <c r="X545" s="1"/>
      <c r="Y545" s="1"/>
      <c r="Z545" s="1"/>
      <c r="AA545" s="1"/>
    </row>
    <row r="546" spans="1:27" ht="15.75" customHeight="1">
      <c r="A546" s="1"/>
      <c r="B546" s="556" t="s">
        <v>2153</v>
      </c>
      <c r="C546" s="557" t="s">
        <v>2024</v>
      </c>
      <c r="D546" s="174" t="s">
        <v>2599</v>
      </c>
      <c r="E546" s="558">
        <f t="shared" si="191"/>
        <v>3184.0336134453783</v>
      </c>
      <c r="F546" s="559" t="s">
        <v>710</v>
      </c>
      <c r="G546" s="557"/>
      <c r="H546" s="560">
        <f t="shared" si="192"/>
        <v>3789</v>
      </c>
      <c r="I546" s="523"/>
      <c r="J546" s="524">
        <f t="shared" si="193"/>
        <v>3788.0079999999998</v>
      </c>
      <c r="K546" s="518" t="s">
        <v>2026</v>
      </c>
      <c r="L546" s="519">
        <f>3183.2*1.19</f>
        <v>3788.0079999999998</v>
      </c>
      <c r="M546" s="1"/>
      <c r="N546" s="1"/>
      <c r="O546" s="1"/>
      <c r="P546" s="1"/>
      <c r="Q546" s="1"/>
      <c r="R546" s="1"/>
      <c r="S546" s="1"/>
      <c r="T546" s="1"/>
      <c r="U546" s="1"/>
      <c r="V546" s="1"/>
      <c r="W546" s="1"/>
      <c r="X546" s="1"/>
      <c r="Y546" s="1"/>
      <c r="Z546" s="1"/>
      <c r="AA546" s="1"/>
    </row>
    <row r="547" spans="1:27" ht="15.75" customHeight="1">
      <c r="A547" s="1"/>
      <c r="B547" s="556" t="s">
        <v>2154</v>
      </c>
      <c r="C547" s="557" t="s">
        <v>2024</v>
      </c>
      <c r="D547" s="174" t="s">
        <v>2601</v>
      </c>
      <c r="E547" s="558">
        <f t="shared" si="191"/>
        <v>941.17647058823536</v>
      </c>
      <c r="F547" s="559" t="s">
        <v>1291</v>
      </c>
      <c r="G547" s="557"/>
      <c r="H547" s="560">
        <f t="shared" si="192"/>
        <v>1120</v>
      </c>
      <c r="I547" s="523"/>
      <c r="J547" s="524">
        <f t="shared" si="193"/>
        <v>1120</v>
      </c>
      <c r="K547" s="518" t="s">
        <v>2026</v>
      </c>
      <c r="L547" s="519">
        <v>1120</v>
      </c>
      <c r="M547" s="1"/>
      <c r="N547" s="1"/>
      <c r="O547" s="1"/>
      <c r="P547" s="1"/>
      <c r="Q547" s="1"/>
      <c r="R547" s="1"/>
      <c r="S547" s="1"/>
      <c r="T547" s="1"/>
      <c r="U547" s="1"/>
      <c r="V547" s="1"/>
      <c r="W547" s="1"/>
      <c r="X547" s="1"/>
      <c r="Y547" s="1"/>
      <c r="Z547" s="1"/>
      <c r="AA547" s="1"/>
    </row>
    <row r="548" spans="1:27" ht="15.75" customHeight="1">
      <c r="A548" s="1"/>
      <c r="B548" s="556" t="s">
        <v>2155</v>
      </c>
      <c r="C548" s="557" t="s">
        <v>2024</v>
      </c>
      <c r="D548" s="174" t="s">
        <v>2156</v>
      </c>
      <c r="E548" s="558">
        <f t="shared" si="191"/>
        <v>15621.848739495799</v>
      </c>
      <c r="F548" s="559" t="s">
        <v>1291</v>
      </c>
      <c r="G548" s="557"/>
      <c r="H548" s="560">
        <f t="shared" si="192"/>
        <v>18590</v>
      </c>
      <c r="I548" s="523"/>
      <c r="J548" s="524">
        <f t="shared" si="193"/>
        <v>18590</v>
      </c>
      <c r="K548" s="518" t="s">
        <v>2069</v>
      </c>
      <c r="L548" s="519">
        <v>18590</v>
      </c>
      <c r="M548" s="1"/>
      <c r="N548" s="1"/>
      <c r="O548" s="1"/>
      <c r="P548" s="1"/>
      <c r="Q548" s="1"/>
      <c r="R548" s="1"/>
      <c r="S548" s="1"/>
      <c r="T548" s="1"/>
      <c r="U548" s="1"/>
      <c r="V548" s="1"/>
      <c r="W548" s="1"/>
      <c r="X548" s="1"/>
      <c r="Y548" s="1"/>
      <c r="Z548" s="1"/>
      <c r="AA548" s="1"/>
    </row>
    <row r="549" spans="1:27" ht="15.75" customHeight="1">
      <c r="A549" s="1"/>
      <c r="B549" s="556" t="s">
        <v>2157</v>
      </c>
      <c r="C549" s="557" t="s">
        <v>2024</v>
      </c>
      <c r="D549" s="174" t="s">
        <v>2158</v>
      </c>
      <c r="E549" s="558">
        <f t="shared" si="191"/>
        <v>512229.4117647059</v>
      </c>
      <c r="F549" s="559" t="s">
        <v>1291</v>
      </c>
      <c r="G549" s="557"/>
      <c r="H549" s="560">
        <f t="shared" si="192"/>
        <v>609553</v>
      </c>
      <c r="I549" s="523"/>
      <c r="J549" s="524">
        <f t="shared" si="193"/>
        <v>609553</v>
      </c>
      <c r="K549" s="518" t="s">
        <v>2159</v>
      </c>
      <c r="L549" s="519">
        <v>609553</v>
      </c>
      <c r="M549" s="1"/>
      <c r="N549" s="1"/>
      <c r="O549" s="1"/>
      <c r="P549" s="1"/>
      <c r="Q549" s="1"/>
      <c r="R549" s="1"/>
      <c r="S549" s="1"/>
      <c r="T549" s="1"/>
      <c r="U549" s="1"/>
      <c r="V549" s="1"/>
      <c r="W549" s="1"/>
      <c r="X549" s="1"/>
      <c r="Y549" s="1"/>
      <c r="Z549" s="1"/>
      <c r="AA549" s="1"/>
    </row>
    <row r="550" spans="1:27" ht="15.75" customHeight="1">
      <c r="A550" s="1"/>
      <c r="B550" s="556" t="s">
        <v>2160</v>
      </c>
      <c r="C550" s="557" t="s">
        <v>2024</v>
      </c>
      <c r="D550" s="174" t="s">
        <v>2161</v>
      </c>
      <c r="E550" s="558">
        <f t="shared" si="191"/>
        <v>142857.14285714287</v>
      </c>
      <c r="F550" s="559" t="s">
        <v>1291</v>
      </c>
      <c r="G550" s="557"/>
      <c r="H550" s="560">
        <f t="shared" si="192"/>
        <v>170000</v>
      </c>
      <c r="I550" s="523"/>
      <c r="J550" s="524">
        <f t="shared" si="193"/>
        <v>170000</v>
      </c>
      <c r="K550" s="518" t="s">
        <v>2069</v>
      </c>
      <c r="L550" s="519">
        <v>170000</v>
      </c>
      <c r="M550" s="1"/>
      <c r="N550" s="1"/>
      <c r="O550" s="1"/>
      <c r="P550" s="1"/>
      <c r="Q550" s="1"/>
      <c r="R550" s="1"/>
      <c r="S550" s="1"/>
      <c r="T550" s="1"/>
      <c r="U550" s="1"/>
      <c r="V550" s="1"/>
      <c r="W550" s="1"/>
      <c r="X550" s="1"/>
      <c r="Y550" s="1"/>
      <c r="Z550" s="1"/>
      <c r="AA550" s="1"/>
    </row>
    <row r="551" spans="1:27" ht="15.75" customHeight="1">
      <c r="A551" s="1"/>
      <c r="B551" s="556" t="s">
        <v>2162</v>
      </c>
      <c r="C551" s="557" t="s">
        <v>2024</v>
      </c>
      <c r="D551" s="174" t="s">
        <v>2163</v>
      </c>
      <c r="E551" s="558">
        <f t="shared" si="191"/>
        <v>2000</v>
      </c>
      <c r="F551" s="559" t="s">
        <v>1291</v>
      </c>
      <c r="G551" s="557"/>
      <c r="H551" s="560">
        <f t="shared" si="192"/>
        <v>2380</v>
      </c>
      <c r="I551" s="523"/>
      <c r="J551" s="524">
        <f t="shared" si="193"/>
        <v>2380</v>
      </c>
      <c r="K551" s="518" t="s">
        <v>2026</v>
      </c>
      <c r="L551" s="519">
        <v>2380</v>
      </c>
      <c r="M551" s="1"/>
      <c r="N551" s="1"/>
      <c r="O551" s="1"/>
      <c r="P551" s="1"/>
      <c r="Q551" s="1"/>
      <c r="R551" s="1"/>
      <c r="S551" s="1"/>
      <c r="T551" s="1"/>
      <c r="U551" s="1"/>
      <c r="V551" s="1"/>
      <c r="W551" s="1"/>
      <c r="X551" s="1"/>
      <c r="Y551" s="1"/>
      <c r="Z551" s="1"/>
      <c r="AA551" s="1"/>
    </row>
    <row r="552" spans="1:27" ht="15.75" customHeight="1">
      <c r="A552" s="1"/>
      <c r="B552" s="556" t="s">
        <v>2164</v>
      </c>
      <c r="C552" s="557" t="s">
        <v>2024</v>
      </c>
      <c r="D552" s="174" t="s">
        <v>2165</v>
      </c>
      <c r="E552" s="558">
        <f t="shared" si="191"/>
        <v>116117.64705882354</v>
      </c>
      <c r="F552" s="559" t="s">
        <v>1291</v>
      </c>
      <c r="G552" s="557"/>
      <c r="H552" s="560">
        <f t="shared" si="192"/>
        <v>138180</v>
      </c>
      <c r="I552" s="523"/>
      <c r="J552" s="524">
        <f t="shared" si="193"/>
        <v>138180</v>
      </c>
      <c r="K552" s="518" t="s">
        <v>2026</v>
      </c>
      <c r="L552" s="519">
        <v>138180</v>
      </c>
      <c r="M552" s="1"/>
      <c r="N552" s="1"/>
      <c r="O552" s="1"/>
      <c r="P552" s="1"/>
      <c r="Q552" s="1"/>
      <c r="R552" s="1"/>
      <c r="S552" s="1"/>
      <c r="T552" s="1"/>
      <c r="U552" s="1"/>
      <c r="V552" s="1"/>
      <c r="W552" s="1"/>
      <c r="X552" s="1"/>
      <c r="Y552" s="1"/>
      <c r="Z552" s="1"/>
      <c r="AA552" s="1"/>
    </row>
    <row r="553" spans="1:27" ht="15.75" customHeight="1">
      <c r="A553" s="1"/>
      <c r="B553" s="556" t="s">
        <v>2166</v>
      </c>
      <c r="C553" s="557" t="s">
        <v>2024</v>
      </c>
      <c r="D553" s="174" t="s">
        <v>2612</v>
      </c>
      <c r="E553" s="558">
        <f t="shared" si="191"/>
        <v>92344.537815126052</v>
      </c>
      <c r="F553" s="559" t="s">
        <v>1291</v>
      </c>
      <c r="G553" s="557"/>
      <c r="H553" s="560">
        <f t="shared" si="192"/>
        <v>109890</v>
      </c>
      <c r="I553" s="523"/>
      <c r="J553" s="524">
        <f t="shared" si="193"/>
        <v>109890.00000000001</v>
      </c>
      <c r="K553" s="518" t="s">
        <v>2069</v>
      </c>
      <c r="L553" s="519">
        <v>109890.00000000001</v>
      </c>
      <c r="M553" s="1"/>
      <c r="N553" s="1"/>
      <c r="O553" s="1"/>
      <c r="P553" s="1"/>
      <c r="Q553" s="1"/>
      <c r="R553" s="1"/>
      <c r="S553" s="1"/>
      <c r="T553" s="1"/>
      <c r="U553" s="1"/>
      <c r="V553" s="1"/>
      <c r="W553" s="1"/>
      <c r="X553" s="1"/>
      <c r="Y553" s="1"/>
      <c r="Z553" s="1"/>
      <c r="AA553" s="1"/>
    </row>
    <row r="554" spans="1:27" ht="15.75" customHeight="1">
      <c r="A554" s="1"/>
      <c r="B554" s="556" t="s">
        <v>2167</v>
      </c>
      <c r="C554" s="557" t="s">
        <v>2024</v>
      </c>
      <c r="D554" s="174" t="s">
        <v>2619</v>
      </c>
      <c r="E554" s="558">
        <f t="shared" si="191"/>
        <v>12802.521008403362</v>
      </c>
      <c r="F554" s="559" t="s">
        <v>1291</v>
      </c>
      <c r="G554" s="557"/>
      <c r="H554" s="560">
        <f t="shared" si="192"/>
        <v>15235</v>
      </c>
      <c r="I554" s="523"/>
      <c r="J554" s="524">
        <f t="shared" si="193"/>
        <v>15235.000000000002</v>
      </c>
      <c r="K554" s="518" t="s">
        <v>2168</v>
      </c>
      <c r="L554" s="519">
        <v>15235.000000000002</v>
      </c>
      <c r="M554" s="1"/>
      <c r="N554" s="1"/>
      <c r="O554" s="1"/>
      <c r="P554" s="1"/>
      <c r="Q554" s="1"/>
      <c r="R554" s="1"/>
      <c r="S554" s="1"/>
      <c r="T554" s="1"/>
      <c r="U554" s="1"/>
      <c r="V554" s="1"/>
      <c r="W554" s="1"/>
      <c r="X554" s="1"/>
      <c r="Y554" s="1"/>
      <c r="Z554" s="1"/>
      <c r="AA554" s="1"/>
    </row>
    <row r="555" spans="1:27" ht="15.75" customHeight="1">
      <c r="A555" s="1"/>
      <c r="B555" s="556" t="s">
        <v>2169</v>
      </c>
      <c r="C555" s="557" t="s">
        <v>2024</v>
      </c>
      <c r="D555" s="174" t="s">
        <v>2170</v>
      </c>
      <c r="E555" s="558">
        <f t="shared" si="191"/>
        <v>831.93277310924373</v>
      </c>
      <c r="F555" s="559" t="s">
        <v>1291</v>
      </c>
      <c r="G555" s="557"/>
      <c r="H555" s="560">
        <f t="shared" si="192"/>
        <v>990</v>
      </c>
      <c r="I555" s="523"/>
      <c r="J555" s="524">
        <f t="shared" si="193"/>
        <v>990</v>
      </c>
      <c r="K555" s="518" t="s">
        <v>2069</v>
      </c>
      <c r="L555" s="519">
        <v>990</v>
      </c>
      <c r="M555" s="1"/>
      <c r="N555" s="1"/>
      <c r="O555" s="1"/>
      <c r="P555" s="1"/>
      <c r="Q555" s="1"/>
      <c r="R555" s="1"/>
      <c r="S555" s="1"/>
      <c r="T555" s="1"/>
      <c r="U555" s="1"/>
      <c r="V555" s="1"/>
      <c r="W555" s="1"/>
      <c r="X555" s="1"/>
      <c r="Y555" s="1"/>
      <c r="Z555" s="1"/>
      <c r="AA555" s="1"/>
    </row>
    <row r="556" spans="1:27" ht="15.75" customHeight="1">
      <c r="A556" s="1"/>
      <c r="B556" s="556" t="s">
        <v>2171</v>
      </c>
      <c r="C556" s="557" t="s">
        <v>2024</v>
      </c>
      <c r="D556" s="174" t="s">
        <v>2172</v>
      </c>
      <c r="E556" s="558">
        <f t="shared" si="191"/>
        <v>47508.403361344543</v>
      </c>
      <c r="F556" s="559" t="s">
        <v>1291</v>
      </c>
      <c r="G556" s="557"/>
      <c r="H556" s="560">
        <f t="shared" si="192"/>
        <v>56535</v>
      </c>
      <c r="I556" s="523"/>
      <c r="J556" s="524">
        <f t="shared" si="193"/>
        <v>56535</v>
      </c>
      <c r="K556" s="518" t="s">
        <v>2173</v>
      </c>
      <c r="L556" s="519">
        <v>56535</v>
      </c>
      <c r="M556" s="1"/>
      <c r="N556" s="1"/>
      <c r="O556" s="1"/>
      <c r="P556" s="1"/>
      <c r="Q556" s="1"/>
      <c r="R556" s="1"/>
      <c r="S556" s="1"/>
      <c r="T556" s="1"/>
      <c r="U556" s="1"/>
      <c r="V556" s="1"/>
      <c r="W556" s="1"/>
      <c r="X556" s="1"/>
      <c r="Y556" s="1"/>
      <c r="Z556" s="1"/>
      <c r="AA556" s="1"/>
    </row>
    <row r="557" spans="1:27" ht="15.75" customHeight="1">
      <c r="A557" s="1"/>
      <c r="B557" s="556" t="s">
        <v>2174</v>
      </c>
      <c r="C557" s="557" t="s">
        <v>2024</v>
      </c>
      <c r="D557" s="174" t="s">
        <v>2175</v>
      </c>
      <c r="E557" s="558">
        <f t="shared" si="191"/>
        <v>264467.22689075634</v>
      </c>
      <c r="F557" s="559" t="s">
        <v>1291</v>
      </c>
      <c r="G557" s="557"/>
      <c r="H557" s="560">
        <f t="shared" si="192"/>
        <v>314716</v>
      </c>
      <c r="I557" s="523"/>
      <c r="J557" s="524">
        <f t="shared" si="193"/>
        <v>314715.5</v>
      </c>
      <c r="K557" s="518" t="s">
        <v>2097</v>
      </c>
      <c r="L557" s="519">
        <v>314715.5</v>
      </c>
      <c r="M557" s="1"/>
      <c r="N557" s="1"/>
      <c r="O557" s="1"/>
      <c r="P557" s="1"/>
      <c r="Q557" s="1"/>
      <c r="R557" s="1"/>
      <c r="S557" s="1"/>
      <c r="T557" s="1"/>
      <c r="U557" s="1"/>
      <c r="V557" s="1"/>
      <c r="W557" s="1"/>
      <c r="X557" s="1"/>
      <c r="Y557" s="1"/>
      <c r="Z557" s="1"/>
      <c r="AA557" s="1"/>
    </row>
    <row r="558" spans="1:27" ht="15.75" customHeight="1">
      <c r="A558" s="1"/>
      <c r="B558" s="556" t="s">
        <v>2176</v>
      </c>
      <c r="C558" s="557" t="s">
        <v>2024</v>
      </c>
      <c r="D558" s="174" t="s">
        <v>2177</v>
      </c>
      <c r="E558" s="558">
        <f t="shared" si="191"/>
        <v>4941.1764705882351</v>
      </c>
      <c r="F558" s="559" t="s">
        <v>710</v>
      </c>
      <c r="G558" s="557"/>
      <c r="H558" s="560">
        <f t="shared" si="192"/>
        <v>5880</v>
      </c>
      <c r="I558" s="523"/>
      <c r="J558" s="524">
        <f t="shared" si="193"/>
        <v>5880</v>
      </c>
      <c r="K558" s="518" t="s">
        <v>2026</v>
      </c>
      <c r="L558" s="519">
        <v>5880</v>
      </c>
      <c r="M558" s="1"/>
      <c r="N558" s="1"/>
      <c r="O558" s="1"/>
      <c r="P558" s="1"/>
      <c r="Q558" s="1"/>
      <c r="R558" s="1"/>
      <c r="S558" s="1"/>
      <c r="T558" s="1"/>
      <c r="U558" s="1"/>
      <c r="V558" s="1"/>
      <c r="W558" s="1"/>
      <c r="X558" s="1"/>
      <c r="Y558" s="1"/>
      <c r="Z558" s="1"/>
      <c r="AA558" s="1"/>
    </row>
    <row r="559" spans="1:27" ht="15.75" customHeight="1">
      <c r="A559" s="1"/>
      <c r="B559" s="556" t="s">
        <v>2178</v>
      </c>
      <c r="C559" s="557" t="s">
        <v>2024</v>
      </c>
      <c r="D559" s="174" t="s">
        <v>2605</v>
      </c>
      <c r="E559" s="558">
        <f t="shared" si="191"/>
        <v>4537.8151260504201</v>
      </c>
      <c r="F559" s="559" t="s">
        <v>1291</v>
      </c>
      <c r="G559" s="557"/>
      <c r="H559" s="560">
        <f t="shared" si="192"/>
        <v>5400</v>
      </c>
      <c r="I559" s="523"/>
      <c r="J559" s="524">
        <f t="shared" si="193"/>
        <v>5400</v>
      </c>
      <c r="K559" s="518" t="s">
        <v>2026</v>
      </c>
      <c r="L559" s="519">
        <v>5400</v>
      </c>
      <c r="M559" s="1"/>
      <c r="N559" s="1"/>
      <c r="O559" s="1"/>
      <c r="P559" s="1"/>
      <c r="Q559" s="1"/>
      <c r="R559" s="1"/>
      <c r="S559" s="1"/>
      <c r="T559" s="1"/>
      <c r="U559" s="1"/>
      <c r="V559" s="1"/>
      <c r="W559" s="1"/>
      <c r="X559" s="1"/>
      <c r="Y559" s="1"/>
      <c r="Z559" s="1"/>
      <c r="AA559" s="1"/>
    </row>
    <row r="560" spans="1:27" ht="15.75" customHeight="1">
      <c r="A560" s="1"/>
      <c r="B560" s="556" t="s">
        <v>2179</v>
      </c>
      <c r="C560" s="557" t="s">
        <v>2024</v>
      </c>
      <c r="D560" s="174" t="s">
        <v>2180</v>
      </c>
      <c r="E560" s="558">
        <f t="shared" si="191"/>
        <v>9058.8235294117658</v>
      </c>
      <c r="F560" s="559" t="s">
        <v>1291</v>
      </c>
      <c r="G560" s="557"/>
      <c r="H560" s="560">
        <f t="shared" si="192"/>
        <v>10780</v>
      </c>
      <c r="I560" s="523"/>
      <c r="J560" s="524">
        <f t="shared" si="193"/>
        <v>10780</v>
      </c>
      <c r="K560" s="518" t="s">
        <v>2026</v>
      </c>
      <c r="L560" s="519">
        <v>10780</v>
      </c>
      <c r="M560" s="1"/>
      <c r="N560" s="1"/>
      <c r="O560" s="1"/>
      <c r="P560" s="1"/>
      <c r="Q560" s="1"/>
      <c r="R560" s="1"/>
      <c r="S560" s="1"/>
      <c r="T560" s="1"/>
      <c r="U560" s="1"/>
      <c r="V560" s="1"/>
      <c r="W560" s="1"/>
      <c r="X560" s="1"/>
      <c r="Y560" s="1"/>
      <c r="Z560" s="1"/>
      <c r="AA560" s="1"/>
    </row>
    <row r="561" spans="1:27" ht="15.75" customHeight="1">
      <c r="A561" s="1"/>
      <c r="B561" s="556" t="s">
        <v>2181</v>
      </c>
      <c r="C561" s="557" t="s">
        <v>2024</v>
      </c>
      <c r="D561" s="174" t="s">
        <v>2182</v>
      </c>
      <c r="E561" s="558">
        <f t="shared" si="191"/>
        <v>12647.058823529413</v>
      </c>
      <c r="F561" s="559" t="s">
        <v>1291</v>
      </c>
      <c r="G561" s="557"/>
      <c r="H561" s="560">
        <f t="shared" si="192"/>
        <v>15050</v>
      </c>
      <c r="I561" s="523"/>
      <c r="J561" s="524">
        <f t="shared" si="193"/>
        <v>15049.999999999998</v>
      </c>
      <c r="K561" s="518" t="s">
        <v>2026</v>
      </c>
      <c r="L561" s="519">
        <v>15049.999999999998</v>
      </c>
      <c r="M561" s="1"/>
      <c r="N561" s="1"/>
      <c r="O561" s="1"/>
      <c r="P561" s="1"/>
      <c r="Q561" s="1"/>
      <c r="R561" s="1"/>
      <c r="S561" s="1"/>
      <c r="T561" s="1"/>
      <c r="U561" s="1"/>
      <c r="V561" s="1"/>
      <c r="W561" s="1"/>
      <c r="X561" s="1"/>
      <c r="Y561" s="1"/>
      <c r="Z561" s="1"/>
      <c r="AA561" s="1"/>
    </row>
    <row r="562" spans="1:27" ht="15.75" customHeight="1">
      <c r="A562" s="1"/>
      <c r="B562" s="556" t="s">
        <v>2183</v>
      </c>
      <c r="C562" s="557" t="s">
        <v>2024</v>
      </c>
      <c r="D562" s="174" t="s">
        <v>2184</v>
      </c>
      <c r="E562" s="558">
        <f t="shared" si="191"/>
        <v>30588.235294117647</v>
      </c>
      <c r="F562" s="559" t="s">
        <v>1291</v>
      </c>
      <c r="G562" s="557"/>
      <c r="H562" s="560">
        <f t="shared" si="192"/>
        <v>36400</v>
      </c>
      <c r="I562" s="523"/>
      <c r="J562" s="524">
        <f t="shared" si="193"/>
        <v>36400</v>
      </c>
      <c r="K562" s="518" t="s">
        <v>2026</v>
      </c>
      <c r="L562" s="519">
        <v>36400</v>
      </c>
      <c r="M562" s="1"/>
      <c r="N562" s="1"/>
      <c r="O562" s="1"/>
      <c r="P562" s="1"/>
      <c r="Q562" s="1"/>
      <c r="R562" s="1"/>
      <c r="S562" s="1"/>
      <c r="T562" s="1"/>
      <c r="U562" s="1"/>
      <c r="V562" s="1"/>
      <c r="W562" s="1"/>
      <c r="X562" s="1"/>
      <c r="Y562" s="1"/>
      <c r="Z562" s="1"/>
      <c r="AA562" s="1"/>
    </row>
    <row r="563" spans="1:27" ht="15.75" customHeight="1">
      <c r="A563" s="1"/>
      <c r="B563" s="556" t="s">
        <v>2185</v>
      </c>
      <c r="C563" s="557" t="s">
        <v>2024</v>
      </c>
      <c r="D563" s="174" t="s">
        <v>2186</v>
      </c>
      <c r="E563" s="558">
        <f t="shared" si="191"/>
        <v>4788.2352941176468</v>
      </c>
      <c r="F563" s="559" t="s">
        <v>1291</v>
      </c>
      <c r="G563" s="557"/>
      <c r="H563" s="560">
        <f t="shared" si="192"/>
        <v>5698</v>
      </c>
      <c r="I563" s="523"/>
      <c r="J563" s="524">
        <f t="shared" si="193"/>
        <v>5698.0000000000009</v>
      </c>
      <c r="K563" s="518" t="s">
        <v>2069</v>
      </c>
      <c r="L563" s="519">
        <v>5698.0000000000009</v>
      </c>
      <c r="M563" s="1"/>
      <c r="N563" s="1"/>
      <c r="O563" s="1"/>
      <c r="P563" s="1"/>
      <c r="Q563" s="1"/>
      <c r="R563" s="1"/>
      <c r="S563" s="1"/>
      <c r="T563" s="1"/>
      <c r="U563" s="1"/>
      <c r="V563" s="1"/>
      <c r="W563" s="1"/>
      <c r="X563" s="1"/>
      <c r="Y563" s="1"/>
      <c r="Z563" s="1"/>
      <c r="AA563" s="1"/>
    </row>
    <row r="564" spans="1:27" ht="15.75" customHeight="1">
      <c r="A564" s="1"/>
      <c r="B564" s="556" t="s">
        <v>2187</v>
      </c>
      <c r="C564" s="557" t="s">
        <v>2024</v>
      </c>
      <c r="D564" s="174" t="s">
        <v>2188</v>
      </c>
      <c r="E564" s="558">
        <f t="shared" si="191"/>
        <v>26714.285714285714</v>
      </c>
      <c r="F564" s="559" t="s">
        <v>1291</v>
      </c>
      <c r="G564" s="557"/>
      <c r="H564" s="560">
        <f t="shared" si="192"/>
        <v>31790</v>
      </c>
      <c r="I564" s="523"/>
      <c r="J564" s="524">
        <f t="shared" si="193"/>
        <v>31790.000000000004</v>
      </c>
      <c r="K564" s="518" t="s">
        <v>2069</v>
      </c>
      <c r="L564" s="519">
        <v>31790.000000000004</v>
      </c>
      <c r="M564" s="1"/>
      <c r="N564" s="1"/>
      <c r="O564" s="1"/>
      <c r="P564" s="1"/>
      <c r="Q564" s="1"/>
      <c r="R564" s="1"/>
      <c r="S564" s="1"/>
      <c r="T564" s="1"/>
      <c r="U564" s="1"/>
      <c r="V564" s="1"/>
      <c r="W564" s="1"/>
      <c r="X564" s="1"/>
      <c r="Y564" s="1"/>
      <c r="Z564" s="1"/>
      <c r="AA564" s="1"/>
    </row>
    <row r="565" spans="1:27" ht="15.75" customHeight="1">
      <c r="A565" s="1"/>
      <c r="B565" s="556" t="s">
        <v>2189</v>
      </c>
      <c r="C565" s="557" t="s">
        <v>2024</v>
      </c>
      <c r="D565" s="174" t="s">
        <v>2190</v>
      </c>
      <c r="E565" s="558">
        <f t="shared" si="191"/>
        <v>3705.8823529411766</v>
      </c>
      <c r="F565" s="559" t="s">
        <v>710</v>
      </c>
      <c r="G565" s="557"/>
      <c r="H565" s="560">
        <f t="shared" si="192"/>
        <v>4410</v>
      </c>
      <c r="I565" s="523"/>
      <c r="J565" s="524">
        <f t="shared" si="193"/>
        <v>4410</v>
      </c>
      <c r="K565" s="518" t="s">
        <v>2026</v>
      </c>
      <c r="L565" s="519">
        <v>4410</v>
      </c>
      <c r="M565" s="1"/>
      <c r="N565" s="1"/>
      <c r="O565" s="1"/>
      <c r="P565" s="1"/>
      <c r="Q565" s="1"/>
      <c r="R565" s="1"/>
      <c r="S565" s="1"/>
      <c r="T565" s="1"/>
      <c r="U565" s="1"/>
      <c r="V565" s="1"/>
      <c r="W565" s="1"/>
      <c r="X565" s="1"/>
      <c r="Y565" s="1"/>
      <c r="Z565" s="1"/>
      <c r="AA565" s="1"/>
    </row>
    <row r="566" spans="1:27" ht="15.75" customHeight="1">
      <c r="A566" s="1"/>
      <c r="B566" s="556" t="s">
        <v>2191</v>
      </c>
      <c r="C566" s="557" t="s">
        <v>2024</v>
      </c>
      <c r="D566" s="174" t="s">
        <v>2192</v>
      </c>
      <c r="E566" s="558">
        <f t="shared" si="191"/>
        <v>1608403.3613445379</v>
      </c>
      <c r="F566" s="559" t="s">
        <v>1291</v>
      </c>
      <c r="G566" s="557"/>
      <c r="H566" s="560">
        <f t="shared" si="192"/>
        <v>1914000</v>
      </c>
      <c r="I566" s="523"/>
      <c r="J566" s="524">
        <f t="shared" si="193"/>
        <v>1914000.0000000002</v>
      </c>
      <c r="K566" s="518" t="s">
        <v>2193</v>
      </c>
      <c r="L566" s="519">
        <v>1914000.0000000002</v>
      </c>
      <c r="M566" s="1"/>
      <c r="N566" s="1"/>
      <c r="O566" s="1"/>
      <c r="P566" s="1"/>
      <c r="Q566" s="1"/>
      <c r="R566" s="1"/>
      <c r="S566" s="1"/>
      <c r="T566" s="1"/>
      <c r="U566" s="1"/>
      <c r="V566" s="1"/>
      <c r="W566" s="1"/>
      <c r="X566" s="1"/>
      <c r="Y566" s="1"/>
      <c r="Z566" s="1"/>
      <c r="AA566" s="1"/>
    </row>
    <row r="567" spans="1:27" ht="15.75" customHeight="1">
      <c r="A567" s="1"/>
      <c r="B567" s="556" t="s">
        <v>2194</v>
      </c>
      <c r="C567" s="557" t="s">
        <v>2024</v>
      </c>
      <c r="D567" s="174" t="s">
        <v>2195</v>
      </c>
      <c r="E567" s="558">
        <f t="shared" si="191"/>
        <v>751420.16806722688</v>
      </c>
      <c r="F567" s="559" t="s">
        <v>1291</v>
      </c>
      <c r="G567" s="557"/>
      <c r="H567" s="560">
        <f t="shared" si="192"/>
        <v>894190</v>
      </c>
      <c r="I567" s="523"/>
      <c r="J567" s="524">
        <f t="shared" si="193"/>
        <v>894190.00000000012</v>
      </c>
      <c r="K567" s="518" t="s">
        <v>2069</v>
      </c>
      <c r="L567" s="519">
        <v>894190.00000000012</v>
      </c>
      <c r="M567" s="1"/>
      <c r="N567" s="1"/>
      <c r="O567" s="1"/>
      <c r="P567" s="1"/>
      <c r="Q567" s="1"/>
      <c r="R567" s="1"/>
      <c r="S567" s="1"/>
      <c r="T567" s="1"/>
      <c r="U567" s="1"/>
      <c r="V567" s="1"/>
      <c r="W567" s="1"/>
      <c r="X567" s="1"/>
      <c r="Y567" s="1"/>
      <c r="Z567" s="1"/>
      <c r="AA567" s="1"/>
    </row>
    <row r="568" spans="1:27" ht="15.75" customHeight="1">
      <c r="A568" s="1"/>
      <c r="B568" s="556" t="s">
        <v>2196</v>
      </c>
      <c r="C568" s="557" t="s">
        <v>2024</v>
      </c>
      <c r="D568" s="174" t="s">
        <v>2197</v>
      </c>
      <c r="E568" s="558">
        <f t="shared" si="191"/>
        <v>1746042.0168067229</v>
      </c>
      <c r="F568" s="559" t="s">
        <v>1291</v>
      </c>
      <c r="G568" s="557"/>
      <c r="H568" s="560">
        <f t="shared" si="192"/>
        <v>2077790</v>
      </c>
      <c r="I568" s="523"/>
      <c r="J568" s="524">
        <f t="shared" si="193"/>
        <v>2077790.0000000002</v>
      </c>
      <c r="K568" s="518" t="s">
        <v>2069</v>
      </c>
      <c r="L568" s="519">
        <v>2077790.0000000002</v>
      </c>
      <c r="M568" s="1"/>
      <c r="N568" s="1"/>
      <c r="O568" s="1"/>
      <c r="P568" s="1"/>
      <c r="Q568" s="1"/>
      <c r="R568" s="1"/>
      <c r="S568" s="1"/>
      <c r="T568" s="1"/>
      <c r="U568" s="1"/>
      <c r="V568" s="1"/>
      <c r="W568" s="1"/>
      <c r="X568" s="1"/>
      <c r="Y568" s="1"/>
      <c r="Z568" s="1"/>
      <c r="AA568" s="1"/>
    </row>
    <row r="569" spans="1:27" ht="15.75" customHeight="1">
      <c r="A569" s="1"/>
      <c r="B569" s="556" t="s">
        <v>2198</v>
      </c>
      <c r="C569" s="557" t="s">
        <v>2024</v>
      </c>
      <c r="D569" s="174" t="s">
        <v>2199</v>
      </c>
      <c r="E569" s="558">
        <f t="shared" si="191"/>
        <v>38731.092436974788</v>
      </c>
      <c r="F569" s="559" t="s">
        <v>1291</v>
      </c>
      <c r="G569" s="557"/>
      <c r="H569" s="560">
        <f t="shared" si="192"/>
        <v>46090</v>
      </c>
      <c r="I569" s="523"/>
      <c r="J569" s="524">
        <f t="shared" si="193"/>
        <v>46090.000000000007</v>
      </c>
      <c r="K569" s="518" t="s">
        <v>2069</v>
      </c>
      <c r="L569" s="519">
        <v>46090.000000000007</v>
      </c>
      <c r="M569" s="1"/>
      <c r="N569" s="1"/>
      <c r="O569" s="1"/>
      <c r="P569" s="1"/>
      <c r="Q569" s="1"/>
      <c r="R569" s="1"/>
      <c r="S569" s="1"/>
      <c r="T569" s="1"/>
      <c r="U569" s="1"/>
      <c r="V569" s="1"/>
      <c r="W569" s="1"/>
      <c r="X569" s="1"/>
      <c r="Y569" s="1"/>
      <c r="Z569" s="1"/>
      <c r="AA569" s="1"/>
    </row>
    <row r="570" spans="1:27" ht="15.75" customHeight="1">
      <c r="A570" s="1"/>
      <c r="B570" s="556" t="s">
        <v>2200</v>
      </c>
      <c r="C570" s="557" t="s">
        <v>2024</v>
      </c>
      <c r="D570" s="174" t="s">
        <v>2201</v>
      </c>
      <c r="E570" s="558">
        <f t="shared" si="191"/>
        <v>335225.21008403361</v>
      </c>
      <c r="F570" s="559" t="s">
        <v>1291</v>
      </c>
      <c r="G570" s="557"/>
      <c r="H570" s="560">
        <f t="shared" si="192"/>
        <v>398918</v>
      </c>
      <c r="I570" s="523"/>
      <c r="J570" s="524">
        <f t="shared" si="193"/>
        <v>398917.2</v>
      </c>
      <c r="K570" s="518" t="s">
        <v>2202</v>
      </c>
      <c r="L570" s="519">
        <v>398917.2</v>
      </c>
      <c r="M570" s="1"/>
      <c r="N570" s="1"/>
      <c r="O570" s="1"/>
      <c r="P570" s="1"/>
      <c r="Q570" s="1"/>
      <c r="R570" s="1"/>
      <c r="S570" s="1"/>
      <c r="T570" s="1"/>
      <c r="U570" s="1"/>
      <c r="V570" s="1"/>
      <c r="W570" s="1"/>
      <c r="X570" s="1"/>
      <c r="Y570" s="1"/>
      <c r="Z570" s="1"/>
      <c r="AA570" s="1"/>
    </row>
    <row r="571" spans="1:27" ht="15.75" customHeight="1">
      <c r="A571" s="1"/>
      <c r="B571" s="556" t="s">
        <v>2203</v>
      </c>
      <c r="C571" s="557" t="s">
        <v>2024</v>
      </c>
      <c r="D571" s="174" t="s">
        <v>2204</v>
      </c>
      <c r="E571" s="558">
        <f t="shared" si="191"/>
        <v>280894.11764705885</v>
      </c>
      <c r="F571" s="559" t="s">
        <v>1291</v>
      </c>
      <c r="G571" s="557"/>
      <c r="H571" s="560">
        <f t="shared" si="192"/>
        <v>334264</v>
      </c>
      <c r="I571" s="523"/>
      <c r="J571" s="524">
        <f t="shared" si="193"/>
        <v>334263.60000000003</v>
      </c>
      <c r="K571" s="518" t="s">
        <v>2202</v>
      </c>
      <c r="L571" s="519">
        <v>334263.60000000003</v>
      </c>
      <c r="M571" s="1"/>
      <c r="N571" s="1"/>
      <c r="O571" s="1"/>
      <c r="P571" s="1"/>
      <c r="Q571" s="1"/>
      <c r="R571" s="1"/>
      <c r="S571" s="1"/>
      <c r="T571" s="1"/>
      <c r="U571" s="1"/>
      <c r="V571" s="1"/>
      <c r="W571" s="1"/>
      <c r="X571" s="1"/>
      <c r="Y571" s="1"/>
      <c r="Z571" s="1"/>
      <c r="AA571" s="1"/>
    </row>
    <row r="572" spans="1:27" ht="15.75" customHeight="1">
      <c r="A572" s="1"/>
      <c r="B572" s="556" t="s">
        <v>2205</v>
      </c>
      <c r="C572" s="557" t="s">
        <v>2024</v>
      </c>
      <c r="D572" s="174" t="s">
        <v>2206</v>
      </c>
      <c r="E572" s="558">
        <f t="shared" si="191"/>
        <v>501467.22689075634</v>
      </c>
      <c r="F572" s="559" t="s">
        <v>1291</v>
      </c>
      <c r="G572" s="557"/>
      <c r="H572" s="560">
        <f t="shared" si="192"/>
        <v>596746</v>
      </c>
      <c r="I572" s="523"/>
      <c r="J572" s="524">
        <f t="shared" si="193"/>
        <v>596745.60000000009</v>
      </c>
      <c r="K572" s="518" t="s">
        <v>2202</v>
      </c>
      <c r="L572" s="519">
        <v>596745.60000000009</v>
      </c>
      <c r="M572" s="1"/>
      <c r="N572" s="1"/>
      <c r="O572" s="1"/>
      <c r="P572" s="1"/>
      <c r="Q572" s="1"/>
      <c r="R572" s="1"/>
      <c r="S572" s="1"/>
      <c r="T572" s="1"/>
      <c r="U572" s="1"/>
      <c r="V572" s="1"/>
      <c r="W572" s="1"/>
      <c r="X572" s="1"/>
      <c r="Y572" s="1"/>
      <c r="Z572" s="1"/>
      <c r="AA572" s="1"/>
    </row>
    <row r="573" spans="1:27" ht="15.75" customHeight="1">
      <c r="A573" s="1"/>
      <c r="B573" s="556" t="s">
        <v>2207</v>
      </c>
      <c r="C573" s="557" t="s">
        <v>2024</v>
      </c>
      <c r="D573" s="174" t="s">
        <v>2208</v>
      </c>
      <c r="E573" s="558">
        <f t="shared" si="191"/>
        <v>5440.3361344537816</v>
      </c>
      <c r="F573" s="559" t="s">
        <v>1291</v>
      </c>
      <c r="G573" s="557"/>
      <c r="H573" s="560">
        <f t="shared" si="192"/>
        <v>6474</v>
      </c>
      <c r="I573" s="523"/>
      <c r="J573" s="524">
        <f t="shared" si="193"/>
        <v>6473.5000000000009</v>
      </c>
      <c r="K573" s="518" t="s">
        <v>2202</v>
      </c>
      <c r="L573" s="519">
        <v>6473.5000000000009</v>
      </c>
      <c r="M573" s="1"/>
      <c r="N573" s="1"/>
      <c r="O573" s="1"/>
      <c r="P573" s="1"/>
      <c r="Q573" s="1"/>
      <c r="R573" s="1"/>
      <c r="S573" s="1"/>
      <c r="T573" s="1"/>
      <c r="U573" s="1"/>
      <c r="V573" s="1"/>
      <c r="W573" s="1"/>
      <c r="X573" s="1"/>
      <c r="Y573" s="1"/>
      <c r="Z573" s="1"/>
      <c r="AA573" s="1"/>
    </row>
    <row r="574" spans="1:27" ht="15.75" customHeight="1">
      <c r="A574" s="1"/>
      <c r="B574" s="556" t="s">
        <v>2209</v>
      </c>
      <c r="C574" s="557" t="s">
        <v>2024</v>
      </c>
      <c r="D574" s="174" t="s">
        <v>2210</v>
      </c>
      <c r="E574" s="558">
        <f t="shared" si="191"/>
        <v>2949017.6470588236</v>
      </c>
      <c r="F574" s="559" t="s">
        <v>1291</v>
      </c>
      <c r="G574" s="557"/>
      <c r="H574" s="560">
        <f t="shared" si="192"/>
        <v>3509331</v>
      </c>
      <c r="I574" s="523"/>
      <c r="J574" s="524">
        <f t="shared" si="193"/>
        <v>3509331</v>
      </c>
      <c r="K574" s="518" t="s">
        <v>2211</v>
      </c>
      <c r="L574" s="519">
        <v>3509331</v>
      </c>
      <c r="M574" s="1"/>
      <c r="N574" s="1"/>
      <c r="O574" s="1"/>
      <c r="P574" s="1"/>
      <c r="Q574" s="1"/>
      <c r="R574" s="1"/>
      <c r="S574" s="1"/>
      <c r="T574" s="1"/>
      <c r="U574" s="1"/>
      <c r="V574" s="1"/>
      <c r="W574" s="1"/>
      <c r="X574" s="1"/>
      <c r="Y574" s="1"/>
      <c r="Z574" s="1"/>
      <c r="AA574" s="1"/>
    </row>
    <row r="575" spans="1:27" ht="15.75" customHeight="1">
      <c r="A575" s="1"/>
      <c r="B575" s="556" t="s">
        <v>2212</v>
      </c>
      <c r="C575" s="557" t="s">
        <v>2024</v>
      </c>
      <c r="D575" s="174" t="s">
        <v>2600</v>
      </c>
      <c r="E575" s="558">
        <f t="shared" si="191"/>
        <v>10000</v>
      </c>
      <c r="F575" s="559" t="s">
        <v>1291</v>
      </c>
      <c r="G575" s="557"/>
      <c r="H575" s="560">
        <f t="shared" si="192"/>
        <v>11900</v>
      </c>
      <c r="I575" s="523"/>
      <c r="J575" s="524">
        <f t="shared" si="193"/>
        <v>11900</v>
      </c>
      <c r="K575" s="518" t="s">
        <v>2213</v>
      </c>
      <c r="L575" s="519">
        <v>11900</v>
      </c>
      <c r="M575" s="518"/>
      <c r="N575" s="519"/>
      <c r="O575" s="1"/>
      <c r="P575" s="1"/>
      <c r="Q575" s="1"/>
      <c r="R575" s="1"/>
      <c r="S575" s="1"/>
      <c r="T575" s="1"/>
      <c r="U575" s="1"/>
      <c r="V575" s="1"/>
      <c r="W575" s="1"/>
      <c r="X575" s="1"/>
      <c r="Y575" s="1"/>
      <c r="Z575" s="1"/>
      <c r="AA575" s="1"/>
    </row>
    <row r="576" spans="1:27" ht="15.75" customHeight="1">
      <c r="A576" s="1"/>
      <c r="B576" s="556" t="s">
        <v>2214</v>
      </c>
      <c r="C576" s="557" t="s">
        <v>2024</v>
      </c>
      <c r="D576" s="174" t="s">
        <v>2215</v>
      </c>
      <c r="E576" s="558">
        <f t="shared" si="191"/>
        <v>2763.8655462184875</v>
      </c>
      <c r="F576" s="559" t="s">
        <v>1291</v>
      </c>
      <c r="G576" s="557"/>
      <c r="H576" s="560">
        <f t="shared" si="192"/>
        <v>3289</v>
      </c>
      <c r="I576" s="523"/>
      <c r="J576" s="524">
        <f t="shared" si="193"/>
        <v>3289</v>
      </c>
      <c r="K576" s="518" t="s">
        <v>2213</v>
      </c>
      <c r="L576" s="519">
        <v>3289</v>
      </c>
      <c r="M576" s="518"/>
      <c r="N576" s="519"/>
      <c r="O576" s="1"/>
      <c r="P576" s="1"/>
      <c r="Q576" s="1"/>
      <c r="R576" s="1"/>
      <c r="S576" s="1"/>
      <c r="T576" s="1"/>
      <c r="U576" s="1"/>
      <c r="V576" s="1"/>
      <c r="W576" s="1"/>
      <c r="X576" s="1"/>
      <c r="Y576" s="1"/>
      <c r="Z576" s="1"/>
      <c r="AA576" s="1"/>
    </row>
    <row r="577" spans="1:27" ht="15.75" customHeight="1">
      <c r="A577" s="1"/>
      <c r="B577" s="556" t="s">
        <v>2216</v>
      </c>
      <c r="C577" s="557" t="s">
        <v>2024</v>
      </c>
      <c r="D577" s="174" t="s">
        <v>2598</v>
      </c>
      <c r="E577" s="558">
        <f t="shared" si="191"/>
        <v>17478.991596638658</v>
      </c>
      <c r="F577" s="559" t="s">
        <v>1291</v>
      </c>
      <c r="G577" s="557"/>
      <c r="H577" s="560">
        <f t="shared" si="192"/>
        <v>20800</v>
      </c>
      <c r="I577" s="523"/>
      <c r="J577" s="524">
        <f t="shared" si="193"/>
        <v>20800</v>
      </c>
      <c r="K577" s="518" t="s">
        <v>2213</v>
      </c>
      <c r="L577" s="519">
        <v>20800</v>
      </c>
      <c r="M577" s="518"/>
      <c r="N577" s="519"/>
      <c r="O577" s="1"/>
      <c r="P577" s="1"/>
      <c r="Q577" s="1"/>
      <c r="R577" s="1"/>
      <c r="S577" s="1"/>
      <c r="T577" s="1"/>
      <c r="U577" s="1"/>
      <c r="V577" s="1"/>
      <c r="W577" s="1"/>
      <c r="X577" s="1"/>
      <c r="Y577" s="1"/>
      <c r="Z577" s="1"/>
      <c r="AA577" s="1"/>
    </row>
    <row r="578" spans="1:27" ht="15.75" customHeight="1">
      <c r="A578" s="1"/>
      <c r="B578" s="556" t="s">
        <v>2217</v>
      </c>
      <c r="C578" s="557" t="s">
        <v>2024</v>
      </c>
      <c r="D578" s="174" t="s">
        <v>2218</v>
      </c>
      <c r="E578" s="558">
        <f t="shared" si="191"/>
        <v>12773.10924369748</v>
      </c>
      <c r="F578" s="559" t="s">
        <v>1291</v>
      </c>
      <c r="G578" s="557"/>
      <c r="H578" s="560">
        <f t="shared" si="192"/>
        <v>15200</v>
      </c>
      <c r="I578" s="523"/>
      <c r="J578" s="524">
        <f t="shared" si="193"/>
        <v>15200</v>
      </c>
      <c r="K578" s="518" t="s">
        <v>2213</v>
      </c>
      <c r="L578" s="519">
        <v>15200</v>
      </c>
      <c r="M578" s="518"/>
      <c r="N578" s="519"/>
      <c r="O578" s="1"/>
      <c r="P578" s="1"/>
      <c r="Q578" s="1"/>
      <c r="R578" s="1"/>
      <c r="S578" s="1"/>
      <c r="T578" s="1"/>
      <c r="U578" s="1"/>
      <c r="V578" s="1"/>
      <c r="W578" s="1"/>
      <c r="X578" s="1"/>
      <c r="Y578" s="1"/>
      <c r="Z578" s="1"/>
      <c r="AA578" s="1"/>
    </row>
    <row r="579" spans="1:27" ht="15.75" customHeight="1">
      <c r="A579" s="1"/>
      <c r="B579" s="556" t="s">
        <v>2219</v>
      </c>
      <c r="C579" s="557" t="s">
        <v>2024</v>
      </c>
      <c r="D579" s="174" t="s">
        <v>2606</v>
      </c>
      <c r="E579" s="558">
        <f t="shared" si="191"/>
        <v>4420.1680672268913</v>
      </c>
      <c r="F579" s="559" t="s">
        <v>710</v>
      </c>
      <c r="G579" s="557"/>
      <c r="H579" s="560">
        <f t="shared" si="192"/>
        <v>5260</v>
      </c>
      <c r="I579" s="523"/>
      <c r="J579" s="524">
        <f t="shared" si="193"/>
        <v>5260</v>
      </c>
      <c r="K579" s="518" t="s">
        <v>2213</v>
      </c>
      <c r="L579" s="519">
        <v>5260</v>
      </c>
      <c r="M579" s="518"/>
      <c r="N579" s="519"/>
      <c r="O579" s="1"/>
      <c r="P579" s="1"/>
      <c r="Q579" s="1"/>
      <c r="R579" s="1"/>
      <c r="S579" s="1"/>
      <c r="T579" s="1"/>
      <c r="U579" s="1"/>
      <c r="V579" s="1"/>
      <c r="W579" s="1"/>
      <c r="X579" s="1"/>
      <c r="Y579" s="1"/>
      <c r="Z579" s="1"/>
      <c r="AA579" s="1"/>
    </row>
    <row r="580" spans="1:27" ht="15.75" customHeight="1">
      <c r="A580" s="1"/>
      <c r="B580" s="556" t="s">
        <v>2220</v>
      </c>
      <c r="C580" s="557" t="s">
        <v>2024</v>
      </c>
      <c r="D580" s="174" t="s">
        <v>2221</v>
      </c>
      <c r="E580" s="558">
        <f t="shared" si="191"/>
        <v>991.59663865546224</v>
      </c>
      <c r="F580" s="559" t="s">
        <v>1291</v>
      </c>
      <c r="G580" s="557"/>
      <c r="H580" s="560">
        <f t="shared" si="192"/>
        <v>1180</v>
      </c>
      <c r="I580" s="523"/>
      <c r="J580" s="524">
        <f t="shared" si="193"/>
        <v>1180</v>
      </c>
      <c r="K580" s="518" t="s">
        <v>2213</v>
      </c>
      <c r="L580" s="519">
        <v>1180</v>
      </c>
      <c r="M580" s="518"/>
      <c r="N580" s="519"/>
      <c r="O580" s="1"/>
      <c r="P580" s="1"/>
      <c r="Q580" s="1"/>
      <c r="R580" s="1"/>
      <c r="S580" s="1"/>
      <c r="T580" s="1"/>
      <c r="U580" s="1"/>
      <c r="V580" s="1"/>
      <c r="W580" s="1"/>
      <c r="X580" s="1"/>
      <c r="Y580" s="1"/>
      <c r="Z580" s="1"/>
      <c r="AA580" s="1"/>
    </row>
    <row r="581" spans="1:27" ht="15.75" customHeight="1">
      <c r="A581" s="1"/>
      <c r="B581" s="556" t="s">
        <v>2222</v>
      </c>
      <c r="C581" s="557" t="s">
        <v>2024</v>
      </c>
      <c r="D581" s="174" t="s">
        <v>2614</v>
      </c>
      <c r="E581" s="558">
        <f t="shared" si="191"/>
        <v>4957.9831932773113</v>
      </c>
      <c r="F581" s="559" t="s">
        <v>1291</v>
      </c>
      <c r="G581" s="557"/>
      <c r="H581" s="560">
        <f t="shared" si="192"/>
        <v>5900</v>
      </c>
      <c r="I581" s="523"/>
      <c r="J581" s="524">
        <f t="shared" si="193"/>
        <v>5900</v>
      </c>
      <c r="K581" s="521" t="s">
        <v>2069</v>
      </c>
      <c r="L581" s="522">
        <v>5900</v>
      </c>
      <c r="M581" s="518"/>
      <c r="N581" s="519"/>
      <c r="O581" s="1"/>
      <c r="P581" s="1"/>
      <c r="Q581" s="1"/>
      <c r="R581" s="1"/>
      <c r="S581" s="1"/>
      <c r="T581" s="1"/>
      <c r="U581" s="1"/>
      <c r="V581" s="1"/>
      <c r="W581" s="1"/>
      <c r="X581" s="1"/>
      <c r="Y581" s="1"/>
      <c r="Z581" s="1"/>
      <c r="AA581" s="1"/>
    </row>
    <row r="582" spans="1:27" ht="15.75" customHeight="1">
      <c r="A582" s="1"/>
      <c r="B582" s="556" t="s">
        <v>2223</v>
      </c>
      <c r="C582" s="557" t="s">
        <v>2024</v>
      </c>
      <c r="D582" s="174" t="s">
        <v>2613</v>
      </c>
      <c r="E582" s="558">
        <f t="shared" si="191"/>
        <v>13361.344537815126</v>
      </c>
      <c r="F582" s="559" t="s">
        <v>1291</v>
      </c>
      <c r="G582" s="557"/>
      <c r="H582" s="560">
        <f t="shared" si="192"/>
        <v>15900</v>
      </c>
      <c r="I582" s="523"/>
      <c r="J582" s="524">
        <f t="shared" si="193"/>
        <v>15900</v>
      </c>
      <c r="K582" s="521" t="s">
        <v>2069</v>
      </c>
      <c r="L582" s="522">
        <v>15900</v>
      </c>
      <c r="M582" s="518"/>
      <c r="N582" s="519"/>
      <c r="O582" s="1"/>
      <c r="P582" s="1"/>
      <c r="Q582" s="1"/>
      <c r="R582" s="1"/>
      <c r="S582" s="1"/>
      <c r="T582" s="1"/>
      <c r="U582" s="1"/>
      <c r="V582" s="1"/>
      <c r="W582" s="1"/>
      <c r="X582" s="1"/>
      <c r="Y582" s="1"/>
      <c r="Z582" s="1"/>
      <c r="AA582" s="1"/>
    </row>
    <row r="583" spans="1:27" ht="15.75" customHeight="1">
      <c r="A583" s="1"/>
      <c r="B583" s="556" t="s">
        <v>2224</v>
      </c>
      <c r="C583" s="557" t="s">
        <v>2024</v>
      </c>
      <c r="D583" s="174" t="s">
        <v>2396</v>
      </c>
      <c r="E583" s="558">
        <f t="shared" ref="E583" si="194">+H583/1.19</f>
        <v>5924.3697478991598</v>
      </c>
      <c r="F583" s="559" t="s">
        <v>1291</v>
      </c>
      <c r="G583" s="557"/>
      <c r="H583" s="560">
        <f t="shared" si="192"/>
        <v>7050</v>
      </c>
      <c r="I583" s="523"/>
      <c r="J583" s="524">
        <f t="shared" ref="J583" si="195">IFERROR(AVERAGEIF($K$13:$P$13,"PRECIO IVA INC.",K583:P583),)</f>
        <v>7050</v>
      </c>
      <c r="K583" s="521" t="s">
        <v>2069</v>
      </c>
      <c r="L583" s="522">
        <v>7050</v>
      </c>
      <c r="M583" s="518"/>
      <c r="N583" s="519"/>
      <c r="O583" s="1"/>
      <c r="P583" s="1"/>
      <c r="Q583" s="1"/>
      <c r="R583" s="1"/>
      <c r="S583" s="1"/>
      <c r="T583" s="1"/>
      <c r="U583" s="1"/>
      <c r="V583" s="1"/>
      <c r="W583" s="1"/>
      <c r="X583" s="1"/>
      <c r="Y583" s="1"/>
      <c r="Z583" s="1"/>
      <c r="AA583" s="1"/>
    </row>
    <row r="584" spans="1:27" ht="15.75" customHeight="1">
      <c r="A584" s="1"/>
      <c r="B584" s="556" t="s">
        <v>2225</v>
      </c>
      <c r="C584" s="557" t="s">
        <v>2024</v>
      </c>
      <c r="D584" s="174" t="s">
        <v>2397</v>
      </c>
      <c r="E584" s="558">
        <f t="shared" ref="E584" si="196">+H584/1.19</f>
        <v>41932.773109243702</v>
      </c>
      <c r="F584" s="559" t="s">
        <v>1291</v>
      </c>
      <c r="G584" s="557"/>
      <c r="H584" s="560">
        <f t="shared" si="192"/>
        <v>49900</v>
      </c>
      <c r="I584" s="523"/>
      <c r="J584" s="524">
        <f t="shared" ref="J584" si="197">IFERROR(AVERAGEIF($K$13:$P$13,"PRECIO IVA INC.",K584:P584),)</f>
        <v>49900</v>
      </c>
      <c r="K584" s="521" t="s">
        <v>2069</v>
      </c>
      <c r="L584" s="522">
        <v>49900</v>
      </c>
      <c r="M584" s="518"/>
      <c r="N584" s="519"/>
      <c r="O584" s="1"/>
      <c r="P584" s="1"/>
      <c r="Q584" s="1"/>
      <c r="R584" s="1"/>
      <c r="S584" s="1"/>
      <c r="T584" s="1"/>
      <c r="U584" s="1"/>
      <c r="V584" s="1"/>
      <c r="W584" s="1"/>
      <c r="X584" s="1"/>
      <c r="Y584" s="1"/>
      <c r="Z584" s="1"/>
      <c r="AA584" s="1"/>
    </row>
    <row r="585" spans="1:27" ht="15.75" customHeight="1">
      <c r="A585" s="1"/>
      <c r="B585" s="556" t="s">
        <v>2398</v>
      </c>
      <c r="C585" s="557" t="s">
        <v>2024</v>
      </c>
      <c r="D585" s="174" t="s">
        <v>2400</v>
      </c>
      <c r="E585" s="558">
        <f t="shared" ref="E585:E586" si="198">+H585/1.19</f>
        <v>41933.613445378156</v>
      </c>
      <c r="F585" s="559" t="s">
        <v>1291</v>
      </c>
      <c r="G585" s="557"/>
      <c r="H585" s="560">
        <f t="shared" si="192"/>
        <v>49901</v>
      </c>
      <c r="I585" s="523"/>
      <c r="J585" s="524">
        <f t="shared" ref="J585:J586" si="199">IFERROR(AVERAGEIF($K$13:$P$13,"PRECIO IVA INC.",K585:P585),)</f>
        <v>49901</v>
      </c>
      <c r="K585" s="521" t="s">
        <v>2069</v>
      </c>
      <c r="L585" s="522">
        <v>49901</v>
      </c>
      <c r="M585" s="518"/>
      <c r="N585" s="519"/>
      <c r="O585" s="1"/>
      <c r="P585" s="1"/>
      <c r="Q585" s="1"/>
      <c r="R585" s="1"/>
      <c r="S585" s="1"/>
      <c r="T585" s="1"/>
      <c r="U585" s="1"/>
      <c r="V585" s="1"/>
      <c r="W585" s="1"/>
      <c r="X585" s="1"/>
      <c r="Y585" s="1"/>
      <c r="Z585" s="1"/>
      <c r="AA585" s="1"/>
    </row>
    <row r="586" spans="1:27" ht="15.75" customHeight="1">
      <c r="A586" s="1"/>
      <c r="B586" s="556" t="s">
        <v>2399</v>
      </c>
      <c r="C586" s="557" t="s">
        <v>2024</v>
      </c>
      <c r="D586" s="794" t="s">
        <v>2631</v>
      </c>
      <c r="E586" s="795">
        <f t="shared" si="198"/>
        <v>22226.89075630252</v>
      </c>
      <c r="F586" s="796" t="s">
        <v>1291</v>
      </c>
      <c r="G586" s="793"/>
      <c r="H586" s="797">
        <f t="shared" si="192"/>
        <v>26450</v>
      </c>
      <c r="I586" s="798"/>
      <c r="J586" s="524">
        <f t="shared" si="199"/>
        <v>26450</v>
      </c>
      <c r="K586" s="521" t="s">
        <v>2069</v>
      </c>
      <c r="L586" s="799">
        <f>52900/2</f>
        <v>26450</v>
      </c>
      <c r="M586" s="518"/>
      <c r="N586" s="800"/>
      <c r="O586" s="1"/>
      <c r="P586" s="1"/>
      <c r="Q586" s="1"/>
      <c r="R586" s="1"/>
      <c r="S586" s="1"/>
      <c r="T586" s="1"/>
      <c r="U586" s="1"/>
      <c r="V586" s="1"/>
      <c r="W586" s="1"/>
      <c r="X586" s="1"/>
      <c r="Y586" s="1"/>
      <c r="Z586" s="1"/>
      <c r="AA586" s="1"/>
    </row>
    <row r="587" spans="1:27" ht="15.75" customHeight="1">
      <c r="A587" s="1"/>
      <c r="B587" s="556" t="s">
        <v>2402</v>
      </c>
      <c r="C587" s="557" t="s">
        <v>2024</v>
      </c>
      <c r="D587" s="794" t="s">
        <v>2401</v>
      </c>
      <c r="E587" s="795">
        <f t="shared" ref="E587" si="200">+H587/1.19</f>
        <v>58.82352941176471</v>
      </c>
      <c r="F587" s="796" t="s">
        <v>1291</v>
      </c>
      <c r="G587" s="793"/>
      <c r="H587" s="797">
        <f t="shared" si="192"/>
        <v>70</v>
      </c>
      <c r="I587" s="798"/>
      <c r="J587" s="524">
        <f t="shared" ref="J587" si="201">IFERROR(AVERAGEIF($K$13:$P$13,"PRECIO IVA INC.",K587:P587),)</f>
        <v>70</v>
      </c>
      <c r="K587" s="521" t="s">
        <v>2069</v>
      </c>
      <c r="L587" s="799">
        <v>70</v>
      </c>
      <c r="M587" s="518"/>
      <c r="N587" s="800"/>
      <c r="O587" s="1"/>
      <c r="P587" s="1"/>
      <c r="Q587" s="1"/>
      <c r="R587" s="1"/>
      <c r="S587" s="1"/>
      <c r="T587" s="1"/>
      <c r="U587" s="1"/>
      <c r="V587" s="1"/>
      <c r="W587" s="1"/>
      <c r="X587" s="1"/>
      <c r="Y587" s="1"/>
      <c r="Z587" s="1"/>
      <c r="AA587" s="1"/>
    </row>
    <row r="588" spans="1:27" ht="15.75" customHeight="1">
      <c r="A588" s="1"/>
      <c r="B588" s="556" t="s">
        <v>2404</v>
      </c>
      <c r="C588" s="557" t="s">
        <v>2024</v>
      </c>
      <c r="D588" s="794" t="s">
        <v>2403</v>
      </c>
      <c r="E588" s="795">
        <f t="shared" ref="E588" si="202">+H588/1.19</f>
        <v>20924.36974789916</v>
      </c>
      <c r="F588" s="796" t="s">
        <v>1291</v>
      </c>
      <c r="G588" s="793"/>
      <c r="H588" s="797">
        <f t="shared" si="192"/>
        <v>24900</v>
      </c>
      <c r="I588" s="798"/>
      <c r="J588" s="524">
        <f t="shared" ref="J588" si="203">IFERROR(AVERAGEIF($K$13:$P$13,"PRECIO IVA INC.",K588:P588),)</f>
        <v>24900</v>
      </c>
      <c r="K588" s="521" t="s">
        <v>2069</v>
      </c>
      <c r="L588" s="799">
        <v>24900</v>
      </c>
      <c r="M588" s="518"/>
      <c r="N588" s="800"/>
      <c r="O588" s="1"/>
      <c r="P588" s="1"/>
      <c r="Q588" s="1"/>
      <c r="R588" s="1"/>
      <c r="S588" s="1"/>
      <c r="T588" s="1"/>
      <c r="U588" s="1"/>
      <c r="V588" s="1"/>
      <c r="W588" s="1"/>
      <c r="X588" s="1"/>
      <c r="Y588" s="1"/>
      <c r="Z588" s="1"/>
      <c r="AA588" s="1"/>
    </row>
    <row r="589" spans="1:27" ht="15.75" customHeight="1">
      <c r="A589" s="1"/>
      <c r="B589" s="556" t="s">
        <v>2405</v>
      </c>
      <c r="C589" s="557" t="s">
        <v>2024</v>
      </c>
      <c r="D589" s="794" t="s">
        <v>2424</v>
      </c>
      <c r="E589" s="795">
        <f t="shared" ref="E589" si="204">+H589/1.19</f>
        <v>16134.453781512606</v>
      </c>
      <c r="F589" s="796" t="s">
        <v>1291</v>
      </c>
      <c r="G589" s="793"/>
      <c r="H589" s="797">
        <f t="shared" si="192"/>
        <v>19200</v>
      </c>
      <c r="I589" s="798"/>
      <c r="J589" s="524">
        <f t="shared" ref="J589" si="205">IFERROR(AVERAGEIF($K$13:$P$13,"PRECIO IVA INC.",K589:P589),)</f>
        <v>19200</v>
      </c>
      <c r="K589" s="521"/>
      <c r="L589" s="799">
        <v>19200</v>
      </c>
      <c r="M589" s="518"/>
      <c r="N589" s="800"/>
      <c r="O589" s="1"/>
      <c r="P589" s="1"/>
      <c r="Q589" s="1"/>
      <c r="R589" s="1"/>
      <c r="S589" s="1"/>
      <c r="T589" s="1"/>
      <c r="U589" s="1"/>
      <c r="V589" s="1"/>
      <c r="W589" s="1"/>
      <c r="X589" s="1"/>
      <c r="Y589" s="1"/>
      <c r="Z589" s="1"/>
      <c r="AA589" s="1"/>
    </row>
    <row r="590" spans="1:27" ht="15.75" customHeight="1">
      <c r="A590" s="1"/>
      <c r="B590" s="556" t="s">
        <v>2406</v>
      </c>
      <c r="C590" s="557" t="s">
        <v>2024</v>
      </c>
      <c r="D590" s="794" t="s">
        <v>2425</v>
      </c>
      <c r="E590" s="795">
        <f t="shared" ref="E590" si="206">+H590/1.19</f>
        <v>348823.5294117647</v>
      </c>
      <c r="F590" s="796" t="s">
        <v>1291</v>
      </c>
      <c r="G590" s="793"/>
      <c r="H590" s="797">
        <f t="shared" si="192"/>
        <v>415100</v>
      </c>
      <c r="I590" s="798"/>
      <c r="J590" s="524">
        <f t="shared" ref="J590" si="207">IFERROR(AVERAGEIF($K$13:$P$13,"PRECIO IVA INC.",K590:P590),)</f>
        <v>415099.65</v>
      </c>
      <c r="K590" s="521"/>
      <c r="L590" s="799">
        <f>395333*1.05</f>
        <v>415099.65</v>
      </c>
      <c r="M590" s="518"/>
      <c r="N590" s="800"/>
      <c r="O590" s="1"/>
      <c r="P590" s="1"/>
      <c r="Q590" s="1"/>
      <c r="R590" s="1"/>
      <c r="S590" s="1"/>
      <c r="T590" s="1"/>
      <c r="U590" s="1"/>
      <c r="V590" s="1"/>
      <c r="W590" s="1"/>
      <c r="X590" s="1"/>
      <c r="Y590" s="1"/>
      <c r="Z590" s="1"/>
      <c r="AA590" s="1"/>
    </row>
    <row r="591" spans="1:27" ht="15.75" customHeight="1">
      <c r="A591" s="1"/>
      <c r="B591" s="556" t="s">
        <v>2407</v>
      </c>
      <c r="C591" s="557" t="s">
        <v>2024</v>
      </c>
      <c r="D591" s="794" t="s">
        <v>2426</v>
      </c>
      <c r="E591" s="795">
        <f t="shared" ref="E591" si="208">+H591/1.19</f>
        <v>1488275.630252101</v>
      </c>
      <c r="F591" s="796" t="s">
        <v>1291</v>
      </c>
      <c r="G591" s="793"/>
      <c r="H591" s="797">
        <f t="shared" si="192"/>
        <v>1771048</v>
      </c>
      <c r="I591" s="798"/>
      <c r="J591" s="524">
        <f t="shared" ref="J591" si="209">IFERROR(AVERAGEIF($K$13:$P$13,"PRECIO IVA INC.",K591:P591),)</f>
        <v>1771048</v>
      </c>
      <c r="K591" s="521"/>
      <c r="L591" s="799">
        <v>1771048</v>
      </c>
      <c r="M591" s="518"/>
      <c r="N591" s="800"/>
      <c r="O591" s="1"/>
      <c r="P591" s="1"/>
      <c r="Q591" s="1"/>
      <c r="R591" s="1"/>
      <c r="S591" s="1"/>
      <c r="T591" s="1"/>
      <c r="U591" s="1"/>
      <c r="V591" s="1"/>
      <c r="W591" s="1"/>
      <c r="X591" s="1"/>
      <c r="Y591" s="1"/>
      <c r="Z591" s="1"/>
      <c r="AA591" s="1"/>
    </row>
    <row r="592" spans="1:27" ht="15.75" customHeight="1">
      <c r="A592" s="1"/>
      <c r="B592" s="556" t="s">
        <v>2428</v>
      </c>
      <c r="C592" s="557" t="s">
        <v>2024</v>
      </c>
      <c r="D592" s="794" t="s">
        <v>2427</v>
      </c>
      <c r="E592" s="795">
        <f t="shared" ref="E592" si="210">+H592/1.19</f>
        <v>6151.2605042016812</v>
      </c>
      <c r="F592" s="796" t="s">
        <v>1291</v>
      </c>
      <c r="G592" s="793"/>
      <c r="H592" s="797">
        <f t="shared" si="192"/>
        <v>7320</v>
      </c>
      <c r="I592" s="798"/>
      <c r="J592" s="524">
        <f t="shared" ref="J592" si="211">IFERROR(AVERAGEIF($K$13:$P$13,"PRECIO IVA INC.",K592:P592),)</f>
        <v>7320</v>
      </c>
      <c r="K592" s="521"/>
      <c r="L592" s="799">
        <v>7320</v>
      </c>
      <c r="M592" s="518"/>
      <c r="N592" s="800"/>
      <c r="O592" s="1"/>
      <c r="P592" s="1"/>
      <c r="Q592" s="1"/>
      <c r="R592" s="1"/>
      <c r="S592" s="1"/>
      <c r="T592" s="1"/>
      <c r="U592" s="1"/>
      <c r="V592" s="1"/>
      <c r="W592" s="1"/>
      <c r="X592" s="1"/>
      <c r="Y592" s="1"/>
      <c r="Z592" s="1"/>
      <c r="AA592" s="1"/>
    </row>
    <row r="593" spans="1:27" ht="15.75" customHeight="1">
      <c r="A593" s="1"/>
      <c r="B593" s="556" t="s">
        <v>2602</v>
      </c>
      <c r="C593" s="793"/>
      <c r="D593" s="794" t="s">
        <v>2603</v>
      </c>
      <c r="E593" s="795">
        <f t="shared" ref="E593" si="212">+H593/1.19</f>
        <v>18403.361344537814</v>
      </c>
      <c r="F593" s="796" t="s">
        <v>2045</v>
      </c>
      <c r="G593" s="793"/>
      <c r="H593" s="797">
        <f t="shared" si="192"/>
        <v>21900</v>
      </c>
      <c r="I593" s="798"/>
      <c r="J593" s="524">
        <f t="shared" ref="J593" si="213">IFERROR(AVERAGEIF($K$13:$P$13,"PRECIO IVA INC.",K593:P593),)</f>
        <v>21900</v>
      </c>
      <c r="K593" s="521"/>
      <c r="L593" s="799">
        <v>21900</v>
      </c>
      <c r="M593" s="518"/>
      <c r="N593" s="800"/>
      <c r="O593" s="1"/>
      <c r="P593" s="1"/>
      <c r="Q593" s="1"/>
      <c r="R593" s="1"/>
      <c r="S593" s="1"/>
      <c r="T593" s="1"/>
      <c r="U593" s="1"/>
      <c r="V593" s="1"/>
      <c r="W593" s="1"/>
      <c r="X593" s="1"/>
      <c r="Y593" s="1"/>
      <c r="Z593" s="1"/>
      <c r="AA593" s="1"/>
    </row>
    <row r="594" spans="1:27" ht="15.75" customHeight="1">
      <c r="A594" s="1"/>
      <c r="B594" s="556" t="s">
        <v>2608</v>
      </c>
      <c r="C594" s="793"/>
      <c r="D594" s="794" t="s">
        <v>2610</v>
      </c>
      <c r="E594" s="795">
        <f t="shared" ref="E594" si="214">+H594/1.19</f>
        <v>95378.151260504208</v>
      </c>
      <c r="F594" s="796" t="s">
        <v>1291</v>
      </c>
      <c r="G594" s="793"/>
      <c r="H594" s="797">
        <f t="shared" si="192"/>
        <v>113500</v>
      </c>
      <c r="I594" s="798"/>
      <c r="J594" s="524">
        <f t="shared" ref="J594" si="215">IFERROR(AVERAGEIF($K$13:$P$13,"PRECIO IVA INC.",K594:P594),)</f>
        <v>113500</v>
      </c>
      <c r="K594" s="521"/>
      <c r="L594" s="799">
        <v>113500</v>
      </c>
      <c r="M594" s="518"/>
      <c r="N594" s="800"/>
      <c r="O594" s="1"/>
      <c r="P594" s="1"/>
      <c r="Q594" s="1"/>
      <c r="R594" s="1"/>
      <c r="S594" s="1"/>
      <c r="T594" s="1"/>
      <c r="U594" s="1"/>
      <c r="V594" s="1"/>
      <c r="W594" s="1"/>
      <c r="X594" s="1"/>
      <c r="Y594" s="1"/>
      <c r="Z594" s="1"/>
      <c r="AA594" s="1"/>
    </row>
    <row r="595" spans="1:27" ht="15.75" customHeight="1">
      <c r="A595" s="1"/>
      <c r="B595" s="556" t="s">
        <v>2609</v>
      </c>
      <c r="C595" s="793"/>
      <c r="D595" s="794" t="s">
        <v>2611</v>
      </c>
      <c r="E595" s="795">
        <f t="shared" ref="E595" si="216">+H595/1.19</f>
        <v>882.35294117647061</v>
      </c>
      <c r="F595" s="796" t="s">
        <v>1291</v>
      </c>
      <c r="G595" s="793"/>
      <c r="H595" s="797">
        <f t="shared" si="192"/>
        <v>1050</v>
      </c>
      <c r="I595" s="798"/>
      <c r="J595" s="524">
        <f t="shared" ref="J595" si="217">IFERROR(AVERAGEIF($K$13:$P$13,"PRECIO IVA INC.",K595:P595),)</f>
        <v>1050</v>
      </c>
      <c r="K595" s="521"/>
      <c r="L595" s="799">
        <v>1050</v>
      </c>
      <c r="M595" s="518"/>
      <c r="N595" s="800"/>
      <c r="O595" s="1"/>
      <c r="P595" s="1"/>
      <c r="Q595" s="1"/>
      <c r="R595" s="1"/>
      <c r="S595" s="1"/>
      <c r="T595" s="1"/>
      <c r="U595" s="1"/>
      <c r="V595" s="1"/>
      <c r="W595" s="1"/>
      <c r="X595" s="1"/>
      <c r="Y595" s="1"/>
      <c r="Z595" s="1"/>
      <c r="AA595" s="1"/>
    </row>
    <row r="596" spans="1:27" ht="15.75" customHeight="1">
      <c r="A596" s="1"/>
      <c r="B596" s="556" t="s">
        <v>2620</v>
      </c>
      <c r="C596" s="793"/>
      <c r="D596" s="794" t="s">
        <v>2621</v>
      </c>
      <c r="E596" s="795">
        <f t="shared" ref="E596" si="218">+H596/1.19</f>
        <v>20588.235294117647</v>
      </c>
      <c r="F596" s="796" t="s">
        <v>1291</v>
      </c>
      <c r="G596" s="793"/>
      <c r="H596" s="797">
        <f t="shared" si="192"/>
        <v>24500</v>
      </c>
      <c r="I596" s="798"/>
      <c r="J596" s="524">
        <f t="shared" ref="J596" si="219">IFERROR(AVERAGEIF($K$13:$P$13,"PRECIO IVA INC.",K596:P596),)</f>
        <v>24500</v>
      </c>
      <c r="K596" s="521"/>
      <c r="L596" s="799">
        <v>24500</v>
      </c>
      <c r="M596" s="518"/>
      <c r="N596" s="800"/>
      <c r="O596" s="1"/>
      <c r="P596" s="1"/>
      <c r="Q596" s="1"/>
      <c r="R596" s="1"/>
      <c r="S596" s="1"/>
      <c r="T596" s="1"/>
      <c r="U596" s="1"/>
      <c r="V596" s="1"/>
      <c r="W596" s="1"/>
      <c r="X596" s="1"/>
      <c r="Y596" s="1"/>
      <c r="Z596" s="1"/>
      <c r="AA596" s="1"/>
    </row>
    <row r="597" spans="1:27" ht="15.75" customHeight="1">
      <c r="A597" s="1"/>
      <c r="B597" s="792"/>
      <c r="C597" s="793"/>
      <c r="D597" s="794"/>
      <c r="E597" s="795"/>
      <c r="F597" s="796"/>
      <c r="G597" s="793"/>
      <c r="H597" s="797"/>
      <c r="I597" s="798"/>
      <c r="J597" s="524"/>
      <c r="K597" s="521"/>
      <c r="L597" s="799"/>
      <c r="M597" s="518"/>
      <c r="N597" s="800"/>
      <c r="O597" s="1"/>
      <c r="P597" s="1"/>
      <c r="Q597" s="1"/>
      <c r="R597" s="1"/>
      <c r="S597" s="1"/>
      <c r="T597" s="1"/>
      <c r="U597" s="1"/>
      <c r="V597" s="1"/>
      <c r="W597" s="1"/>
      <c r="X597" s="1"/>
      <c r="Y597" s="1"/>
      <c r="Z597" s="1"/>
      <c r="AA597" s="1"/>
    </row>
    <row r="598" spans="1:27" ht="15.75" customHeight="1">
      <c r="A598" s="1"/>
      <c r="B598" s="501" t="s">
        <v>2226</v>
      </c>
      <c r="C598" s="502"/>
      <c r="D598" s="503"/>
      <c r="E598" s="504"/>
      <c r="F598" s="505"/>
      <c r="G598" s="505"/>
      <c r="H598" s="506"/>
      <c r="I598" s="552"/>
      <c r="J598" s="553"/>
      <c r="K598" s="554"/>
      <c r="L598" s="554"/>
      <c r="M598" s="554"/>
      <c r="N598" s="554"/>
      <c r="O598" s="1"/>
      <c r="P598" s="1"/>
      <c r="Q598" s="1"/>
      <c r="R598" s="1"/>
      <c r="S598" s="1"/>
      <c r="T598" s="1"/>
      <c r="U598" s="1"/>
      <c r="V598" s="1"/>
      <c r="W598" s="1"/>
      <c r="X598" s="1"/>
      <c r="Y598" s="1"/>
      <c r="Z598" s="1"/>
      <c r="AA598" s="1"/>
    </row>
    <row r="599" spans="1:27" ht="15.75" customHeight="1">
      <c r="A599" s="1"/>
      <c r="B599" s="556" t="s">
        <v>2227</v>
      </c>
      <c r="C599" s="580" t="s">
        <v>2228</v>
      </c>
      <c r="D599" s="174" t="s">
        <v>2229</v>
      </c>
      <c r="E599" s="573">
        <f t="shared" ref="E599:E618" si="220">+H599/1.19</f>
        <v>4970.588235294118</v>
      </c>
      <c r="F599" s="559" t="s">
        <v>1339</v>
      </c>
      <c r="G599" s="557"/>
      <c r="H599" s="560">
        <f t="shared" ref="H599:H618" si="221">ROUNDUP($J599*(1+$C$10),0)</f>
        <v>5915</v>
      </c>
      <c r="I599" s="523"/>
      <c r="J599" s="517">
        <f t="shared" ref="J599:J618" si="222">IFERROR(AVERAGEIF($K$13:$P$13,"PRECIO IVA INC.",K599:P599),)</f>
        <v>5914.1350000000002</v>
      </c>
      <c r="K599" s="521" t="s">
        <v>2230</v>
      </c>
      <c r="L599" s="522">
        <v>4628.2700000000004</v>
      </c>
      <c r="M599" s="575" t="s">
        <v>1752</v>
      </c>
      <c r="N599" s="519">
        <v>7200</v>
      </c>
      <c r="O599" s="1"/>
      <c r="P599" s="1"/>
      <c r="Q599" s="1"/>
      <c r="R599" s="1"/>
      <c r="S599" s="1"/>
      <c r="T599" s="1"/>
      <c r="U599" s="1"/>
      <c r="V599" s="1"/>
      <c r="W599" s="1"/>
      <c r="X599" s="1"/>
      <c r="Y599" s="1"/>
      <c r="Z599" s="1"/>
      <c r="AA599" s="1"/>
    </row>
    <row r="600" spans="1:27" ht="15.75" customHeight="1">
      <c r="A600" s="1"/>
      <c r="B600" s="556" t="s">
        <v>2231</v>
      </c>
      <c r="C600" s="580" t="s">
        <v>2228</v>
      </c>
      <c r="D600" s="174" t="s">
        <v>2232</v>
      </c>
      <c r="E600" s="573">
        <f t="shared" si="220"/>
        <v>11680.672268907563</v>
      </c>
      <c r="F600" s="559" t="s">
        <v>1339</v>
      </c>
      <c r="G600" s="557"/>
      <c r="H600" s="560">
        <f t="shared" si="221"/>
        <v>13900</v>
      </c>
      <c r="I600" s="523"/>
      <c r="J600" s="517">
        <f t="shared" si="222"/>
        <v>13900</v>
      </c>
      <c r="K600" s="521" t="s">
        <v>2230</v>
      </c>
      <c r="L600" s="522"/>
      <c r="M600" s="575" t="s">
        <v>1752</v>
      </c>
      <c r="N600" s="519">
        <v>13900</v>
      </c>
      <c r="O600" s="1"/>
      <c r="P600" s="1"/>
      <c r="Q600" s="1"/>
      <c r="R600" s="1"/>
      <c r="S600" s="1"/>
      <c r="T600" s="1"/>
      <c r="U600" s="1"/>
      <c r="V600" s="1"/>
      <c r="W600" s="1"/>
      <c r="X600" s="1"/>
      <c r="Y600" s="1"/>
      <c r="Z600" s="1"/>
      <c r="AA600" s="1"/>
    </row>
    <row r="601" spans="1:27" ht="15.75" customHeight="1">
      <c r="A601" s="1"/>
      <c r="B601" s="556" t="s">
        <v>2233</v>
      </c>
      <c r="C601" s="580" t="s">
        <v>2228</v>
      </c>
      <c r="D601" s="174" t="s">
        <v>2234</v>
      </c>
      <c r="E601" s="573">
        <f t="shared" si="220"/>
        <v>41428.571428571428</v>
      </c>
      <c r="F601" s="559" t="s">
        <v>550</v>
      </c>
      <c r="G601" s="557"/>
      <c r="H601" s="560">
        <f t="shared" si="221"/>
        <v>49300</v>
      </c>
      <c r="I601" s="523"/>
      <c r="J601" s="517">
        <f t="shared" si="222"/>
        <v>49300</v>
      </c>
      <c r="K601" s="521" t="s">
        <v>2230</v>
      </c>
      <c r="L601" s="522"/>
      <c r="M601" s="575" t="s">
        <v>1752</v>
      </c>
      <c r="N601" s="519">
        <v>49300</v>
      </c>
      <c r="O601" s="1"/>
      <c r="P601" s="1"/>
      <c r="Q601" s="1"/>
      <c r="R601" s="1"/>
      <c r="S601" s="1"/>
      <c r="T601" s="1"/>
      <c r="U601" s="1"/>
      <c r="V601" s="1"/>
      <c r="W601" s="1"/>
      <c r="X601" s="1"/>
      <c r="Y601" s="1"/>
      <c r="Z601" s="1"/>
      <c r="AA601" s="1"/>
    </row>
    <row r="602" spans="1:27" ht="15.75" customHeight="1">
      <c r="A602" s="1"/>
      <c r="B602" s="556" t="s">
        <v>2235</v>
      </c>
      <c r="C602" s="580" t="s">
        <v>2228</v>
      </c>
      <c r="D602" s="174" t="s">
        <v>2236</v>
      </c>
      <c r="E602" s="573">
        <f t="shared" si="220"/>
        <v>365.54621848739498</v>
      </c>
      <c r="F602" s="559" t="s">
        <v>1339</v>
      </c>
      <c r="G602" s="557"/>
      <c r="H602" s="560">
        <f t="shared" si="221"/>
        <v>435</v>
      </c>
      <c r="I602" s="523"/>
      <c r="J602" s="517">
        <f t="shared" si="222"/>
        <v>434.15475000000004</v>
      </c>
      <c r="K602" s="521" t="s">
        <v>2230</v>
      </c>
      <c r="L602" s="522">
        <f>16830.95/100</f>
        <v>168.30950000000001</v>
      </c>
      <c r="M602" s="575" t="s">
        <v>1752</v>
      </c>
      <c r="N602" s="519">
        <v>700</v>
      </c>
      <c r="O602" s="1"/>
      <c r="P602" s="1"/>
      <c r="Q602" s="1"/>
      <c r="R602" s="1"/>
      <c r="S602" s="1"/>
      <c r="T602" s="1"/>
      <c r="U602" s="1"/>
      <c r="V602" s="1"/>
      <c r="W602" s="1"/>
      <c r="X602" s="1"/>
      <c r="Y602" s="1"/>
      <c r="Z602" s="1"/>
      <c r="AA602" s="1"/>
    </row>
    <row r="603" spans="1:27" ht="15.75" customHeight="1">
      <c r="A603" s="1"/>
      <c r="B603" s="556" t="s">
        <v>2237</v>
      </c>
      <c r="C603" s="580" t="s">
        <v>2228</v>
      </c>
      <c r="D603" s="174" t="s">
        <v>2238</v>
      </c>
      <c r="E603" s="573">
        <f t="shared" si="220"/>
        <v>168.0672268907563</v>
      </c>
      <c r="F603" s="559" t="s">
        <v>1339</v>
      </c>
      <c r="G603" s="557"/>
      <c r="H603" s="560">
        <f t="shared" si="221"/>
        <v>200</v>
      </c>
      <c r="I603" s="523"/>
      <c r="J603" s="517">
        <f t="shared" si="222"/>
        <v>200</v>
      </c>
      <c r="K603" s="521" t="s">
        <v>2230</v>
      </c>
      <c r="L603" s="522"/>
      <c r="M603" s="575" t="s">
        <v>1752</v>
      </c>
      <c r="N603" s="519">
        <v>200</v>
      </c>
      <c r="O603" s="1"/>
      <c r="P603" s="1"/>
      <c r="Q603" s="1"/>
      <c r="R603" s="1"/>
      <c r="S603" s="1"/>
      <c r="T603" s="1"/>
      <c r="U603" s="1"/>
      <c r="V603" s="1"/>
      <c r="W603" s="1"/>
      <c r="X603" s="1"/>
      <c r="Y603" s="1"/>
      <c r="Z603" s="1"/>
      <c r="AA603" s="1"/>
    </row>
    <row r="604" spans="1:27" ht="15.75" customHeight="1">
      <c r="A604" s="1"/>
      <c r="B604" s="556" t="s">
        <v>2239</v>
      </c>
      <c r="C604" s="580" t="s">
        <v>2228</v>
      </c>
      <c r="D604" s="174" t="s">
        <v>2240</v>
      </c>
      <c r="E604" s="573">
        <f t="shared" si="220"/>
        <v>25546.218487394959</v>
      </c>
      <c r="F604" s="559" t="s">
        <v>1339</v>
      </c>
      <c r="G604" s="557"/>
      <c r="H604" s="560">
        <f t="shared" si="221"/>
        <v>30400</v>
      </c>
      <c r="I604" s="523"/>
      <c r="J604" s="517">
        <f t="shared" si="222"/>
        <v>30399.95</v>
      </c>
      <c r="K604" s="521" t="s">
        <v>2230</v>
      </c>
      <c r="L604" s="522">
        <v>29699.9</v>
      </c>
      <c r="M604" s="575" t="s">
        <v>1752</v>
      </c>
      <c r="N604" s="519">
        <v>31100</v>
      </c>
      <c r="O604" s="1"/>
      <c r="P604" s="1"/>
      <c r="Q604" s="1"/>
      <c r="R604" s="1"/>
      <c r="S604" s="1"/>
      <c r="T604" s="1"/>
      <c r="U604" s="1"/>
      <c r="V604" s="1"/>
      <c r="W604" s="1"/>
      <c r="X604" s="1"/>
      <c r="Y604" s="1"/>
      <c r="Z604" s="1"/>
      <c r="AA604" s="1"/>
    </row>
    <row r="605" spans="1:27" ht="15.75" customHeight="1">
      <c r="A605" s="1"/>
      <c r="B605" s="556" t="s">
        <v>2241</v>
      </c>
      <c r="C605" s="580" t="s">
        <v>2228</v>
      </c>
      <c r="D605" s="174" t="s">
        <v>2242</v>
      </c>
      <c r="E605" s="573">
        <f t="shared" si="220"/>
        <v>9182.3529411764703</v>
      </c>
      <c r="F605" s="559" t="s">
        <v>1363</v>
      </c>
      <c r="G605" s="557"/>
      <c r="H605" s="560">
        <f t="shared" si="221"/>
        <v>10927</v>
      </c>
      <c r="I605" s="523"/>
      <c r="J605" s="517">
        <f t="shared" si="222"/>
        <v>10926.584999999999</v>
      </c>
      <c r="K605" s="521" t="s">
        <v>2230</v>
      </c>
      <c r="L605" s="522">
        <v>8853.17</v>
      </c>
      <c r="M605" s="575" t="s">
        <v>1752</v>
      </c>
      <c r="N605" s="519">
        <v>13000</v>
      </c>
      <c r="O605" s="1"/>
      <c r="P605" s="1"/>
      <c r="Q605" s="1"/>
      <c r="R605" s="1"/>
      <c r="S605" s="1"/>
      <c r="T605" s="1"/>
      <c r="U605" s="1"/>
      <c r="V605" s="1"/>
      <c r="W605" s="1"/>
      <c r="X605" s="1"/>
      <c r="Y605" s="1"/>
      <c r="Z605" s="1"/>
      <c r="AA605" s="1"/>
    </row>
    <row r="606" spans="1:27" ht="15.75" customHeight="1">
      <c r="A606" s="1"/>
      <c r="B606" s="556" t="s">
        <v>2243</v>
      </c>
      <c r="C606" s="580" t="s">
        <v>2228</v>
      </c>
      <c r="D606" s="174" t="s">
        <v>2244</v>
      </c>
      <c r="E606" s="573">
        <f t="shared" si="220"/>
        <v>11958.823529411766</v>
      </c>
      <c r="F606" s="559" t="s">
        <v>1363</v>
      </c>
      <c r="G606" s="557"/>
      <c r="H606" s="560">
        <f t="shared" si="221"/>
        <v>14231</v>
      </c>
      <c r="I606" s="523"/>
      <c r="J606" s="517">
        <f t="shared" si="222"/>
        <v>14230.92</v>
      </c>
      <c r="K606" s="521" t="s">
        <v>2230</v>
      </c>
      <c r="L606" s="522">
        <v>12011.84</v>
      </c>
      <c r="M606" s="575" t="s">
        <v>1752</v>
      </c>
      <c r="N606" s="519">
        <v>16450</v>
      </c>
      <c r="O606" s="1"/>
      <c r="P606" s="1"/>
      <c r="Q606" s="1"/>
      <c r="R606" s="1"/>
      <c r="S606" s="1"/>
      <c r="T606" s="1"/>
      <c r="U606" s="1"/>
      <c r="V606" s="1"/>
      <c r="W606" s="1"/>
      <c r="X606" s="1"/>
      <c r="Y606" s="1"/>
      <c r="Z606" s="1"/>
      <c r="AA606" s="1"/>
    </row>
    <row r="607" spans="1:27" ht="15.75" customHeight="1">
      <c r="A607" s="1"/>
      <c r="B607" s="556" t="s">
        <v>2245</v>
      </c>
      <c r="C607" s="580" t="s">
        <v>2228</v>
      </c>
      <c r="D607" s="174" t="s">
        <v>2246</v>
      </c>
      <c r="E607" s="573">
        <f t="shared" si="220"/>
        <v>54764.705882352944</v>
      </c>
      <c r="F607" s="559" t="s">
        <v>1339</v>
      </c>
      <c r="G607" s="557"/>
      <c r="H607" s="560">
        <f t="shared" si="221"/>
        <v>65170</v>
      </c>
      <c r="I607" s="523"/>
      <c r="J607" s="517">
        <f t="shared" si="222"/>
        <v>65169.865000000005</v>
      </c>
      <c r="K607" s="521" t="s">
        <v>2230</v>
      </c>
      <c r="L607" s="522">
        <v>47239.73</v>
      </c>
      <c r="M607" s="575" t="s">
        <v>1752</v>
      </c>
      <c r="N607" s="519">
        <v>83100</v>
      </c>
      <c r="O607" s="1"/>
      <c r="P607" s="1"/>
      <c r="Q607" s="1"/>
      <c r="R607" s="1"/>
      <c r="S607" s="1"/>
      <c r="T607" s="1"/>
      <c r="U607" s="1"/>
      <c r="V607" s="1"/>
      <c r="W607" s="1"/>
      <c r="X607" s="1"/>
      <c r="Y607" s="1"/>
      <c r="Z607" s="1"/>
      <c r="AA607" s="1"/>
    </row>
    <row r="608" spans="1:27" ht="15.75" customHeight="1">
      <c r="A608" s="1"/>
      <c r="B608" s="556" t="s">
        <v>2247</v>
      </c>
      <c r="C608" s="580" t="s">
        <v>2228</v>
      </c>
      <c r="D608" s="174" t="s">
        <v>2248</v>
      </c>
      <c r="E608" s="573">
        <f t="shared" si="220"/>
        <v>48430.252100840342</v>
      </c>
      <c r="F608" s="559" t="s">
        <v>303</v>
      </c>
      <c r="G608" s="557"/>
      <c r="H608" s="560">
        <f t="shared" si="221"/>
        <v>57632</v>
      </c>
      <c r="I608" s="523"/>
      <c r="J608" s="517">
        <f t="shared" si="222"/>
        <v>57631.27</v>
      </c>
      <c r="K608" s="521" t="s">
        <v>2230</v>
      </c>
      <c r="L608" s="522">
        <v>83202.539999999994</v>
      </c>
      <c r="M608" s="575" t="s">
        <v>1752</v>
      </c>
      <c r="N608" s="519">
        <v>32060</v>
      </c>
      <c r="O608" s="1"/>
      <c r="P608" s="1"/>
      <c r="Q608" s="1"/>
      <c r="R608" s="1"/>
      <c r="S608" s="1"/>
      <c r="T608" s="1"/>
      <c r="U608" s="1"/>
      <c r="V608" s="1"/>
      <c r="W608" s="1"/>
      <c r="X608" s="1"/>
      <c r="Y608" s="1"/>
      <c r="Z608" s="1"/>
      <c r="AA608" s="1"/>
    </row>
    <row r="609" spans="1:27" ht="15.75" customHeight="1">
      <c r="A609" s="1"/>
      <c r="B609" s="556" t="s">
        <v>2249</v>
      </c>
      <c r="C609" s="580" t="s">
        <v>2228</v>
      </c>
      <c r="D609" s="174" t="s">
        <v>2250</v>
      </c>
      <c r="E609" s="573">
        <f t="shared" si="220"/>
        <v>13109.243697478993</v>
      </c>
      <c r="F609" s="559" t="s">
        <v>303</v>
      </c>
      <c r="G609" s="557"/>
      <c r="H609" s="560">
        <f t="shared" si="221"/>
        <v>15600</v>
      </c>
      <c r="I609" s="523"/>
      <c r="J609" s="517">
        <f t="shared" si="222"/>
        <v>15600</v>
      </c>
      <c r="K609" s="521" t="s">
        <v>2230</v>
      </c>
      <c r="L609" s="522"/>
      <c r="M609" s="575" t="s">
        <v>1752</v>
      </c>
      <c r="N609" s="519">
        <v>15600</v>
      </c>
      <c r="O609" s="1"/>
      <c r="P609" s="1"/>
      <c r="Q609" s="1"/>
      <c r="R609" s="1"/>
      <c r="S609" s="1"/>
      <c r="T609" s="1"/>
      <c r="U609" s="1"/>
      <c r="V609" s="1"/>
      <c r="W609" s="1"/>
      <c r="X609" s="1"/>
      <c r="Y609" s="1"/>
      <c r="Z609" s="1"/>
      <c r="AA609" s="1"/>
    </row>
    <row r="610" spans="1:27" ht="15.75" customHeight="1">
      <c r="A610" s="1"/>
      <c r="B610" s="556" t="s">
        <v>2251</v>
      </c>
      <c r="C610" s="580" t="s">
        <v>2228</v>
      </c>
      <c r="D610" s="174" t="s">
        <v>2252</v>
      </c>
      <c r="E610" s="573">
        <f t="shared" si="220"/>
        <v>16092.436974789916</v>
      </c>
      <c r="F610" s="559" t="s">
        <v>1339</v>
      </c>
      <c r="G610" s="557"/>
      <c r="H610" s="560">
        <f t="shared" si="221"/>
        <v>19150</v>
      </c>
      <c r="I610" s="523"/>
      <c r="J610" s="517">
        <f t="shared" si="222"/>
        <v>19150</v>
      </c>
      <c r="K610" s="521" t="s">
        <v>2230</v>
      </c>
      <c r="L610" s="522"/>
      <c r="M610" s="575" t="s">
        <v>1752</v>
      </c>
      <c r="N610" s="519">
        <v>19150</v>
      </c>
      <c r="O610" s="1"/>
      <c r="P610" s="1"/>
      <c r="Q610" s="1"/>
      <c r="R610" s="1"/>
      <c r="S610" s="1"/>
      <c r="T610" s="1"/>
      <c r="U610" s="1"/>
      <c r="V610" s="1"/>
      <c r="W610" s="1"/>
      <c r="X610" s="1"/>
      <c r="Y610" s="1"/>
      <c r="Z610" s="1"/>
      <c r="AA610" s="1"/>
    </row>
    <row r="611" spans="1:27" ht="15.75" customHeight="1">
      <c r="A611" s="1"/>
      <c r="B611" s="556" t="s">
        <v>2253</v>
      </c>
      <c r="C611" s="580" t="s">
        <v>2228</v>
      </c>
      <c r="D611" s="174" t="s">
        <v>2254</v>
      </c>
      <c r="E611" s="573">
        <f t="shared" si="220"/>
        <v>10124.36974789916</v>
      </c>
      <c r="F611" s="559" t="s">
        <v>550</v>
      </c>
      <c r="G611" s="557"/>
      <c r="H611" s="560">
        <f t="shared" si="221"/>
        <v>12048</v>
      </c>
      <c r="I611" s="523"/>
      <c r="J611" s="517">
        <f t="shared" si="222"/>
        <v>12047.39</v>
      </c>
      <c r="K611" s="521" t="s">
        <v>2230</v>
      </c>
      <c r="L611" s="522">
        <v>9744.7800000000007</v>
      </c>
      <c r="M611" s="575" t="s">
        <v>1752</v>
      </c>
      <c r="N611" s="519">
        <v>14350</v>
      </c>
      <c r="O611" s="1"/>
      <c r="P611" s="1"/>
      <c r="Q611" s="1"/>
      <c r="R611" s="1"/>
      <c r="S611" s="1"/>
      <c r="T611" s="1"/>
      <c r="U611" s="1"/>
      <c r="V611" s="1"/>
      <c r="W611" s="1"/>
      <c r="X611" s="1"/>
      <c r="Y611" s="1"/>
      <c r="Z611" s="1"/>
      <c r="AA611" s="1"/>
    </row>
    <row r="612" spans="1:27" ht="15.75" customHeight="1">
      <c r="A612" s="1"/>
      <c r="B612" s="556" t="s">
        <v>2255</v>
      </c>
      <c r="C612" s="580" t="s">
        <v>2228</v>
      </c>
      <c r="D612" s="174" t="s">
        <v>2256</v>
      </c>
      <c r="E612" s="573">
        <f t="shared" si="220"/>
        <v>7521.0084033613448</v>
      </c>
      <c r="F612" s="559" t="s">
        <v>1339</v>
      </c>
      <c r="G612" s="557"/>
      <c r="H612" s="560">
        <f t="shared" si="221"/>
        <v>8950</v>
      </c>
      <c r="I612" s="523"/>
      <c r="J612" s="517">
        <f t="shared" si="222"/>
        <v>8949.130000000001</v>
      </c>
      <c r="K612" s="521" t="s">
        <v>2230</v>
      </c>
      <c r="L612" s="522">
        <v>7298.26</v>
      </c>
      <c r="M612" s="575" t="s">
        <v>1752</v>
      </c>
      <c r="N612" s="519">
        <v>10600</v>
      </c>
      <c r="O612" s="1"/>
      <c r="P612" s="1"/>
      <c r="Q612" s="1"/>
      <c r="R612" s="1"/>
      <c r="S612" s="1"/>
      <c r="T612" s="1"/>
      <c r="U612" s="1"/>
      <c r="V612" s="1"/>
      <c r="W612" s="1"/>
      <c r="X612" s="1"/>
      <c r="Y612" s="1"/>
      <c r="Z612" s="1"/>
      <c r="AA612" s="1"/>
    </row>
    <row r="613" spans="1:27" ht="15.75" customHeight="1">
      <c r="A613" s="1"/>
      <c r="B613" s="556" t="s">
        <v>2257</v>
      </c>
      <c r="C613" s="580" t="s">
        <v>2228</v>
      </c>
      <c r="D613" s="174" t="s">
        <v>2258</v>
      </c>
      <c r="E613" s="573">
        <f t="shared" si="220"/>
        <v>882.35294117647061</v>
      </c>
      <c r="F613" s="559" t="s">
        <v>1339</v>
      </c>
      <c r="G613" s="557"/>
      <c r="H613" s="560">
        <f t="shared" si="221"/>
        <v>1050</v>
      </c>
      <c r="I613" s="523"/>
      <c r="J613" s="517">
        <f t="shared" si="222"/>
        <v>1050</v>
      </c>
      <c r="K613" s="521" t="s">
        <v>2230</v>
      </c>
      <c r="L613" s="522"/>
      <c r="M613" s="575" t="s">
        <v>1752</v>
      </c>
      <c r="N613" s="519">
        <v>1050</v>
      </c>
      <c r="O613" s="1"/>
      <c r="P613" s="1"/>
      <c r="Q613" s="1"/>
      <c r="R613" s="1"/>
      <c r="S613" s="1"/>
      <c r="T613" s="1"/>
      <c r="U613" s="1"/>
      <c r="V613" s="1"/>
      <c r="W613" s="1"/>
      <c r="X613" s="1"/>
      <c r="Y613" s="1"/>
      <c r="Z613" s="1"/>
      <c r="AA613" s="1"/>
    </row>
    <row r="614" spans="1:27" ht="15.75" customHeight="1">
      <c r="A614" s="1"/>
      <c r="B614" s="556" t="s">
        <v>2259</v>
      </c>
      <c r="C614" s="580" t="s">
        <v>2228</v>
      </c>
      <c r="D614" s="174" t="s">
        <v>2260</v>
      </c>
      <c r="E614" s="573">
        <f t="shared" si="220"/>
        <v>27.731092436974791</v>
      </c>
      <c r="F614" s="559" t="s">
        <v>1339</v>
      </c>
      <c r="G614" s="557"/>
      <c r="H614" s="560">
        <f t="shared" si="221"/>
        <v>33</v>
      </c>
      <c r="I614" s="523"/>
      <c r="J614" s="517">
        <f t="shared" si="222"/>
        <v>32.81</v>
      </c>
      <c r="K614" s="521" t="s">
        <v>2230</v>
      </c>
      <c r="L614" s="522">
        <v>30.62</v>
      </c>
      <c r="M614" s="575" t="s">
        <v>1752</v>
      </c>
      <c r="N614" s="574">
        <v>35</v>
      </c>
      <c r="O614" s="1"/>
      <c r="P614" s="1"/>
      <c r="Q614" s="1"/>
      <c r="R614" s="1"/>
      <c r="S614" s="1"/>
      <c r="T614" s="1"/>
      <c r="U614" s="1"/>
      <c r="V614" s="1"/>
      <c r="W614" s="1"/>
      <c r="X614" s="1"/>
      <c r="Y614" s="1"/>
      <c r="Z614" s="1"/>
      <c r="AA614" s="1"/>
    </row>
    <row r="615" spans="1:27" ht="14.25" customHeight="1">
      <c r="A615" s="1"/>
      <c r="B615" s="556" t="s">
        <v>2261</v>
      </c>
      <c r="C615" s="580" t="s">
        <v>2228</v>
      </c>
      <c r="D615" s="174" t="s">
        <v>2262</v>
      </c>
      <c r="E615" s="573">
        <f t="shared" si="220"/>
        <v>26.890756302521009</v>
      </c>
      <c r="F615" s="559" t="s">
        <v>1339</v>
      </c>
      <c r="G615" s="557"/>
      <c r="H615" s="560">
        <f t="shared" si="221"/>
        <v>32</v>
      </c>
      <c r="I615" s="523"/>
      <c r="J615" s="517">
        <f t="shared" si="222"/>
        <v>31.33</v>
      </c>
      <c r="K615" s="521" t="s">
        <v>2230</v>
      </c>
      <c r="L615" s="522">
        <v>27.66</v>
      </c>
      <c r="M615" s="575" t="s">
        <v>1752</v>
      </c>
      <c r="N615" s="574">
        <v>35</v>
      </c>
      <c r="O615" s="1"/>
      <c r="P615" s="1"/>
      <c r="Q615" s="1"/>
      <c r="R615" s="1"/>
      <c r="S615" s="1"/>
      <c r="T615" s="1"/>
      <c r="U615" s="1"/>
      <c r="V615" s="1"/>
      <c r="W615" s="1"/>
      <c r="X615" s="1"/>
      <c r="Y615" s="1"/>
      <c r="Z615" s="1"/>
      <c r="AA615" s="1"/>
    </row>
    <row r="616" spans="1:27" ht="14.25" customHeight="1">
      <c r="A616" s="1"/>
      <c r="B616" s="556" t="s">
        <v>2263</v>
      </c>
      <c r="C616" s="580" t="s">
        <v>2228</v>
      </c>
      <c r="D616" s="174" t="s">
        <v>2264</v>
      </c>
      <c r="E616" s="573">
        <f t="shared" si="220"/>
        <v>81.512605042016816</v>
      </c>
      <c r="F616" s="559" t="s">
        <v>1339</v>
      </c>
      <c r="G616" s="557"/>
      <c r="H616" s="560">
        <f t="shared" si="221"/>
        <v>97</v>
      </c>
      <c r="I616" s="523"/>
      <c r="J616" s="517">
        <f t="shared" si="222"/>
        <v>96.83</v>
      </c>
      <c r="K616" s="521" t="s">
        <v>2230</v>
      </c>
      <c r="L616" s="522">
        <v>27.66</v>
      </c>
      <c r="M616" s="575" t="s">
        <v>1752</v>
      </c>
      <c r="N616" s="574">
        <v>166</v>
      </c>
      <c r="O616" s="1"/>
      <c r="P616" s="1"/>
      <c r="Q616" s="1"/>
      <c r="R616" s="1"/>
      <c r="S616" s="1"/>
      <c r="T616" s="1"/>
      <c r="U616" s="1"/>
      <c r="V616" s="1"/>
      <c r="W616" s="1"/>
      <c r="X616" s="1"/>
      <c r="Y616" s="1"/>
      <c r="Z616" s="1"/>
      <c r="AA616" s="1"/>
    </row>
    <row r="617" spans="1:27" ht="14.25" customHeight="1">
      <c r="A617" s="1"/>
      <c r="B617" s="556" t="s">
        <v>2265</v>
      </c>
      <c r="C617" s="580" t="s">
        <v>2228</v>
      </c>
      <c r="D617" s="174" t="s">
        <v>2629</v>
      </c>
      <c r="E617" s="573">
        <f t="shared" si="220"/>
        <v>100.84033613445379</v>
      </c>
      <c r="F617" s="559" t="s">
        <v>1339</v>
      </c>
      <c r="G617" s="557"/>
      <c r="H617" s="560">
        <f t="shared" si="221"/>
        <v>120</v>
      </c>
      <c r="I617" s="523"/>
      <c r="J617" s="517">
        <f t="shared" si="222"/>
        <v>119.755</v>
      </c>
      <c r="K617" s="521" t="s">
        <v>2230</v>
      </c>
      <c r="L617" s="522">
        <v>39.51</v>
      </c>
      <c r="M617" s="575" t="s">
        <v>1752</v>
      </c>
      <c r="N617" s="574">
        <v>200</v>
      </c>
      <c r="O617" s="1"/>
      <c r="P617" s="1"/>
      <c r="Q617" s="1"/>
      <c r="R617" s="1"/>
      <c r="S617" s="1"/>
      <c r="T617" s="1"/>
      <c r="U617" s="1"/>
      <c r="V617" s="1"/>
      <c r="W617" s="1"/>
      <c r="X617" s="1"/>
      <c r="Y617" s="1"/>
      <c r="Z617" s="1"/>
      <c r="AA617" s="1"/>
    </row>
    <row r="618" spans="1:27" ht="41.25" customHeight="1">
      <c r="A618" s="1"/>
      <c r="B618" s="556" t="s">
        <v>2266</v>
      </c>
      <c r="C618" s="580" t="s">
        <v>2228</v>
      </c>
      <c r="D618" s="174" t="s">
        <v>2267</v>
      </c>
      <c r="E618" s="573">
        <f t="shared" si="220"/>
        <v>672268.90756302525</v>
      </c>
      <c r="F618" s="559" t="s">
        <v>303</v>
      </c>
      <c r="G618" s="557"/>
      <c r="H618" s="560">
        <f t="shared" si="221"/>
        <v>800000</v>
      </c>
      <c r="I618" s="523"/>
      <c r="J618" s="517">
        <f t="shared" si="222"/>
        <v>800000</v>
      </c>
      <c r="K618" s="575" t="s">
        <v>2268</v>
      </c>
      <c r="L618" s="581">
        <v>800000</v>
      </c>
      <c r="M618" s="518"/>
      <c r="N618" s="519"/>
      <c r="O618" s="1"/>
      <c r="P618" s="1"/>
      <c r="Q618" s="1"/>
      <c r="R618" s="1"/>
      <c r="S618" s="1"/>
      <c r="T618" s="1"/>
      <c r="U618" s="1"/>
      <c r="V618" s="1"/>
      <c r="W618" s="1"/>
      <c r="X618" s="1"/>
      <c r="Y618" s="1"/>
      <c r="Z618" s="1"/>
      <c r="AA618" s="1"/>
    </row>
    <row r="619" spans="1:27" ht="14.25" customHeight="1">
      <c r="A619" s="1"/>
      <c r="B619" s="556"/>
      <c r="C619" s="580"/>
      <c r="D619" s="174"/>
      <c r="E619" s="558"/>
      <c r="F619" s="559"/>
      <c r="G619" s="557"/>
      <c r="H619" s="560"/>
      <c r="I619" s="523"/>
      <c r="J619" s="524"/>
      <c r="K619" s="518"/>
      <c r="L619" s="574"/>
      <c r="M619" s="518"/>
      <c r="N619" s="519"/>
      <c r="O619" s="1"/>
      <c r="P619" s="1"/>
      <c r="Q619" s="1"/>
      <c r="R619" s="1"/>
      <c r="S619" s="1"/>
      <c r="T619" s="1"/>
      <c r="U619" s="1"/>
      <c r="V619" s="1"/>
      <c r="W619" s="1"/>
      <c r="X619" s="1"/>
      <c r="Y619" s="1"/>
      <c r="Z619" s="1"/>
      <c r="AA619" s="1"/>
    </row>
    <row r="620" spans="1:27" ht="14.25" customHeight="1">
      <c r="A620" s="1"/>
      <c r="B620" s="556"/>
      <c r="C620" s="580"/>
      <c r="D620" s="174"/>
      <c r="E620" s="558"/>
      <c r="F620" s="559"/>
      <c r="G620" s="557"/>
      <c r="H620" s="560"/>
      <c r="I620" s="523"/>
      <c r="J620" s="524"/>
      <c r="K620" s="518"/>
      <c r="L620" s="519"/>
      <c r="M620" s="518"/>
      <c r="N620" s="574"/>
      <c r="O620" s="1"/>
      <c r="P620" s="1"/>
      <c r="Q620" s="1"/>
      <c r="R620" s="1"/>
      <c r="S620" s="1"/>
      <c r="T620" s="1"/>
      <c r="U620" s="1"/>
      <c r="V620" s="1"/>
      <c r="W620" s="1"/>
      <c r="X620" s="1"/>
      <c r="Y620" s="1"/>
      <c r="Z620" s="1"/>
      <c r="AA620" s="1"/>
    </row>
    <row r="621" spans="1:27" ht="14.25" customHeight="1">
      <c r="A621" s="1"/>
      <c r="B621" s="501" t="s">
        <v>2269</v>
      </c>
      <c r="C621" s="502"/>
      <c r="D621" s="503"/>
      <c r="E621" s="504"/>
      <c r="F621" s="505"/>
      <c r="G621" s="505"/>
      <c r="H621" s="506"/>
      <c r="I621" s="552"/>
      <c r="J621" s="553"/>
      <c r="K621" s="554"/>
      <c r="L621" s="554"/>
      <c r="M621" s="554"/>
      <c r="N621" s="554"/>
      <c r="O621" s="1"/>
      <c r="P621" s="1"/>
      <c r="Q621" s="1"/>
      <c r="R621" s="1"/>
      <c r="S621" s="1"/>
      <c r="T621" s="1"/>
      <c r="U621" s="1"/>
      <c r="V621" s="1"/>
      <c r="W621" s="1"/>
      <c r="X621" s="1"/>
      <c r="Y621" s="1"/>
      <c r="Z621" s="1"/>
      <c r="AA621" s="1"/>
    </row>
    <row r="622" spans="1:27" ht="14.25" customHeight="1">
      <c r="A622" s="1"/>
      <c r="B622" s="556" t="s">
        <v>2270</v>
      </c>
      <c r="C622" s="580" t="s">
        <v>2271</v>
      </c>
      <c r="D622" s="174" t="s">
        <v>2272</v>
      </c>
      <c r="E622" s="558">
        <f t="shared" ref="E622:E623" si="223">+H622/1.19</f>
        <v>1520168.0672268909</v>
      </c>
      <c r="F622" s="559" t="s">
        <v>1339</v>
      </c>
      <c r="G622" s="557"/>
      <c r="H622" s="560">
        <f t="shared" ref="H622:H623" si="224">ROUNDUP($J622*(1+$C$10),0)</f>
        <v>1809000</v>
      </c>
      <c r="I622" s="520"/>
      <c r="J622" s="517">
        <f t="shared" ref="J622:J623" si="225">IFERROR(AVERAGEIF($K$13:$P$13,"PRECIO IVA INC.",K622:P622),)</f>
        <v>1809000</v>
      </c>
      <c r="K622" s="521" t="s">
        <v>1764</v>
      </c>
      <c r="L622" s="522">
        <v>1809000</v>
      </c>
      <c r="M622" s="518"/>
      <c r="N622" s="519"/>
      <c r="O622" s="518"/>
      <c r="P622" s="519"/>
      <c r="Q622" s="1"/>
      <c r="R622" s="1"/>
      <c r="S622" s="1"/>
      <c r="T622" s="1"/>
      <c r="U622" s="1"/>
      <c r="V622" s="1"/>
      <c r="W622" s="1"/>
      <c r="X622" s="1"/>
      <c r="Y622" s="1"/>
      <c r="Z622" s="1"/>
      <c r="AA622" s="1"/>
    </row>
    <row r="623" spans="1:27" ht="14.25" customHeight="1">
      <c r="A623" s="1"/>
      <c r="B623" s="556" t="s">
        <v>2273</v>
      </c>
      <c r="C623" s="580" t="s">
        <v>2271</v>
      </c>
      <c r="D623" s="174" t="s">
        <v>2274</v>
      </c>
      <c r="E623" s="573">
        <f t="shared" si="223"/>
        <v>10672268.907563025</v>
      </c>
      <c r="F623" s="559" t="s">
        <v>1339</v>
      </c>
      <c r="G623" s="557"/>
      <c r="H623" s="560">
        <f t="shared" si="224"/>
        <v>12700000</v>
      </c>
      <c r="I623" s="520"/>
      <c r="J623" s="517">
        <f t="shared" si="225"/>
        <v>12700000</v>
      </c>
      <c r="K623" s="521" t="s">
        <v>2275</v>
      </c>
      <c r="L623" s="522">
        <v>12700000</v>
      </c>
      <c r="M623" s="518"/>
      <c r="N623" s="519"/>
      <c r="O623" s="518"/>
      <c r="P623" s="519"/>
      <c r="Q623" s="1"/>
      <c r="R623" s="1"/>
      <c r="S623" s="1"/>
      <c r="T623" s="1"/>
      <c r="U623" s="1"/>
      <c r="V623" s="1"/>
      <c r="W623" s="1"/>
      <c r="X623" s="1"/>
      <c r="Y623" s="1"/>
      <c r="Z623" s="1"/>
      <c r="AA623" s="1"/>
    </row>
    <row r="624" spans="1:27" ht="14.25" customHeight="1">
      <c r="A624" s="1"/>
      <c r="B624" s="556"/>
      <c r="C624" s="580"/>
      <c r="D624" s="174"/>
      <c r="E624" s="573"/>
      <c r="F624" s="559"/>
      <c r="G624" s="557"/>
      <c r="H624" s="560"/>
      <c r="I624" s="523"/>
      <c r="J624" s="524"/>
      <c r="K624" s="518"/>
      <c r="L624" s="574"/>
      <c r="M624" s="518"/>
      <c r="N624" s="519"/>
      <c r="O624" s="518"/>
      <c r="P624" s="519"/>
      <c r="Q624" s="1"/>
      <c r="R624" s="1"/>
      <c r="S624" s="1"/>
      <c r="T624" s="1"/>
      <c r="U624" s="1"/>
      <c r="V624" s="1"/>
      <c r="W624" s="1"/>
      <c r="X624" s="1"/>
      <c r="Y624" s="1"/>
      <c r="Z624" s="1"/>
      <c r="AA624" s="1"/>
    </row>
    <row r="625" spans="1:27" ht="14.25" customHeight="1">
      <c r="A625" s="1"/>
      <c r="B625" s="556"/>
      <c r="C625" s="580"/>
      <c r="D625" s="174"/>
      <c r="E625" s="573"/>
      <c r="F625" s="559"/>
      <c r="G625" s="557"/>
      <c r="H625" s="560"/>
      <c r="I625" s="523"/>
      <c r="J625" s="524"/>
      <c r="K625" s="518"/>
      <c r="L625" s="574"/>
      <c r="M625" s="518"/>
      <c r="N625" s="519"/>
      <c r="O625" s="518"/>
      <c r="P625" s="519"/>
      <c r="Q625" s="1"/>
      <c r="R625" s="1"/>
      <c r="S625" s="1"/>
      <c r="T625" s="1"/>
      <c r="U625" s="1"/>
      <c r="V625" s="1"/>
      <c r="W625" s="1"/>
      <c r="X625" s="1"/>
      <c r="Y625" s="1"/>
      <c r="Z625" s="1"/>
      <c r="AA625" s="1"/>
    </row>
    <row r="626" spans="1:27" ht="14.25" customHeight="1">
      <c r="A626" s="1"/>
      <c r="B626" s="556"/>
      <c r="C626" s="580"/>
      <c r="D626" s="174"/>
      <c r="E626" s="573"/>
      <c r="F626" s="559"/>
      <c r="G626" s="557"/>
      <c r="H626" s="560"/>
      <c r="I626" s="523"/>
      <c r="J626" s="524"/>
      <c r="K626" s="518"/>
      <c r="L626" s="574"/>
      <c r="M626" s="518"/>
      <c r="N626" s="519"/>
      <c r="O626" s="518"/>
      <c r="P626" s="519"/>
      <c r="Q626" s="1"/>
      <c r="R626" s="1"/>
      <c r="S626" s="1"/>
      <c r="T626" s="1"/>
      <c r="U626" s="1"/>
      <c r="V626" s="1"/>
      <c r="W626" s="1"/>
      <c r="X626" s="1"/>
      <c r="Y626" s="1"/>
      <c r="Z626" s="1"/>
      <c r="AA626" s="1"/>
    </row>
    <row r="627" spans="1:27" ht="14.25" customHeight="1">
      <c r="A627" s="1"/>
      <c r="B627" s="556"/>
      <c r="C627" s="580"/>
      <c r="D627" s="174"/>
      <c r="E627" s="573"/>
      <c r="F627" s="559"/>
      <c r="G627" s="557"/>
      <c r="H627" s="560"/>
      <c r="I627" s="523"/>
      <c r="J627" s="524"/>
      <c r="K627" s="518"/>
      <c r="L627" s="574"/>
      <c r="M627" s="518"/>
      <c r="N627" s="519"/>
      <c r="O627" s="518"/>
      <c r="P627" s="519"/>
      <c r="Q627" s="1"/>
      <c r="R627" s="1"/>
      <c r="S627" s="1"/>
      <c r="T627" s="1"/>
      <c r="U627" s="1"/>
      <c r="V627" s="1"/>
      <c r="W627" s="1"/>
      <c r="X627" s="1"/>
      <c r="Y627" s="1"/>
      <c r="Z627" s="1"/>
      <c r="AA627" s="1"/>
    </row>
    <row r="628" spans="1:27" ht="14.25" customHeight="1">
      <c r="A628" s="1"/>
      <c r="B628" s="556"/>
      <c r="C628" s="580"/>
      <c r="D628" s="174"/>
      <c r="E628" s="573"/>
      <c r="F628" s="559"/>
      <c r="G628" s="557"/>
      <c r="H628" s="560"/>
      <c r="I628" s="523"/>
      <c r="J628" s="524"/>
      <c r="K628" s="518"/>
      <c r="L628" s="574"/>
      <c r="M628" s="518"/>
      <c r="N628" s="519"/>
      <c r="O628" s="518"/>
      <c r="P628" s="519"/>
      <c r="Q628" s="1"/>
      <c r="R628" s="1"/>
      <c r="S628" s="1"/>
      <c r="T628" s="1"/>
      <c r="U628" s="1"/>
      <c r="V628" s="1"/>
      <c r="W628" s="1"/>
      <c r="X628" s="1"/>
      <c r="Y628" s="1"/>
      <c r="Z628" s="1"/>
      <c r="AA628" s="1"/>
    </row>
    <row r="629" spans="1:27" ht="14.25" customHeight="1">
      <c r="A629" s="1"/>
      <c r="B629" s="556"/>
      <c r="C629" s="580"/>
      <c r="D629" s="174"/>
      <c r="E629" s="573"/>
      <c r="F629" s="559"/>
      <c r="G629" s="557"/>
      <c r="H629" s="560"/>
      <c r="I629" s="523"/>
      <c r="J629" s="524"/>
      <c r="K629" s="518"/>
      <c r="L629" s="574"/>
      <c r="M629" s="518"/>
      <c r="N629" s="519"/>
      <c r="O629" s="518"/>
      <c r="P629" s="519"/>
      <c r="Q629" s="1"/>
      <c r="R629" s="1"/>
      <c r="S629" s="1"/>
      <c r="T629" s="1"/>
      <c r="U629" s="1"/>
      <c r="V629" s="1"/>
      <c r="W629" s="1"/>
      <c r="X629" s="1"/>
      <c r="Y629" s="1"/>
      <c r="Z629" s="1"/>
      <c r="AA629" s="1"/>
    </row>
    <row r="630" spans="1:27" ht="14.25" customHeight="1">
      <c r="A630" s="1"/>
      <c r="B630" s="556"/>
      <c r="C630" s="580"/>
      <c r="D630" s="174"/>
      <c r="E630" s="573"/>
      <c r="F630" s="559"/>
      <c r="G630" s="557"/>
      <c r="H630" s="560"/>
      <c r="I630" s="523"/>
      <c r="J630" s="524"/>
      <c r="K630" s="518"/>
      <c r="L630" s="574"/>
      <c r="M630" s="518"/>
      <c r="N630" s="519"/>
      <c r="O630" s="518"/>
      <c r="P630" s="519"/>
      <c r="Q630" s="1"/>
      <c r="R630" s="1"/>
      <c r="S630" s="1"/>
      <c r="T630" s="1"/>
      <c r="U630" s="1"/>
      <c r="V630" s="1"/>
      <c r="W630" s="1"/>
      <c r="X630" s="1"/>
      <c r="Y630" s="1"/>
      <c r="Z630" s="1"/>
      <c r="AA630" s="1"/>
    </row>
    <row r="631" spans="1:27" ht="14.25" customHeight="1">
      <c r="A631" s="1"/>
      <c r="B631" s="556"/>
      <c r="C631" s="580"/>
      <c r="D631" s="174"/>
      <c r="E631" s="573"/>
      <c r="F631" s="559"/>
      <c r="G631" s="557"/>
      <c r="H631" s="560"/>
      <c r="I631" s="523"/>
      <c r="J631" s="524"/>
      <c r="K631" s="518"/>
      <c r="L631" s="519"/>
      <c r="M631" s="518"/>
      <c r="N631" s="519"/>
      <c r="O631" s="518"/>
      <c r="P631" s="519"/>
      <c r="Q631" s="1"/>
      <c r="R631" s="1"/>
      <c r="S631" s="1"/>
      <c r="T631" s="1"/>
      <c r="U631" s="1"/>
      <c r="V631" s="1"/>
      <c r="W631" s="1"/>
      <c r="X631" s="1"/>
      <c r="Y631" s="1"/>
      <c r="Z631" s="1"/>
      <c r="AA631" s="1"/>
    </row>
    <row r="632" spans="1:27" ht="14.25" customHeight="1">
      <c r="A632" s="1"/>
      <c r="B632" s="582"/>
      <c r="C632" s="583"/>
      <c r="D632" s="584"/>
      <c r="E632" s="585"/>
      <c r="F632" s="586"/>
      <c r="G632" s="587"/>
      <c r="H632" s="588"/>
      <c r="I632" s="589"/>
      <c r="J632" s="590"/>
      <c r="K632" s="591"/>
      <c r="L632" s="592"/>
      <c r="M632" s="591"/>
      <c r="N632" s="592"/>
      <c r="O632" s="593"/>
      <c r="P632" s="592"/>
      <c r="Q632" s="1"/>
      <c r="R632" s="1"/>
      <c r="S632" s="1"/>
      <c r="T632" s="1"/>
      <c r="U632" s="1"/>
      <c r="V632" s="1"/>
      <c r="W632" s="1"/>
      <c r="X632" s="1"/>
      <c r="Y632" s="1"/>
      <c r="Z632" s="1"/>
      <c r="AA632" s="1"/>
    </row>
    <row r="633" spans="1:27" ht="14.25" customHeight="1">
      <c r="A633" s="1"/>
      <c r="B633" s="594"/>
      <c r="C633" s="595"/>
      <c r="D633" s="596"/>
      <c r="E633" s="597"/>
      <c r="F633" s="598"/>
      <c r="G633" s="599"/>
      <c r="H633" s="599"/>
      <c r="I633" s="599"/>
      <c r="J633" s="599"/>
      <c r="K633" s="599"/>
      <c r="L633" s="599"/>
      <c r="M633" s="599"/>
      <c r="N633" s="599"/>
      <c r="O633" s="599"/>
      <c r="P633" s="600"/>
      <c r="Q633" s="1"/>
      <c r="R633" s="1"/>
      <c r="S633" s="1"/>
      <c r="T633" s="1"/>
      <c r="U633" s="1"/>
      <c r="V633" s="1"/>
      <c r="W633" s="1"/>
      <c r="X633" s="1"/>
      <c r="Y633" s="1"/>
      <c r="Z633" s="1"/>
      <c r="AA633" s="1"/>
    </row>
    <row r="634" spans="1:27" ht="14.25" customHeight="1">
      <c r="A634" s="1"/>
      <c r="B634" s="601" t="s">
        <v>852</v>
      </c>
      <c r="C634" s="485">
        <v>46054</v>
      </c>
      <c r="D634" s="602"/>
      <c r="E634" s="603"/>
      <c r="F634" s="604"/>
      <c r="G634" s="425"/>
      <c r="H634" s="425"/>
      <c r="I634" s="425"/>
      <c r="J634" s="425"/>
      <c r="K634" s="425"/>
      <c r="L634" s="425"/>
      <c r="M634" s="425"/>
      <c r="N634" s="425"/>
      <c r="O634" s="425"/>
      <c r="P634" s="605"/>
      <c r="Q634" s="1"/>
      <c r="R634" s="1"/>
      <c r="S634" s="1"/>
      <c r="T634" s="1"/>
      <c r="U634" s="1"/>
      <c r="V634" s="1"/>
      <c r="W634" s="1"/>
      <c r="X634" s="1"/>
      <c r="Y634" s="1"/>
      <c r="Z634" s="1"/>
      <c r="AA634" s="1"/>
    </row>
    <row r="635" spans="1:27" ht="14.25" customHeight="1">
      <c r="A635" s="1"/>
      <c r="B635" s="601" t="s">
        <v>1266</v>
      </c>
      <c r="C635" s="486">
        <v>0</v>
      </c>
      <c r="D635" s="602"/>
      <c r="E635" s="603"/>
      <c r="F635" s="604"/>
      <c r="G635" s="425"/>
      <c r="H635" s="425"/>
      <c r="I635" s="425"/>
      <c r="J635" s="425"/>
      <c r="K635" s="425"/>
      <c r="L635" s="425"/>
      <c r="M635" s="425"/>
      <c r="N635" s="425"/>
      <c r="O635" s="425"/>
      <c r="P635" s="605"/>
      <c r="Q635" s="1"/>
      <c r="R635" s="1"/>
      <c r="S635" s="1"/>
      <c r="T635" s="1"/>
      <c r="U635" s="1"/>
      <c r="V635" s="1"/>
      <c r="W635" s="1"/>
      <c r="X635" s="1"/>
      <c r="Y635" s="1"/>
      <c r="Z635" s="1"/>
      <c r="AA635" s="1"/>
    </row>
    <row r="636" spans="1:27" ht="14.25" customHeight="1">
      <c r="A636" s="1"/>
      <c r="B636" s="606"/>
      <c r="C636" s="607"/>
      <c r="D636" s="608"/>
      <c r="E636" s="609"/>
      <c r="F636" s="610"/>
      <c r="G636" s="611"/>
      <c r="H636" s="611"/>
      <c r="I636" s="611"/>
      <c r="J636" s="611"/>
      <c r="K636" s="611"/>
      <c r="L636" s="611"/>
      <c r="M636" s="611"/>
      <c r="N636" s="611"/>
      <c r="O636" s="611"/>
      <c r="P636" s="612"/>
      <c r="Q636" s="1"/>
      <c r="R636" s="1"/>
      <c r="S636" s="1"/>
      <c r="T636" s="1"/>
      <c r="U636" s="1"/>
      <c r="V636" s="1"/>
      <c r="W636" s="1"/>
      <c r="X636" s="1"/>
      <c r="Y636" s="1"/>
      <c r="Z636" s="1"/>
      <c r="AA636" s="1"/>
    </row>
    <row r="637" spans="1:27" ht="18" customHeight="1">
      <c r="A637" s="1"/>
      <c r="B637" s="994" t="s">
        <v>2276</v>
      </c>
      <c r="C637" s="995"/>
      <c r="D637" s="995"/>
      <c r="E637" s="995"/>
      <c r="F637" s="995"/>
      <c r="G637" s="995"/>
      <c r="H637" s="996"/>
      <c r="I637" s="613"/>
      <c r="J637" s="614"/>
      <c r="K637" s="991" t="s">
        <v>2277</v>
      </c>
      <c r="L637" s="982"/>
      <c r="M637" s="982"/>
      <c r="N637" s="982"/>
      <c r="O637" s="982"/>
      <c r="P637" s="992"/>
      <c r="Q637" s="1"/>
      <c r="R637" s="1"/>
      <c r="S637" s="1"/>
      <c r="T637" s="1"/>
      <c r="U637" s="1"/>
      <c r="V637" s="1"/>
      <c r="W637" s="1"/>
      <c r="X637" s="1"/>
      <c r="Y637" s="1"/>
      <c r="Z637" s="1"/>
      <c r="AA637" s="1"/>
    </row>
    <row r="638" spans="1:27" ht="14.25" customHeight="1">
      <c r="A638" s="1"/>
      <c r="B638" s="556" t="s">
        <v>2278</v>
      </c>
      <c r="C638" s="580"/>
      <c r="D638" s="174" t="s">
        <v>1193</v>
      </c>
      <c r="E638" s="573" t="s">
        <v>270</v>
      </c>
      <c r="F638" s="559" t="s">
        <v>741</v>
      </c>
      <c r="G638" s="557" t="s">
        <v>2279</v>
      </c>
      <c r="H638" s="615">
        <f t="shared" ref="H638:H651" si="226">ROUNDUP($J638*(1+$C$635),2)</f>
        <v>861265.7</v>
      </c>
      <c r="I638" s="616"/>
      <c r="J638" s="517">
        <f>subAPU!$N$60</f>
        <v>861265.70000000007</v>
      </c>
      <c r="K638" s="984"/>
      <c r="L638" s="922"/>
      <c r="M638" s="922"/>
      <c r="N638" s="922"/>
      <c r="O638" s="922"/>
      <c r="P638" s="924"/>
      <c r="Q638" s="1"/>
      <c r="R638" s="1"/>
      <c r="S638" s="1"/>
      <c r="T638" s="1"/>
      <c r="U638" s="1"/>
      <c r="V638" s="1"/>
      <c r="W638" s="1"/>
      <c r="X638" s="1"/>
      <c r="Y638" s="1"/>
      <c r="Z638" s="1"/>
      <c r="AA638" s="1"/>
    </row>
    <row r="639" spans="1:27" ht="14.25" customHeight="1">
      <c r="A639" s="1"/>
      <c r="B639" s="556" t="s">
        <v>2280</v>
      </c>
      <c r="C639" s="580"/>
      <c r="D639" s="174" t="s">
        <v>1230</v>
      </c>
      <c r="E639" s="573" t="s">
        <v>270</v>
      </c>
      <c r="F639" s="559" t="s">
        <v>741</v>
      </c>
      <c r="G639" s="557" t="s">
        <v>2279</v>
      </c>
      <c r="H639" s="615">
        <f t="shared" si="226"/>
        <v>790240.17</v>
      </c>
      <c r="I639" s="616"/>
      <c r="J639" s="517">
        <f>+subAPU!$N$142</f>
        <v>790240.16500000004</v>
      </c>
      <c r="K639" s="984"/>
      <c r="L639" s="922"/>
      <c r="M639" s="922"/>
      <c r="N639" s="922"/>
      <c r="O639" s="922"/>
      <c r="P639" s="924"/>
      <c r="Q639" s="1"/>
      <c r="R639" s="1"/>
      <c r="S639" s="1"/>
      <c r="T639" s="1"/>
      <c r="U639" s="1"/>
      <c r="V639" s="1"/>
      <c r="W639" s="1"/>
      <c r="X639" s="1"/>
      <c r="Y639" s="1"/>
      <c r="Z639" s="1"/>
      <c r="AA639" s="1"/>
    </row>
    <row r="640" spans="1:27" ht="14.25" customHeight="1">
      <c r="A640" s="1"/>
      <c r="B640" s="556" t="s">
        <v>2281</v>
      </c>
      <c r="C640" s="580"/>
      <c r="D640" s="174" t="s">
        <v>2282</v>
      </c>
      <c r="E640" s="573" t="s">
        <v>270</v>
      </c>
      <c r="F640" s="559" t="s">
        <v>741</v>
      </c>
      <c r="G640" s="557" t="s">
        <v>2279</v>
      </c>
      <c r="H640" s="615">
        <f t="shared" si="226"/>
        <v>939996.51</v>
      </c>
      <c r="I640" s="616"/>
      <c r="J640" s="517">
        <f>+subAPU!N1048</f>
        <v>939996.505</v>
      </c>
      <c r="K640" s="984"/>
      <c r="L640" s="922"/>
      <c r="M640" s="922"/>
      <c r="N640" s="922"/>
      <c r="O640" s="922"/>
      <c r="P640" s="924"/>
      <c r="Q640" s="1"/>
      <c r="R640" s="1"/>
      <c r="S640" s="1"/>
      <c r="T640" s="1"/>
      <c r="U640" s="1"/>
      <c r="V640" s="1"/>
      <c r="W640" s="1"/>
      <c r="X640" s="1"/>
      <c r="Y640" s="1"/>
      <c r="Z640" s="1"/>
      <c r="AA640" s="1"/>
    </row>
    <row r="641" spans="1:27" ht="14.25" customHeight="1">
      <c r="A641" s="1"/>
      <c r="B641" s="556" t="s">
        <v>2283</v>
      </c>
      <c r="C641" s="580"/>
      <c r="D641" s="174" t="s">
        <v>1232</v>
      </c>
      <c r="E641" s="573" t="s">
        <v>270</v>
      </c>
      <c r="F641" s="559" t="s">
        <v>741</v>
      </c>
      <c r="G641" s="557" t="s">
        <v>2279</v>
      </c>
      <c r="H641" s="615" t="e">
        <f t="shared" si="226"/>
        <v>#N/A</v>
      </c>
      <c r="I641" s="616"/>
      <c r="J641" s="517" t="e">
        <f>+subAPU!N224</f>
        <v>#N/A</v>
      </c>
      <c r="K641" s="984"/>
      <c r="L641" s="922"/>
      <c r="M641" s="922"/>
      <c r="N641" s="922"/>
      <c r="O641" s="922"/>
      <c r="P641" s="924"/>
      <c r="Q641" s="1"/>
      <c r="R641" s="1"/>
      <c r="S641" s="1"/>
      <c r="T641" s="1"/>
      <c r="U641" s="1"/>
      <c r="V641" s="1"/>
      <c r="W641" s="1"/>
      <c r="X641" s="1"/>
      <c r="Y641" s="1"/>
      <c r="Z641" s="1"/>
      <c r="AA641" s="1"/>
    </row>
    <row r="642" spans="1:27" ht="14.25" customHeight="1">
      <c r="A642" s="1"/>
      <c r="B642" s="556" t="s">
        <v>2284</v>
      </c>
      <c r="C642" s="580"/>
      <c r="D642" s="174" t="s">
        <v>1236</v>
      </c>
      <c r="E642" s="573" t="s">
        <v>270</v>
      </c>
      <c r="F642" s="559" t="s">
        <v>741</v>
      </c>
      <c r="G642" s="557" t="s">
        <v>2279</v>
      </c>
      <c r="H642" s="615" t="e">
        <f t="shared" si="226"/>
        <v>#N/A</v>
      </c>
      <c r="I642" s="616"/>
      <c r="J642" s="517" t="e">
        <f>+subAPU!$N$308</f>
        <v>#N/A</v>
      </c>
      <c r="K642" s="984"/>
      <c r="L642" s="922"/>
      <c r="M642" s="922"/>
      <c r="N642" s="922"/>
      <c r="O642" s="922"/>
      <c r="P642" s="924"/>
      <c r="Q642" s="1"/>
      <c r="R642" s="1"/>
      <c r="S642" s="1"/>
      <c r="T642" s="1"/>
      <c r="U642" s="1"/>
      <c r="V642" s="1"/>
      <c r="W642" s="1"/>
      <c r="X642" s="1"/>
      <c r="Y642" s="1"/>
      <c r="Z642" s="1"/>
      <c r="AA642" s="1"/>
    </row>
    <row r="643" spans="1:27" ht="14.25" customHeight="1">
      <c r="A643" s="1"/>
      <c r="B643" s="556" t="s">
        <v>2285</v>
      </c>
      <c r="C643" s="580"/>
      <c r="D643" s="174" t="s">
        <v>1242</v>
      </c>
      <c r="E643" s="573" t="s">
        <v>270</v>
      </c>
      <c r="F643" s="559" t="s">
        <v>741</v>
      </c>
      <c r="G643" s="557" t="s">
        <v>2279</v>
      </c>
      <c r="H643" s="615">
        <f t="shared" si="226"/>
        <v>818438.54</v>
      </c>
      <c r="I643" s="616"/>
      <c r="J643" s="517">
        <f>+subAPU!$N$390</f>
        <v>818438.53333333333</v>
      </c>
      <c r="K643" s="984"/>
      <c r="L643" s="922"/>
      <c r="M643" s="922"/>
      <c r="N643" s="922"/>
      <c r="O643" s="922"/>
      <c r="P643" s="924"/>
      <c r="Q643" s="1"/>
      <c r="R643" s="1"/>
      <c r="S643" s="1"/>
      <c r="T643" s="1"/>
      <c r="U643" s="1"/>
      <c r="V643" s="1"/>
      <c r="W643" s="1"/>
      <c r="X643" s="1"/>
      <c r="Y643" s="1"/>
      <c r="Z643" s="1"/>
      <c r="AA643" s="1"/>
    </row>
    <row r="644" spans="1:27" ht="14.25" customHeight="1">
      <c r="A644" s="1"/>
      <c r="B644" s="556" t="s">
        <v>2286</v>
      </c>
      <c r="C644" s="580"/>
      <c r="D644" s="174" t="s">
        <v>1244</v>
      </c>
      <c r="E644" s="573" t="s">
        <v>270</v>
      </c>
      <c r="F644" s="559" t="s">
        <v>741</v>
      </c>
      <c r="G644" s="557" t="s">
        <v>2279</v>
      </c>
      <c r="H644" s="615">
        <f t="shared" si="226"/>
        <v>878285.32000000007</v>
      </c>
      <c r="I644" s="616"/>
      <c r="J644" s="517">
        <f>+subAPU!$N$472</f>
        <v>878285.31333333335</v>
      </c>
      <c r="K644" s="984"/>
      <c r="L644" s="922"/>
      <c r="M644" s="922"/>
      <c r="N644" s="922"/>
      <c r="O644" s="922"/>
      <c r="P644" s="924"/>
      <c r="Q644" s="1"/>
      <c r="R644" s="1"/>
      <c r="S644" s="1"/>
      <c r="T644" s="1"/>
      <c r="U644" s="1"/>
      <c r="V644" s="1"/>
      <c r="W644" s="1"/>
      <c r="X644" s="1"/>
      <c r="Y644" s="1"/>
      <c r="Z644" s="1"/>
      <c r="AA644" s="1"/>
    </row>
    <row r="645" spans="1:27" ht="14.25" customHeight="1">
      <c r="A645" s="1"/>
      <c r="B645" s="556" t="s">
        <v>2287</v>
      </c>
      <c r="C645" s="580"/>
      <c r="D645" s="174" t="s">
        <v>1247</v>
      </c>
      <c r="E645" s="573" t="s">
        <v>270</v>
      </c>
      <c r="F645" s="559" t="s">
        <v>741</v>
      </c>
      <c r="G645" s="557" t="s">
        <v>2279</v>
      </c>
      <c r="H645" s="615" t="e">
        <f t="shared" si="226"/>
        <v>#N/A</v>
      </c>
      <c r="I645" s="616"/>
      <c r="J645" s="517" t="e">
        <f>+subAPU!$N$556</f>
        <v>#N/A</v>
      </c>
      <c r="K645" s="984"/>
      <c r="L645" s="922"/>
      <c r="M645" s="922"/>
      <c r="N645" s="922"/>
      <c r="O645" s="922"/>
      <c r="P645" s="924"/>
      <c r="Q645" s="1"/>
      <c r="R645" s="1"/>
      <c r="S645" s="1"/>
      <c r="T645" s="1"/>
      <c r="U645" s="1"/>
      <c r="V645" s="1"/>
      <c r="W645" s="1"/>
      <c r="X645" s="1"/>
      <c r="Y645" s="1"/>
      <c r="Z645" s="1"/>
      <c r="AA645" s="1"/>
    </row>
    <row r="646" spans="1:27" ht="14.25" customHeight="1">
      <c r="A646" s="1"/>
      <c r="B646" s="556" t="s">
        <v>2288</v>
      </c>
      <c r="C646" s="580"/>
      <c r="D646" s="174" t="s">
        <v>1249</v>
      </c>
      <c r="E646" s="573" t="s">
        <v>270</v>
      </c>
      <c r="F646" s="559" t="s">
        <v>741</v>
      </c>
      <c r="G646" s="557" t="s">
        <v>2279</v>
      </c>
      <c r="H646" s="615" t="e">
        <f t="shared" si="226"/>
        <v>#N/A</v>
      </c>
      <c r="I646" s="616"/>
      <c r="J646" s="517" t="e">
        <f>+subAPU!$N$638</f>
        <v>#N/A</v>
      </c>
      <c r="K646" s="984"/>
      <c r="L646" s="922"/>
      <c r="M646" s="922"/>
      <c r="N646" s="922"/>
      <c r="O646" s="922"/>
      <c r="P646" s="924"/>
      <c r="Q646" s="1"/>
      <c r="R646" s="1"/>
      <c r="S646" s="1"/>
      <c r="T646" s="1"/>
      <c r="U646" s="1"/>
      <c r="V646" s="1"/>
      <c r="W646" s="1"/>
      <c r="X646" s="1"/>
      <c r="Y646" s="1"/>
      <c r="Z646" s="1"/>
      <c r="AA646" s="1"/>
    </row>
    <row r="647" spans="1:27" ht="14.25" customHeight="1">
      <c r="A647" s="1"/>
      <c r="B647" s="556" t="s">
        <v>2289</v>
      </c>
      <c r="C647" s="580"/>
      <c r="D647" s="174" t="s">
        <v>1263</v>
      </c>
      <c r="E647" s="573" t="s">
        <v>270</v>
      </c>
      <c r="F647" s="559" t="s">
        <v>741</v>
      </c>
      <c r="G647" s="557" t="s">
        <v>2279</v>
      </c>
      <c r="H647" s="615">
        <f t="shared" si="226"/>
        <v>1182420.51</v>
      </c>
      <c r="I647" s="616"/>
      <c r="J647" s="517">
        <f>+subAPU!N1130</f>
        <v>1182420.5050000001</v>
      </c>
      <c r="K647" s="984"/>
      <c r="L647" s="922"/>
      <c r="M647" s="922"/>
      <c r="N647" s="922"/>
      <c r="O647" s="922"/>
      <c r="P647" s="924"/>
      <c r="Q647" s="1"/>
      <c r="R647" s="1"/>
      <c r="S647" s="1"/>
      <c r="T647" s="1"/>
      <c r="U647" s="1"/>
      <c r="V647" s="1"/>
      <c r="W647" s="1"/>
      <c r="X647" s="1"/>
      <c r="Y647" s="1"/>
      <c r="Z647" s="1"/>
      <c r="AA647" s="1"/>
    </row>
    <row r="648" spans="1:27" ht="14.25" customHeight="1">
      <c r="A648" s="1"/>
      <c r="B648" s="556" t="s">
        <v>2290</v>
      </c>
      <c r="C648" s="580"/>
      <c r="D648" s="174" t="s">
        <v>1251</v>
      </c>
      <c r="E648" s="573" t="s">
        <v>270</v>
      </c>
      <c r="F648" s="559" t="s">
        <v>741</v>
      </c>
      <c r="G648" s="557" t="s">
        <v>2279</v>
      </c>
      <c r="H648" s="615">
        <f t="shared" si="226"/>
        <v>1069057.7</v>
      </c>
      <c r="I648" s="616"/>
      <c r="J648" s="517">
        <f>+subAPU!$N$720</f>
        <v>1069057.7000000002</v>
      </c>
      <c r="K648" s="984"/>
      <c r="L648" s="922"/>
      <c r="M648" s="922"/>
      <c r="N648" s="922"/>
      <c r="O648" s="922"/>
      <c r="P648" s="924"/>
      <c r="Q648" s="1"/>
      <c r="R648" s="1"/>
      <c r="S648" s="1"/>
      <c r="T648" s="1"/>
      <c r="U648" s="1"/>
      <c r="V648" s="1"/>
      <c r="W648" s="1"/>
      <c r="X648" s="1"/>
      <c r="Y648" s="1"/>
      <c r="Z648" s="1"/>
      <c r="AA648" s="1"/>
    </row>
    <row r="649" spans="1:27" ht="14.25" customHeight="1">
      <c r="A649" s="1"/>
      <c r="B649" s="556" t="s">
        <v>2291</v>
      </c>
      <c r="C649" s="580"/>
      <c r="D649" s="174" t="s">
        <v>1254</v>
      </c>
      <c r="E649" s="573" t="s">
        <v>270</v>
      </c>
      <c r="F649" s="559" t="s">
        <v>741</v>
      </c>
      <c r="G649" s="557" t="s">
        <v>2279</v>
      </c>
      <c r="H649" s="615">
        <f t="shared" si="226"/>
        <v>963400.17</v>
      </c>
      <c r="I649" s="616"/>
      <c r="J649" s="517">
        <f>+subAPU!$N$802</f>
        <v>963400.16500000004</v>
      </c>
      <c r="K649" s="984"/>
      <c r="L649" s="922"/>
      <c r="M649" s="922"/>
      <c r="N649" s="922"/>
      <c r="O649" s="922"/>
      <c r="P649" s="924"/>
      <c r="Q649" s="1"/>
      <c r="R649" s="1"/>
      <c r="S649" s="1"/>
      <c r="T649" s="1"/>
      <c r="U649" s="1"/>
      <c r="V649" s="1"/>
      <c r="W649" s="1"/>
      <c r="X649" s="1"/>
      <c r="Y649" s="1"/>
      <c r="Z649" s="1"/>
      <c r="AA649" s="1"/>
    </row>
    <row r="650" spans="1:27" ht="14.25" customHeight="1">
      <c r="A650" s="1"/>
      <c r="B650" s="556" t="s">
        <v>2292</v>
      </c>
      <c r="C650" s="580"/>
      <c r="D650" s="174" t="s">
        <v>1256</v>
      </c>
      <c r="E650" s="573" t="s">
        <v>270</v>
      </c>
      <c r="F650" s="559" t="s">
        <v>741</v>
      </c>
      <c r="G650" s="557" t="s">
        <v>2279</v>
      </c>
      <c r="H650" s="615" t="e">
        <f t="shared" si="226"/>
        <v>#N/A</v>
      </c>
      <c r="I650" s="616"/>
      <c r="J650" s="517" t="e">
        <f>+subAPU!$N$884</f>
        <v>#N/A</v>
      </c>
      <c r="K650" s="984"/>
      <c r="L650" s="922"/>
      <c r="M650" s="922"/>
      <c r="N650" s="922"/>
      <c r="O650" s="922"/>
      <c r="P650" s="924"/>
      <c r="Q650" s="1"/>
      <c r="R650" s="1"/>
      <c r="S650" s="1"/>
      <c r="T650" s="1"/>
      <c r="U650" s="1"/>
      <c r="V650" s="1"/>
      <c r="W650" s="1"/>
      <c r="X650" s="1"/>
      <c r="Y650" s="1"/>
      <c r="Z650" s="1"/>
      <c r="AA650" s="1"/>
    </row>
    <row r="651" spans="1:27" ht="14.25" customHeight="1">
      <c r="A651" s="1"/>
      <c r="B651" s="556" t="s">
        <v>2293</v>
      </c>
      <c r="C651" s="583"/>
      <c r="D651" s="584" t="s">
        <v>1259</v>
      </c>
      <c r="E651" s="617" t="s">
        <v>270</v>
      </c>
      <c r="F651" s="586" t="s">
        <v>741</v>
      </c>
      <c r="G651" s="587" t="s">
        <v>2279</v>
      </c>
      <c r="H651" s="615" t="e">
        <f t="shared" si="226"/>
        <v>#N/A</v>
      </c>
      <c r="I651" s="618"/>
      <c r="J651" s="619" t="e">
        <f>+subAPU!$N$966</f>
        <v>#N/A</v>
      </c>
      <c r="K651" s="993"/>
      <c r="L651" s="936"/>
      <c r="M651" s="936"/>
      <c r="N651" s="936"/>
      <c r="O651" s="936"/>
      <c r="P651" s="938"/>
      <c r="Q651" s="1"/>
      <c r="R651" s="1"/>
      <c r="S651" s="1"/>
      <c r="T651" s="1"/>
      <c r="U651" s="1"/>
      <c r="V651" s="1"/>
      <c r="W651" s="1"/>
      <c r="X651" s="1"/>
      <c r="Y651" s="1"/>
      <c r="Z651" s="1"/>
      <c r="AA651" s="1"/>
    </row>
    <row r="652" spans="1:27" ht="14.25" customHeight="1">
      <c r="A652" s="1"/>
      <c r="B652" s="556"/>
      <c r="C652" s="583"/>
      <c r="D652" s="584"/>
      <c r="E652" s="617"/>
      <c r="F652" s="586"/>
      <c r="G652" s="587"/>
      <c r="H652" s="615"/>
      <c r="I652" s="618"/>
      <c r="J652" s="619"/>
      <c r="K652" s="620"/>
      <c r="L652" s="620"/>
      <c r="M652" s="620"/>
      <c r="N652" s="620"/>
      <c r="O652" s="620"/>
      <c r="P652" s="621"/>
      <c r="Q652" s="1"/>
      <c r="R652" s="1"/>
      <c r="S652" s="1"/>
      <c r="T652" s="1"/>
      <c r="U652" s="1"/>
      <c r="V652" s="1"/>
      <c r="W652" s="1"/>
      <c r="X652" s="1"/>
      <c r="Y652" s="1"/>
      <c r="Z652" s="1"/>
      <c r="AA652" s="1"/>
    </row>
    <row r="653" spans="1:27" ht="15" customHeight="1">
      <c r="A653" s="1"/>
      <c r="B653" s="556"/>
      <c r="C653" s="583"/>
      <c r="D653" s="584"/>
      <c r="E653" s="617"/>
      <c r="F653" s="586"/>
      <c r="G653" s="587"/>
      <c r="H653" s="615"/>
      <c r="I653" s="618"/>
      <c r="J653" s="619"/>
      <c r="K653" s="620"/>
      <c r="L653" s="620"/>
      <c r="M653" s="620"/>
      <c r="N653" s="620"/>
      <c r="O653" s="620"/>
      <c r="P653" s="621"/>
      <c r="Q653" s="1"/>
      <c r="R653" s="1"/>
      <c r="S653" s="1"/>
      <c r="T653" s="1"/>
      <c r="U653" s="1"/>
      <c r="V653" s="1"/>
      <c r="W653" s="1"/>
      <c r="X653" s="1"/>
      <c r="Y653" s="1"/>
      <c r="Z653" s="1"/>
      <c r="AA653" s="1"/>
    </row>
    <row r="654" spans="1:27" ht="15" customHeight="1">
      <c r="A654" s="1"/>
      <c r="B654" s="556"/>
      <c r="C654" s="583"/>
      <c r="D654" s="584"/>
      <c r="E654" s="617"/>
      <c r="F654" s="586"/>
      <c r="G654" s="587"/>
      <c r="H654" s="615"/>
      <c r="I654" s="618"/>
      <c r="J654" s="619"/>
      <c r="K654" s="620"/>
      <c r="L654" s="620"/>
      <c r="M654" s="620"/>
      <c r="N654" s="620"/>
      <c r="O654" s="620"/>
      <c r="P654" s="621"/>
      <c r="Q654" s="1"/>
      <c r="R654" s="1"/>
      <c r="S654" s="1"/>
      <c r="T654" s="1"/>
      <c r="U654" s="1"/>
      <c r="V654" s="1"/>
      <c r="W654" s="1"/>
      <c r="X654" s="1"/>
      <c r="Y654" s="1"/>
      <c r="Z654" s="1"/>
      <c r="AA654" s="1"/>
    </row>
    <row r="655" spans="1:27" ht="15" customHeight="1">
      <c r="A655" s="1"/>
      <c r="B655" s="556"/>
      <c r="C655" s="583"/>
      <c r="D655" s="584"/>
      <c r="E655" s="617"/>
      <c r="F655" s="586"/>
      <c r="G655" s="587"/>
      <c r="H655" s="615"/>
      <c r="I655" s="618"/>
      <c r="J655" s="619"/>
      <c r="K655" s="620"/>
      <c r="L655" s="620"/>
      <c r="M655" s="620"/>
      <c r="N655" s="620"/>
      <c r="O655" s="620"/>
      <c r="P655" s="621"/>
      <c r="Q655" s="1"/>
      <c r="R655" s="1"/>
      <c r="S655" s="1"/>
      <c r="T655" s="1"/>
      <c r="U655" s="1"/>
      <c r="V655" s="1"/>
      <c r="W655" s="1"/>
      <c r="X655" s="1"/>
      <c r="Y655" s="1"/>
      <c r="Z655" s="1"/>
      <c r="AA655" s="1"/>
    </row>
    <row r="656" spans="1:27" ht="15" customHeight="1">
      <c r="A656" s="1"/>
      <c r="B656" s="556"/>
      <c r="C656" s="583"/>
      <c r="D656" s="584"/>
      <c r="E656" s="617"/>
      <c r="F656" s="586"/>
      <c r="G656" s="587"/>
      <c r="H656" s="615"/>
      <c r="I656" s="618"/>
      <c r="J656" s="619"/>
      <c r="K656" s="620"/>
      <c r="L656" s="620"/>
      <c r="M656" s="620"/>
      <c r="N656" s="620"/>
      <c r="O656" s="620"/>
      <c r="P656" s="621"/>
      <c r="Q656" s="1"/>
      <c r="R656" s="1"/>
      <c r="S656" s="1"/>
      <c r="T656" s="1"/>
      <c r="U656" s="1"/>
      <c r="V656" s="1"/>
      <c r="W656" s="1"/>
      <c r="X656" s="1"/>
      <c r="Y656" s="1"/>
      <c r="Z656" s="1"/>
      <c r="AA656" s="1"/>
    </row>
    <row r="657" spans="1:27" ht="15" customHeight="1">
      <c r="A657" s="1"/>
      <c r="B657" s="556"/>
      <c r="C657" s="583"/>
      <c r="D657" s="584"/>
      <c r="E657" s="617"/>
      <c r="F657" s="586"/>
      <c r="G657" s="587"/>
      <c r="H657" s="615"/>
      <c r="I657" s="618"/>
      <c r="J657" s="619"/>
      <c r="K657" s="620"/>
      <c r="L657" s="620"/>
      <c r="M657" s="620"/>
      <c r="N657" s="620"/>
      <c r="O657" s="620"/>
      <c r="P657" s="621"/>
      <c r="Q657" s="1"/>
      <c r="R657" s="1"/>
      <c r="S657" s="1"/>
      <c r="T657" s="1"/>
      <c r="U657" s="1"/>
      <c r="V657" s="1"/>
      <c r="W657" s="1"/>
      <c r="X657" s="1"/>
      <c r="Y657" s="1"/>
      <c r="Z657" s="1"/>
      <c r="AA657" s="1"/>
    </row>
    <row r="658" spans="1:27" ht="15" customHeight="1">
      <c r="A658" s="1"/>
      <c r="B658" s="556"/>
      <c r="C658" s="583"/>
      <c r="D658" s="584"/>
      <c r="E658" s="617"/>
      <c r="F658" s="586"/>
      <c r="G658" s="587"/>
      <c r="H658" s="615"/>
      <c r="I658" s="618"/>
      <c r="J658" s="619"/>
      <c r="K658" s="620"/>
      <c r="L658" s="620"/>
      <c r="M658" s="620"/>
      <c r="N658" s="620"/>
      <c r="O658" s="620"/>
      <c r="P658" s="621"/>
      <c r="Q658" s="1"/>
      <c r="R658" s="1"/>
      <c r="S658" s="1"/>
      <c r="T658" s="1"/>
      <c r="U658" s="1"/>
      <c r="V658" s="1"/>
      <c r="W658" s="1"/>
      <c r="X658" s="1"/>
      <c r="Y658" s="1"/>
      <c r="Z658" s="1"/>
      <c r="AA658" s="1"/>
    </row>
    <row r="659" spans="1:27"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1:27"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1:27"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spans="1:27" ht="15.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row>
    <row r="1004" spans="1:27" ht="15.7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row>
    <row r="1005" spans="1:27" ht="15.7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row>
    <row r="1006" spans="1:27" ht="15.7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row>
    <row r="1007" spans="1:27" ht="15.7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row>
    <row r="1008" spans="1:27" ht="15.7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row>
    <row r="1009" spans="1:27" ht="15.7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row>
    <row r="1010" spans="1:27" ht="15.7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row>
    <row r="1011" spans="1:27" ht="15.7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row>
    <row r="1012" spans="1:27" ht="15.7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row>
    <row r="1013" spans="1:27" ht="15.7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row>
    <row r="1014" spans="1:27" ht="15.7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row>
    <row r="1015" spans="1:27" ht="15.7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row>
    <row r="1016" spans="1:27" ht="15.7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row>
    <row r="1017" spans="1:27" ht="15.7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row>
    <row r="1018" spans="1:27" ht="15.7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row>
    <row r="1019" spans="1:27" ht="15.7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row>
    <row r="1020" spans="1:27" ht="15.7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row>
    <row r="1021" spans="1:27" ht="15.7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row>
    <row r="1022" spans="1:27" ht="15.7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row>
    <row r="1023" spans="1:27" ht="15.7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row>
    <row r="1024" spans="1:27" ht="15.7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row>
    <row r="1025" spans="1:27" ht="15.7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row>
    <row r="1026" spans="1:27" ht="15.7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row>
    <row r="1027" spans="1:27" ht="15.7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row>
    <row r="1028" spans="1:27" ht="15.7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row>
    <row r="1029" spans="1:27" ht="15.7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row>
    <row r="1030" spans="1:27" ht="15.7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row>
    <row r="1031" spans="1:27" ht="15.7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row>
  </sheetData>
  <mergeCells count="13">
    <mergeCell ref="B637:H637"/>
    <mergeCell ref="B2:C7"/>
    <mergeCell ref="D2:E3"/>
    <mergeCell ref="F2:G2"/>
    <mergeCell ref="F3:H3"/>
    <mergeCell ref="D4:E5"/>
    <mergeCell ref="F5:H5"/>
    <mergeCell ref="D6:E7"/>
    <mergeCell ref="I2:J7"/>
    <mergeCell ref="K12:L12"/>
    <mergeCell ref="M12:N12"/>
    <mergeCell ref="O12:P12"/>
    <mergeCell ref="K637:P651"/>
  </mergeCells>
  <phoneticPr fontId="71" type="noConversion"/>
  <conditionalFormatting sqref="E14:E339 H14:H389 E351 E368:E389 H391:H421 E391:E429">
    <cfRule type="cellIs" dxfId="126" priority="2" operator="equal">
      <formula>0</formula>
    </cfRule>
  </conditionalFormatting>
  <conditionalFormatting sqref="E354:E361">
    <cfRule type="cellIs" dxfId="125" priority="3" operator="equal">
      <formula>0</formula>
    </cfRule>
  </conditionalFormatting>
  <conditionalFormatting sqref="E364:E365">
    <cfRule type="cellIs" dxfId="124" priority="4" operator="equal">
      <formula>0</formula>
    </cfRule>
  </conditionalFormatting>
  <conditionalFormatting sqref="E436">
    <cfRule type="cellIs" dxfId="123" priority="5" operator="equal">
      <formula>0</formula>
    </cfRule>
  </conditionalFormatting>
  <conditionalFormatting sqref="E455:E623">
    <cfRule type="cellIs" dxfId="122" priority="6" operator="equal">
      <formula>0</formula>
    </cfRule>
  </conditionalFormatting>
  <conditionalFormatting sqref="H424:H445">
    <cfRule type="cellIs" dxfId="121" priority="7" operator="equal">
      <formula>0</formula>
    </cfRule>
  </conditionalFormatting>
  <conditionalFormatting sqref="H455:H623">
    <cfRule type="cellIs" dxfId="120" priority="8" operator="equal">
      <formula>0</formula>
    </cfRule>
  </conditionalFormatting>
  <conditionalFormatting sqref="I362:I363 I368:J389 I391:J407 I624:J632">
    <cfRule type="cellIs" dxfId="119" priority="9" operator="equal">
      <formula>0</formula>
    </cfRule>
  </conditionalFormatting>
  <conditionalFormatting sqref="I15:J339 I379:I382">
    <cfRule type="cellIs" dxfId="118" priority="10" operator="equal">
      <formula>0</formula>
    </cfRule>
  </conditionalFormatting>
  <conditionalFormatting sqref="I351:J361">
    <cfRule type="cellIs" dxfId="117" priority="11" operator="equal">
      <formula>0</formula>
    </cfRule>
  </conditionalFormatting>
  <conditionalFormatting sqref="I364:J365">
    <cfRule type="cellIs" dxfId="116" priority="12" operator="equal">
      <formula>0</formula>
    </cfRule>
  </conditionalFormatting>
  <conditionalFormatting sqref="I409:J412">
    <cfRule type="cellIs" dxfId="115" priority="13" operator="equal">
      <formula>0</formula>
    </cfRule>
  </conditionalFormatting>
  <conditionalFormatting sqref="I415:J415">
    <cfRule type="cellIs" dxfId="114" priority="14" operator="equal">
      <formula>0</formula>
    </cfRule>
  </conditionalFormatting>
  <conditionalFormatting sqref="I420:J421">
    <cfRule type="cellIs" dxfId="113" priority="1" operator="equal">
      <formula>0</formula>
    </cfRule>
  </conditionalFormatting>
  <conditionalFormatting sqref="I424:J445">
    <cfRule type="cellIs" dxfId="112" priority="15" operator="equal">
      <formula>0</formula>
    </cfRule>
  </conditionalFormatting>
  <conditionalFormatting sqref="I455:J598">
    <cfRule type="cellIs" dxfId="111" priority="16" operator="equal">
      <formula>0</formula>
    </cfRule>
  </conditionalFormatting>
  <conditionalFormatting sqref="I619:J622">
    <cfRule type="cellIs" dxfId="110" priority="17" operator="equal">
      <formula>0</formula>
    </cfRule>
  </conditionalFormatting>
  <conditionalFormatting sqref="I637:J658">
    <cfRule type="cellIs" dxfId="109" priority="18" operator="equal">
      <formula>0</formula>
    </cfRule>
  </conditionalFormatting>
  <conditionalFormatting sqref="J599:J618">
    <cfRule type="cellIs" dxfId="108" priority="19" operator="equal">
      <formula>0</formula>
    </cfRule>
  </conditionalFormatting>
  <conditionalFormatting sqref="J623">
    <cfRule type="cellIs" dxfId="107" priority="20" operator="equal">
      <formula>0</formula>
    </cfRule>
  </conditionalFormatting>
  <conditionalFormatting sqref="L15:L117 N15:N117 P15:P117 L119:L159 N119:N159 P119:P159 L161:L306 N161:N306 P161:P306 L308:L338 N308:N338 P308:P338 P352:P368 L352:L377 L379:L390 N379:N390 P379:P390 L392:L400 N392:N400 P392:P400 L402:L423 N402:N423 P402:P423 L425:L428 N425:N428 P425:P428 N430:N454 P430:P454 P456:P482 P484:P597 L599:L620 N599:N620 P599:P620 L622:L632 N622:N632 P622:P632">
    <cfRule type="cellIs" dxfId="106" priority="21" operator="equal">
      <formula>0</formula>
    </cfRule>
  </conditionalFormatting>
  <conditionalFormatting sqref="L340:L350 N340:N350">
    <cfRule type="cellIs" dxfId="105" priority="22" operator="equal">
      <formula>0</formula>
    </cfRule>
  </conditionalFormatting>
  <conditionalFormatting sqref="L430:L454">
    <cfRule type="cellIs" dxfId="104" priority="23" operator="equal">
      <formula>0</formula>
    </cfRule>
  </conditionalFormatting>
  <conditionalFormatting sqref="L456:L482 L484:L597">
    <cfRule type="cellIs" dxfId="103" priority="24" operator="equal">
      <formula>0</formula>
    </cfRule>
  </conditionalFormatting>
  <conditionalFormatting sqref="N352:N356">
    <cfRule type="cellIs" dxfId="102" priority="25" operator="equal">
      <formula>0</formula>
    </cfRule>
  </conditionalFormatting>
  <conditionalFormatting sqref="N358:N377">
    <cfRule type="cellIs" dxfId="101" priority="26" operator="equal">
      <formula>0</formula>
    </cfRule>
  </conditionalFormatting>
  <conditionalFormatting sqref="N456:N482 N484:N597">
    <cfRule type="cellIs" dxfId="100" priority="27" operator="equal">
      <formula>0</formula>
    </cfRule>
  </conditionalFormatting>
  <conditionalFormatting sqref="P340:P350">
    <cfRule type="cellIs" dxfId="99" priority="28" operator="equal">
      <formula>0</formula>
    </cfRule>
  </conditionalFormatting>
  <pageMargins left="0.7" right="0.7" top="0.75" bottom="0.75" header="0" footer="0"/>
  <pageSetup fitToHeight="0" orientation="portrait"/>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2CB"/>
    <pageSetUpPr fitToPage="1"/>
  </sheetPr>
  <dimension ref="A2:Z1001"/>
  <sheetViews>
    <sheetView topLeftCell="A81" workbookViewId="0">
      <selection activeCell="C154" sqref="C154"/>
    </sheetView>
  </sheetViews>
  <sheetFormatPr baseColWidth="10" defaultColWidth="14.42578125" defaultRowHeight="15" customHeight="1"/>
  <cols>
    <col min="1" max="1" width="6.140625" customWidth="1"/>
    <col min="2" max="2" width="9.42578125" customWidth="1"/>
    <col min="3" max="5" width="18.85546875" customWidth="1"/>
    <col min="6" max="6" width="8.85546875" customWidth="1"/>
    <col min="7" max="7" width="18.85546875" customWidth="1"/>
    <col min="8" max="8" width="12.85546875" customWidth="1"/>
    <col min="9" max="9" width="14.5703125" customWidth="1"/>
    <col min="10" max="10" width="13.85546875" customWidth="1"/>
    <col min="11" max="11" width="14.5703125" customWidth="1"/>
    <col min="12" max="12" width="14.140625" customWidth="1"/>
    <col min="13" max="13" width="14.42578125" customWidth="1"/>
    <col min="14" max="14" width="11.140625" customWidth="1"/>
    <col min="15" max="15" width="14.5703125" customWidth="1"/>
    <col min="16" max="16" width="12.42578125" customWidth="1"/>
    <col min="17" max="17" width="14.5703125" customWidth="1"/>
    <col min="18" max="18" width="12.28515625" customWidth="1"/>
    <col min="19" max="19" width="14.5703125" customWidth="1"/>
  </cols>
  <sheetData>
    <row r="2" spans="1:26" ht="15" customHeight="1">
      <c r="B2" s="1024"/>
      <c r="C2" s="926"/>
      <c r="D2" s="33"/>
      <c r="E2" s="1017" t="str">
        <f>+Datos!$C$9</f>
        <v>CONSEJO SUPERIOR  DE  JUDICATURA– DIRECCIÓN  EJECUTIVA  SECCIONAL  DE ADMINISTRACIÓN JUDICIAL DE BUCARAMANGA</v>
      </c>
      <c r="F2" s="926"/>
      <c r="G2" s="926"/>
      <c r="H2" s="926"/>
      <c r="I2" s="926"/>
      <c r="J2" s="926"/>
      <c r="K2" s="926"/>
      <c r="L2" s="926"/>
      <c r="M2" s="926"/>
      <c r="N2" s="926"/>
      <c r="O2" s="926"/>
      <c r="P2" s="1018" t="s">
        <v>1</v>
      </c>
      <c r="Q2" s="1019">
        <v>0</v>
      </c>
      <c r="R2" s="926"/>
      <c r="S2" s="927"/>
    </row>
    <row r="3" spans="1:26" ht="54.75" customHeight="1">
      <c r="B3" s="920"/>
      <c r="C3" s="922"/>
      <c r="E3" s="920"/>
      <c r="F3" s="922"/>
      <c r="G3" s="922"/>
      <c r="H3" s="922"/>
      <c r="I3" s="922"/>
      <c r="J3" s="922"/>
      <c r="K3" s="922"/>
      <c r="L3" s="922"/>
      <c r="M3" s="922"/>
      <c r="N3" s="922"/>
      <c r="O3" s="922"/>
      <c r="P3" s="971"/>
      <c r="Q3" s="948"/>
      <c r="R3" s="949"/>
      <c r="S3" s="1004"/>
    </row>
    <row r="4" spans="1:26" ht="15" customHeight="1">
      <c r="B4" s="920"/>
      <c r="C4" s="922"/>
      <c r="E4" s="97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 s="922"/>
      <c r="G4" s="922"/>
      <c r="H4" s="922"/>
      <c r="I4" s="922"/>
      <c r="J4" s="922"/>
      <c r="K4" s="922"/>
      <c r="L4" s="922"/>
      <c r="M4" s="922"/>
      <c r="N4" s="922"/>
      <c r="O4" s="922"/>
      <c r="P4" s="1020" t="s">
        <v>29</v>
      </c>
      <c r="Q4" s="1007">
        <v>1</v>
      </c>
      <c r="R4" s="1007" t="s">
        <v>30</v>
      </c>
      <c r="S4" s="1009">
        <v>1</v>
      </c>
    </row>
    <row r="5" spans="1:26">
      <c r="B5" s="920"/>
      <c r="C5" s="922"/>
      <c r="E5" s="920"/>
      <c r="F5" s="922"/>
      <c r="G5" s="922"/>
      <c r="H5" s="922"/>
      <c r="I5" s="922"/>
      <c r="J5" s="922"/>
      <c r="K5" s="922"/>
      <c r="L5" s="922"/>
      <c r="M5" s="922"/>
      <c r="N5" s="922"/>
      <c r="O5" s="922"/>
      <c r="P5" s="971"/>
      <c r="Q5" s="1008"/>
      <c r="R5" s="1008"/>
      <c r="S5" s="1010"/>
    </row>
    <row r="6" spans="1:26" ht="33.75" customHeight="1">
      <c r="B6" s="920"/>
      <c r="C6" s="922"/>
      <c r="E6" s="920"/>
      <c r="F6" s="922"/>
      <c r="G6" s="922"/>
      <c r="H6" s="922"/>
      <c r="I6" s="922"/>
      <c r="J6" s="922"/>
      <c r="K6" s="922"/>
      <c r="L6" s="922"/>
      <c r="M6" s="922"/>
      <c r="N6" s="922"/>
      <c r="O6" s="922"/>
      <c r="P6" s="1020" t="s">
        <v>2</v>
      </c>
      <c r="Q6" s="34" t="s">
        <v>3</v>
      </c>
      <c r="R6" s="34" t="s">
        <v>4</v>
      </c>
      <c r="S6" s="35" t="s">
        <v>5</v>
      </c>
    </row>
    <row r="7" spans="1:26">
      <c r="B7" s="920"/>
      <c r="C7" s="922"/>
      <c r="E7" s="1011" t="s">
        <v>31</v>
      </c>
      <c r="F7" s="945"/>
      <c r="G7" s="945"/>
      <c r="H7" s="945"/>
      <c r="I7" s="945"/>
      <c r="J7" s="945"/>
      <c r="K7" s="945"/>
      <c r="L7" s="945"/>
      <c r="M7" s="945"/>
      <c r="N7" s="945"/>
      <c r="O7" s="1006"/>
      <c r="P7" s="1021"/>
      <c r="Q7" s="1012">
        <f>+Datos!$C$7</f>
        <v>19</v>
      </c>
      <c r="R7" s="1012">
        <f>+Datos!$D$7</f>
        <v>6</v>
      </c>
      <c r="S7" s="1023">
        <f>+Datos!$E$7</f>
        <v>2026</v>
      </c>
    </row>
    <row r="8" spans="1:26" ht="15.75" customHeight="1">
      <c r="B8" s="929"/>
      <c r="C8" s="936"/>
      <c r="D8" s="36"/>
      <c r="E8" s="929"/>
      <c r="F8" s="936"/>
      <c r="G8" s="936"/>
      <c r="H8" s="936"/>
      <c r="I8" s="936"/>
      <c r="J8" s="936"/>
      <c r="K8" s="936"/>
      <c r="L8" s="936"/>
      <c r="M8" s="936"/>
      <c r="N8" s="936"/>
      <c r="O8" s="938"/>
      <c r="P8" s="1022"/>
      <c r="Q8" s="1013"/>
      <c r="R8" s="1013"/>
      <c r="S8" s="1016"/>
    </row>
    <row r="9" spans="1:26" ht="15.75">
      <c r="B9" s="1025"/>
      <c r="C9" s="922"/>
      <c r="D9" s="922"/>
      <c r="E9" s="922"/>
      <c r="F9" s="922"/>
      <c r="G9" s="922"/>
      <c r="H9" s="922"/>
      <c r="I9" s="38"/>
      <c r="J9" s="38"/>
      <c r="K9" s="38"/>
      <c r="L9" s="38"/>
      <c r="M9" s="38"/>
      <c r="N9" s="38"/>
      <c r="O9" s="38"/>
      <c r="P9" s="38"/>
      <c r="Q9" s="39"/>
      <c r="R9" s="39"/>
      <c r="S9" s="40"/>
    </row>
    <row r="10" spans="1:26">
      <c r="B10" s="1026"/>
      <c r="C10" s="922"/>
      <c r="D10" s="922"/>
      <c r="E10" s="922"/>
      <c r="F10" s="922"/>
      <c r="G10" s="922"/>
      <c r="H10" s="922"/>
      <c r="I10" s="41"/>
      <c r="J10" s="41"/>
      <c r="K10" s="41"/>
      <c r="L10" s="41"/>
      <c r="M10" s="41"/>
      <c r="N10" s="41"/>
      <c r="O10" s="41"/>
      <c r="P10" s="41"/>
      <c r="Q10" s="42"/>
      <c r="R10" s="42"/>
      <c r="S10" s="43"/>
    </row>
    <row r="11" spans="1:26" ht="25.5" customHeight="1">
      <c r="A11" s="44"/>
      <c r="B11" s="45" t="s">
        <v>32</v>
      </c>
      <c r="C11" s="46" t="s">
        <v>33</v>
      </c>
      <c r="D11" s="46"/>
      <c r="E11" s="46"/>
      <c r="F11" s="46"/>
      <c r="G11" s="46"/>
      <c r="H11" s="47"/>
      <c r="I11" s="47"/>
      <c r="J11" s="48"/>
      <c r="K11" s="48"/>
      <c r="L11" s="49"/>
      <c r="M11" s="50"/>
      <c r="N11" s="51"/>
      <c r="O11" s="47"/>
      <c r="P11" s="47"/>
      <c r="Q11" s="47"/>
      <c r="R11" s="47"/>
      <c r="S11" s="52"/>
      <c r="T11" s="44"/>
      <c r="U11" s="44"/>
      <c r="V11" s="44"/>
      <c r="W11" s="44"/>
      <c r="X11" s="44"/>
      <c r="Y11" s="44"/>
      <c r="Z11" s="44"/>
    </row>
    <row r="12" spans="1:26" ht="15.75">
      <c r="B12" s="53"/>
      <c r="C12" s="54"/>
      <c r="D12" s="54"/>
      <c r="E12" s="54"/>
      <c r="F12" s="54"/>
      <c r="G12" s="54"/>
      <c r="H12" s="55"/>
      <c r="I12" s="55"/>
      <c r="J12" s="56"/>
      <c r="K12" s="56"/>
      <c r="L12" s="57"/>
      <c r="M12" s="58"/>
      <c r="N12" s="59"/>
      <c r="O12" s="60"/>
      <c r="P12" s="60"/>
      <c r="Q12" s="55"/>
      <c r="R12" s="55"/>
      <c r="S12" s="61"/>
    </row>
    <row r="13" spans="1:26" ht="18">
      <c r="B13" s="62"/>
      <c r="C13" s="63" t="s">
        <v>34</v>
      </c>
      <c r="D13" s="1027" t="s">
        <v>35</v>
      </c>
      <c r="E13" s="926"/>
      <c r="F13" s="1028">
        <v>249095</v>
      </c>
      <c r="G13" s="1029"/>
      <c r="H13" s="1030" t="s">
        <v>36</v>
      </c>
      <c r="I13" s="926"/>
      <c r="J13" s="1031">
        <f t="shared" ref="J13:J14" si="0">F13/30</f>
        <v>8303.1666666666661</v>
      </c>
      <c r="K13" s="927"/>
      <c r="M13" s="1014" t="s">
        <v>37</v>
      </c>
      <c r="N13" s="926"/>
      <c r="O13" s="1015">
        <v>2026</v>
      </c>
      <c r="P13" s="60"/>
      <c r="Q13" s="55"/>
      <c r="R13" s="55"/>
      <c r="S13" s="61"/>
    </row>
    <row r="14" spans="1:26" ht="18">
      <c r="B14" s="62"/>
      <c r="C14" s="54"/>
      <c r="D14" s="1032" t="s">
        <v>38</v>
      </c>
      <c r="E14" s="936"/>
      <c r="F14" s="1033">
        <v>1750905</v>
      </c>
      <c r="G14" s="1034"/>
      <c r="H14" s="1035" t="s">
        <v>39</v>
      </c>
      <c r="I14" s="936"/>
      <c r="J14" s="1036">
        <f t="shared" si="0"/>
        <v>58363.5</v>
      </c>
      <c r="K14" s="938"/>
      <c r="M14" s="929"/>
      <c r="N14" s="936"/>
      <c r="O14" s="1016"/>
      <c r="P14" s="60"/>
      <c r="Q14" s="55"/>
      <c r="R14" s="55"/>
      <c r="S14" s="61"/>
    </row>
    <row r="15" spans="1:26" ht="15.75">
      <c r="B15" s="62"/>
      <c r="C15" s="54"/>
      <c r="D15" s="54"/>
      <c r="E15" s="54"/>
      <c r="F15" s="54"/>
      <c r="G15" s="54"/>
      <c r="H15" s="60"/>
      <c r="I15" s="60"/>
      <c r="J15" s="64"/>
      <c r="K15" s="64"/>
      <c r="L15" s="65"/>
      <c r="M15" s="65"/>
      <c r="N15" s="66"/>
      <c r="O15" s="60"/>
      <c r="P15" s="60"/>
      <c r="Q15" s="55"/>
      <c r="R15" s="55"/>
      <c r="S15" s="61"/>
    </row>
    <row r="16" spans="1:26" ht="25.5" customHeight="1">
      <c r="A16" s="44"/>
      <c r="B16" s="45" t="s">
        <v>40</v>
      </c>
      <c r="C16" s="1037" t="s">
        <v>41</v>
      </c>
      <c r="D16" s="995"/>
      <c r="E16" s="995"/>
      <c r="F16" s="995"/>
      <c r="G16" s="995"/>
      <c r="H16" s="995"/>
      <c r="I16" s="996"/>
      <c r="J16" s="67"/>
      <c r="K16" s="67"/>
      <c r="L16" s="68"/>
      <c r="M16" s="68"/>
      <c r="N16" s="69"/>
      <c r="O16" s="47"/>
      <c r="P16" s="47"/>
      <c r="Q16" s="47"/>
      <c r="R16" s="47"/>
      <c r="S16" s="52"/>
      <c r="T16" s="44"/>
      <c r="U16" s="44"/>
      <c r="V16" s="44"/>
      <c r="W16" s="44"/>
      <c r="X16" s="44"/>
      <c r="Y16" s="44"/>
      <c r="Z16" s="44"/>
    </row>
    <row r="17" spans="1:26" ht="15" customHeight="1">
      <c r="B17" s="70"/>
      <c r="S17" s="71"/>
    </row>
    <row r="18" spans="1:26" ht="15.75">
      <c r="B18" s="62"/>
      <c r="C18" s="1038" t="s">
        <v>42</v>
      </c>
      <c r="D18" s="968"/>
      <c r="E18" s="968"/>
      <c r="F18" s="968"/>
      <c r="G18" s="1039"/>
      <c r="H18" s="60"/>
      <c r="I18" s="1038" t="s">
        <v>43</v>
      </c>
      <c r="J18" s="968"/>
      <c r="K18" s="968"/>
      <c r="L18" s="968"/>
      <c r="M18" s="1039"/>
      <c r="O18" s="1040" t="s">
        <v>44</v>
      </c>
      <c r="P18" s="968"/>
      <c r="Q18" s="968"/>
      <c r="R18" s="968"/>
      <c r="S18" s="969"/>
    </row>
    <row r="19" spans="1:26" ht="15.75" customHeight="1">
      <c r="B19" s="62"/>
      <c r="C19" s="1056" t="s">
        <v>45</v>
      </c>
      <c r="D19" s="922"/>
      <c r="E19" s="72">
        <f>(3*F14)/30</f>
        <v>175090.5</v>
      </c>
      <c r="F19" s="65"/>
      <c r="G19" s="73"/>
      <c r="H19" s="60"/>
      <c r="I19" s="1056" t="s">
        <v>46</v>
      </c>
      <c r="J19" s="922"/>
      <c r="K19" s="72">
        <f>+(F14*2)/30</f>
        <v>116727</v>
      </c>
      <c r="L19" s="65"/>
      <c r="M19" s="74"/>
      <c r="O19" s="1056" t="s">
        <v>47</v>
      </c>
      <c r="P19" s="922"/>
      <c r="Q19" s="72">
        <f>(+F14/30)*1.1</f>
        <v>64199.850000000006</v>
      </c>
      <c r="R19" s="65">
        <f>+Q19-J14</f>
        <v>5836.3500000000058</v>
      </c>
      <c r="S19" s="75"/>
    </row>
    <row r="20" spans="1:26" ht="15.75" customHeight="1">
      <c r="B20" s="62"/>
      <c r="C20" s="1056" t="s">
        <v>48</v>
      </c>
      <c r="D20" s="922"/>
      <c r="E20" s="72">
        <f>+J13</f>
        <v>8303.1666666666661</v>
      </c>
      <c r="F20" s="65"/>
      <c r="G20" s="73"/>
      <c r="H20" s="60"/>
      <c r="I20" s="1056" t="s">
        <v>48</v>
      </c>
      <c r="J20" s="922"/>
      <c r="K20" s="72">
        <f>+J13</f>
        <v>8303.1666666666661</v>
      </c>
      <c r="L20" s="65"/>
      <c r="M20" s="74"/>
      <c r="O20" s="1056" t="s">
        <v>48</v>
      </c>
      <c r="P20" s="922"/>
      <c r="Q20" s="72">
        <f>+J13</f>
        <v>8303.1666666666661</v>
      </c>
      <c r="R20" s="65"/>
      <c r="S20" s="75"/>
    </row>
    <row r="21" spans="1:26" ht="15.75" customHeight="1">
      <c r="B21" s="62"/>
      <c r="C21" s="1057"/>
      <c r="D21" s="949"/>
      <c r="E21" s="76"/>
      <c r="F21" s="77" t="s">
        <v>49</v>
      </c>
      <c r="G21" s="78">
        <f>+SUM(E19:E20)</f>
        <v>183393.66666666666</v>
      </c>
      <c r="I21" s="1057"/>
      <c r="J21" s="949"/>
      <c r="K21" s="76"/>
      <c r="L21" s="79" t="s">
        <v>49</v>
      </c>
      <c r="M21" s="78">
        <f>+SUM(K19:K20)</f>
        <v>125030.16666666667</v>
      </c>
      <c r="O21" s="1057"/>
      <c r="P21" s="949"/>
      <c r="Q21" s="76"/>
      <c r="R21" s="77" t="s">
        <v>49</v>
      </c>
      <c r="S21" s="80">
        <f>+SUM(Q19:Q20)</f>
        <v>72503.016666666677</v>
      </c>
    </row>
    <row r="22" spans="1:26" ht="15.75" customHeight="1">
      <c r="B22" s="62"/>
      <c r="C22" s="54"/>
      <c r="D22" s="54"/>
      <c r="E22" s="81"/>
      <c r="F22" s="54"/>
      <c r="G22" s="54"/>
      <c r="H22" s="60"/>
      <c r="I22" s="60"/>
      <c r="J22" s="64"/>
      <c r="K22" s="64"/>
      <c r="L22" s="72"/>
      <c r="M22" s="65"/>
      <c r="N22" s="82"/>
      <c r="O22" s="60"/>
      <c r="P22" s="60"/>
      <c r="Q22" s="55"/>
      <c r="R22" s="55"/>
      <c r="S22" s="61"/>
    </row>
    <row r="23" spans="1:26" ht="15.75" customHeight="1">
      <c r="B23" s="62"/>
      <c r="C23" s="54"/>
      <c r="D23" s="54"/>
      <c r="E23" s="54"/>
      <c r="F23" s="54"/>
      <c r="G23" s="54"/>
      <c r="H23" s="60"/>
      <c r="I23" s="60"/>
      <c r="J23" s="64"/>
      <c r="K23" s="55"/>
      <c r="L23" s="72"/>
      <c r="M23" s="65"/>
      <c r="N23" s="72"/>
      <c r="O23" s="60"/>
      <c r="P23" s="60"/>
      <c r="Q23" s="55"/>
      <c r="R23" s="55"/>
      <c r="S23" s="61"/>
    </row>
    <row r="24" spans="1:26" ht="25.5" customHeight="1">
      <c r="A24" s="44"/>
      <c r="B24" s="45" t="s">
        <v>50</v>
      </c>
      <c r="C24" s="46" t="s">
        <v>51</v>
      </c>
      <c r="D24" s="46"/>
      <c r="E24" s="46"/>
      <c r="F24" s="46"/>
      <c r="G24" s="46"/>
      <c r="H24" s="47"/>
      <c r="I24" s="47"/>
      <c r="J24" s="47"/>
      <c r="K24" s="47"/>
      <c r="L24" s="47"/>
      <c r="M24" s="47"/>
      <c r="N24" s="47"/>
      <c r="O24" s="47"/>
      <c r="P24" s="47"/>
      <c r="Q24" s="47"/>
      <c r="R24" s="47"/>
      <c r="S24" s="52"/>
      <c r="T24" s="44"/>
      <c r="U24" s="44"/>
      <c r="V24" s="44"/>
      <c r="W24" s="44"/>
      <c r="X24" s="44"/>
      <c r="Y24" s="44"/>
      <c r="Z24" s="44"/>
    </row>
    <row r="25" spans="1:26" ht="15.75" customHeight="1">
      <c r="B25" s="62"/>
      <c r="C25" s="54"/>
      <c r="D25" s="54"/>
      <c r="E25" s="54"/>
      <c r="F25" s="54"/>
      <c r="G25" s="54"/>
      <c r="H25" s="60"/>
      <c r="I25" s="60"/>
      <c r="J25" s="56"/>
      <c r="K25" s="56"/>
      <c r="L25" s="83"/>
      <c r="M25" s="58"/>
      <c r="N25" s="59"/>
      <c r="O25" s="60"/>
      <c r="P25" s="60"/>
      <c r="Q25" s="55"/>
      <c r="R25" s="55"/>
      <c r="S25" s="61"/>
    </row>
    <row r="26" spans="1:26" ht="15.75" customHeight="1">
      <c r="B26" s="62"/>
      <c r="C26" s="1058" t="s">
        <v>52</v>
      </c>
      <c r="D26" s="940"/>
      <c r="E26" s="941"/>
      <c r="G26" s="1058" t="s">
        <v>53</v>
      </c>
      <c r="H26" s="940"/>
      <c r="I26" s="941"/>
      <c r="K26" s="1041" t="s">
        <v>54</v>
      </c>
      <c r="L26" s="940"/>
      <c r="M26" s="941"/>
      <c r="O26" s="1059" t="s">
        <v>55</v>
      </c>
      <c r="P26" s="946"/>
      <c r="Q26" s="1045">
        <f>+E31+I31+M31</f>
        <v>0.6673</v>
      </c>
      <c r="R26" s="946"/>
      <c r="S26" s="61"/>
    </row>
    <row r="27" spans="1:26" ht="15.75" customHeight="1">
      <c r="B27" s="62"/>
      <c r="C27" s="84" t="s">
        <v>56</v>
      </c>
      <c r="D27" s="85"/>
      <c r="E27" s="86">
        <v>8.3299999999999999E-2</v>
      </c>
      <c r="G27" s="1060" t="s">
        <v>57</v>
      </c>
      <c r="H27" s="941"/>
      <c r="I27" s="86">
        <v>0.04</v>
      </c>
      <c r="K27" s="1042" t="s">
        <v>58</v>
      </c>
      <c r="L27" s="950"/>
      <c r="M27" s="87">
        <v>6.6400000000000001E-2</v>
      </c>
      <c r="O27" s="948"/>
      <c r="P27" s="950"/>
      <c r="Q27" s="949"/>
      <c r="R27" s="950"/>
      <c r="S27" s="61"/>
    </row>
    <row r="28" spans="1:26" ht="15.75" customHeight="1">
      <c r="B28" s="62"/>
      <c r="C28" s="84" t="s">
        <v>59</v>
      </c>
      <c r="D28" s="85"/>
      <c r="E28" s="86">
        <v>0.01</v>
      </c>
      <c r="G28" s="1060" t="s">
        <v>60</v>
      </c>
      <c r="H28" s="941"/>
      <c r="I28" s="86">
        <v>0.02</v>
      </c>
      <c r="K28" s="1061" t="s">
        <v>61</v>
      </c>
      <c r="L28" s="941"/>
      <c r="M28" s="88">
        <v>1.4999999999999999E-2</v>
      </c>
      <c r="O28" s="60"/>
      <c r="P28" s="60"/>
      <c r="Q28" s="55"/>
      <c r="R28" s="55"/>
      <c r="S28" s="61"/>
    </row>
    <row r="29" spans="1:26" ht="15.75" customHeight="1">
      <c r="B29" s="62"/>
      <c r="C29" s="84" t="s">
        <v>62</v>
      </c>
      <c r="D29" s="85"/>
      <c r="E29" s="86">
        <v>8.3299999999999999E-2</v>
      </c>
      <c r="G29" s="1060" t="s">
        <v>63</v>
      </c>
      <c r="H29" s="941"/>
      <c r="I29" s="86">
        <v>0.03</v>
      </c>
      <c r="K29" s="1061" t="s">
        <v>64</v>
      </c>
      <c r="L29" s="941"/>
      <c r="M29" s="88">
        <v>3.0000000000000001E-3</v>
      </c>
      <c r="O29" s="60"/>
      <c r="P29" s="60"/>
      <c r="Q29" s="89"/>
      <c r="R29" s="55"/>
      <c r="S29" s="61"/>
    </row>
    <row r="30" spans="1:26" ht="15.75" customHeight="1">
      <c r="B30" s="62"/>
      <c r="C30" s="90" t="s">
        <v>65</v>
      </c>
      <c r="D30" s="91"/>
      <c r="E30" s="86">
        <v>4.1700000000000001E-2</v>
      </c>
      <c r="G30" s="1060" t="s">
        <v>66</v>
      </c>
      <c r="H30" s="941"/>
      <c r="I30" s="86">
        <f>8.5%+12%+6.96%</f>
        <v>0.27460000000000001</v>
      </c>
      <c r="K30" s="1062"/>
      <c r="L30" s="941"/>
      <c r="M30" s="88"/>
      <c r="O30" s="60"/>
      <c r="P30" s="60"/>
      <c r="Q30" s="55"/>
      <c r="R30" s="55"/>
      <c r="S30" s="61"/>
    </row>
    <row r="31" spans="1:26" ht="15.75" customHeight="1">
      <c r="B31" s="62"/>
      <c r="C31" s="84"/>
      <c r="D31" s="92" t="s">
        <v>67</v>
      </c>
      <c r="E31" s="93">
        <f>+SUM(E27:E30)</f>
        <v>0.21829999999999999</v>
      </c>
      <c r="G31" s="84"/>
      <c r="H31" s="92" t="s">
        <v>67</v>
      </c>
      <c r="I31" s="94">
        <f>+SUM(I27:I30)</f>
        <v>0.36460000000000004</v>
      </c>
      <c r="K31" s="84"/>
      <c r="L31" s="92" t="s">
        <v>67</v>
      </c>
      <c r="M31" s="94">
        <f>M27+M28+M29</f>
        <v>8.4400000000000003E-2</v>
      </c>
      <c r="O31" s="60"/>
      <c r="P31" s="60"/>
      <c r="Q31" s="55"/>
      <c r="R31" s="55"/>
      <c r="S31" s="61"/>
    </row>
    <row r="32" spans="1:26" ht="15" customHeight="1">
      <c r="B32" s="70"/>
      <c r="S32" s="71"/>
    </row>
    <row r="33" spans="1:26" ht="25.5" customHeight="1">
      <c r="A33" s="44"/>
      <c r="B33" s="45" t="s">
        <v>68</v>
      </c>
      <c r="C33" s="46" t="s">
        <v>69</v>
      </c>
      <c r="D33" s="46"/>
      <c r="E33" s="46"/>
      <c r="F33" s="46"/>
      <c r="G33" s="46"/>
      <c r="H33" s="47"/>
      <c r="I33" s="47"/>
      <c r="J33" s="47"/>
      <c r="K33" s="47"/>
      <c r="L33" s="47"/>
      <c r="M33" s="47"/>
      <c r="N33" s="47"/>
      <c r="O33" s="47"/>
      <c r="P33" s="47"/>
      <c r="Q33" s="47"/>
      <c r="R33" s="47"/>
      <c r="S33" s="52"/>
      <c r="T33" s="44"/>
      <c r="U33" s="44"/>
      <c r="V33" s="44"/>
      <c r="W33" s="44"/>
      <c r="X33" s="44"/>
      <c r="Y33" s="44"/>
      <c r="Z33" s="44"/>
    </row>
    <row r="34" spans="1:26" ht="15.75" customHeight="1">
      <c r="B34" s="62"/>
      <c r="C34" s="54"/>
      <c r="D34" s="54"/>
      <c r="E34" s="54"/>
      <c r="F34" s="54"/>
      <c r="G34" s="54"/>
      <c r="H34" s="60"/>
      <c r="I34" s="60"/>
      <c r="J34" s="56"/>
      <c r="K34" s="56"/>
      <c r="L34" s="95"/>
      <c r="M34" s="58"/>
      <c r="N34" s="58"/>
      <c r="O34" s="60"/>
      <c r="P34" s="60"/>
      <c r="Q34" s="55"/>
      <c r="R34" s="55"/>
      <c r="S34" s="61"/>
    </row>
    <row r="35" spans="1:26" ht="15.75" customHeight="1">
      <c r="B35" s="62"/>
      <c r="C35" s="1049" t="s">
        <v>70</v>
      </c>
      <c r="D35" s="945"/>
      <c r="E35" s="945"/>
      <c r="F35" s="1063">
        <v>1.3333333333333333E-3</v>
      </c>
      <c r="G35" s="946"/>
      <c r="L35" s="95"/>
      <c r="M35" s="58"/>
      <c r="N35" s="58"/>
      <c r="O35" s="60"/>
      <c r="P35" s="60"/>
      <c r="Q35" s="55"/>
      <c r="R35" s="55"/>
      <c r="S35" s="61"/>
    </row>
    <row r="36" spans="1:26" ht="15.75" customHeight="1">
      <c r="B36" s="62"/>
      <c r="C36" s="1050" t="s">
        <v>71</v>
      </c>
      <c r="D36" s="922"/>
      <c r="E36" s="922"/>
      <c r="F36" s="1051">
        <f>+((6.25)/30)%</f>
        <v>2.0833333333333333E-3</v>
      </c>
      <c r="G36" s="932"/>
      <c r="L36" s="95"/>
      <c r="M36" s="58"/>
      <c r="N36" s="58"/>
      <c r="O36" s="60"/>
      <c r="P36" s="60"/>
      <c r="Q36" s="55"/>
      <c r="R36" s="55"/>
      <c r="S36" s="61"/>
    </row>
    <row r="37" spans="1:26" ht="15.75" customHeight="1">
      <c r="B37" s="62"/>
      <c r="C37" s="1052" t="s">
        <v>72</v>
      </c>
      <c r="D37" s="949"/>
      <c r="E37" s="949"/>
      <c r="F37" s="1053">
        <f>SUM(F35:F36)</f>
        <v>3.4166666666666668E-3</v>
      </c>
      <c r="G37" s="950"/>
      <c r="L37" s="95"/>
      <c r="M37" s="96"/>
      <c r="N37" s="58"/>
      <c r="O37" s="60"/>
      <c r="P37" s="60"/>
      <c r="Q37" s="55"/>
      <c r="R37" s="55"/>
      <c r="S37" s="61"/>
    </row>
    <row r="38" spans="1:26" ht="15.75" customHeight="1">
      <c r="B38" s="62"/>
      <c r="C38" s="60"/>
      <c r="D38" s="60"/>
      <c r="E38" s="60"/>
      <c r="F38" s="60"/>
      <c r="G38" s="60"/>
      <c r="H38" s="60"/>
      <c r="I38" s="97"/>
      <c r="J38" s="56"/>
      <c r="K38" s="98"/>
      <c r="L38" s="95"/>
      <c r="M38" s="58"/>
      <c r="N38" s="58"/>
      <c r="O38" s="60"/>
      <c r="P38" s="60"/>
      <c r="Q38" s="55"/>
      <c r="R38" s="55"/>
      <c r="S38" s="61"/>
    </row>
    <row r="39" spans="1:26" ht="25.5" customHeight="1">
      <c r="A39" s="44"/>
      <c r="B39" s="45" t="s">
        <v>73</v>
      </c>
      <c r="C39" s="46" t="s">
        <v>74</v>
      </c>
      <c r="D39" s="46"/>
      <c r="E39" s="46"/>
      <c r="F39" s="46"/>
      <c r="G39" s="46"/>
      <c r="H39" s="47"/>
      <c r="I39" s="47"/>
      <c r="J39" s="47"/>
      <c r="K39" s="47"/>
      <c r="L39" s="47"/>
      <c r="M39" s="47"/>
      <c r="N39" s="47"/>
      <c r="O39" s="47"/>
      <c r="P39" s="47"/>
      <c r="Q39" s="47"/>
      <c r="R39" s="47"/>
      <c r="S39" s="52"/>
      <c r="T39" s="44"/>
      <c r="U39" s="44"/>
      <c r="V39" s="44"/>
      <c r="W39" s="44"/>
      <c r="X39" s="44"/>
      <c r="Y39" s="44"/>
      <c r="Z39" s="44"/>
    </row>
    <row r="40" spans="1:26" ht="15.75" customHeight="1">
      <c r="B40" s="62"/>
      <c r="C40" s="54"/>
      <c r="D40" s="54"/>
      <c r="E40" s="54"/>
      <c r="F40" s="54"/>
      <c r="G40" s="54"/>
      <c r="H40" s="60"/>
      <c r="I40" s="97"/>
      <c r="J40" s="56"/>
      <c r="K40" s="56"/>
      <c r="L40" s="95"/>
      <c r="M40" s="58"/>
      <c r="N40" s="58"/>
      <c r="O40" s="60"/>
      <c r="P40" s="60"/>
      <c r="Q40" s="55"/>
      <c r="R40" s="55"/>
      <c r="S40" s="61"/>
    </row>
    <row r="41" spans="1:26" ht="15" customHeight="1">
      <c r="B41" s="99"/>
      <c r="C41" s="1043" t="s">
        <v>75</v>
      </c>
      <c r="D41" s="945"/>
      <c r="E41" s="945"/>
      <c r="F41" s="945"/>
      <c r="G41" s="946"/>
      <c r="H41" s="1046" t="s">
        <v>76</v>
      </c>
      <c r="I41" s="941"/>
      <c r="J41" s="1046" t="s">
        <v>77</v>
      </c>
      <c r="K41" s="941"/>
      <c r="L41" s="1046" t="s">
        <v>78</v>
      </c>
      <c r="M41" s="941"/>
      <c r="N41" s="1046" t="s">
        <v>79</v>
      </c>
      <c r="O41" s="1047"/>
      <c r="P41" s="1046" t="s">
        <v>80</v>
      </c>
      <c r="Q41" s="941"/>
      <c r="R41" s="1046" t="s">
        <v>81</v>
      </c>
      <c r="S41" s="973"/>
    </row>
    <row r="42" spans="1:26" ht="15" customHeight="1">
      <c r="B42" s="99"/>
      <c r="C42" s="947"/>
      <c r="D42" s="922"/>
      <c r="E42" s="922"/>
      <c r="F42" s="922"/>
      <c r="G42" s="932"/>
      <c r="H42" s="1048" t="s">
        <v>82</v>
      </c>
      <c r="I42" s="1039"/>
      <c r="J42" s="1046" t="s">
        <v>82</v>
      </c>
      <c r="K42" s="941"/>
      <c r="L42" s="1046" t="s">
        <v>83</v>
      </c>
      <c r="M42" s="941"/>
      <c r="N42" s="1046" t="s">
        <v>84</v>
      </c>
      <c r="O42" s="1047"/>
      <c r="P42" s="1046" t="s">
        <v>85</v>
      </c>
      <c r="Q42" s="941"/>
      <c r="R42" s="1048" t="s">
        <v>86</v>
      </c>
      <c r="S42" s="969"/>
    </row>
    <row r="43" spans="1:26" ht="15.75" customHeight="1">
      <c r="B43" s="99"/>
      <c r="C43" s="948"/>
      <c r="D43" s="949"/>
      <c r="E43" s="949"/>
      <c r="F43" s="949"/>
      <c r="G43" s="950"/>
      <c r="H43" s="100" t="s">
        <v>87</v>
      </c>
      <c r="I43" s="9" t="s">
        <v>88</v>
      </c>
      <c r="J43" s="100" t="s">
        <v>87</v>
      </c>
      <c r="K43" s="9" t="s">
        <v>88</v>
      </c>
      <c r="L43" s="100" t="s">
        <v>87</v>
      </c>
      <c r="M43" s="9" t="s">
        <v>88</v>
      </c>
      <c r="N43" s="100" t="s">
        <v>87</v>
      </c>
      <c r="O43" s="100" t="s">
        <v>88</v>
      </c>
      <c r="P43" s="9" t="s">
        <v>87</v>
      </c>
      <c r="Q43" s="9" t="s">
        <v>88</v>
      </c>
      <c r="R43" s="101" t="s">
        <v>87</v>
      </c>
      <c r="S43" s="10" t="s">
        <v>88</v>
      </c>
    </row>
    <row r="44" spans="1:26" ht="15.75" customHeight="1">
      <c r="B44" s="102"/>
      <c r="C44" s="1044" t="s">
        <v>89</v>
      </c>
      <c r="D44" s="940"/>
      <c r="E44" s="940"/>
      <c r="F44" s="940"/>
      <c r="G44" s="941"/>
      <c r="H44" s="103">
        <v>1</v>
      </c>
      <c r="I44" s="104">
        <f>+H44*$S$21</f>
        <v>72503.016666666677</v>
      </c>
      <c r="J44" s="103">
        <v>1</v>
      </c>
      <c r="K44" s="104">
        <f>+J44*$S$21</f>
        <v>72503.016666666677</v>
      </c>
      <c r="L44" s="103">
        <v>1</v>
      </c>
      <c r="M44" s="104">
        <f>+L44*$S$21</f>
        <v>72503.016666666677</v>
      </c>
      <c r="N44" s="103">
        <v>1</v>
      </c>
      <c r="O44" s="105">
        <f>+N44*$S$21</f>
        <v>72503.016666666677</v>
      </c>
      <c r="P44" s="103">
        <v>0</v>
      </c>
      <c r="Q44" s="106">
        <f>+P44*$S$21</f>
        <v>0</v>
      </c>
      <c r="R44" s="107">
        <v>1</v>
      </c>
      <c r="S44" s="108">
        <f>+R44*$S$21</f>
        <v>72503.016666666677</v>
      </c>
    </row>
    <row r="45" spans="1:26" ht="15.75" customHeight="1">
      <c r="B45" s="102"/>
      <c r="C45" s="1044" t="s">
        <v>90</v>
      </c>
      <c r="D45" s="940"/>
      <c r="E45" s="940"/>
      <c r="F45" s="940"/>
      <c r="G45" s="941"/>
      <c r="H45" s="103">
        <v>1</v>
      </c>
      <c r="I45" s="106">
        <f>+H45*$M$21</f>
        <v>125030.16666666667</v>
      </c>
      <c r="J45" s="103">
        <v>1</v>
      </c>
      <c r="K45" s="106">
        <f>+J45*$M$21</f>
        <v>125030.16666666667</v>
      </c>
      <c r="L45" s="103">
        <v>1</v>
      </c>
      <c r="M45" s="106">
        <f t="shared" ref="M45:M46" si="1">+L45*$M$21</f>
        <v>125030.16666666667</v>
      </c>
      <c r="N45" s="103">
        <v>0</v>
      </c>
      <c r="O45" s="109">
        <f t="shared" ref="O45:O47" si="2">+N45*$M$21</f>
        <v>0</v>
      </c>
      <c r="P45" s="103">
        <v>2</v>
      </c>
      <c r="Q45" s="106">
        <f>+P45*$M$21</f>
        <v>250060.33333333334</v>
      </c>
      <c r="R45" s="107">
        <v>1</v>
      </c>
      <c r="S45" s="110">
        <f t="shared" ref="S45:S46" si="3">+R45*$M$21</f>
        <v>125030.16666666667</v>
      </c>
    </row>
    <row r="46" spans="1:26" ht="15.75" customHeight="1">
      <c r="B46" s="102"/>
      <c r="C46" s="1044" t="s">
        <v>91</v>
      </c>
      <c r="D46" s="940"/>
      <c r="E46" s="940"/>
      <c r="F46" s="940"/>
      <c r="G46" s="941"/>
      <c r="H46" s="103">
        <v>0</v>
      </c>
      <c r="I46" s="106">
        <v>0</v>
      </c>
      <c r="J46" s="103">
        <v>0</v>
      </c>
      <c r="K46" s="106">
        <v>0</v>
      </c>
      <c r="L46" s="103">
        <v>1</v>
      </c>
      <c r="M46" s="106">
        <f t="shared" si="1"/>
        <v>125030.16666666667</v>
      </c>
      <c r="N46" s="103">
        <v>0</v>
      </c>
      <c r="O46" s="109">
        <f t="shared" si="2"/>
        <v>0</v>
      </c>
      <c r="P46" s="103">
        <v>0</v>
      </c>
      <c r="Q46" s="106">
        <v>0</v>
      </c>
      <c r="R46" s="107">
        <v>0</v>
      </c>
      <c r="S46" s="110">
        <f t="shared" si="3"/>
        <v>0</v>
      </c>
    </row>
    <row r="47" spans="1:26" ht="15.75" customHeight="1">
      <c r="B47" s="102"/>
      <c r="C47" s="1044" t="s">
        <v>92</v>
      </c>
      <c r="D47" s="940"/>
      <c r="E47" s="940"/>
      <c r="F47" s="940"/>
      <c r="G47" s="941"/>
      <c r="H47" s="103">
        <v>0</v>
      </c>
      <c r="I47" s="106">
        <v>0</v>
      </c>
      <c r="J47" s="103">
        <v>0</v>
      </c>
      <c r="K47" s="106">
        <v>0</v>
      </c>
      <c r="L47" s="103">
        <v>0</v>
      </c>
      <c r="M47" s="106">
        <v>0</v>
      </c>
      <c r="N47" s="103">
        <v>0</v>
      </c>
      <c r="O47" s="109">
        <f t="shared" si="2"/>
        <v>0</v>
      </c>
      <c r="P47" s="103">
        <v>0</v>
      </c>
      <c r="Q47" s="106">
        <v>0</v>
      </c>
      <c r="R47" s="107">
        <v>1</v>
      </c>
      <c r="S47" s="110">
        <f>+R47*$G$21*0.3</f>
        <v>55018.1</v>
      </c>
    </row>
    <row r="48" spans="1:26" ht="15.75" customHeight="1">
      <c r="B48" s="102"/>
      <c r="C48" s="1044" t="s">
        <v>93</v>
      </c>
      <c r="D48" s="940"/>
      <c r="E48" s="940"/>
      <c r="F48" s="940"/>
      <c r="G48" s="941"/>
      <c r="H48" s="103">
        <v>0</v>
      </c>
      <c r="I48" s="106">
        <v>0</v>
      </c>
      <c r="J48" s="103">
        <v>0</v>
      </c>
      <c r="K48" s="106">
        <v>0</v>
      </c>
      <c r="L48" s="103">
        <v>0</v>
      </c>
      <c r="M48" s="106">
        <v>0</v>
      </c>
      <c r="N48" s="103">
        <v>1</v>
      </c>
      <c r="O48" s="109">
        <f>+N48*$G$21</f>
        <v>183393.66666666666</v>
      </c>
      <c r="P48" s="103">
        <v>0</v>
      </c>
      <c r="Q48" s="106">
        <v>0</v>
      </c>
      <c r="R48" s="107">
        <v>0</v>
      </c>
      <c r="S48" s="110">
        <f>+R48*$M$21</f>
        <v>0</v>
      </c>
    </row>
    <row r="49" spans="2:19" ht="15.75" customHeight="1">
      <c r="B49" s="70"/>
      <c r="C49" s="1054" t="s">
        <v>94</v>
      </c>
      <c r="D49" s="940"/>
      <c r="E49" s="940"/>
      <c r="F49" s="940"/>
      <c r="G49" s="941"/>
      <c r="H49" s="111"/>
      <c r="I49" s="112">
        <f>SUM(I44:I48)</f>
        <v>197533.18333333335</v>
      </c>
      <c r="J49" s="113"/>
      <c r="K49" s="114">
        <f>SUM(K44:K48)</f>
        <v>197533.18333333335</v>
      </c>
      <c r="L49" s="115"/>
      <c r="M49" s="112">
        <f>SUM(M44:M48)</f>
        <v>322563.35000000003</v>
      </c>
      <c r="N49" s="115"/>
      <c r="O49" s="116">
        <f>SUM(O44:O48)</f>
        <v>255896.68333333335</v>
      </c>
      <c r="P49" s="115"/>
      <c r="Q49" s="112">
        <f>SUM(Q44:Q48)</f>
        <v>250060.33333333334</v>
      </c>
      <c r="R49" s="117"/>
      <c r="S49" s="118">
        <f>SUM(S44:S48)</f>
        <v>252551.28333333335</v>
      </c>
    </row>
    <row r="50" spans="2:19" ht="15.75" customHeight="1">
      <c r="B50" s="70"/>
      <c r="C50" s="1044" t="s">
        <v>95</v>
      </c>
      <c r="D50" s="940"/>
      <c r="E50" s="940"/>
      <c r="F50" s="940"/>
      <c r="G50" s="941"/>
      <c r="H50" s="119">
        <f>+$E$31</f>
        <v>0.21829999999999999</v>
      </c>
      <c r="I50" s="106">
        <f>+I49*H50</f>
        <v>43121.493921666668</v>
      </c>
      <c r="J50" s="119">
        <f>+$E$31</f>
        <v>0.21829999999999999</v>
      </c>
      <c r="K50" s="106">
        <f>+K49*J50</f>
        <v>43121.493921666668</v>
      </c>
      <c r="L50" s="119">
        <f>+$E$31</f>
        <v>0.21829999999999999</v>
      </c>
      <c r="M50" s="106">
        <f>+M49*L50</f>
        <v>70415.579305000007</v>
      </c>
      <c r="N50" s="119">
        <f>+$E$31</f>
        <v>0.21829999999999999</v>
      </c>
      <c r="O50" s="109">
        <f>+O49*N50</f>
        <v>55862.245971666671</v>
      </c>
      <c r="P50" s="119">
        <f>+$E$31</f>
        <v>0.21829999999999999</v>
      </c>
      <c r="Q50" s="106">
        <f>+Q49*P50</f>
        <v>54588.17076666667</v>
      </c>
      <c r="R50" s="119">
        <f>+$E$31</f>
        <v>0.21829999999999999</v>
      </c>
      <c r="S50" s="110">
        <f>+S49*R50</f>
        <v>55131.945151666667</v>
      </c>
    </row>
    <row r="51" spans="2:19" ht="15.75" customHeight="1">
      <c r="B51" s="70"/>
      <c r="C51" s="1044" t="s">
        <v>53</v>
      </c>
      <c r="D51" s="940"/>
      <c r="E51" s="940"/>
      <c r="F51" s="940"/>
      <c r="G51" s="941"/>
      <c r="H51" s="119">
        <f>+$I$31</f>
        <v>0.36460000000000004</v>
      </c>
      <c r="I51" s="106">
        <f>+H51*I49</f>
        <v>72020.598643333346</v>
      </c>
      <c r="J51" s="119">
        <f>+$I$31</f>
        <v>0.36460000000000004</v>
      </c>
      <c r="K51" s="106">
        <f>+J51*K49</f>
        <v>72020.598643333346</v>
      </c>
      <c r="L51" s="119">
        <f>+$I$31</f>
        <v>0.36460000000000004</v>
      </c>
      <c r="M51" s="106">
        <f>+L51*M49</f>
        <v>117606.59741000003</v>
      </c>
      <c r="N51" s="119">
        <f>+$I$31</f>
        <v>0.36460000000000004</v>
      </c>
      <c r="O51" s="109">
        <f>+N51*O49</f>
        <v>93299.930743333345</v>
      </c>
      <c r="P51" s="119">
        <f>+$I$31</f>
        <v>0.36460000000000004</v>
      </c>
      <c r="Q51" s="106">
        <f>+P51*Q49</f>
        <v>91171.997533333342</v>
      </c>
      <c r="R51" s="119">
        <f>+$I$31</f>
        <v>0.36460000000000004</v>
      </c>
      <c r="S51" s="110">
        <f>+R51*S49</f>
        <v>92080.197903333348</v>
      </c>
    </row>
    <row r="52" spans="2:19" ht="15.75" customHeight="1">
      <c r="B52" s="70"/>
      <c r="C52" s="1044" t="s">
        <v>54</v>
      </c>
      <c r="D52" s="940"/>
      <c r="E52" s="940"/>
      <c r="F52" s="940"/>
      <c r="G52" s="941"/>
      <c r="H52" s="119">
        <f>+$M$31</f>
        <v>8.4400000000000003E-2</v>
      </c>
      <c r="I52" s="106">
        <f>+H52*I49</f>
        <v>16671.800673333335</v>
      </c>
      <c r="J52" s="119">
        <f>+$M$31</f>
        <v>8.4400000000000003E-2</v>
      </c>
      <c r="K52" s="106">
        <f>+J52*K49</f>
        <v>16671.800673333335</v>
      </c>
      <c r="L52" s="119">
        <f>+$M$31</f>
        <v>8.4400000000000003E-2</v>
      </c>
      <c r="M52" s="106">
        <f>+L52*M49</f>
        <v>27224.346740000005</v>
      </c>
      <c r="N52" s="119">
        <f>+$M$31</f>
        <v>8.4400000000000003E-2</v>
      </c>
      <c r="O52" s="109">
        <f>+N52*O49</f>
        <v>21597.680073333337</v>
      </c>
      <c r="P52" s="119">
        <f>+$M$31</f>
        <v>8.4400000000000003E-2</v>
      </c>
      <c r="Q52" s="106">
        <f>+P52*Q49</f>
        <v>21105.092133333335</v>
      </c>
      <c r="R52" s="119">
        <f>+$M$31</f>
        <v>8.4400000000000003E-2</v>
      </c>
      <c r="S52" s="110">
        <f>+R52*S49</f>
        <v>21315.328313333335</v>
      </c>
    </row>
    <row r="53" spans="2:19" ht="15.75" customHeight="1">
      <c r="B53" s="70"/>
      <c r="C53" s="1044" t="s">
        <v>96</v>
      </c>
      <c r="D53" s="940"/>
      <c r="E53" s="940"/>
      <c r="F53" s="940"/>
      <c r="G53" s="941"/>
      <c r="H53" s="119">
        <f>+$F$37</f>
        <v>3.4166666666666668E-3</v>
      </c>
      <c r="I53" s="106">
        <f>+H53*I49</f>
        <v>674.90504305555567</v>
      </c>
      <c r="J53" s="119">
        <f>+$F$37</f>
        <v>3.4166666666666668E-3</v>
      </c>
      <c r="K53" s="106">
        <f>+J53*K49</f>
        <v>674.90504305555567</v>
      </c>
      <c r="L53" s="119">
        <f>+$F$37</f>
        <v>3.4166666666666668E-3</v>
      </c>
      <c r="M53" s="106">
        <f>+L53*M49</f>
        <v>1102.0914458333334</v>
      </c>
      <c r="N53" s="119">
        <f>+$F$37</f>
        <v>3.4166666666666668E-3</v>
      </c>
      <c r="O53" s="109">
        <f>+N53*O49</f>
        <v>874.31366805555569</v>
      </c>
      <c r="P53" s="119">
        <f>+$F$37</f>
        <v>3.4166666666666668E-3</v>
      </c>
      <c r="Q53" s="106">
        <f>+P53*Q49</f>
        <v>854.3728055555556</v>
      </c>
      <c r="R53" s="119">
        <f>+$F$37</f>
        <v>3.4166666666666668E-3</v>
      </c>
      <c r="S53" s="110">
        <f>+R53*S49</f>
        <v>862.88355138888903</v>
      </c>
    </row>
    <row r="54" spans="2:19" ht="15.75" customHeight="1">
      <c r="B54" s="70"/>
      <c r="C54" s="1044" t="s">
        <v>97</v>
      </c>
      <c r="D54" s="940"/>
      <c r="E54" s="940"/>
      <c r="F54" s="940"/>
      <c r="G54" s="941"/>
      <c r="H54" s="119">
        <v>0</v>
      </c>
      <c r="I54" s="106">
        <f>+H54*I49</f>
        <v>0</v>
      </c>
      <c r="J54" s="119">
        <v>0</v>
      </c>
      <c r="K54" s="120">
        <f>+J54*I55</f>
        <v>0</v>
      </c>
      <c r="L54" s="119">
        <v>0</v>
      </c>
      <c r="M54" s="120">
        <f>+L54*I55</f>
        <v>0</v>
      </c>
      <c r="N54" s="119">
        <v>0</v>
      </c>
      <c r="O54" s="121">
        <f>+N54*I55</f>
        <v>0</v>
      </c>
      <c r="P54" s="119">
        <v>0</v>
      </c>
      <c r="Q54" s="120">
        <f>+P54*K55</f>
        <v>0</v>
      </c>
      <c r="R54" s="119">
        <v>0</v>
      </c>
      <c r="S54" s="122">
        <f>+R54*M55</f>
        <v>0</v>
      </c>
    </row>
    <row r="55" spans="2:19" ht="15.75" customHeight="1">
      <c r="B55" s="70"/>
      <c r="C55" s="1044" t="s">
        <v>98</v>
      </c>
      <c r="D55" s="940"/>
      <c r="E55" s="940"/>
      <c r="F55" s="940"/>
      <c r="G55" s="941"/>
      <c r="H55" s="123"/>
      <c r="I55" s="112">
        <f>SUM(I49:I54)</f>
        <v>330021.98161472223</v>
      </c>
      <c r="J55" s="124"/>
      <c r="K55" s="112">
        <f>SUM(K49:K54)</f>
        <v>330021.98161472223</v>
      </c>
      <c r="L55" s="125"/>
      <c r="M55" s="112">
        <f>SUM(M49:M54)</f>
        <v>538911.96490083344</v>
      </c>
      <c r="N55" s="125"/>
      <c r="O55" s="116">
        <f>SUM(O49:O54)</f>
        <v>427530.85378972226</v>
      </c>
      <c r="P55" s="125"/>
      <c r="Q55" s="112">
        <f>SUM(Q49:Q54)</f>
        <v>417779.9665722223</v>
      </c>
      <c r="R55" s="126"/>
      <c r="S55" s="118">
        <f>SUM(S49:S54)</f>
        <v>421941.63825305557</v>
      </c>
    </row>
    <row r="56" spans="2:19" ht="26.25" customHeight="1">
      <c r="B56" s="70"/>
      <c r="C56" s="1044" t="s">
        <v>99</v>
      </c>
      <c r="D56" s="940"/>
      <c r="E56" s="940"/>
      <c r="F56" s="940"/>
      <c r="G56" s="941"/>
      <c r="H56" s="123"/>
      <c r="I56" s="112">
        <f>I55/8</f>
        <v>41252.747701840279</v>
      </c>
      <c r="J56" s="124"/>
      <c r="K56" s="112">
        <f>K55/8</f>
        <v>41252.747701840279</v>
      </c>
      <c r="L56" s="125"/>
      <c r="M56" s="112">
        <f>+M55/8</f>
        <v>67363.99561260418</v>
      </c>
      <c r="N56" s="125"/>
      <c r="O56" s="116">
        <f>O55/8</f>
        <v>53441.356723715282</v>
      </c>
      <c r="P56" s="125"/>
      <c r="Q56" s="112">
        <f>Q55/8</f>
        <v>52222.495821527787</v>
      </c>
      <c r="R56" s="126"/>
      <c r="S56" s="118">
        <f>S55/8</f>
        <v>52742.704781631946</v>
      </c>
    </row>
    <row r="57" spans="2:19" ht="15.75" customHeight="1">
      <c r="B57" s="70"/>
      <c r="C57" s="55"/>
      <c r="D57" s="55"/>
      <c r="E57" s="55"/>
      <c r="F57" s="55"/>
      <c r="G57" s="55"/>
      <c r="H57" s="55"/>
      <c r="I57" s="55"/>
      <c r="J57" s="55"/>
      <c r="K57" s="55"/>
      <c r="L57" s="55"/>
      <c r="M57" s="55"/>
      <c r="N57" s="55"/>
      <c r="O57" s="55"/>
      <c r="P57" s="55"/>
      <c r="Q57" s="55"/>
      <c r="R57" s="55"/>
      <c r="S57" s="61"/>
    </row>
    <row r="58" spans="2:19" ht="15" customHeight="1">
      <c r="B58" s="70"/>
      <c r="C58" s="1043" t="s">
        <v>75</v>
      </c>
      <c r="D58" s="945"/>
      <c r="E58" s="945"/>
      <c r="F58" s="945"/>
      <c r="G58" s="946"/>
      <c r="H58" s="1046" t="s">
        <v>100</v>
      </c>
      <c r="I58" s="941"/>
      <c r="J58" s="1046" t="s">
        <v>101</v>
      </c>
      <c r="K58" s="941"/>
      <c r="L58" s="1046" t="s">
        <v>102</v>
      </c>
      <c r="M58" s="941"/>
      <c r="N58" s="1046" t="s">
        <v>103</v>
      </c>
      <c r="O58" s="941"/>
      <c r="P58" s="1046" t="s">
        <v>104</v>
      </c>
      <c r="Q58" s="941"/>
      <c r="R58" s="1046" t="s">
        <v>105</v>
      </c>
      <c r="S58" s="973"/>
    </row>
    <row r="59" spans="2:19" ht="37.5" customHeight="1">
      <c r="B59" s="70"/>
      <c r="C59" s="947"/>
      <c r="D59" s="922"/>
      <c r="E59" s="922"/>
      <c r="F59" s="922"/>
      <c r="G59" s="932"/>
      <c r="H59" s="1046" t="s">
        <v>106</v>
      </c>
      <c r="I59" s="941"/>
      <c r="J59" s="1046" t="s">
        <v>107</v>
      </c>
      <c r="K59" s="941"/>
      <c r="L59" s="1046" t="s">
        <v>108</v>
      </c>
      <c r="M59" s="941"/>
      <c r="N59" s="1046" t="s">
        <v>109</v>
      </c>
      <c r="O59" s="941"/>
      <c r="P59" s="1046" t="s">
        <v>110</v>
      </c>
      <c r="Q59" s="941"/>
      <c r="R59" s="1046" t="s">
        <v>111</v>
      </c>
      <c r="S59" s="973"/>
    </row>
    <row r="60" spans="2:19" ht="15.75" customHeight="1">
      <c r="B60" s="70"/>
      <c r="C60" s="948"/>
      <c r="D60" s="949"/>
      <c r="E60" s="949"/>
      <c r="F60" s="949"/>
      <c r="G60" s="950"/>
      <c r="H60" s="9" t="s">
        <v>87</v>
      </c>
      <c r="I60" s="9" t="s">
        <v>88</v>
      </c>
      <c r="J60" s="9" t="s">
        <v>87</v>
      </c>
      <c r="K60" s="9" t="s">
        <v>88</v>
      </c>
      <c r="L60" s="9" t="s">
        <v>87</v>
      </c>
      <c r="M60" s="9" t="s">
        <v>88</v>
      </c>
      <c r="N60" s="9" t="s">
        <v>87</v>
      </c>
      <c r="O60" s="9" t="s">
        <v>88</v>
      </c>
      <c r="P60" s="9" t="s">
        <v>87</v>
      </c>
      <c r="Q60" s="9" t="s">
        <v>88</v>
      </c>
      <c r="R60" s="9" t="s">
        <v>87</v>
      </c>
      <c r="S60" s="10" t="s">
        <v>88</v>
      </c>
    </row>
    <row r="61" spans="2:19" ht="15.75" customHeight="1">
      <c r="B61" s="70"/>
      <c r="C61" s="1044" t="s">
        <v>89</v>
      </c>
      <c r="D61" s="940"/>
      <c r="E61" s="940"/>
      <c r="F61" s="940"/>
      <c r="G61" s="941"/>
      <c r="H61" s="103">
        <v>1</v>
      </c>
      <c r="I61" s="106">
        <f>+H61*$S$21</f>
        <v>72503.016666666677</v>
      </c>
      <c r="J61" s="103">
        <v>1</v>
      </c>
      <c r="K61" s="106">
        <f>+J61*$S$21</f>
        <v>72503.016666666677</v>
      </c>
      <c r="L61" s="103">
        <v>1</v>
      </c>
      <c r="M61" s="106">
        <f>+L61*$S$21</f>
        <v>72503.016666666677</v>
      </c>
      <c r="N61" s="103">
        <v>1</v>
      </c>
      <c r="O61" s="106">
        <f>+N61*$S$21</f>
        <v>72503.016666666677</v>
      </c>
      <c r="P61" s="103">
        <v>1</v>
      </c>
      <c r="Q61" s="106">
        <f>+P61*$S$21</f>
        <v>72503.016666666677</v>
      </c>
      <c r="R61" s="103">
        <v>2</v>
      </c>
      <c r="S61" s="110">
        <f>+R61*$S$21</f>
        <v>145006.03333333335</v>
      </c>
    </row>
    <row r="62" spans="2:19" ht="15.75" customHeight="1">
      <c r="B62" s="70"/>
      <c r="C62" s="1044" t="s">
        <v>90</v>
      </c>
      <c r="D62" s="940"/>
      <c r="E62" s="940"/>
      <c r="F62" s="940"/>
      <c r="G62" s="941"/>
      <c r="H62" s="103">
        <v>2</v>
      </c>
      <c r="I62" s="106">
        <f>+H62*$M$21</f>
        <v>250060.33333333334</v>
      </c>
      <c r="J62" s="103">
        <v>2</v>
      </c>
      <c r="K62" s="106">
        <f>+J62*$M$21</f>
        <v>250060.33333333334</v>
      </c>
      <c r="L62" s="103">
        <v>1</v>
      </c>
      <c r="M62" s="106">
        <f>+L62*$M$21</f>
        <v>125030.16666666667</v>
      </c>
      <c r="N62" s="103">
        <v>0</v>
      </c>
      <c r="O62" s="106">
        <v>0</v>
      </c>
      <c r="P62" s="103">
        <v>2</v>
      </c>
      <c r="Q62" s="106">
        <f>+P62*$M$21</f>
        <v>250060.33333333334</v>
      </c>
      <c r="R62" s="103">
        <v>0</v>
      </c>
      <c r="S62" s="110">
        <f>+R62*$M$21</f>
        <v>0</v>
      </c>
    </row>
    <row r="63" spans="2:19" ht="15.75" customHeight="1">
      <c r="B63" s="70"/>
      <c r="C63" s="1044" t="s">
        <v>112</v>
      </c>
      <c r="D63" s="940"/>
      <c r="E63" s="940"/>
      <c r="F63" s="940"/>
      <c r="G63" s="941"/>
      <c r="H63" s="103">
        <v>0</v>
      </c>
      <c r="I63" s="106">
        <v>0</v>
      </c>
      <c r="J63" s="103">
        <v>0</v>
      </c>
      <c r="K63" s="106">
        <v>0</v>
      </c>
      <c r="L63" s="103">
        <v>1</v>
      </c>
      <c r="M63" s="106">
        <f>+L63*$G$21</f>
        <v>183393.66666666666</v>
      </c>
      <c r="N63" s="103">
        <v>0</v>
      </c>
      <c r="O63" s="106">
        <v>0</v>
      </c>
      <c r="P63" s="103">
        <v>0</v>
      </c>
      <c r="Q63" s="106">
        <v>0</v>
      </c>
      <c r="R63" s="103">
        <v>0</v>
      </c>
      <c r="S63" s="110">
        <f t="shared" ref="S63:S66" si="4">+R63*$S$21</f>
        <v>0</v>
      </c>
    </row>
    <row r="64" spans="2:19" ht="15.75" customHeight="1">
      <c r="B64" s="70"/>
      <c r="C64" s="1044" t="s">
        <v>113</v>
      </c>
      <c r="D64" s="940"/>
      <c r="E64" s="940"/>
      <c r="F64" s="940"/>
      <c r="G64" s="941"/>
      <c r="H64" s="103">
        <v>1</v>
      </c>
      <c r="I64" s="106">
        <f>+H64*$G$21*0.6</f>
        <v>110036.2</v>
      </c>
      <c r="J64" s="103">
        <v>0</v>
      </c>
      <c r="K64" s="106">
        <v>0</v>
      </c>
      <c r="L64" s="103">
        <v>0</v>
      </c>
      <c r="M64" s="106">
        <v>0</v>
      </c>
      <c r="N64" s="103">
        <v>0</v>
      </c>
      <c r="O64" s="106">
        <v>0</v>
      </c>
      <c r="P64" s="103">
        <v>1</v>
      </c>
      <c r="Q64" s="106">
        <f>+P64*$G$21</f>
        <v>183393.66666666666</v>
      </c>
      <c r="R64" s="103">
        <v>0</v>
      </c>
      <c r="S64" s="110">
        <f t="shared" si="4"/>
        <v>0</v>
      </c>
    </row>
    <row r="65" spans="2:19" ht="15.75" customHeight="1">
      <c r="B65" s="70"/>
      <c r="C65" s="1044" t="s">
        <v>114</v>
      </c>
      <c r="D65" s="940"/>
      <c r="E65" s="940"/>
      <c r="F65" s="940"/>
      <c r="G65" s="941"/>
      <c r="H65" s="103">
        <v>0</v>
      </c>
      <c r="I65" s="106">
        <v>0</v>
      </c>
      <c r="J65" s="103">
        <v>0</v>
      </c>
      <c r="K65" s="106">
        <v>0</v>
      </c>
      <c r="L65" s="103">
        <v>0</v>
      </c>
      <c r="M65" s="106">
        <v>0</v>
      </c>
      <c r="N65" s="103">
        <v>1</v>
      </c>
      <c r="O65" s="106">
        <f>+N65*$G$21</f>
        <v>183393.66666666666</v>
      </c>
      <c r="P65" s="103">
        <v>0</v>
      </c>
      <c r="Q65" s="106">
        <v>0</v>
      </c>
      <c r="R65" s="103">
        <v>0</v>
      </c>
      <c r="S65" s="110">
        <f t="shared" si="4"/>
        <v>0</v>
      </c>
    </row>
    <row r="66" spans="2:19" ht="15.75" customHeight="1">
      <c r="B66" s="70"/>
      <c r="C66" s="1044" t="s">
        <v>115</v>
      </c>
      <c r="D66" s="940"/>
      <c r="E66" s="940"/>
      <c r="F66" s="940"/>
      <c r="G66" s="941"/>
      <c r="H66" s="103">
        <v>0</v>
      </c>
      <c r="I66" s="106">
        <v>0</v>
      </c>
      <c r="J66" s="103">
        <v>0</v>
      </c>
      <c r="K66" s="106">
        <v>0</v>
      </c>
      <c r="L66" s="103">
        <v>0</v>
      </c>
      <c r="M66" s="106">
        <v>0</v>
      </c>
      <c r="N66" s="103">
        <v>1</v>
      </c>
      <c r="O66" s="106">
        <f>+N66*$M$21</f>
        <v>125030.16666666667</v>
      </c>
      <c r="P66" s="103">
        <v>0</v>
      </c>
      <c r="Q66" s="106">
        <v>0</v>
      </c>
      <c r="R66" s="103">
        <v>0</v>
      </c>
      <c r="S66" s="110">
        <f t="shared" si="4"/>
        <v>0</v>
      </c>
    </row>
    <row r="67" spans="2:19" ht="15.75" customHeight="1">
      <c r="B67" s="70"/>
      <c r="C67" s="1054" t="s">
        <v>94</v>
      </c>
      <c r="D67" s="940"/>
      <c r="E67" s="940"/>
      <c r="F67" s="940"/>
      <c r="G67" s="941"/>
      <c r="H67" s="115"/>
      <c r="I67" s="112">
        <f>SUM(I61:I66)</f>
        <v>432599.55000000005</v>
      </c>
      <c r="J67" s="113"/>
      <c r="K67" s="114">
        <f>SUM(K61:K66)</f>
        <v>322563.35000000003</v>
      </c>
      <c r="L67" s="115"/>
      <c r="M67" s="112">
        <f>SUM(M61:M66)</f>
        <v>380926.85</v>
      </c>
      <c r="N67" s="115"/>
      <c r="O67" s="112">
        <f>SUM(O61:O66)</f>
        <v>380926.85000000003</v>
      </c>
      <c r="P67" s="115"/>
      <c r="Q67" s="112">
        <f>SUM(Q61:Q66)</f>
        <v>505957.01666666672</v>
      </c>
      <c r="R67" s="115"/>
      <c r="S67" s="118">
        <f>SUM(S61:S66)</f>
        <v>145006.03333333335</v>
      </c>
    </row>
    <row r="68" spans="2:19" ht="15.75" customHeight="1">
      <c r="B68" s="70"/>
      <c r="C68" s="1044" t="s">
        <v>95</v>
      </c>
      <c r="D68" s="940"/>
      <c r="E68" s="940"/>
      <c r="F68" s="940"/>
      <c r="G68" s="941"/>
      <c r="H68" s="119">
        <f>+$E$31</f>
        <v>0.21829999999999999</v>
      </c>
      <c r="I68" s="106">
        <f>+I67*H68</f>
        <v>94436.481765000004</v>
      </c>
      <c r="J68" s="119">
        <f>+$E$31</f>
        <v>0.21829999999999999</v>
      </c>
      <c r="K68" s="106">
        <f>+K67*J68</f>
        <v>70415.579305000007</v>
      </c>
      <c r="L68" s="119">
        <f>+$E$31</f>
        <v>0.21829999999999999</v>
      </c>
      <c r="M68" s="106">
        <f>+M67*L68</f>
        <v>83156.331354999988</v>
      </c>
      <c r="N68" s="119">
        <f>+$E$31</f>
        <v>0.21829999999999999</v>
      </c>
      <c r="O68" s="106">
        <f>+O67*N68</f>
        <v>83156.331355000002</v>
      </c>
      <c r="P68" s="119">
        <f>+$E$31</f>
        <v>0.21829999999999999</v>
      </c>
      <c r="Q68" s="106">
        <f>+Q67*P68</f>
        <v>110450.41673833334</v>
      </c>
      <c r="R68" s="119">
        <f>+$E$31</f>
        <v>0.21829999999999999</v>
      </c>
      <c r="S68" s="110">
        <f>+S67*R68</f>
        <v>31654.81707666667</v>
      </c>
    </row>
    <row r="69" spans="2:19" ht="15.75" customHeight="1">
      <c r="B69" s="70"/>
      <c r="C69" s="1044" t="s">
        <v>53</v>
      </c>
      <c r="D69" s="940"/>
      <c r="E69" s="940"/>
      <c r="F69" s="940"/>
      <c r="G69" s="941"/>
      <c r="H69" s="119">
        <f>+$I$31</f>
        <v>0.36460000000000004</v>
      </c>
      <c r="I69" s="106">
        <f>+H69*I67</f>
        <v>157725.79593000002</v>
      </c>
      <c r="J69" s="119">
        <f>+$I$31</f>
        <v>0.36460000000000004</v>
      </c>
      <c r="K69" s="106">
        <f>+J69*K67</f>
        <v>117606.59741000003</v>
      </c>
      <c r="L69" s="119">
        <f>+$I$31</f>
        <v>0.36460000000000004</v>
      </c>
      <c r="M69" s="106">
        <f>+L69*M67</f>
        <v>138885.92951000002</v>
      </c>
      <c r="N69" s="119">
        <f>+$I$31</f>
        <v>0.36460000000000004</v>
      </c>
      <c r="O69" s="106">
        <f>+N69*O67</f>
        <v>138885.92951000002</v>
      </c>
      <c r="P69" s="119">
        <f>+$I$31</f>
        <v>0.36460000000000004</v>
      </c>
      <c r="Q69" s="106">
        <f>+P69*Q67</f>
        <v>184471.9282766667</v>
      </c>
      <c r="R69" s="119">
        <f>+$I$31</f>
        <v>0.36460000000000004</v>
      </c>
      <c r="S69" s="110">
        <f>+R69*S67</f>
        <v>52869.199753333349</v>
      </c>
    </row>
    <row r="70" spans="2:19" ht="15.75" customHeight="1">
      <c r="B70" s="70"/>
      <c r="C70" s="1044" t="s">
        <v>54</v>
      </c>
      <c r="D70" s="940"/>
      <c r="E70" s="940"/>
      <c r="F70" s="940"/>
      <c r="G70" s="941"/>
      <c r="H70" s="119">
        <f>+$M$31</f>
        <v>8.4400000000000003E-2</v>
      </c>
      <c r="I70" s="106">
        <f>+H70*I67</f>
        <v>36511.402020000009</v>
      </c>
      <c r="J70" s="119">
        <f>+$M$31</f>
        <v>8.4400000000000003E-2</v>
      </c>
      <c r="K70" s="106">
        <f>+J70*K67</f>
        <v>27224.346740000005</v>
      </c>
      <c r="L70" s="119">
        <f>+$M$31</f>
        <v>8.4400000000000003E-2</v>
      </c>
      <c r="M70" s="106">
        <f>+L70*M67</f>
        <v>32150.226139999999</v>
      </c>
      <c r="N70" s="119">
        <f>+$M$31</f>
        <v>8.4400000000000003E-2</v>
      </c>
      <c r="O70" s="106">
        <f>+N70*O67</f>
        <v>32150.226140000002</v>
      </c>
      <c r="P70" s="119">
        <f>+$M$31</f>
        <v>8.4400000000000003E-2</v>
      </c>
      <c r="Q70" s="106">
        <f>+P70*Q67</f>
        <v>42702.772206666676</v>
      </c>
      <c r="R70" s="119">
        <f>+$M$31</f>
        <v>8.4400000000000003E-2</v>
      </c>
      <c r="S70" s="110">
        <f>+R70*S67</f>
        <v>12238.509213333336</v>
      </c>
    </row>
    <row r="71" spans="2:19" ht="15.75" customHeight="1">
      <c r="B71" s="70"/>
      <c r="C71" s="1044" t="s">
        <v>96</v>
      </c>
      <c r="D71" s="940"/>
      <c r="E71" s="940"/>
      <c r="F71" s="940"/>
      <c r="G71" s="941"/>
      <c r="H71" s="119">
        <f>+$F$37</f>
        <v>3.4166666666666668E-3</v>
      </c>
      <c r="I71" s="106">
        <f>+H71*I67</f>
        <v>1478.0484625000001</v>
      </c>
      <c r="J71" s="119">
        <f>+$F$37</f>
        <v>3.4166666666666668E-3</v>
      </c>
      <c r="K71" s="106">
        <f>+J71*K67</f>
        <v>1102.0914458333334</v>
      </c>
      <c r="L71" s="119">
        <f>+$F$37</f>
        <v>3.4166666666666668E-3</v>
      </c>
      <c r="M71" s="106">
        <f>+L71*M67</f>
        <v>1301.5000708333332</v>
      </c>
      <c r="N71" s="119">
        <f>+$F$37</f>
        <v>3.4166666666666668E-3</v>
      </c>
      <c r="O71" s="106">
        <f>+N71*O67</f>
        <v>1301.5000708333334</v>
      </c>
      <c r="P71" s="119">
        <f>+$F$37</f>
        <v>3.4166666666666668E-3</v>
      </c>
      <c r="Q71" s="106">
        <f>+P71*Q67</f>
        <v>1728.6864736111113</v>
      </c>
      <c r="R71" s="119">
        <f>+$F$37</f>
        <v>3.4166666666666668E-3</v>
      </c>
      <c r="S71" s="110">
        <f>+R71*S67</f>
        <v>495.43728055555567</v>
      </c>
    </row>
    <row r="72" spans="2:19" ht="15.75" customHeight="1">
      <c r="B72" s="70"/>
      <c r="C72" s="1044" t="s">
        <v>97</v>
      </c>
      <c r="D72" s="940"/>
      <c r="E72" s="940"/>
      <c r="F72" s="940"/>
      <c r="G72" s="941"/>
      <c r="H72" s="119">
        <v>0</v>
      </c>
      <c r="I72" s="106">
        <f>+H72*I67</f>
        <v>0</v>
      </c>
      <c r="J72" s="119">
        <v>0</v>
      </c>
      <c r="K72" s="120">
        <f>+J72*I73</f>
        <v>0</v>
      </c>
      <c r="L72" s="119">
        <v>0</v>
      </c>
      <c r="M72" s="120">
        <f>+L72*I73</f>
        <v>0</v>
      </c>
      <c r="N72" s="119">
        <v>0</v>
      </c>
      <c r="O72" s="120">
        <f>+N72*I73</f>
        <v>0</v>
      </c>
      <c r="P72" s="119">
        <v>0</v>
      </c>
      <c r="Q72" s="120">
        <f>+P72*K73</f>
        <v>0</v>
      </c>
      <c r="R72" s="119">
        <v>0</v>
      </c>
      <c r="S72" s="122">
        <f>+R72*M73</f>
        <v>0</v>
      </c>
    </row>
    <row r="73" spans="2:19" ht="15.75" customHeight="1">
      <c r="B73" s="70"/>
      <c r="C73" s="1044" t="s">
        <v>98</v>
      </c>
      <c r="D73" s="940"/>
      <c r="E73" s="940"/>
      <c r="F73" s="940"/>
      <c r="G73" s="941"/>
      <c r="H73" s="123"/>
      <c r="I73" s="112">
        <f>SUM(I67:I72)</f>
        <v>722751.27817750012</v>
      </c>
      <c r="J73" s="124"/>
      <c r="K73" s="112">
        <f>SUM(K67:K72)</f>
        <v>538911.96490083344</v>
      </c>
      <c r="L73" s="125"/>
      <c r="M73" s="112">
        <f>SUM(M67:M72)</f>
        <v>636420.83707583335</v>
      </c>
      <c r="N73" s="125"/>
      <c r="O73" s="112">
        <f>SUM(O67:O72)</f>
        <v>636420.83707583346</v>
      </c>
      <c r="P73" s="125"/>
      <c r="Q73" s="112">
        <f>SUM(Q67:Q72)</f>
        <v>845310.8203619445</v>
      </c>
      <c r="R73" s="125"/>
      <c r="S73" s="118">
        <f>SUM(S67:S72)</f>
        <v>242263.99665722225</v>
      </c>
    </row>
    <row r="74" spans="2:19" ht="15.75" customHeight="1">
      <c r="B74" s="70"/>
      <c r="C74" s="1044" t="s">
        <v>99</v>
      </c>
      <c r="D74" s="940"/>
      <c r="E74" s="940"/>
      <c r="F74" s="940"/>
      <c r="G74" s="941"/>
      <c r="H74" s="123"/>
      <c r="I74" s="112">
        <f>I73/8</f>
        <v>90343.909772187515</v>
      </c>
      <c r="J74" s="124"/>
      <c r="K74" s="112">
        <f>K73/8</f>
        <v>67363.99561260418</v>
      </c>
      <c r="L74" s="125"/>
      <c r="M74" s="112">
        <f>+M73/8</f>
        <v>79552.604634479168</v>
      </c>
      <c r="N74" s="125"/>
      <c r="O74" s="112">
        <f>O73/8</f>
        <v>79552.604634479183</v>
      </c>
      <c r="P74" s="125"/>
      <c r="Q74" s="112">
        <f>Q73/8</f>
        <v>105663.85254524306</v>
      </c>
      <c r="R74" s="125"/>
      <c r="S74" s="118">
        <f>S73/8</f>
        <v>30282.999582152781</v>
      </c>
    </row>
    <row r="75" spans="2:19" ht="15.75" customHeight="1">
      <c r="B75" s="70"/>
      <c r="C75" s="55"/>
      <c r="D75" s="55"/>
      <c r="E75" s="55"/>
      <c r="F75" s="55"/>
      <c r="G75" s="55"/>
      <c r="H75" s="55"/>
      <c r="I75" s="127"/>
      <c r="J75" s="55"/>
      <c r="K75" s="55"/>
      <c r="L75" s="55"/>
      <c r="M75" s="55"/>
      <c r="N75" s="55"/>
      <c r="O75" s="55"/>
      <c r="P75" s="55"/>
      <c r="Q75" s="55"/>
      <c r="R75" s="55"/>
      <c r="S75" s="61"/>
    </row>
    <row r="76" spans="2:19" ht="15.75" customHeight="1">
      <c r="B76" s="70"/>
      <c r="C76" s="1043" t="s">
        <v>75</v>
      </c>
      <c r="D76" s="945"/>
      <c r="E76" s="945"/>
      <c r="F76" s="945"/>
      <c r="G76" s="946"/>
      <c r="H76" s="1046" t="s">
        <v>116</v>
      </c>
      <c r="I76" s="941"/>
      <c r="J76" s="1046" t="s">
        <v>117</v>
      </c>
      <c r="K76" s="941"/>
      <c r="L76" s="1046" t="s">
        <v>118</v>
      </c>
      <c r="M76" s="941"/>
      <c r="N76" s="1046"/>
      <c r="O76" s="941"/>
      <c r="P76" s="1046"/>
      <c r="Q76" s="941"/>
      <c r="R76" s="1046"/>
      <c r="S76" s="973"/>
    </row>
    <row r="77" spans="2:19" ht="15.75" customHeight="1">
      <c r="B77" s="70"/>
      <c r="C77" s="947"/>
      <c r="D77" s="922"/>
      <c r="E77" s="922"/>
      <c r="F77" s="922"/>
      <c r="G77" s="932"/>
      <c r="H77" s="1046" t="s">
        <v>119</v>
      </c>
      <c r="I77" s="941"/>
      <c r="J77" s="1064"/>
      <c r="K77" s="941"/>
      <c r="L77" s="1046"/>
      <c r="M77" s="941"/>
      <c r="N77" s="1046"/>
      <c r="O77" s="941"/>
      <c r="P77" s="1046"/>
      <c r="Q77" s="941"/>
      <c r="R77" s="1046"/>
      <c r="S77" s="973"/>
    </row>
    <row r="78" spans="2:19" ht="15.75" customHeight="1">
      <c r="B78" s="70"/>
      <c r="C78" s="948"/>
      <c r="D78" s="949"/>
      <c r="E78" s="949"/>
      <c r="F78" s="949"/>
      <c r="G78" s="950"/>
      <c r="H78" s="9" t="s">
        <v>87</v>
      </c>
      <c r="I78" s="9" t="s">
        <v>88</v>
      </c>
      <c r="J78" s="9" t="s">
        <v>87</v>
      </c>
      <c r="K78" s="9" t="s">
        <v>88</v>
      </c>
      <c r="L78" s="9" t="s">
        <v>87</v>
      </c>
      <c r="M78" s="9" t="s">
        <v>88</v>
      </c>
      <c r="N78" s="9" t="s">
        <v>87</v>
      </c>
      <c r="O78" s="9" t="s">
        <v>88</v>
      </c>
      <c r="P78" s="9" t="s">
        <v>87</v>
      </c>
      <c r="Q78" s="9" t="s">
        <v>88</v>
      </c>
      <c r="R78" s="9" t="s">
        <v>87</v>
      </c>
      <c r="S78" s="10" t="s">
        <v>88</v>
      </c>
    </row>
    <row r="79" spans="2:19" ht="15.75" customHeight="1">
      <c r="B79" s="70"/>
      <c r="C79" s="1044" t="s">
        <v>89</v>
      </c>
      <c r="D79" s="940"/>
      <c r="E79" s="940"/>
      <c r="F79" s="940"/>
      <c r="G79" s="941"/>
      <c r="H79" s="103">
        <v>6</v>
      </c>
      <c r="I79" s="106">
        <f>+H79*$S$21</f>
        <v>435018.10000000009</v>
      </c>
      <c r="J79" s="128"/>
      <c r="K79" s="106"/>
      <c r="L79" s="128"/>
      <c r="M79" s="106"/>
      <c r="N79" s="128"/>
      <c r="O79" s="106"/>
      <c r="P79" s="128"/>
      <c r="Q79" s="106"/>
      <c r="R79" s="128"/>
      <c r="S79" s="110"/>
    </row>
    <row r="80" spans="2:19" ht="15.75" customHeight="1">
      <c r="B80" s="70"/>
      <c r="C80" s="1044" t="s">
        <v>90</v>
      </c>
      <c r="D80" s="940"/>
      <c r="E80" s="940"/>
      <c r="F80" s="940"/>
      <c r="G80" s="941"/>
      <c r="H80" s="103">
        <v>0</v>
      </c>
      <c r="I80" s="106">
        <f>+H80*$M$21</f>
        <v>0</v>
      </c>
      <c r="J80" s="128"/>
      <c r="K80" s="106"/>
      <c r="L80" s="128"/>
      <c r="M80" s="106"/>
      <c r="N80" s="128"/>
      <c r="O80" s="106"/>
      <c r="P80" s="128"/>
      <c r="Q80" s="106"/>
      <c r="R80" s="128"/>
      <c r="S80" s="110"/>
    </row>
    <row r="81" spans="1:26" ht="15.75" customHeight="1">
      <c r="B81" s="37"/>
      <c r="C81" s="1044" t="s">
        <v>112</v>
      </c>
      <c r="D81" s="940"/>
      <c r="E81" s="940"/>
      <c r="F81" s="940"/>
      <c r="G81" s="941"/>
      <c r="H81" s="103">
        <v>0</v>
      </c>
      <c r="I81" s="106">
        <v>0</v>
      </c>
      <c r="J81" s="128"/>
      <c r="K81" s="106"/>
      <c r="L81" s="128"/>
      <c r="M81" s="106"/>
      <c r="N81" s="128"/>
      <c r="O81" s="106"/>
      <c r="P81" s="128"/>
      <c r="Q81" s="106"/>
      <c r="R81" s="128"/>
      <c r="S81" s="110"/>
    </row>
    <row r="82" spans="1:26" ht="15.75" customHeight="1">
      <c r="B82" s="37"/>
      <c r="C82" s="1044" t="s">
        <v>113</v>
      </c>
      <c r="D82" s="940"/>
      <c r="E82" s="940"/>
      <c r="F82" s="940"/>
      <c r="G82" s="941"/>
      <c r="H82" s="103">
        <v>0</v>
      </c>
      <c r="I82" s="106">
        <f>+H82*$G$21*0.6</f>
        <v>0</v>
      </c>
      <c r="J82" s="128"/>
      <c r="K82" s="106"/>
      <c r="L82" s="128"/>
      <c r="M82" s="106"/>
      <c r="N82" s="128"/>
      <c r="O82" s="106"/>
      <c r="P82" s="128"/>
      <c r="Q82" s="106"/>
      <c r="R82" s="128"/>
      <c r="S82" s="110"/>
    </row>
    <row r="83" spans="1:26" ht="15.75" customHeight="1">
      <c r="B83" s="37"/>
      <c r="C83" s="1044" t="s">
        <v>114</v>
      </c>
      <c r="D83" s="940"/>
      <c r="E83" s="940"/>
      <c r="F83" s="940"/>
      <c r="G83" s="941"/>
      <c r="H83" s="103">
        <v>0</v>
      </c>
      <c r="I83" s="106">
        <v>0</v>
      </c>
      <c r="J83" s="128"/>
      <c r="K83" s="106"/>
      <c r="L83" s="128"/>
      <c r="M83" s="106"/>
      <c r="N83" s="128"/>
      <c r="O83" s="106"/>
      <c r="P83" s="128"/>
      <c r="Q83" s="106"/>
      <c r="R83" s="128"/>
      <c r="S83" s="110"/>
    </row>
    <row r="84" spans="1:26" ht="15.75" customHeight="1">
      <c r="B84" s="37"/>
      <c r="C84" s="1044" t="s">
        <v>115</v>
      </c>
      <c r="D84" s="940"/>
      <c r="E84" s="940"/>
      <c r="F84" s="940"/>
      <c r="G84" s="941"/>
      <c r="H84" s="103">
        <v>0</v>
      </c>
      <c r="I84" s="106">
        <v>0</v>
      </c>
      <c r="J84" s="128"/>
      <c r="K84" s="106"/>
      <c r="L84" s="128"/>
      <c r="M84" s="106"/>
      <c r="N84" s="128"/>
      <c r="O84" s="106"/>
      <c r="P84" s="128"/>
      <c r="Q84" s="106"/>
      <c r="R84" s="128"/>
      <c r="S84" s="110"/>
    </row>
    <row r="85" spans="1:26" ht="15.75" customHeight="1">
      <c r="B85" s="37"/>
      <c r="C85" s="1054" t="s">
        <v>94</v>
      </c>
      <c r="D85" s="940"/>
      <c r="E85" s="940"/>
      <c r="F85" s="940"/>
      <c r="G85" s="941"/>
      <c r="H85" s="129"/>
      <c r="I85" s="112">
        <f>SUM(I79:I84)</f>
        <v>435018.10000000009</v>
      </c>
      <c r="J85" s="113"/>
      <c r="K85" s="114"/>
      <c r="L85" s="115"/>
      <c r="M85" s="112"/>
      <c r="N85" s="115"/>
      <c r="O85" s="112"/>
      <c r="P85" s="115"/>
      <c r="Q85" s="112"/>
      <c r="R85" s="115"/>
      <c r="S85" s="118"/>
    </row>
    <row r="86" spans="1:26" ht="15.75" customHeight="1">
      <c r="B86" s="37"/>
      <c r="C86" s="1044" t="s">
        <v>95</v>
      </c>
      <c r="D86" s="940"/>
      <c r="E86" s="940"/>
      <c r="F86" s="940"/>
      <c r="G86" s="941"/>
      <c r="H86" s="119">
        <f>+$E$31</f>
        <v>0.21829999999999999</v>
      </c>
      <c r="I86" s="106">
        <f>+I85*H86</f>
        <v>94964.451230000021</v>
      </c>
      <c r="J86" s="119"/>
      <c r="K86" s="106"/>
      <c r="L86" s="119"/>
      <c r="M86" s="106"/>
      <c r="N86" s="119"/>
      <c r="O86" s="106"/>
      <c r="P86" s="119"/>
      <c r="Q86" s="106"/>
      <c r="R86" s="119"/>
      <c r="S86" s="110"/>
    </row>
    <row r="87" spans="1:26" ht="15.75" customHeight="1">
      <c r="B87" s="37"/>
      <c r="C87" s="1044" t="s">
        <v>53</v>
      </c>
      <c r="D87" s="940"/>
      <c r="E87" s="940"/>
      <c r="F87" s="940"/>
      <c r="G87" s="941"/>
      <c r="H87" s="119">
        <f>+$I$31</f>
        <v>0.36460000000000004</v>
      </c>
      <c r="I87" s="106">
        <f>+H87*I85</f>
        <v>158607.59926000005</v>
      </c>
      <c r="J87" s="119"/>
      <c r="K87" s="106"/>
      <c r="L87" s="119"/>
      <c r="M87" s="106"/>
      <c r="N87" s="119"/>
      <c r="O87" s="106"/>
      <c r="P87" s="119"/>
      <c r="Q87" s="106"/>
      <c r="R87" s="119"/>
      <c r="S87" s="110"/>
    </row>
    <row r="88" spans="1:26" ht="15.75" customHeight="1">
      <c r="B88" s="37"/>
      <c r="C88" s="1044" t="s">
        <v>54</v>
      </c>
      <c r="D88" s="940"/>
      <c r="E88" s="940"/>
      <c r="F88" s="940"/>
      <c r="G88" s="941"/>
      <c r="H88" s="119">
        <f>+$M$31</f>
        <v>8.4400000000000003E-2</v>
      </c>
      <c r="I88" s="106">
        <f>+H88*I85</f>
        <v>36715.527640000008</v>
      </c>
      <c r="J88" s="119"/>
      <c r="K88" s="106"/>
      <c r="L88" s="119"/>
      <c r="M88" s="106"/>
      <c r="N88" s="119"/>
      <c r="O88" s="106"/>
      <c r="P88" s="119"/>
      <c r="Q88" s="106"/>
      <c r="R88" s="119"/>
      <c r="S88" s="110"/>
    </row>
    <row r="89" spans="1:26" ht="15.75" customHeight="1">
      <c r="B89" s="37"/>
      <c r="C89" s="1044" t="s">
        <v>96</v>
      </c>
      <c r="D89" s="940"/>
      <c r="E89" s="940"/>
      <c r="F89" s="940"/>
      <c r="G89" s="941"/>
      <c r="H89" s="119">
        <f>+$F$37</f>
        <v>3.4166666666666668E-3</v>
      </c>
      <c r="I89" s="106">
        <f>+H89*I85</f>
        <v>1486.3118416666671</v>
      </c>
      <c r="J89" s="119"/>
      <c r="K89" s="106"/>
      <c r="L89" s="119"/>
      <c r="M89" s="106"/>
      <c r="N89" s="119"/>
      <c r="O89" s="106"/>
      <c r="P89" s="119"/>
      <c r="Q89" s="106"/>
      <c r="R89" s="119"/>
      <c r="S89" s="110"/>
    </row>
    <row r="90" spans="1:26" ht="15.75" customHeight="1">
      <c r="B90" s="37"/>
      <c r="C90" s="1044" t="s">
        <v>97</v>
      </c>
      <c r="D90" s="940"/>
      <c r="E90" s="940"/>
      <c r="F90" s="940"/>
      <c r="G90" s="941"/>
      <c r="H90" s="119">
        <v>0</v>
      </c>
      <c r="I90" s="106">
        <f>+H90*I85</f>
        <v>0</v>
      </c>
      <c r="J90" s="119"/>
      <c r="K90" s="120"/>
      <c r="L90" s="119"/>
      <c r="M90" s="120"/>
      <c r="N90" s="119"/>
      <c r="O90" s="120"/>
      <c r="P90" s="119"/>
      <c r="Q90" s="120"/>
      <c r="R90" s="119"/>
      <c r="S90" s="122"/>
    </row>
    <row r="91" spans="1:26" ht="15.75" customHeight="1">
      <c r="B91" s="37"/>
      <c r="C91" s="1044" t="s">
        <v>98</v>
      </c>
      <c r="D91" s="940"/>
      <c r="E91" s="940"/>
      <c r="F91" s="940"/>
      <c r="G91" s="941"/>
      <c r="H91" s="123"/>
      <c r="I91" s="112">
        <f>SUM(I85:I90)</f>
        <v>726791.98997166683</v>
      </c>
      <c r="J91" s="124"/>
      <c r="K91" s="112"/>
      <c r="L91" s="125"/>
      <c r="M91" s="112"/>
      <c r="N91" s="125"/>
      <c r="O91" s="112"/>
      <c r="P91" s="125"/>
      <c r="Q91" s="112"/>
      <c r="R91" s="125"/>
      <c r="S91" s="118"/>
    </row>
    <row r="92" spans="1:26" ht="15.75" customHeight="1">
      <c r="B92" s="37"/>
      <c r="C92" s="1044" t="s">
        <v>99</v>
      </c>
      <c r="D92" s="940"/>
      <c r="E92" s="940"/>
      <c r="F92" s="940"/>
      <c r="G92" s="941"/>
      <c r="H92" s="123"/>
      <c r="I92" s="112">
        <f>I91/8</f>
        <v>90848.998746458354</v>
      </c>
      <c r="J92" s="124"/>
      <c r="K92" s="112"/>
      <c r="L92" s="125"/>
      <c r="M92" s="112"/>
      <c r="N92" s="125"/>
      <c r="O92" s="112"/>
      <c r="P92" s="125"/>
      <c r="Q92" s="112"/>
      <c r="R92" s="125"/>
      <c r="S92" s="118"/>
    </row>
    <row r="93" spans="1:26" ht="15.75" customHeight="1">
      <c r="B93" s="37"/>
      <c r="C93" s="55"/>
      <c r="D93" s="55"/>
      <c r="E93" s="55"/>
      <c r="F93" s="55"/>
      <c r="G93" s="55"/>
      <c r="H93" s="55"/>
      <c r="I93" s="127"/>
      <c r="J93" s="55"/>
      <c r="K93" s="55"/>
      <c r="L93" s="55"/>
      <c r="M93" s="55"/>
      <c r="N93" s="55"/>
      <c r="O93" s="55"/>
      <c r="P93" s="55"/>
      <c r="Q93" s="55"/>
      <c r="R93" s="55"/>
      <c r="S93" s="61"/>
    </row>
    <row r="94" spans="1:26" ht="15.75" customHeight="1">
      <c r="B94" s="37"/>
      <c r="C94" s="55"/>
      <c r="D94" s="55"/>
      <c r="E94" s="55"/>
      <c r="F94" s="55"/>
      <c r="G94" s="55"/>
      <c r="H94" s="55"/>
      <c r="I94" s="127"/>
      <c r="J94" s="55"/>
      <c r="K94" s="55"/>
      <c r="L94" s="55"/>
      <c r="M94" s="55"/>
      <c r="N94" s="55"/>
      <c r="O94" s="55"/>
      <c r="P94" s="55"/>
      <c r="Q94" s="55"/>
      <c r="R94" s="55"/>
      <c r="S94" s="61"/>
    </row>
    <row r="95" spans="1:26" ht="25.5" customHeight="1">
      <c r="A95" s="44"/>
      <c r="B95" s="130" t="s">
        <v>120</v>
      </c>
      <c r="C95" s="131" t="s">
        <v>121</v>
      </c>
      <c r="D95" s="131"/>
      <c r="E95" s="131"/>
      <c r="F95" s="131"/>
      <c r="G95" s="131"/>
      <c r="H95" s="132"/>
      <c r="I95" s="132"/>
      <c r="J95" s="132"/>
      <c r="K95" s="132"/>
      <c r="L95" s="132"/>
      <c r="M95" s="132"/>
      <c r="N95" s="132"/>
      <c r="O95" s="132"/>
      <c r="P95" s="132"/>
      <c r="Q95" s="132"/>
      <c r="R95" s="132"/>
      <c r="S95" s="133"/>
      <c r="T95" s="44"/>
      <c r="U95" s="44"/>
      <c r="V95" s="44"/>
      <c r="W95" s="44"/>
      <c r="X95" s="44"/>
      <c r="Y95" s="44"/>
      <c r="Z95" s="44"/>
    </row>
    <row r="96" spans="1:26" ht="15.75" customHeight="1">
      <c r="B96" s="37">
        <v>1</v>
      </c>
      <c r="C96" s="55">
        <v>2</v>
      </c>
      <c r="D96" s="55"/>
      <c r="E96" s="55"/>
      <c r="F96" s="55"/>
      <c r="G96" s="55"/>
      <c r="H96" s="55">
        <v>3</v>
      </c>
      <c r="I96" s="55">
        <v>4</v>
      </c>
      <c r="J96" s="55">
        <v>5</v>
      </c>
      <c r="K96" s="55">
        <v>6</v>
      </c>
      <c r="L96" s="55">
        <v>7</v>
      </c>
      <c r="M96" s="55">
        <v>8</v>
      </c>
      <c r="N96" s="55"/>
      <c r="O96" s="55"/>
      <c r="P96" s="55"/>
      <c r="Q96" s="55"/>
      <c r="R96" s="55"/>
      <c r="S96" s="61"/>
    </row>
    <row r="97" spans="2:19" ht="33.75" customHeight="1">
      <c r="B97" s="134" t="s">
        <v>122</v>
      </c>
      <c r="C97" s="1058" t="s">
        <v>17</v>
      </c>
      <c r="D97" s="940"/>
      <c r="E97" s="940"/>
      <c r="F97" s="940"/>
      <c r="G97" s="941"/>
      <c r="H97" s="135" t="s">
        <v>123</v>
      </c>
      <c r="I97" s="135" t="s">
        <v>124</v>
      </c>
      <c r="J97" s="9" t="s">
        <v>125</v>
      </c>
      <c r="K97" s="136" t="s">
        <v>126</v>
      </c>
      <c r="L97" s="135" t="s">
        <v>127</v>
      </c>
      <c r="M97" s="135" t="s">
        <v>128</v>
      </c>
      <c r="S97" s="71"/>
    </row>
    <row r="98" spans="2:19" ht="15.75" customHeight="1">
      <c r="B98" s="137" t="s">
        <v>129</v>
      </c>
      <c r="C98" s="138" t="s">
        <v>130</v>
      </c>
      <c r="D98" s="139"/>
      <c r="E98" s="139"/>
      <c r="F98" s="139"/>
      <c r="G98" s="140"/>
      <c r="H98" s="141" t="s">
        <v>131</v>
      </c>
      <c r="I98" s="141">
        <f t="shared" ref="I98:I101" si="5">+$S$21</f>
        <v>72503.016666666677</v>
      </c>
      <c r="J98" s="142">
        <v>1</v>
      </c>
      <c r="K98" s="143">
        <f t="shared" ref="K98:K120" si="6">+$Q$26+$F$37</f>
        <v>0.67071666666666663</v>
      </c>
      <c r="L98" s="144">
        <f t="shared" ref="L98:L120" si="7">+ROUND(I98*J98*(1+K98),0)</f>
        <v>121132</v>
      </c>
      <c r="M98" s="144">
        <f t="shared" ref="M98:M120" si="8">+L98/8</f>
        <v>15141.5</v>
      </c>
      <c r="S98" s="71"/>
    </row>
    <row r="99" spans="2:19" ht="15.75" customHeight="1">
      <c r="B99" s="137" t="s">
        <v>132</v>
      </c>
      <c r="C99" s="138" t="s">
        <v>133</v>
      </c>
      <c r="D99" s="139"/>
      <c r="E99" s="139"/>
      <c r="F99" s="139"/>
      <c r="G99" s="140"/>
      <c r="H99" s="141" t="s">
        <v>131</v>
      </c>
      <c r="I99" s="141">
        <f t="shared" si="5"/>
        <v>72503.016666666677</v>
      </c>
      <c r="J99" s="142">
        <v>1</v>
      </c>
      <c r="K99" s="143">
        <f t="shared" si="6"/>
        <v>0.67071666666666663</v>
      </c>
      <c r="L99" s="144">
        <f t="shared" si="7"/>
        <v>121132</v>
      </c>
      <c r="M99" s="144">
        <f t="shared" si="8"/>
        <v>15141.5</v>
      </c>
      <c r="S99" s="71"/>
    </row>
    <row r="100" spans="2:19" ht="15.75" customHeight="1">
      <c r="B100" s="137" t="s">
        <v>134</v>
      </c>
      <c r="C100" s="138" t="s">
        <v>135</v>
      </c>
      <c r="D100" s="139"/>
      <c r="E100" s="139"/>
      <c r="F100" s="139"/>
      <c r="G100" s="140"/>
      <c r="H100" s="141" t="s">
        <v>131</v>
      </c>
      <c r="I100" s="141">
        <f t="shared" si="5"/>
        <v>72503.016666666677</v>
      </c>
      <c r="J100" s="142">
        <v>1</v>
      </c>
      <c r="K100" s="143">
        <f t="shared" si="6"/>
        <v>0.67071666666666663</v>
      </c>
      <c r="L100" s="144">
        <f t="shared" si="7"/>
        <v>121132</v>
      </c>
      <c r="M100" s="144">
        <f t="shared" si="8"/>
        <v>15141.5</v>
      </c>
      <c r="S100" s="71"/>
    </row>
    <row r="101" spans="2:19" ht="15.75" customHeight="1">
      <c r="B101" s="137" t="s">
        <v>136</v>
      </c>
      <c r="C101" s="138" t="s">
        <v>137</v>
      </c>
      <c r="D101" s="139"/>
      <c r="E101" s="139"/>
      <c r="F101" s="139"/>
      <c r="G101" s="140"/>
      <c r="H101" s="141" t="s">
        <v>131</v>
      </c>
      <c r="I101" s="141">
        <f t="shared" si="5"/>
        <v>72503.016666666677</v>
      </c>
      <c r="J101" s="142">
        <v>1</v>
      </c>
      <c r="K101" s="143">
        <f t="shared" si="6"/>
        <v>0.67071666666666663</v>
      </c>
      <c r="L101" s="144">
        <f t="shared" si="7"/>
        <v>121132</v>
      </c>
      <c r="M101" s="144">
        <f t="shared" si="8"/>
        <v>15141.5</v>
      </c>
      <c r="S101" s="71"/>
    </row>
    <row r="102" spans="2:19" ht="15.75" customHeight="1">
      <c r="B102" s="137" t="s">
        <v>138</v>
      </c>
      <c r="C102" s="138" t="s">
        <v>139</v>
      </c>
      <c r="D102" s="139"/>
      <c r="E102" s="139"/>
      <c r="F102" s="139"/>
      <c r="G102" s="140"/>
      <c r="H102" s="141" t="s">
        <v>131</v>
      </c>
      <c r="I102" s="141">
        <f t="shared" ref="I102:I105" si="9">+$M$21</f>
        <v>125030.16666666667</v>
      </c>
      <c r="J102" s="142">
        <v>1</v>
      </c>
      <c r="K102" s="143">
        <f t="shared" si="6"/>
        <v>0.67071666666666663</v>
      </c>
      <c r="L102" s="144">
        <f t="shared" si="7"/>
        <v>208890</v>
      </c>
      <c r="M102" s="144">
        <f t="shared" si="8"/>
        <v>26111.25</v>
      </c>
      <c r="S102" s="71"/>
    </row>
    <row r="103" spans="2:19" ht="15.75" customHeight="1">
      <c r="B103" s="137" t="s">
        <v>140</v>
      </c>
      <c r="C103" s="138" t="s">
        <v>141</v>
      </c>
      <c r="D103" s="139"/>
      <c r="E103" s="139"/>
      <c r="F103" s="139"/>
      <c r="G103" s="140"/>
      <c r="H103" s="141" t="s">
        <v>131</v>
      </c>
      <c r="I103" s="141">
        <f t="shared" si="9"/>
        <v>125030.16666666667</v>
      </c>
      <c r="J103" s="142">
        <v>1</v>
      </c>
      <c r="K103" s="143">
        <f t="shared" si="6"/>
        <v>0.67071666666666663</v>
      </c>
      <c r="L103" s="144">
        <f t="shared" si="7"/>
        <v>208890</v>
      </c>
      <c r="M103" s="144">
        <f t="shared" si="8"/>
        <v>26111.25</v>
      </c>
      <c r="S103" s="71"/>
    </row>
    <row r="104" spans="2:19" ht="15.75" customHeight="1">
      <c r="B104" s="137" t="s">
        <v>142</v>
      </c>
      <c r="C104" s="138" t="s">
        <v>143</v>
      </c>
      <c r="D104" s="139"/>
      <c r="E104" s="139"/>
      <c r="F104" s="139"/>
      <c r="G104" s="140"/>
      <c r="H104" s="141" t="s">
        <v>131</v>
      </c>
      <c r="I104" s="141">
        <f t="shared" si="9"/>
        <v>125030.16666666667</v>
      </c>
      <c r="J104" s="142">
        <v>1</v>
      </c>
      <c r="K104" s="143">
        <f t="shared" si="6"/>
        <v>0.67071666666666663</v>
      </c>
      <c r="L104" s="144">
        <f t="shared" si="7"/>
        <v>208890</v>
      </c>
      <c r="M104" s="144">
        <f t="shared" si="8"/>
        <v>26111.25</v>
      </c>
      <c r="S104" s="71"/>
    </row>
    <row r="105" spans="2:19" ht="15.75" customHeight="1">
      <c r="B105" s="137" t="s">
        <v>144</v>
      </c>
      <c r="C105" s="138" t="s">
        <v>145</v>
      </c>
      <c r="D105" s="139"/>
      <c r="E105" s="139"/>
      <c r="F105" s="139"/>
      <c r="G105" s="140"/>
      <c r="H105" s="141" t="s">
        <v>131</v>
      </c>
      <c r="I105" s="141">
        <f t="shared" si="9"/>
        <v>125030.16666666667</v>
      </c>
      <c r="J105" s="142">
        <v>1</v>
      </c>
      <c r="K105" s="143">
        <f t="shared" si="6"/>
        <v>0.67071666666666663</v>
      </c>
      <c r="L105" s="144">
        <f t="shared" si="7"/>
        <v>208890</v>
      </c>
      <c r="M105" s="144">
        <f t="shared" si="8"/>
        <v>26111.25</v>
      </c>
      <c r="S105" s="71"/>
    </row>
    <row r="106" spans="2:19" ht="15.75" customHeight="1">
      <c r="B106" s="137" t="s">
        <v>146</v>
      </c>
      <c r="C106" s="138" t="s">
        <v>147</v>
      </c>
      <c r="D106" s="139"/>
      <c r="E106" s="139"/>
      <c r="F106" s="139"/>
      <c r="G106" s="140"/>
      <c r="H106" s="141" t="s">
        <v>131</v>
      </c>
      <c r="I106" s="141">
        <f t="shared" ref="I106:I109" si="10">+$G$21</f>
        <v>183393.66666666666</v>
      </c>
      <c r="J106" s="142">
        <v>1</v>
      </c>
      <c r="K106" s="143">
        <f t="shared" si="6"/>
        <v>0.67071666666666663</v>
      </c>
      <c r="L106" s="144">
        <f t="shared" si="7"/>
        <v>306399</v>
      </c>
      <c r="M106" s="144">
        <f t="shared" si="8"/>
        <v>38299.875</v>
      </c>
      <c r="S106" s="71"/>
    </row>
    <row r="107" spans="2:19" ht="15.75" customHeight="1">
      <c r="B107" s="137" t="s">
        <v>148</v>
      </c>
      <c r="C107" s="138" t="s">
        <v>149</v>
      </c>
      <c r="D107" s="139"/>
      <c r="E107" s="139"/>
      <c r="F107" s="139"/>
      <c r="G107" s="140"/>
      <c r="H107" s="141" t="s">
        <v>131</v>
      </c>
      <c r="I107" s="141">
        <f t="shared" si="10"/>
        <v>183393.66666666666</v>
      </c>
      <c r="J107" s="142">
        <v>1</v>
      </c>
      <c r="K107" s="143">
        <f t="shared" si="6"/>
        <v>0.67071666666666663</v>
      </c>
      <c r="L107" s="144">
        <f t="shared" si="7"/>
        <v>306399</v>
      </c>
      <c r="M107" s="144">
        <f t="shared" si="8"/>
        <v>38299.875</v>
      </c>
      <c r="S107" s="71"/>
    </row>
    <row r="108" spans="2:19" ht="15.75" customHeight="1">
      <c r="B108" s="137" t="s">
        <v>150</v>
      </c>
      <c r="C108" s="138" t="s">
        <v>2532</v>
      </c>
      <c r="D108" s="139"/>
      <c r="E108" s="139"/>
      <c r="F108" s="139"/>
      <c r="G108" s="140"/>
      <c r="H108" s="141" t="s">
        <v>131</v>
      </c>
      <c r="I108" s="141">
        <f t="shared" si="10"/>
        <v>183393.66666666666</v>
      </c>
      <c r="J108" s="142">
        <v>0.3</v>
      </c>
      <c r="K108" s="143">
        <f t="shared" si="6"/>
        <v>0.67071666666666663</v>
      </c>
      <c r="L108" s="144">
        <f t="shared" si="7"/>
        <v>91920</v>
      </c>
      <c r="M108" s="144">
        <f t="shared" si="8"/>
        <v>11490</v>
      </c>
      <c r="S108" s="71"/>
    </row>
    <row r="109" spans="2:19" ht="15.75" customHeight="1">
      <c r="B109" s="137" t="s">
        <v>151</v>
      </c>
      <c r="C109" s="138" t="s">
        <v>152</v>
      </c>
      <c r="D109" s="139"/>
      <c r="E109" s="139"/>
      <c r="F109" s="139"/>
      <c r="G109" s="140"/>
      <c r="H109" s="141" t="s">
        <v>131</v>
      </c>
      <c r="I109" s="141">
        <f t="shared" si="10"/>
        <v>183393.66666666666</v>
      </c>
      <c r="J109" s="142">
        <v>1</v>
      </c>
      <c r="K109" s="143">
        <f t="shared" si="6"/>
        <v>0.67071666666666663</v>
      </c>
      <c r="L109" s="144">
        <f t="shared" si="7"/>
        <v>306399</v>
      </c>
      <c r="M109" s="144">
        <f t="shared" si="8"/>
        <v>38299.875</v>
      </c>
      <c r="S109" s="71"/>
    </row>
    <row r="110" spans="2:19" ht="15.75" customHeight="1">
      <c r="B110" s="137" t="s">
        <v>153</v>
      </c>
      <c r="C110" s="138" t="s">
        <v>154</v>
      </c>
      <c r="D110" s="139"/>
      <c r="E110" s="139"/>
      <c r="F110" s="139"/>
      <c r="G110" s="140"/>
      <c r="H110" s="141" t="s">
        <v>131</v>
      </c>
      <c r="I110" s="141">
        <f t="shared" ref="I110:I111" si="11">+$M$21</f>
        <v>125030.16666666667</v>
      </c>
      <c r="J110" s="142">
        <v>1</v>
      </c>
      <c r="K110" s="143">
        <f t="shared" si="6"/>
        <v>0.67071666666666663</v>
      </c>
      <c r="L110" s="144">
        <f t="shared" si="7"/>
        <v>208890</v>
      </c>
      <c r="M110" s="144">
        <f t="shared" si="8"/>
        <v>26111.25</v>
      </c>
      <c r="S110" s="71"/>
    </row>
    <row r="111" spans="2:19" ht="15.75" customHeight="1">
      <c r="B111" s="137" t="s">
        <v>155</v>
      </c>
      <c r="C111" s="138" t="s">
        <v>156</v>
      </c>
      <c r="D111" s="139"/>
      <c r="E111" s="139"/>
      <c r="F111" s="139"/>
      <c r="G111" s="140"/>
      <c r="H111" s="141" t="s">
        <v>131</v>
      </c>
      <c r="I111" s="141">
        <f t="shared" si="11"/>
        <v>125030.16666666667</v>
      </c>
      <c r="J111" s="142">
        <v>1</v>
      </c>
      <c r="K111" s="143">
        <f t="shared" si="6"/>
        <v>0.67071666666666663</v>
      </c>
      <c r="L111" s="144">
        <f t="shared" si="7"/>
        <v>208890</v>
      </c>
      <c r="M111" s="144">
        <f t="shared" si="8"/>
        <v>26111.25</v>
      </c>
      <c r="S111" s="71"/>
    </row>
    <row r="112" spans="2:19" ht="15.75" customHeight="1">
      <c r="B112" s="137" t="s">
        <v>157</v>
      </c>
      <c r="C112" s="138" t="s">
        <v>158</v>
      </c>
      <c r="D112" s="139"/>
      <c r="E112" s="139"/>
      <c r="F112" s="139"/>
      <c r="G112" s="140"/>
      <c r="H112" s="141" t="s">
        <v>131</v>
      </c>
      <c r="I112" s="141">
        <f>+$G$21*2</f>
        <v>366787.33333333331</v>
      </c>
      <c r="J112" s="142">
        <v>0.6</v>
      </c>
      <c r="K112" s="143">
        <f t="shared" si="6"/>
        <v>0.67071666666666663</v>
      </c>
      <c r="L112" s="144">
        <f t="shared" si="7"/>
        <v>367679</v>
      </c>
      <c r="M112" s="144">
        <f t="shared" si="8"/>
        <v>45959.875</v>
      </c>
      <c r="S112" s="71"/>
    </row>
    <row r="113" spans="2:19" ht="15.75" customHeight="1">
      <c r="B113" s="137" t="s">
        <v>159</v>
      </c>
      <c r="C113" s="138" t="s">
        <v>160</v>
      </c>
      <c r="D113" s="139"/>
      <c r="E113" s="139"/>
      <c r="F113" s="139"/>
      <c r="G113" s="140"/>
      <c r="H113" s="141" t="s">
        <v>131</v>
      </c>
      <c r="I113" s="141">
        <f>I102</f>
        <v>125030.16666666667</v>
      </c>
      <c r="J113" s="142">
        <v>1</v>
      </c>
      <c r="K113" s="143">
        <f t="shared" si="6"/>
        <v>0.67071666666666663</v>
      </c>
      <c r="L113" s="144">
        <f t="shared" si="7"/>
        <v>208890</v>
      </c>
      <c r="M113" s="144">
        <f t="shared" si="8"/>
        <v>26111.25</v>
      </c>
      <c r="N113" s="55"/>
      <c r="O113" s="55"/>
      <c r="P113" s="55"/>
      <c r="Q113" s="55"/>
      <c r="R113" s="55"/>
      <c r="S113" s="61"/>
    </row>
    <row r="114" spans="2:19" ht="15.75" customHeight="1">
      <c r="B114" s="137" t="s">
        <v>161</v>
      </c>
      <c r="C114" s="138" t="s">
        <v>162</v>
      </c>
      <c r="D114" s="139"/>
      <c r="E114" s="139"/>
      <c r="F114" s="139"/>
      <c r="G114" s="140"/>
      <c r="H114" s="141" t="s">
        <v>131</v>
      </c>
      <c r="I114" s="141">
        <f t="shared" ref="I114:I116" si="12">+$S$21</f>
        <v>72503.016666666677</v>
      </c>
      <c r="J114" s="142">
        <v>1</v>
      </c>
      <c r="K114" s="143">
        <f t="shared" si="6"/>
        <v>0.67071666666666663</v>
      </c>
      <c r="L114" s="144">
        <f t="shared" si="7"/>
        <v>121132</v>
      </c>
      <c r="M114" s="144">
        <f t="shared" si="8"/>
        <v>15141.5</v>
      </c>
      <c r="N114" s="55"/>
      <c r="O114" s="55"/>
      <c r="P114" s="55"/>
      <c r="Q114" s="55"/>
      <c r="R114" s="55"/>
      <c r="S114" s="61"/>
    </row>
    <row r="115" spans="2:19" ht="15.75" customHeight="1">
      <c r="B115" s="137" t="s">
        <v>163</v>
      </c>
      <c r="C115" s="138" t="s">
        <v>164</v>
      </c>
      <c r="D115" s="139"/>
      <c r="E115" s="139"/>
      <c r="F115" s="139"/>
      <c r="G115" s="140"/>
      <c r="H115" s="141" t="s">
        <v>131</v>
      </c>
      <c r="I115" s="141">
        <f t="shared" si="12"/>
        <v>72503.016666666677</v>
      </c>
      <c r="J115" s="142">
        <v>1</v>
      </c>
      <c r="K115" s="143">
        <f t="shared" si="6"/>
        <v>0.67071666666666663</v>
      </c>
      <c r="L115" s="144">
        <f t="shared" si="7"/>
        <v>121132</v>
      </c>
      <c r="M115" s="144">
        <f t="shared" si="8"/>
        <v>15141.5</v>
      </c>
      <c r="N115" s="55"/>
      <c r="O115" s="55"/>
      <c r="P115" s="55"/>
      <c r="Q115" s="55"/>
      <c r="R115" s="55"/>
      <c r="S115" s="61"/>
    </row>
    <row r="116" spans="2:19" ht="15.75" customHeight="1">
      <c r="B116" s="137" t="s">
        <v>165</v>
      </c>
      <c r="C116" s="138" t="s">
        <v>166</v>
      </c>
      <c r="D116" s="139"/>
      <c r="E116" s="139"/>
      <c r="F116" s="139"/>
      <c r="G116" s="140"/>
      <c r="H116" s="141" t="s">
        <v>131</v>
      </c>
      <c r="I116" s="141">
        <f t="shared" si="12"/>
        <v>72503.016666666677</v>
      </c>
      <c r="J116" s="142">
        <v>1</v>
      </c>
      <c r="K116" s="143">
        <f t="shared" si="6"/>
        <v>0.67071666666666663</v>
      </c>
      <c r="L116" s="144">
        <f t="shared" si="7"/>
        <v>121132</v>
      </c>
      <c r="M116" s="144">
        <f t="shared" si="8"/>
        <v>15141.5</v>
      </c>
      <c r="N116" s="55"/>
      <c r="O116" s="55"/>
      <c r="P116" s="55"/>
      <c r="Q116" s="55"/>
      <c r="R116" s="55"/>
      <c r="S116" s="61"/>
    </row>
    <row r="117" spans="2:19" ht="15.75" customHeight="1">
      <c r="B117" s="137" t="s">
        <v>167</v>
      </c>
      <c r="C117" s="138" t="s">
        <v>168</v>
      </c>
      <c r="D117" s="139"/>
      <c r="E117" s="139"/>
      <c r="F117" s="139"/>
      <c r="G117" s="140"/>
      <c r="H117" s="141" t="s">
        <v>131</v>
      </c>
      <c r="I117" s="141">
        <f t="shared" ref="I117:I118" si="13">+$G$21*2</f>
        <v>366787.33333333331</v>
      </c>
      <c r="J117" s="142">
        <v>1</v>
      </c>
      <c r="K117" s="143">
        <f t="shared" si="6"/>
        <v>0.67071666666666663</v>
      </c>
      <c r="L117" s="144">
        <f t="shared" si="7"/>
        <v>612798</v>
      </c>
      <c r="M117" s="144">
        <f t="shared" si="8"/>
        <v>76599.75</v>
      </c>
      <c r="N117" s="55"/>
      <c r="O117" s="55"/>
      <c r="P117" s="55"/>
      <c r="Q117" s="55"/>
      <c r="R117" s="55"/>
      <c r="S117" s="61"/>
    </row>
    <row r="118" spans="2:19" ht="15.75" customHeight="1">
      <c r="B118" s="137" t="s">
        <v>169</v>
      </c>
      <c r="C118" s="138" t="s">
        <v>170</v>
      </c>
      <c r="D118" s="139"/>
      <c r="E118" s="139"/>
      <c r="F118" s="139"/>
      <c r="G118" s="140"/>
      <c r="H118" s="141" t="s">
        <v>131</v>
      </c>
      <c r="I118" s="141">
        <f t="shared" si="13"/>
        <v>366787.33333333331</v>
      </c>
      <c r="J118" s="142">
        <v>1</v>
      </c>
      <c r="K118" s="143">
        <f t="shared" si="6"/>
        <v>0.67071666666666663</v>
      </c>
      <c r="L118" s="144">
        <f t="shared" si="7"/>
        <v>612798</v>
      </c>
      <c r="M118" s="144">
        <f t="shared" si="8"/>
        <v>76599.75</v>
      </c>
      <c r="N118" s="55"/>
      <c r="O118" s="145"/>
      <c r="P118" s="55"/>
      <c r="Q118" s="55"/>
      <c r="R118" s="55"/>
      <c r="S118" s="61"/>
    </row>
    <row r="119" spans="2:19" ht="15.75" customHeight="1">
      <c r="B119" s="137" t="s">
        <v>171</v>
      </c>
      <c r="C119" s="138" t="s">
        <v>172</v>
      </c>
      <c r="D119" s="139"/>
      <c r="E119" s="139"/>
      <c r="F119" s="139"/>
      <c r="G119" s="140"/>
      <c r="H119" s="141" t="s">
        <v>131</v>
      </c>
      <c r="I119" s="141">
        <f>+$M$21*2</f>
        <v>250060.33333333334</v>
      </c>
      <c r="J119" s="142">
        <v>1</v>
      </c>
      <c r="K119" s="143">
        <f t="shared" si="6"/>
        <v>0.67071666666666663</v>
      </c>
      <c r="L119" s="144">
        <f t="shared" si="7"/>
        <v>417780</v>
      </c>
      <c r="M119" s="144">
        <f t="shared" si="8"/>
        <v>52222.5</v>
      </c>
      <c r="N119" s="55"/>
      <c r="O119" s="55"/>
      <c r="P119" s="55"/>
      <c r="Q119" s="55"/>
      <c r="R119" s="55"/>
      <c r="S119" s="61"/>
    </row>
    <row r="120" spans="2:19" ht="15.75" customHeight="1">
      <c r="B120" s="137" t="s">
        <v>173</v>
      </c>
      <c r="C120" s="138" t="s">
        <v>174</v>
      </c>
      <c r="D120" s="139"/>
      <c r="E120" s="139"/>
      <c r="F120" s="139"/>
      <c r="G120" s="140"/>
      <c r="H120" s="141" t="s">
        <v>131</v>
      </c>
      <c r="I120" s="141">
        <f>+$M$21</f>
        <v>125030.16666666667</v>
      </c>
      <c r="J120" s="142">
        <v>1</v>
      </c>
      <c r="K120" s="143">
        <f t="shared" si="6"/>
        <v>0.67071666666666663</v>
      </c>
      <c r="L120" s="144">
        <f t="shared" si="7"/>
        <v>208890</v>
      </c>
      <c r="M120" s="144">
        <f t="shared" si="8"/>
        <v>26111.25</v>
      </c>
      <c r="N120" s="55"/>
      <c r="O120" s="55"/>
      <c r="P120" s="55"/>
      <c r="Q120" s="55"/>
      <c r="R120" s="55"/>
      <c r="S120" s="61"/>
    </row>
    <row r="121" spans="2:19" ht="15.75" customHeight="1">
      <c r="B121" s="137"/>
      <c r="C121" s="138"/>
      <c r="D121" s="139"/>
      <c r="E121" s="139"/>
      <c r="F121" s="139"/>
      <c r="G121" s="140"/>
      <c r="H121" s="141"/>
      <c r="I121" s="141"/>
      <c r="J121" s="146"/>
      <c r="K121" s="143"/>
      <c r="L121" s="144"/>
      <c r="M121" s="144"/>
      <c r="N121" s="55"/>
      <c r="O121" s="55"/>
      <c r="P121" s="55"/>
      <c r="Q121" s="55"/>
      <c r="R121" s="55"/>
      <c r="S121" s="61"/>
    </row>
    <row r="122" spans="2:19" ht="15.75" customHeight="1">
      <c r="B122" s="137" t="s">
        <v>175</v>
      </c>
      <c r="C122" s="138" t="s">
        <v>176</v>
      </c>
      <c r="D122" s="139"/>
      <c r="E122" s="139"/>
      <c r="F122" s="139"/>
      <c r="G122" s="140"/>
      <c r="H122" s="141" t="s">
        <v>131</v>
      </c>
      <c r="I122" s="141">
        <f>I112</f>
        <v>366787.33333333331</v>
      </c>
      <c r="J122" s="142">
        <v>0.5</v>
      </c>
      <c r="K122" s="143">
        <f t="shared" ref="K122:K147" si="14">+$Q$26+$F$37</f>
        <v>0.67071666666666663</v>
      </c>
      <c r="L122" s="144">
        <f t="shared" ref="L122:L147" si="15">+ROUND(I122*J122*(1+K122),0)</f>
        <v>306399</v>
      </c>
      <c r="M122" s="144">
        <f t="shared" ref="M122:M147" si="16">+L122/8</f>
        <v>38299.875</v>
      </c>
      <c r="N122" s="55"/>
      <c r="O122" s="55" t="s">
        <v>177</v>
      </c>
      <c r="P122" s="55"/>
      <c r="Q122" s="55"/>
      <c r="R122" s="55"/>
      <c r="S122" s="61">
        <f t="shared" ref="S122:S141" si="17">R122/$S$21</f>
        <v>0</v>
      </c>
    </row>
    <row r="123" spans="2:19" ht="15.75" customHeight="1">
      <c r="B123" s="137" t="s">
        <v>178</v>
      </c>
      <c r="C123" s="138" t="s">
        <v>179</v>
      </c>
      <c r="D123" s="139"/>
      <c r="E123" s="139"/>
      <c r="F123" s="139"/>
      <c r="G123" s="140"/>
      <c r="H123" s="141" t="s">
        <v>131</v>
      </c>
      <c r="I123" s="141">
        <f>M21*1.5</f>
        <v>187545.25</v>
      </c>
      <c r="J123" s="142">
        <v>1</v>
      </c>
      <c r="K123" s="143">
        <f t="shared" si="14"/>
        <v>0.67071666666666663</v>
      </c>
      <c r="L123" s="144">
        <f t="shared" si="15"/>
        <v>313335</v>
      </c>
      <c r="M123" s="144">
        <f t="shared" si="16"/>
        <v>39166.875</v>
      </c>
      <c r="N123" s="55"/>
      <c r="O123" s="55" t="s">
        <v>180</v>
      </c>
      <c r="P123" s="55"/>
      <c r="Q123" s="55"/>
      <c r="R123" s="55"/>
      <c r="S123" s="61">
        <f t="shared" si="17"/>
        <v>0</v>
      </c>
    </row>
    <row r="124" spans="2:19" ht="15.75" customHeight="1">
      <c r="B124" s="137" t="s">
        <v>181</v>
      </c>
      <c r="C124" s="138" t="s">
        <v>182</v>
      </c>
      <c r="D124" s="139"/>
      <c r="E124" s="139"/>
      <c r="F124" s="139"/>
      <c r="G124" s="140"/>
      <c r="H124" s="141" t="s">
        <v>131</v>
      </c>
      <c r="I124" s="141">
        <f>M21</f>
        <v>125030.16666666667</v>
      </c>
      <c r="J124" s="142">
        <v>1</v>
      </c>
      <c r="K124" s="143">
        <f t="shared" si="14"/>
        <v>0.67071666666666663</v>
      </c>
      <c r="L124" s="144">
        <f t="shared" si="15"/>
        <v>208890</v>
      </c>
      <c r="M124" s="144">
        <f t="shared" si="16"/>
        <v>26111.25</v>
      </c>
      <c r="N124" s="55"/>
      <c r="O124" s="55" t="s">
        <v>183</v>
      </c>
      <c r="P124" s="55"/>
      <c r="Q124" s="55"/>
      <c r="R124" s="55"/>
      <c r="S124" s="61">
        <f t="shared" si="17"/>
        <v>0</v>
      </c>
    </row>
    <row r="125" spans="2:19" ht="15.75" customHeight="1">
      <c r="B125" s="137" t="s">
        <v>184</v>
      </c>
      <c r="C125" s="138" t="s">
        <v>185</v>
      </c>
      <c r="D125" s="139"/>
      <c r="E125" s="139"/>
      <c r="F125" s="139"/>
      <c r="G125" s="140"/>
      <c r="H125" s="141" t="s">
        <v>131</v>
      </c>
      <c r="I125" s="141">
        <v>66536.18664</v>
      </c>
      <c r="J125" s="142">
        <v>1</v>
      </c>
      <c r="K125" s="143">
        <f t="shared" si="14"/>
        <v>0.67071666666666663</v>
      </c>
      <c r="L125" s="144">
        <f t="shared" si="15"/>
        <v>111163</v>
      </c>
      <c r="M125" s="144">
        <f t="shared" si="16"/>
        <v>13895.375</v>
      </c>
      <c r="N125" s="55"/>
      <c r="O125" s="55" t="s">
        <v>186</v>
      </c>
      <c r="P125" s="55"/>
      <c r="Q125" s="55"/>
      <c r="R125" s="55"/>
      <c r="S125" s="61">
        <f t="shared" si="17"/>
        <v>0</v>
      </c>
    </row>
    <row r="126" spans="2:19" ht="15.75" customHeight="1">
      <c r="B126" s="137" t="s">
        <v>187</v>
      </c>
      <c r="C126" s="138" t="s">
        <v>188</v>
      </c>
      <c r="D126" s="139"/>
      <c r="E126" s="139"/>
      <c r="F126" s="139"/>
      <c r="G126" s="140"/>
      <c r="H126" s="141" t="s">
        <v>131</v>
      </c>
      <c r="I126" s="141">
        <v>54133.333333333336</v>
      </c>
      <c r="J126" s="142">
        <v>1</v>
      </c>
      <c r="K126" s="143">
        <f t="shared" si="14"/>
        <v>0.67071666666666663</v>
      </c>
      <c r="L126" s="144">
        <f t="shared" si="15"/>
        <v>90441</v>
      </c>
      <c r="M126" s="144">
        <f t="shared" si="16"/>
        <v>11305.125</v>
      </c>
      <c r="N126" s="55"/>
      <c r="O126" s="55" t="s">
        <v>189</v>
      </c>
      <c r="P126" s="55"/>
      <c r="Q126" s="55"/>
      <c r="R126" s="55"/>
      <c r="S126" s="61">
        <f t="shared" si="17"/>
        <v>0</v>
      </c>
    </row>
    <row r="127" spans="2:19" ht="15.75" customHeight="1">
      <c r="B127" s="137" t="s">
        <v>190</v>
      </c>
      <c r="C127" s="138" t="s">
        <v>152</v>
      </c>
      <c r="D127" s="139"/>
      <c r="E127" s="139"/>
      <c r="F127" s="139"/>
      <c r="G127" s="140"/>
      <c r="H127" s="141" t="s">
        <v>131</v>
      </c>
      <c r="I127" s="141">
        <f t="shared" ref="I127:I128" si="18">I109</f>
        <v>183393.66666666666</v>
      </c>
      <c r="J127" s="142">
        <v>1</v>
      </c>
      <c r="K127" s="143">
        <f t="shared" si="14"/>
        <v>0.67071666666666663</v>
      </c>
      <c r="L127" s="144">
        <f t="shared" si="15"/>
        <v>306399</v>
      </c>
      <c r="M127" s="144">
        <f t="shared" si="16"/>
        <v>38299.875</v>
      </c>
      <c r="N127" s="55"/>
      <c r="O127" s="55" t="s">
        <v>114</v>
      </c>
      <c r="P127" s="55"/>
      <c r="Q127" s="55"/>
      <c r="R127" s="55"/>
      <c r="S127" s="61">
        <f t="shared" si="17"/>
        <v>0</v>
      </c>
    </row>
    <row r="128" spans="2:19" ht="15.75" customHeight="1">
      <c r="B128" s="137" t="s">
        <v>191</v>
      </c>
      <c r="C128" s="138" t="s">
        <v>192</v>
      </c>
      <c r="D128" s="139"/>
      <c r="E128" s="139"/>
      <c r="F128" s="139"/>
      <c r="G128" s="140"/>
      <c r="H128" s="141" t="s">
        <v>131</v>
      </c>
      <c r="I128" s="141">
        <f t="shared" si="18"/>
        <v>125030.16666666667</v>
      </c>
      <c r="J128" s="142">
        <v>1</v>
      </c>
      <c r="K128" s="143">
        <f t="shared" si="14"/>
        <v>0.67071666666666663</v>
      </c>
      <c r="L128" s="144">
        <f t="shared" si="15"/>
        <v>208890</v>
      </c>
      <c r="M128" s="144">
        <f t="shared" si="16"/>
        <v>26111.25</v>
      </c>
      <c r="N128" s="55"/>
      <c r="O128" s="55" t="s">
        <v>115</v>
      </c>
      <c r="P128" s="55"/>
      <c r="Q128" s="55"/>
      <c r="R128" s="55"/>
      <c r="S128" s="61">
        <f t="shared" si="17"/>
        <v>0</v>
      </c>
    </row>
    <row r="129" spans="2:19" ht="15.75" customHeight="1">
      <c r="B129" s="137" t="s">
        <v>193</v>
      </c>
      <c r="C129" s="138" t="s">
        <v>194</v>
      </c>
      <c r="D129" s="139"/>
      <c r="E129" s="139"/>
      <c r="F129" s="139"/>
      <c r="G129" s="140"/>
      <c r="H129" s="141" t="s">
        <v>131</v>
      </c>
      <c r="I129" s="141">
        <f>I102</f>
        <v>125030.16666666667</v>
      </c>
      <c r="J129" s="142">
        <v>1</v>
      </c>
      <c r="K129" s="143">
        <f t="shared" si="14"/>
        <v>0.67071666666666663</v>
      </c>
      <c r="L129" s="144">
        <f t="shared" si="15"/>
        <v>208890</v>
      </c>
      <c r="M129" s="144">
        <f t="shared" si="16"/>
        <v>26111.25</v>
      </c>
      <c r="N129" s="55"/>
      <c r="O129" s="55" t="s">
        <v>195</v>
      </c>
      <c r="P129" s="55"/>
      <c r="Q129" s="55"/>
      <c r="R129" s="55"/>
      <c r="S129" s="61">
        <f t="shared" si="17"/>
        <v>0</v>
      </c>
    </row>
    <row r="130" spans="2:19" ht="15.75" customHeight="1">
      <c r="B130" s="137" t="s">
        <v>196</v>
      </c>
      <c r="C130" s="138" t="s">
        <v>197</v>
      </c>
      <c r="D130" s="139"/>
      <c r="E130" s="139"/>
      <c r="F130" s="139"/>
      <c r="G130" s="140"/>
      <c r="H130" s="141" t="s">
        <v>131</v>
      </c>
      <c r="I130" s="141">
        <f>I99</f>
        <v>72503.016666666677</v>
      </c>
      <c r="J130" s="142">
        <v>1</v>
      </c>
      <c r="K130" s="143">
        <f t="shared" si="14"/>
        <v>0.67071666666666663</v>
      </c>
      <c r="L130" s="144">
        <f t="shared" si="15"/>
        <v>121132</v>
      </c>
      <c r="M130" s="144">
        <f t="shared" si="16"/>
        <v>15141.5</v>
      </c>
      <c r="N130" s="55"/>
      <c r="O130" s="55" t="s">
        <v>198</v>
      </c>
      <c r="P130" s="55"/>
      <c r="Q130" s="55"/>
      <c r="R130" s="55"/>
      <c r="S130" s="61">
        <f t="shared" si="17"/>
        <v>0</v>
      </c>
    </row>
    <row r="131" spans="2:19" ht="15.75" customHeight="1">
      <c r="B131" s="137" t="s">
        <v>199</v>
      </c>
      <c r="C131" s="138" t="s">
        <v>147</v>
      </c>
      <c r="D131" s="139"/>
      <c r="E131" s="139"/>
      <c r="F131" s="139"/>
      <c r="G131" s="140"/>
      <c r="H131" s="141" t="s">
        <v>131</v>
      </c>
      <c r="I131" s="141">
        <f>I105</f>
        <v>125030.16666666667</v>
      </c>
      <c r="J131" s="142">
        <v>1</v>
      </c>
      <c r="K131" s="143">
        <f t="shared" si="14"/>
        <v>0.67071666666666663</v>
      </c>
      <c r="L131" s="144">
        <f t="shared" si="15"/>
        <v>208890</v>
      </c>
      <c r="M131" s="144">
        <f t="shared" si="16"/>
        <v>26111.25</v>
      </c>
      <c r="N131" s="55"/>
      <c r="O131" s="55" t="s">
        <v>200</v>
      </c>
      <c r="P131" s="55"/>
      <c r="Q131" s="55"/>
      <c r="R131" s="55"/>
      <c r="S131" s="61">
        <f t="shared" si="17"/>
        <v>0</v>
      </c>
    </row>
    <row r="132" spans="2:19" ht="15.75" customHeight="1">
      <c r="B132" s="137" t="s">
        <v>201</v>
      </c>
      <c r="C132" s="138" t="s">
        <v>202</v>
      </c>
      <c r="D132" s="139"/>
      <c r="E132" s="139"/>
      <c r="F132" s="139"/>
      <c r="G132" s="140"/>
      <c r="H132" s="141" t="s">
        <v>131</v>
      </c>
      <c r="I132" s="141">
        <v>78415.810799865008</v>
      </c>
      <c r="J132" s="142">
        <v>1</v>
      </c>
      <c r="K132" s="143">
        <f t="shared" si="14"/>
        <v>0.67071666666666663</v>
      </c>
      <c r="L132" s="144">
        <f t="shared" si="15"/>
        <v>131011</v>
      </c>
      <c r="M132" s="144">
        <f t="shared" si="16"/>
        <v>16376.375</v>
      </c>
      <c r="N132" s="55"/>
      <c r="O132" s="55" t="s">
        <v>203</v>
      </c>
      <c r="P132" s="55"/>
      <c r="Q132" s="55"/>
      <c r="R132" s="55"/>
      <c r="S132" s="61">
        <f t="shared" si="17"/>
        <v>0</v>
      </c>
    </row>
    <row r="133" spans="2:19" ht="15.75" customHeight="1">
      <c r="B133" s="137" t="s">
        <v>204</v>
      </c>
      <c r="C133" s="138" t="s">
        <v>205</v>
      </c>
      <c r="D133" s="139"/>
      <c r="E133" s="139"/>
      <c r="F133" s="139"/>
      <c r="G133" s="140"/>
      <c r="H133" s="141" t="s">
        <v>131</v>
      </c>
      <c r="I133" s="141">
        <v>62377.674975000002</v>
      </c>
      <c r="J133" s="142">
        <v>1</v>
      </c>
      <c r="K133" s="143">
        <f t="shared" si="14"/>
        <v>0.67071666666666663</v>
      </c>
      <c r="L133" s="144">
        <f t="shared" si="15"/>
        <v>104215</v>
      </c>
      <c r="M133" s="144">
        <f t="shared" si="16"/>
        <v>13026.875</v>
      </c>
      <c r="N133" s="55"/>
      <c r="O133" s="55" t="s">
        <v>206</v>
      </c>
      <c r="P133" s="55"/>
      <c r="Q133" s="55"/>
      <c r="R133" s="55"/>
      <c r="S133" s="61">
        <f t="shared" si="17"/>
        <v>0</v>
      </c>
    </row>
    <row r="134" spans="2:19" ht="15.75" customHeight="1">
      <c r="B134" s="137" t="s">
        <v>207</v>
      </c>
      <c r="C134" s="138" t="s">
        <v>208</v>
      </c>
      <c r="D134" s="139"/>
      <c r="E134" s="139"/>
      <c r="F134" s="139"/>
      <c r="G134" s="140"/>
      <c r="H134" s="141" t="s">
        <v>131</v>
      </c>
      <c r="I134" s="141">
        <v>66536.18664</v>
      </c>
      <c r="J134" s="142">
        <v>1</v>
      </c>
      <c r="K134" s="143">
        <f t="shared" si="14"/>
        <v>0.67071666666666663</v>
      </c>
      <c r="L134" s="144">
        <f t="shared" si="15"/>
        <v>111163</v>
      </c>
      <c r="M134" s="144">
        <f t="shared" si="16"/>
        <v>13895.375</v>
      </c>
      <c r="N134" s="55"/>
      <c r="O134" s="55" t="s">
        <v>209</v>
      </c>
      <c r="P134" s="55"/>
      <c r="Q134" s="55"/>
      <c r="R134" s="55"/>
      <c r="S134" s="61">
        <f t="shared" si="17"/>
        <v>0</v>
      </c>
    </row>
    <row r="135" spans="2:19" ht="15.75" customHeight="1">
      <c r="B135" s="137" t="s">
        <v>210</v>
      </c>
      <c r="C135" s="138" t="s">
        <v>211</v>
      </c>
      <c r="D135" s="139"/>
      <c r="E135" s="139"/>
      <c r="F135" s="139"/>
      <c r="G135" s="140"/>
      <c r="H135" s="141" t="s">
        <v>131</v>
      </c>
      <c r="I135" s="141">
        <f>I131</f>
        <v>125030.16666666667</v>
      </c>
      <c r="J135" s="142">
        <v>1</v>
      </c>
      <c r="K135" s="143">
        <f t="shared" si="14"/>
        <v>0.67071666666666663</v>
      </c>
      <c r="L135" s="144">
        <f t="shared" si="15"/>
        <v>208890</v>
      </c>
      <c r="M135" s="144">
        <f t="shared" si="16"/>
        <v>26111.25</v>
      </c>
      <c r="N135" s="55"/>
      <c r="O135" s="55" t="s">
        <v>212</v>
      </c>
      <c r="P135" s="55"/>
      <c r="Q135" s="55"/>
      <c r="R135" s="55"/>
      <c r="S135" s="61">
        <f t="shared" si="17"/>
        <v>0</v>
      </c>
    </row>
    <row r="136" spans="2:19" ht="15.75" customHeight="1">
      <c r="B136" s="137" t="s">
        <v>213</v>
      </c>
      <c r="C136" s="138" t="s">
        <v>214</v>
      </c>
      <c r="D136" s="139"/>
      <c r="E136" s="139"/>
      <c r="F136" s="139"/>
      <c r="G136" s="140"/>
      <c r="H136" s="141" t="s">
        <v>131</v>
      </c>
      <c r="I136" s="141">
        <v>59428.979287754999</v>
      </c>
      <c r="J136" s="142">
        <v>1</v>
      </c>
      <c r="K136" s="143">
        <f t="shared" si="14"/>
        <v>0.67071666666666663</v>
      </c>
      <c r="L136" s="144">
        <f t="shared" si="15"/>
        <v>99289</v>
      </c>
      <c r="M136" s="144">
        <f t="shared" si="16"/>
        <v>12411.125</v>
      </c>
      <c r="N136" s="55"/>
      <c r="O136" s="55" t="s">
        <v>215</v>
      </c>
      <c r="P136" s="55"/>
      <c r="Q136" s="55"/>
      <c r="R136" s="55"/>
      <c r="S136" s="61">
        <f t="shared" si="17"/>
        <v>0</v>
      </c>
    </row>
    <row r="137" spans="2:19" ht="15.75" customHeight="1">
      <c r="B137" s="137" t="s">
        <v>216</v>
      </c>
      <c r="C137" s="138" t="s">
        <v>160</v>
      </c>
      <c r="D137" s="139"/>
      <c r="E137" s="139"/>
      <c r="F137" s="139"/>
      <c r="G137" s="140"/>
      <c r="H137" s="141" t="s">
        <v>131</v>
      </c>
      <c r="I137" s="141">
        <v>54133.333333333336</v>
      </c>
      <c r="J137" s="142">
        <v>1</v>
      </c>
      <c r="K137" s="143">
        <f t="shared" si="14"/>
        <v>0.67071666666666663</v>
      </c>
      <c r="L137" s="144">
        <f t="shared" si="15"/>
        <v>90441</v>
      </c>
      <c r="M137" s="144">
        <f t="shared" si="16"/>
        <v>11305.125</v>
      </c>
      <c r="N137" s="55"/>
      <c r="O137" s="55" t="s">
        <v>217</v>
      </c>
      <c r="P137" s="55"/>
      <c r="Q137" s="55"/>
      <c r="R137" s="55"/>
      <c r="S137" s="61">
        <f t="shared" si="17"/>
        <v>0</v>
      </c>
    </row>
    <row r="138" spans="2:19" ht="15.75" customHeight="1">
      <c r="B138" s="137" t="s">
        <v>218</v>
      </c>
      <c r="C138" s="138" t="s">
        <v>219</v>
      </c>
      <c r="D138" s="139"/>
      <c r="E138" s="139"/>
      <c r="F138" s="139"/>
      <c r="G138" s="140"/>
      <c r="H138" s="141" t="s">
        <v>131</v>
      </c>
      <c r="I138" s="141">
        <f>I98</f>
        <v>72503.016666666677</v>
      </c>
      <c r="J138" s="142">
        <v>1</v>
      </c>
      <c r="K138" s="143">
        <f t="shared" si="14"/>
        <v>0.67071666666666663</v>
      </c>
      <c r="L138" s="144">
        <f t="shared" si="15"/>
        <v>121132</v>
      </c>
      <c r="M138" s="144">
        <f t="shared" si="16"/>
        <v>15141.5</v>
      </c>
      <c r="N138" s="55"/>
      <c r="O138" s="55" t="s">
        <v>220</v>
      </c>
      <c r="P138" s="55"/>
      <c r="Q138" s="55"/>
      <c r="R138" s="55"/>
      <c r="S138" s="61">
        <f t="shared" si="17"/>
        <v>0</v>
      </c>
    </row>
    <row r="139" spans="2:19" ht="15.75" customHeight="1">
      <c r="B139" s="137" t="s">
        <v>221</v>
      </c>
      <c r="C139" s="138" t="s">
        <v>222</v>
      </c>
      <c r="D139" s="139"/>
      <c r="E139" s="139"/>
      <c r="F139" s="139"/>
      <c r="G139" s="140"/>
      <c r="H139" s="141" t="s">
        <v>131</v>
      </c>
      <c r="I139" s="141">
        <f>I138</f>
        <v>72503.016666666677</v>
      </c>
      <c r="J139" s="142">
        <v>1</v>
      </c>
      <c r="K139" s="143">
        <f t="shared" si="14"/>
        <v>0.67071666666666663</v>
      </c>
      <c r="L139" s="144">
        <f t="shared" si="15"/>
        <v>121132</v>
      </c>
      <c r="M139" s="144">
        <f t="shared" si="16"/>
        <v>15141.5</v>
      </c>
      <c r="N139" s="55"/>
      <c r="O139" s="55" t="s">
        <v>223</v>
      </c>
      <c r="P139" s="55"/>
      <c r="Q139" s="55"/>
      <c r="R139" s="55"/>
      <c r="S139" s="61">
        <f t="shared" si="17"/>
        <v>0</v>
      </c>
    </row>
    <row r="140" spans="2:19" ht="15.75" customHeight="1">
      <c r="B140" s="137" t="s">
        <v>224</v>
      </c>
      <c r="C140" s="138" t="s">
        <v>225</v>
      </c>
      <c r="D140" s="139"/>
      <c r="E140" s="139"/>
      <c r="F140" s="139"/>
      <c r="G140" s="140"/>
      <c r="H140" s="141" t="s">
        <v>131</v>
      </c>
      <c r="I140" s="141">
        <v>56139.907477500004</v>
      </c>
      <c r="J140" s="142">
        <v>1</v>
      </c>
      <c r="K140" s="143">
        <f t="shared" si="14"/>
        <v>0.67071666666666663</v>
      </c>
      <c r="L140" s="144">
        <f t="shared" si="15"/>
        <v>93794</v>
      </c>
      <c r="M140" s="144">
        <f t="shared" si="16"/>
        <v>11724.25</v>
      </c>
      <c r="N140" s="55"/>
      <c r="O140" s="55" t="s">
        <v>226</v>
      </c>
      <c r="P140" s="55"/>
      <c r="Q140" s="55"/>
      <c r="R140" s="55"/>
      <c r="S140" s="61">
        <f t="shared" si="17"/>
        <v>0</v>
      </c>
    </row>
    <row r="141" spans="2:19" ht="15.75" customHeight="1">
      <c r="B141" s="137" t="s">
        <v>227</v>
      </c>
      <c r="C141" s="138" t="s">
        <v>228</v>
      </c>
      <c r="D141" s="139"/>
      <c r="E141" s="139"/>
      <c r="F141" s="139"/>
      <c r="G141" s="140"/>
      <c r="H141" s="141" t="s">
        <v>131</v>
      </c>
      <c r="I141" s="141">
        <v>54133.333333333336</v>
      </c>
      <c r="J141" s="142">
        <v>1</v>
      </c>
      <c r="K141" s="143">
        <f t="shared" si="14"/>
        <v>0.67071666666666663</v>
      </c>
      <c r="L141" s="144">
        <f t="shared" si="15"/>
        <v>90441</v>
      </c>
      <c r="M141" s="144">
        <f t="shared" si="16"/>
        <v>11305.125</v>
      </c>
      <c r="N141" s="55"/>
      <c r="O141" s="55" t="s">
        <v>229</v>
      </c>
      <c r="P141" s="55"/>
      <c r="Q141" s="55"/>
      <c r="R141" s="55"/>
      <c r="S141" s="61">
        <f t="shared" si="17"/>
        <v>0</v>
      </c>
    </row>
    <row r="142" spans="2:19" ht="15.75" hidden="1" customHeight="1">
      <c r="B142" s="137" t="s">
        <v>230</v>
      </c>
      <c r="C142" s="138"/>
      <c r="D142" s="139"/>
      <c r="E142" s="139"/>
      <c r="F142" s="139"/>
      <c r="G142" s="140"/>
      <c r="H142" s="141"/>
      <c r="I142" s="141"/>
      <c r="J142" s="142">
        <v>1</v>
      </c>
      <c r="K142" s="143">
        <f t="shared" si="14"/>
        <v>0.67071666666666663</v>
      </c>
      <c r="L142" s="144">
        <f t="shared" si="15"/>
        <v>0</v>
      </c>
      <c r="M142" s="144">
        <f t="shared" si="16"/>
        <v>0</v>
      </c>
      <c r="N142" s="55"/>
      <c r="O142" s="55"/>
      <c r="P142" s="55"/>
      <c r="Q142" s="55"/>
      <c r="R142" s="55"/>
      <c r="S142" s="61"/>
    </row>
    <row r="143" spans="2:19" ht="15.75" hidden="1" customHeight="1">
      <c r="B143" s="137" t="s">
        <v>231</v>
      </c>
      <c r="C143" s="138"/>
      <c r="D143" s="139"/>
      <c r="E143" s="139"/>
      <c r="F143" s="139"/>
      <c r="G143" s="140"/>
      <c r="H143" s="141"/>
      <c r="I143" s="141"/>
      <c r="J143" s="142">
        <v>1</v>
      </c>
      <c r="K143" s="143">
        <f t="shared" si="14"/>
        <v>0.67071666666666663</v>
      </c>
      <c r="L143" s="144">
        <f t="shared" si="15"/>
        <v>0</v>
      </c>
      <c r="M143" s="144">
        <f t="shared" si="16"/>
        <v>0</v>
      </c>
      <c r="N143" s="55"/>
      <c r="O143" s="55"/>
      <c r="P143" s="55"/>
      <c r="Q143" s="55"/>
      <c r="R143" s="55"/>
      <c r="S143" s="61"/>
    </row>
    <row r="144" spans="2:19" ht="15.75" hidden="1" customHeight="1">
      <c r="B144" s="137" t="s">
        <v>232</v>
      </c>
      <c r="C144" s="138"/>
      <c r="D144" s="139"/>
      <c r="E144" s="139"/>
      <c r="F144" s="139"/>
      <c r="G144" s="140"/>
      <c r="H144" s="141"/>
      <c r="I144" s="141"/>
      <c r="J144" s="142">
        <v>1</v>
      </c>
      <c r="K144" s="143">
        <f t="shared" si="14"/>
        <v>0.67071666666666663</v>
      </c>
      <c r="L144" s="144">
        <f t="shared" si="15"/>
        <v>0</v>
      </c>
      <c r="M144" s="144">
        <f t="shared" si="16"/>
        <v>0</v>
      </c>
      <c r="N144" s="55"/>
      <c r="O144" s="55"/>
      <c r="P144" s="55"/>
      <c r="Q144" s="55"/>
      <c r="R144" s="55"/>
      <c r="S144" s="61"/>
    </row>
    <row r="145" spans="1:26" ht="15.75" hidden="1" customHeight="1">
      <c r="B145" s="137" t="s">
        <v>233</v>
      </c>
      <c r="C145" s="138"/>
      <c r="D145" s="139"/>
      <c r="E145" s="139"/>
      <c r="F145" s="139"/>
      <c r="G145" s="140"/>
      <c r="H145" s="141"/>
      <c r="I145" s="141"/>
      <c r="J145" s="142">
        <v>1</v>
      </c>
      <c r="K145" s="143">
        <f t="shared" si="14"/>
        <v>0.67071666666666663</v>
      </c>
      <c r="L145" s="144">
        <f t="shared" si="15"/>
        <v>0</v>
      </c>
      <c r="M145" s="144">
        <f t="shared" si="16"/>
        <v>0</v>
      </c>
      <c r="S145" s="71"/>
    </row>
    <row r="146" spans="1:26" ht="15.75" customHeight="1">
      <c r="B146" s="137" t="s">
        <v>234</v>
      </c>
      <c r="C146" s="138" t="s">
        <v>235</v>
      </c>
      <c r="D146" s="139"/>
      <c r="E146" s="139"/>
      <c r="F146" s="139"/>
      <c r="G146" s="140"/>
      <c r="H146" s="141" t="s">
        <v>131</v>
      </c>
      <c r="I146" s="141">
        <v>233000</v>
      </c>
      <c r="J146" s="142">
        <v>1</v>
      </c>
      <c r="K146" s="143">
        <f t="shared" si="14"/>
        <v>0.67071666666666663</v>
      </c>
      <c r="L146" s="144">
        <f t="shared" si="15"/>
        <v>389277</v>
      </c>
      <c r="M146" s="144">
        <f t="shared" si="16"/>
        <v>48659.625</v>
      </c>
      <c r="S146" s="71"/>
    </row>
    <row r="147" spans="1:26" ht="15.75" customHeight="1">
      <c r="B147" s="137" t="s">
        <v>236</v>
      </c>
      <c r="C147" s="138" t="s">
        <v>237</v>
      </c>
      <c r="D147" s="139"/>
      <c r="E147" s="139"/>
      <c r="F147" s="139"/>
      <c r="G147" s="140"/>
      <c r="H147" s="141" t="s">
        <v>131</v>
      </c>
      <c r="I147" s="141">
        <v>200000</v>
      </c>
      <c r="J147" s="142">
        <v>1</v>
      </c>
      <c r="K147" s="143">
        <f t="shared" si="14"/>
        <v>0.67071666666666663</v>
      </c>
      <c r="L147" s="144">
        <f t="shared" si="15"/>
        <v>334143</v>
      </c>
      <c r="M147" s="144">
        <f t="shared" si="16"/>
        <v>41767.875</v>
      </c>
      <c r="S147" s="71"/>
    </row>
    <row r="148" spans="1:26" ht="15.75" customHeight="1">
      <c r="B148" s="37"/>
      <c r="C148" s="55"/>
      <c r="D148" s="55"/>
      <c r="E148" s="55"/>
      <c r="F148" s="55"/>
      <c r="G148" s="55"/>
      <c r="H148" s="55"/>
      <c r="I148" s="55"/>
      <c r="J148" s="55"/>
      <c r="K148" s="55"/>
      <c r="L148" s="55"/>
      <c r="M148" s="55"/>
      <c r="S148" s="71"/>
    </row>
    <row r="149" spans="1:26" ht="25.5" customHeight="1">
      <c r="A149" s="44"/>
      <c r="B149" s="147" t="s">
        <v>238</v>
      </c>
      <c r="C149" s="46" t="s">
        <v>239</v>
      </c>
      <c r="D149" s="46"/>
      <c r="E149" s="46"/>
      <c r="F149" s="46"/>
      <c r="G149" s="46"/>
      <c r="H149" s="47"/>
      <c r="I149" s="47"/>
      <c r="J149" s="47"/>
      <c r="K149" s="47"/>
      <c r="L149" s="47"/>
      <c r="M149" s="47"/>
      <c r="N149" s="44"/>
      <c r="O149" s="44"/>
      <c r="P149" s="44"/>
      <c r="Q149" s="44"/>
      <c r="R149" s="44"/>
      <c r="S149" s="148"/>
      <c r="T149" s="44"/>
      <c r="U149" s="44"/>
      <c r="V149" s="44"/>
      <c r="W149" s="44"/>
      <c r="X149" s="44"/>
      <c r="Y149" s="44"/>
      <c r="Z149" s="44"/>
    </row>
    <row r="150" spans="1:26" ht="15.75" customHeight="1">
      <c r="B150" s="149"/>
      <c r="C150" s="150"/>
      <c r="D150" s="150"/>
      <c r="E150" s="150"/>
      <c r="F150" s="150"/>
      <c r="G150" s="150"/>
      <c r="H150" s="151"/>
      <c r="I150" s="151"/>
      <c r="J150" s="55"/>
      <c r="K150" s="55"/>
      <c r="L150" s="55"/>
      <c r="M150" s="55"/>
      <c r="S150" s="71"/>
    </row>
    <row r="151" spans="1:26" ht="15.75" customHeight="1">
      <c r="B151" s="134" t="s">
        <v>122</v>
      </c>
      <c r="C151" s="1055" t="s">
        <v>240</v>
      </c>
      <c r="D151" s="940"/>
      <c r="E151" s="940"/>
      <c r="F151" s="940"/>
      <c r="G151" s="941"/>
      <c r="H151" s="152" t="s">
        <v>123</v>
      </c>
      <c r="I151" s="152" t="s">
        <v>124</v>
      </c>
      <c r="J151" s="152" t="s">
        <v>125</v>
      </c>
      <c r="K151" s="153" t="s">
        <v>126</v>
      </c>
      <c r="L151" s="152" t="s">
        <v>124</v>
      </c>
      <c r="M151" s="152" t="s">
        <v>241</v>
      </c>
      <c r="S151" s="71"/>
    </row>
    <row r="152" spans="1:26" ht="15.75" customHeight="1">
      <c r="B152" s="137" t="s">
        <v>155</v>
      </c>
      <c r="C152" s="84" t="s">
        <v>242</v>
      </c>
      <c r="D152" s="85"/>
      <c r="E152" s="85"/>
      <c r="F152" s="85"/>
      <c r="G152" s="154"/>
      <c r="H152" s="141" t="s">
        <v>243</v>
      </c>
      <c r="I152" s="141">
        <f>+$I$49</f>
        <v>197533.18333333335</v>
      </c>
      <c r="J152" s="142">
        <v>1</v>
      </c>
      <c r="K152" s="143">
        <f t="shared" ref="K152:K164" si="19">+$Q$26+$F$37</f>
        <v>0.67071666666666663</v>
      </c>
      <c r="L152" s="144">
        <f t="shared" ref="L152:L164" si="20">+ROUND(I152*J152*(1+K152),0)</f>
        <v>330022</v>
      </c>
      <c r="M152" s="144">
        <f t="shared" ref="M152:M164" si="21">+L152/8</f>
        <v>41252.75</v>
      </c>
      <c r="S152" s="71"/>
    </row>
    <row r="153" spans="1:26" ht="15.75" customHeight="1">
      <c r="B153" s="137" t="s">
        <v>157</v>
      </c>
      <c r="C153" s="84" t="s">
        <v>2607</v>
      </c>
      <c r="D153" s="85"/>
      <c r="E153" s="85"/>
      <c r="F153" s="85"/>
      <c r="G153" s="154"/>
      <c r="H153" s="141" t="s">
        <v>243</v>
      </c>
      <c r="I153" s="141">
        <f>+$K$49</f>
        <v>197533.18333333335</v>
      </c>
      <c r="J153" s="142">
        <v>1</v>
      </c>
      <c r="K153" s="143">
        <f t="shared" si="19"/>
        <v>0.67071666666666663</v>
      </c>
      <c r="L153" s="144">
        <f t="shared" si="20"/>
        <v>330022</v>
      </c>
      <c r="M153" s="144">
        <f t="shared" si="21"/>
        <v>41252.75</v>
      </c>
      <c r="S153" s="71"/>
    </row>
    <row r="154" spans="1:26" ht="15.75" customHeight="1">
      <c r="B154" s="137" t="s">
        <v>159</v>
      </c>
      <c r="C154" s="84" t="s">
        <v>244</v>
      </c>
      <c r="D154" s="85"/>
      <c r="E154" s="85"/>
      <c r="F154" s="85"/>
      <c r="G154" s="154"/>
      <c r="H154" s="141" t="s">
        <v>243</v>
      </c>
      <c r="I154" s="141">
        <f>+M49</f>
        <v>322563.35000000003</v>
      </c>
      <c r="J154" s="142">
        <v>1</v>
      </c>
      <c r="K154" s="143">
        <f t="shared" si="19"/>
        <v>0.67071666666666663</v>
      </c>
      <c r="L154" s="144">
        <f t="shared" si="20"/>
        <v>538912</v>
      </c>
      <c r="M154" s="144">
        <f t="shared" si="21"/>
        <v>67364</v>
      </c>
      <c r="S154" s="71"/>
    </row>
    <row r="155" spans="1:26" ht="15.75" customHeight="1">
      <c r="B155" s="137" t="s">
        <v>161</v>
      </c>
      <c r="C155" s="84" t="s">
        <v>245</v>
      </c>
      <c r="D155" s="85"/>
      <c r="E155" s="85"/>
      <c r="F155" s="85"/>
      <c r="G155" s="154"/>
      <c r="H155" s="141" t="s">
        <v>243</v>
      </c>
      <c r="I155" s="141">
        <f>+O49</f>
        <v>255896.68333333335</v>
      </c>
      <c r="J155" s="142">
        <v>1</v>
      </c>
      <c r="K155" s="143">
        <f t="shared" si="19"/>
        <v>0.67071666666666663</v>
      </c>
      <c r="L155" s="144">
        <f t="shared" si="20"/>
        <v>427531</v>
      </c>
      <c r="M155" s="144">
        <f t="shared" si="21"/>
        <v>53441.375</v>
      </c>
      <c r="S155" s="71"/>
    </row>
    <row r="156" spans="1:26" ht="15.75" customHeight="1">
      <c r="B156" s="137" t="s">
        <v>163</v>
      </c>
      <c r="C156" s="84" t="s">
        <v>246</v>
      </c>
      <c r="D156" s="85"/>
      <c r="E156" s="85"/>
      <c r="F156" s="85"/>
      <c r="G156" s="154"/>
      <c r="H156" s="141" t="s">
        <v>243</v>
      </c>
      <c r="I156" s="141">
        <f>+Q49</f>
        <v>250060.33333333334</v>
      </c>
      <c r="J156" s="142">
        <v>1</v>
      </c>
      <c r="K156" s="143">
        <f t="shared" si="19"/>
        <v>0.67071666666666663</v>
      </c>
      <c r="L156" s="144">
        <f t="shared" si="20"/>
        <v>417780</v>
      </c>
      <c r="M156" s="144">
        <f t="shared" si="21"/>
        <v>52222.5</v>
      </c>
      <c r="S156" s="71"/>
    </row>
    <row r="157" spans="1:26" ht="15.75" customHeight="1">
      <c r="B157" s="137" t="s">
        <v>165</v>
      </c>
      <c r="C157" s="84" t="s">
        <v>2597</v>
      </c>
      <c r="D157" s="85"/>
      <c r="E157" s="85"/>
      <c r="F157" s="85"/>
      <c r="G157" s="154"/>
      <c r="H157" s="141" t="s">
        <v>243</v>
      </c>
      <c r="I157" s="141">
        <f>+S49</f>
        <v>252551.28333333335</v>
      </c>
      <c r="J157" s="142">
        <v>1</v>
      </c>
      <c r="K157" s="143">
        <f t="shared" si="19"/>
        <v>0.67071666666666663</v>
      </c>
      <c r="L157" s="144">
        <f t="shared" si="20"/>
        <v>421942</v>
      </c>
      <c r="M157" s="144">
        <f t="shared" si="21"/>
        <v>52742.75</v>
      </c>
      <c r="S157" s="71"/>
    </row>
    <row r="158" spans="1:26" ht="15.75" customHeight="1">
      <c r="B158" s="137" t="s">
        <v>167</v>
      </c>
      <c r="C158" s="84" t="s">
        <v>247</v>
      </c>
      <c r="D158" s="85"/>
      <c r="E158" s="85"/>
      <c r="F158" s="85"/>
      <c r="G158" s="154"/>
      <c r="H158" s="141" t="s">
        <v>243</v>
      </c>
      <c r="I158" s="141">
        <f>+I67</f>
        <v>432599.55000000005</v>
      </c>
      <c r="J158" s="142">
        <v>1</v>
      </c>
      <c r="K158" s="143">
        <f t="shared" si="19"/>
        <v>0.67071666666666663</v>
      </c>
      <c r="L158" s="144">
        <f t="shared" si="20"/>
        <v>722751</v>
      </c>
      <c r="M158" s="144">
        <f t="shared" si="21"/>
        <v>90343.875</v>
      </c>
      <c r="S158" s="71"/>
    </row>
    <row r="159" spans="1:26" ht="15.75" customHeight="1">
      <c r="B159" s="137" t="s">
        <v>169</v>
      </c>
      <c r="C159" s="84" t="s">
        <v>248</v>
      </c>
      <c r="D159" s="85"/>
      <c r="E159" s="85"/>
      <c r="F159" s="85"/>
      <c r="G159" s="154"/>
      <c r="H159" s="141" t="s">
        <v>243</v>
      </c>
      <c r="I159" s="141">
        <f>+K67</f>
        <v>322563.35000000003</v>
      </c>
      <c r="J159" s="142">
        <v>1</v>
      </c>
      <c r="K159" s="143">
        <f t="shared" si="19"/>
        <v>0.67071666666666663</v>
      </c>
      <c r="L159" s="144">
        <f t="shared" si="20"/>
        <v>538912</v>
      </c>
      <c r="M159" s="144">
        <f t="shared" si="21"/>
        <v>67364</v>
      </c>
      <c r="S159" s="71"/>
    </row>
    <row r="160" spans="1:26" ht="15.75" customHeight="1">
      <c r="B160" s="137" t="s">
        <v>171</v>
      </c>
      <c r="C160" s="84" t="s">
        <v>249</v>
      </c>
      <c r="D160" s="85"/>
      <c r="E160" s="85"/>
      <c r="F160" s="85"/>
      <c r="G160" s="154"/>
      <c r="H160" s="141" t="s">
        <v>243</v>
      </c>
      <c r="I160" s="141">
        <f>+M67</f>
        <v>380926.85</v>
      </c>
      <c r="J160" s="142">
        <v>1</v>
      </c>
      <c r="K160" s="143">
        <f t="shared" si="19"/>
        <v>0.67071666666666663</v>
      </c>
      <c r="L160" s="144">
        <f t="shared" si="20"/>
        <v>636421</v>
      </c>
      <c r="M160" s="144">
        <f t="shared" si="21"/>
        <v>79552.625</v>
      </c>
      <c r="S160" s="71"/>
    </row>
    <row r="161" spans="2:19" ht="15.75" customHeight="1">
      <c r="B161" s="137" t="s">
        <v>173</v>
      </c>
      <c r="C161" s="84" t="s">
        <v>250</v>
      </c>
      <c r="D161" s="85"/>
      <c r="E161" s="85"/>
      <c r="F161" s="85"/>
      <c r="G161" s="154"/>
      <c r="H161" s="141" t="s">
        <v>243</v>
      </c>
      <c r="I161" s="141">
        <f>+O67</f>
        <v>380926.85000000003</v>
      </c>
      <c r="J161" s="142">
        <v>1</v>
      </c>
      <c r="K161" s="143">
        <f t="shared" si="19"/>
        <v>0.67071666666666663</v>
      </c>
      <c r="L161" s="144">
        <f t="shared" si="20"/>
        <v>636421</v>
      </c>
      <c r="M161" s="144">
        <f t="shared" si="21"/>
        <v>79552.625</v>
      </c>
      <c r="S161" s="71"/>
    </row>
    <row r="162" spans="2:19" ht="15.75" customHeight="1">
      <c r="B162" s="137" t="s">
        <v>251</v>
      </c>
      <c r="C162" s="84" t="s">
        <v>252</v>
      </c>
      <c r="D162" s="85"/>
      <c r="E162" s="85"/>
      <c r="F162" s="85"/>
      <c r="G162" s="154"/>
      <c r="H162" s="141" t="s">
        <v>243</v>
      </c>
      <c r="I162" s="141">
        <f>+Q67</f>
        <v>505957.01666666672</v>
      </c>
      <c r="J162" s="142">
        <v>1</v>
      </c>
      <c r="K162" s="143">
        <f t="shared" si="19"/>
        <v>0.67071666666666663</v>
      </c>
      <c r="L162" s="144">
        <f t="shared" si="20"/>
        <v>845311</v>
      </c>
      <c r="M162" s="144">
        <f t="shared" si="21"/>
        <v>105663.875</v>
      </c>
      <c r="S162" s="71"/>
    </row>
    <row r="163" spans="2:19" ht="15.75" customHeight="1">
      <c r="B163" s="137" t="s">
        <v>253</v>
      </c>
      <c r="C163" s="84" t="s">
        <v>254</v>
      </c>
      <c r="D163" s="85"/>
      <c r="E163" s="85"/>
      <c r="F163" s="85"/>
      <c r="G163" s="154"/>
      <c r="H163" s="141" t="s">
        <v>243</v>
      </c>
      <c r="I163" s="141">
        <f>+S67</f>
        <v>145006.03333333335</v>
      </c>
      <c r="J163" s="142">
        <v>1</v>
      </c>
      <c r="K163" s="143">
        <f t="shared" si="19"/>
        <v>0.67071666666666663</v>
      </c>
      <c r="L163" s="144">
        <f t="shared" si="20"/>
        <v>242264</v>
      </c>
      <c r="M163" s="144">
        <f t="shared" si="21"/>
        <v>30283</v>
      </c>
      <c r="S163" s="71"/>
    </row>
    <row r="164" spans="2:19" ht="15.75" customHeight="1">
      <c r="B164" s="137" t="s">
        <v>255</v>
      </c>
      <c r="C164" s="84" t="s">
        <v>256</v>
      </c>
      <c r="D164" s="85"/>
      <c r="E164" s="85"/>
      <c r="F164" s="85"/>
      <c r="G164" s="154"/>
      <c r="H164" s="141" t="s">
        <v>243</v>
      </c>
      <c r="I164" s="141">
        <f>I85</f>
        <v>435018.10000000009</v>
      </c>
      <c r="J164" s="142">
        <v>1</v>
      </c>
      <c r="K164" s="143">
        <f t="shared" si="19"/>
        <v>0.67071666666666663</v>
      </c>
      <c r="L164" s="144">
        <f t="shared" si="20"/>
        <v>726792</v>
      </c>
      <c r="M164" s="144">
        <f t="shared" si="21"/>
        <v>90849</v>
      </c>
      <c r="S164" s="71"/>
    </row>
    <row r="165" spans="2:19" ht="15.75" customHeight="1">
      <c r="B165" s="37"/>
      <c r="C165" s="55"/>
      <c r="D165" s="55"/>
      <c r="E165" s="55"/>
      <c r="F165" s="55"/>
      <c r="G165" s="55"/>
      <c r="H165" s="55"/>
      <c r="I165" s="55"/>
      <c r="J165" s="55"/>
      <c r="K165" s="55"/>
      <c r="L165" s="55"/>
      <c r="M165" s="55"/>
      <c r="S165" s="71"/>
    </row>
    <row r="166" spans="2:19" ht="15.75" customHeight="1">
      <c r="B166" s="37"/>
      <c r="C166" s="55"/>
      <c r="D166" s="55"/>
      <c r="E166" s="55"/>
      <c r="F166" s="55"/>
      <c r="G166" s="55"/>
      <c r="H166" s="55"/>
      <c r="I166" s="55"/>
      <c r="J166" s="55"/>
      <c r="K166" s="55"/>
      <c r="L166" s="55"/>
      <c r="M166" s="55"/>
      <c r="S166" s="71"/>
    </row>
    <row r="167" spans="2:19" ht="15.75" customHeight="1">
      <c r="B167" s="37"/>
      <c r="C167" s="55"/>
      <c r="D167" s="55"/>
      <c r="E167" s="55"/>
      <c r="F167" s="55"/>
      <c r="G167" s="55"/>
      <c r="H167" s="55"/>
      <c r="I167" s="55"/>
      <c r="J167" s="55"/>
      <c r="K167" s="55"/>
      <c r="L167" s="55"/>
      <c r="M167" s="55"/>
      <c r="S167" s="71"/>
    </row>
    <row r="168" spans="2:19" ht="15.75" customHeight="1">
      <c r="B168" s="37"/>
      <c r="C168" s="55"/>
      <c r="D168" s="55"/>
      <c r="E168" s="55"/>
      <c r="F168" s="55"/>
      <c r="G168" s="55"/>
      <c r="H168" s="55"/>
      <c r="I168" s="55"/>
      <c r="J168" s="55"/>
      <c r="K168" s="55"/>
      <c r="L168" s="55"/>
      <c r="M168" s="55"/>
      <c r="S168" s="71"/>
    </row>
    <row r="169" spans="2:19" ht="15.75" customHeight="1">
      <c r="B169" s="37"/>
      <c r="C169" s="55"/>
      <c r="D169" s="55"/>
      <c r="E169" s="55"/>
      <c r="F169" s="55"/>
      <c r="G169" s="55"/>
      <c r="H169" s="55"/>
      <c r="I169" s="55"/>
      <c r="J169" s="55"/>
      <c r="K169" s="55"/>
      <c r="L169" s="55"/>
      <c r="M169" s="55"/>
      <c r="S169" s="71"/>
    </row>
    <row r="170" spans="2:19" ht="15.75" customHeight="1">
      <c r="B170" s="37"/>
      <c r="C170" s="55"/>
      <c r="D170" s="55"/>
      <c r="E170" s="55"/>
      <c r="F170" s="55"/>
      <c r="G170" s="55"/>
      <c r="H170" s="55"/>
      <c r="I170" s="55"/>
      <c r="J170" s="55"/>
      <c r="K170" s="55"/>
      <c r="L170" s="55"/>
      <c r="M170" s="55"/>
      <c r="S170" s="71"/>
    </row>
    <row r="171" spans="2:19" ht="15.75" customHeight="1">
      <c r="B171" s="37"/>
      <c r="C171" s="55"/>
      <c r="D171" s="55"/>
      <c r="E171" s="55"/>
      <c r="F171" s="55"/>
      <c r="G171" s="55"/>
      <c r="H171" s="55"/>
      <c r="I171" s="55"/>
      <c r="J171" s="55"/>
      <c r="K171" s="55"/>
      <c r="L171" s="55"/>
      <c r="M171" s="55"/>
      <c r="S171" s="71"/>
    </row>
    <row r="172" spans="2:19" ht="15.75" customHeight="1">
      <c r="B172" s="37"/>
      <c r="C172" s="55"/>
      <c r="D172" s="55"/>
      <c r="E172" s="55"/>
      <c r="F172" s="55"/>
      <c r="G172" s="55"/>
      <c r="H172" s="55"/>
      <c r="I172" s="55"/>
      <c r="J172" s="55"/>
      <c r="K172" s="55"/>
      <c r="L172" s="55"/>
      <c r="M172" s="55"/>
      <c r="S172" s="71"/>
    </row>
    <row r="173" spans="2:19" ht="15.75" customHeight="1">
      <c r="B173" s="37"/>
      <c r="C173" s="155"/>
      <c r="D173" s="55"/>
      <c r="E173" s="55"/>
      <c r="F173" s="55"/>
      <c r="G173" s="55"/>
      <c r="H173" s="55"/>
      <c r="I173" s="55"/>
      <c r="J173" s="55"/>
      <c r="K173" s="55"/>
      <c r="L173" s="55"/>
      <c r="M173" s="55"/>
      <c r="S173" s="71"/>
    </row>
    <row r="174" spans="2:19" ht="15.75" customHeight="1">
      <c r="B174" s="156" t="s">
        <v>257</v>
      </c>
      <c r="C174" s="54"/>
      <c r="D174" s="54"/>
      <c r="E174" s="54"/>
      <c r="F174" s="54"/>
      <c r="G174" s="54"/>
      <c r="H174" s="55"/>
      <c r="I174" s="54"/>
      <c r="J174" s="54"/>
      <c r="K174" s="55"/>
      <c r="L174" s="55"/>
      <c r="M174" s="55"/>
      <c r="S174" s="71"/>
    </row>
    <row r="175" spans="2:19" ht="15.75" customHeight="1">
      <c r="B175" s="157" t="s">
        <v>258</v>
      </c>
      <c r="C175" s="158"/>
      <c r="D175" s="158"/>
      <c r="E175" s="158"/>
      <c r="F175" s="158"/>
      <c r="G175" s="158"/>
      <c r="H175" s="159"/>
      <c r="I175" s="158"/>
      <c r="J175" s="158"/>
      <c r="K175" s="159"/>
      <c r="L175" s="159"/>
      <c r="M175" s="159"/>
      <c r="N175" s="36"/>
      <c r="O175" s="36"/>
      <c r="P175" s="36"/>
      <c r="Q175" s="36"/>
      <c r="R175" s="36"/>
      <c r="S175" s="160"/>
    </row>
    <row r="176" spans="2:19"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140">
    <mergeCell ref="C70:G70"/>
    <mergeCell ref="C71:G71"/>
    <mergeCell ref="C72:G72"/>
    <mergeCell ref="C73:G73"/>
    <mergeCell ref="C74:G74"/>
    <mergeCell ref="H77:I77"/>
    <mergeCell ref="J77:K77"/>
    <mergeCell ref="L77:M77"/>
    <mergeCell ref="N77:O77"/>
    <mergeCell ref="C61:G61"/>
    <mergeCell ref="C62:G62"/>
    <mergeCell ref="C63:G63"/>
    <mergeCell ref="C64:G64"/>
    <mergeCell ref="C65:G65"/>
    <mergeCell ref="C66:G66"/>
    <mergeCell ref="C67:G67"/>
    <mergeCell ref="C68:G68"/>
    <mergeCell ref="C69:G69"/>
    <mergeCell ref="C86:G86"/>
    <mergeCell ref="C87:G87"/>
    <mergeCell ref="C88:G88"/>
    <mergeCell ref="C89:G89"/>
    <mergeCell ref="C90:G90"/>
    <mergeCell ref="C91:G91"/>
    <mergeCell ref="C92:G92"/>
    <mergeCell ref="C97:G97"/>
    <mergeCell ref="C79:G79"/>
    <mergeCell ref="C80:G80"/>
    <mergeCell ref="C81:G81"/>
    <mergeCell ref="C82:G82"/>
    <mergeCell ref="C83:G83"/>
    <mergeCell ref="C84:G84"/>
    <mergeCell ref="C85:G85"/>
    <mergeCell ref="H41:I41"/>
    <mergeCell ref="H42:I42"/>
    <mergeCell ref="H59:I59"/>
    <mergeCell ref="J59:K59"/>
    <mergeCell ref="P77:Q77"/>
    <mergeCell ref="R77:S77"/>
    <mergeCell ref="C76:G78"/>
    <mergeCell ref="H76:I76"/>
    <mergeCell ref="J76:K76"/>
    <mergeCell ref="L76:M76"/>
    <mergeCell ref="N76:O76"/>
    <mergeCell ref="P76:Q76"/>
    <mergeCell ref="R76:S76"/>
    <mergeCell ref="L59:M59"/>
    <mergeCell ref="N59:O59"/>
    <mergeCell ref="P59:Q59"/>
    <mergeCell ref="R59:S59"/>
    <mergeCell ref="C58:G60"/>
    <mergeCell ref="H58:I58"/>
    <mergeCell ref="J58:K58"/>
    <mergeCell ref="L58:M58"/>
    <mergeCell ref="N58:O58"/>
    <mergeCell ref="P58:Q58"/>
    <mergeCell ref="R58:S58"/>
    <mergeCell ref="C56:G56"/>
    <mergeCell ref="C151:G151"/>
    <mergeCell ref="C18:G18"/>
    <mergeCell ref="C19:D19"/>
    <mergeCell ref="I19:J19"/>
    <mergeCell ref="O19:P19"/>
    <mergeCell ref="C20:D20"/>
    <mergeCell ref="O20:P20"/>
    <mergeCell ref="C21:D21"/>
    <mergeCell ref="O21:P21"/>
    <mergeCell ref="I20:J20"/>
    <mergeCell ref="I21:J21"/>
    <mergeCell ref="C26:E26"/>
    <mergeCell ref="G26:I26"/>
    <mergeCell ref="O26:P27"/>
    <mergeCell ref="G27:H27"/>
    <mergeCell ref="G28:H28"/>
    <mergeCell ref="K28:L28"/>
    <mergeCell ref="G29:H29"/>
    <mergeCell ref="K29:L29"/>
    <mergeCell ref="G30:H30"/>
    <mergeCell ref="K30:L30"/>
    <mergeCell ref="F35:G35"/>
    <mergeCell ref="N42:O42"/>
    <mergeCell ref="C47:G47"/>
    <mergeCell ref="C48:G48"/>
    <mergeCell ref="C49:G49"/>
    <mergeCell ref="C50:G50"/>
    <mergeCell ref="C51:G51"/>
    <mergeCell ref="C52:G52"/>
    <mergeCell ref="C53:G53"/>
    <mergeCell ref="C54:G54"/>
    <mergeCell ref="C55:G55"/>
    <mergeCell ref="C16:I16"/>
    <mergeCell ref="I18:M18"/>
    <mergeCell ref="O18:S18"/>
    <mergeCell ref="K26:M26"/>
    <mergeCell ref="K27:L27"/>
    <mergeCell ref="C41:G43"/>
    <mergeCell ref="C44:G44"/>
    <mergeCell ref="C45:G45"/>
    <mergeCell ref="C46:G46"/>
    <mergeCell ref="Q26:R27"/>
    <mergeCell ref="P42:Q42"/>
    <mergeCell ref="J41:K41"/>
    <mergeCell ref="L41:M41"/>
    <mergeCell ref="N41:O41"/>
    <mergeCell ref="P41:Q41"/>
    <mergeCell ref="R41:S41"/>
    <mergeCell ref="J42:K42"/>
    <mergeCell ref="L42:M42"/>
    <mergeCell ref="R42:S42"/>
    <mergeCell ref="C35:E35"/>
    <mergeCell ref="C36:E36"/>
    <mergeCell ref="F36:G36"/>
    <mergeCell ref="C37:E37"/>
    <mergeCell ref="F37:G37"/>
    <mergeCell ref="B2:C8"/>
    <mergeCell ref="B9:H9"/>
    <mergeCell ref="B10:H10"/>
    <mergeCell ref="D13:E13"/>
    <mergeCell ref="F13:G13"/>
    <mergeCell ref="H13:I13"/>
    <mergeCell ref="J13:K13"/>
    <mergeCell ref="D14:E14"/>
    <mergeCell ref="F14:G14"/>
    <mergeCell ref="H14:I14"/>
    <mergeCell ref="J14:K14"/>
    <mergeCell ref="R4:R5"/>
    <mergeCell ref="S4:S5"/>
    <mergeCell ref="E4:O6"/>
    <mergeCell ref="E7:O8"/>
    <mergeCell ref="Q7:Q8"/>
    <mergeCell ref="R7:R8"/>
    <mergeCell ref="M13:N14"/>
    <mergeCell ref="O13:O14"/>
    <mergeCell ref="E2:O3"/>
    <mergeCell ref="P2:P3"/>
    <mergeCell ref="Q2:S3"/>
    <mergeCell ref="P4:P5"/>
    <mergeCell ref="Q4:Q5"/>
    <mergeCell ref="P6:P8"/>
    <mergeCell ref="S7:S8"/>
  </mergeCells>
  <printOptions horizontalCentered="1"/>
  <pageMargins left="0.23622047244094491" right="0.23622047244094491" top="0.74803149606299213" bottom="0.74803149606299213" header="0" footer="0"/>
  <pageSetup fitToHeight="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2CB"/>
    <pageSetUpPr fitToPage="1"/>
  </sheetPr>
  <dimension ref="B2:L1000"/>
  <sheetViews>
    <sheetView topLeftCell="E35" zoomScale="85" zoomScaleNormal="85" workbookViewId="0">
      <selection activeCell="H42" sqref="H42"/>
    </sheetView>
  </sheetViews>
  <sheetFormatPr baseColWidth="10" defaultColWidth="14.42578125" defaultRowHeight="15" customHeight="1"/>
  <cols>
    <col min="1" max="1" width="5.5703125" customWidth="1"/>
    <col min="2" max="2" width="16.5703125" customWidth="1"/>
    <col min="3" max="3" width="16.5703125" hidden="1" customWidth="1"/>
    <col min="4" max="4" width="87.42578125" customWidth="1"/>
    <col min="5" max="8" width="14.42578125" customWidth="1"/>
    <col min="9" max="9" width="12.42578125" customWidth="1"/>
    <col min="10" max="10" width="15.140625" customWidth="1"/>
    <col min="11" max="26" width="13.85546875" customWidth="1"/>
  </cols>
  <sheetData>
    <row r="2" spans="2:12" ht="17.25" customHeight="1">
      <c r="B2" s="1065"/>
      <c r="C2" s="927"/>
      <c r="D2" s="1066" t="str">
        <f>+Datos!$C$9</f>
        <v>CONSEJO SUPERIOR  DE  JUDICATURA– DIRECCIÓN  EJECUTIVA  SECCIONAL  DE ADMINISTRACIÓN JUDICIAL DE BUCARAMANGA</v>
      </c>
      <c r="E2" s="927"/>
      <c r="F2" s="1067" t="s">
        <v>1</v>
      </c>
      <c r="G2" s="931"/>
      <c r="H2" s="1068">
        <f>Datos!B3</f>
        <v>0</v>
      </c>
      <c r="I2" s="161"/>
      <c r="J2" s="161"/>
      <c r="K2" s="161"/>
      <c r="L2" s="161"/>
    </row>
    <row r="3" spans="2:12" ht="60" customHeight="1">
      <c r="B3" s="920"/>
      <c r="C3" s="924"/>
      <c r="D3" s="920"/>
      <c r="E3" s="924"/>
      <c r="F3" s="1003"/>
      <c r="G3" s="950"/>
      <c r="H3" s="1010"/>
      <c r="I3" s="161"/>
      <c r="J3" s="161"/>
      <c r="K3" s="161"/>
      <c r="L3" s="161"/>
    </row>
    <row r="4" spans="2:12" ht="17.25" customHeight="1">
      <c r="B4" s="920"/>
      <c r="C4" s="924"/>
      <c r="D4" s="97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E4" s="924"/>
      <c r="F4" s="1001" t="s">
        <v>29</v>
      </c>
      <c r="G4" s="940"/>
      <c r="H4" s="973"/>
      <c r="I4" s="161"/>
      <c r="J4" s="161"/>
      <c r="K4" s="161"/>
      <c r="L4" s="161"/>
    </row>
    <row r="5" spans="2:12" ht="17.25" customHeight="1">
      <c r="B5" s="920"/>
      <c r="C5" s="924"/>
      <c r="D5" s="920"/>
      <c r="E5" s="924"/>
      <c r="F5" s="162">
        <v>1</v>
      </c>
      <c r="G5" s="163" t="s">
        <v>30</v>
      </c>
      <c r="H5" s="164">
        <v>1</v>
      </c>
      <c r="I5" s="161"/>
      <c r="J5" s="161"/>
      <c r="K5" s="161"/>
      <c r="L5" s="161"/>
    </row>
    <row r="6" spans="2:12" ht="66.75" customHeight="1">
      <c r="B6" s="920"/>
      <c r="C6" s="924"/>
      <c r="D6" s="1003"/>
      <c r="E6" s="1004"/>
      <c r="F6" s="1001" t="s">
        <v>2</v>
      </c>
      <c r="G6" s="940"/>
      <c r="H6" s="973"/>
      <c r="I6" s="161"/>
      <c r="J6" s="161"/>
      <c r="K6" s="161"/>
      <c r="L6" s="161"/>
    </row>
    <row r="7" spans="2:12" ht="17.25" customHeight="1">
      <c r="B7" s="920"/>
      <c r="C7" s="924"/>
      <c r="D7" s="1005" t="s">
        <v>259</v>
      </c>
      <c r="E7" s="1006"/>
      <c r="F7" s="162" t="s">
        <v>3</v>
      </c>
      <c r="G7" s="163" t="s">
        <v>4</v>
      </c>
      <c r="H7" s="164" t="s">
        <v>5</v>
      </c>
      <c r="I7" s="161"/>
      <c r="J7" s="161"/>
      <c r="K7" s="161"/>
      <c r="L7" s="161"/>
    </row>
    <row r="8" spans="2:12" ht="17.25" customHeight="1">
      <c r="B8" s="929"/>
      <c r="C8" s="938"/>
      <c r="D8" s="929"/>
      <c r="E8" s="938"/>
      <c r="F8" s="165">
        <f>+Datos!$C$7</f>
        <v>19</v>
      </c>
      <c r="G8" s="166">
        <f>+Datos!$D$7</f>
        <v>6</v>
      </c>
      <c r="H8" s="167">
        <f>+Datos!$E$7</f>
        <v>2026</v>
      </c>
      <c r="I8" s="161"/>
      <c r="J8" s="161"/>
      <c r="K8" s="161"/>
      <c r="L8" s="161"/>
    </row>
    <row r="9" spans="2:12" ht="12.75" customHeight="1">
      <c r="B9" s="168"/>
      <c r="C9" s="169"/>
      <c r="D9" s="161"/>
      <c r="E9" s="38"/>
      <c r="F9" s="39"/>
      <c r="G9" s="39"/>
      <c r="H9" s="40"/>
      <c r="I9" s="161"/>
      <c r="J9" s="161"/>
      <c r="K9" s="161"/>
      <c r="L9" s="161"/>
    </row>
    <row r="10" spans="2:12" ht="12.75" customHeight="1">
      <c r="B10" s="169"/>
      <c r="C10" s="170"/>
      <c r="D10" s="161"/>
      <c r="E10" s="161"/>
      <c r="F10" s="168"/>
      <c r="G10" s="161"/>
      <c r="H10" s="161"/>
      <c r="I10" s="161"/>
      <c r="J10" s="161"/>
      <c r="K10" s="161"/>
      <c r="L10" s="161"/>
    </row>
    <row r="11" spans="2:12" ht="12.75" customHeight="1">
      <c r="B11" s="171">
        <v>1</v>
      </c>
      <c r="C11" s="171">
        <v>2</v>
      </c>
      <c r="D11" s="171">
        <v>3</v>
      </c>
      <c r="E11" s="171">
        <v>4</v>
      </c>
      <c r="F11" s="171">
        <v>5</v>
      </c>
      <c r="G11" s="171">
        <v>6</v>
      </c>
      <c r="H11" s="171">
        <v>7</v>
      </c>
      <c r="I11" s="171"/>
      <c r="J11" s="171"/>
      <c r="K11" s="171"/>
      <c r="L11" s="161"/>
    </row>
    <row r="12" spans="2:12" ht="23.25" customHeight="1">
      <c r="B12" s="172" t="s">
        <v>260</v>
      </c>
      <c r="C12" s="172" t="s">
        <v>261</v>
      </c>
      <c r="D12" s="172" t="s">
        <v>262</v>
      </c>
      <c r="E12" s="172" t="s">
        <v>263</v>
      </c>
      <c r="F12" s="172" t="s">
        <v>264</v>
      </c>
      <c r="G12" s="172" t="s">
        <v>265</v>
      </c>
      <c r="H12" s="172" t="s">
        <v>266</v>
      </c>
      <c r="I12" s="172" t="s">
        <v>267</v>
      </c>
      <c r="J12" s="161"/>
      <c r="K12" s="161"/>
      <c r="L12" s="172" t="s">
        <v>268</v>
      </c>
    </row>
    <row r="13" spans="2:12" ht="12.75" customHeight="1">
      <c r="B13" s="173" t="s">
        <v>269</v>
      </c>
      <c r="C13" s="174" t="s">
        <v>270</v>
      </c>
      <c r="D13" s="175" t="s">
        <v>271</v>
      </c>
      <c r="E13" s="176">
        <f t="shared" ref="E13:E21" si="0">+H13/1.19</f>
        <v>11625</v>
      </c>
      <c r="F13" s="173" t="s">
        <v>272</v>
      </c>
      <c r="G13" s="177" t="s">
        <v>270</v>
      </c>
      <c r="H13" s="176">
        <f>(93000*1.19)/8</f>
        <v>13833.75</v>
      </c>
      <c r="I13" s="177" t="s">
        <v>273</v>
      </c>
      <c r="J13" s="178"/>
      <c r="K13" s="161"/>
      <c r="L13" s="161" t="s">
        <v>274</v>
      </c>
    </row>
    <row r="14" spans="2:12" ht="12.75" customHeight="1">
      <c r="B14" s="173" t="s">
        <v>275</v>
      </c>
      <c r="C14" s="174" t="s">
        <v>270</v>
      </c>
      <c r="D14" s="179" t="s">
        <v>2443</v>
      </c>
      <c r="E14" s="176">
        <f t="shared" si="0"/>
        <v>126050.42016806723</v>
      </c>
      <c r="F14" s="173" t="s">
        <v>272</v>
      </c>
      <c r="G14" s="177" t="s">
        <v>270</v>
      </c>
      <c r="H14" s="176">
        <f>150000</f>
        <v>150000</v>
      </c>
      <c r="I14" s="177" t="s">
        <v>273</v>
      </c>
      <c r="J14" s="178"/>
      <c r="K14" s="161"/>
      <c r="L14" s="161" t="s">
        <v>277</v>
      </c>
    </row>
    <row r="15" spans="2:12" ht="12.75" customHeight="1">
      <c r="B15" s="173" t="s">
        <v>278</v>
      </c>
      <c r="C15" s="174" t="s">
        <v>270</v>
      </c>
      <c r="D15" s="179" t="s">
        <v>279</v>
      </c>
      <c r="E15" s="176">
        <f t="shared" si="0"/>
        <v>162815.12605042016</v>
      </c>
      <c r="F15" s="173" t="s">
        <v>272</v>
      </c>
      <c r="G15" s="177" t="s">
        <v>270</v>
      </c>
      <c r="H15" s="176">
        <f>1550000/8</f>
        <v>193750</v>
      </c>
      <c r="I15" s="177" t="s">
        <v>273</v>
      </c>
      <c r="J15" s="178"/>
      <c r="K15" s="161"/>
      <c r="L15" s="161" t="s">
        <v>280</v>
      </c>
    </row>
    <row r="16" spans="2:12" ht="12.75" customHeight="1">
      <c r="B16" s="173" t="s">
        <v>281</v>
      </c>
      <c r="C16" s="174" t="s">
        <v>270</v>
      </c>
      <c r="D16" s="175" t="s">
        <v>282</v>
      </c>
      <c r="E16" s="176">
        <f t="shared" si="0"/>
        <v>21625</v>
      </c>
      <c r="F16" s="173" t="s">
        <v>272</v>
      </c>
      <c r="G16" s="177" t="s">
        <v>270</v>
      </c>
      <c r="H16" s="176">
        <f>(173000*1.19)/8</f>
        <v>25733.75</v>
      </c>
      <c r="I16" s="177" t="s">
        <v>273</v>
      </c>
      <c r="J16" s="178"/>
      <c r="K16" s="161"/>
      <c r="L16" s="161" t="s">
        <v>274</v>
      </c>
    </row>
    <row r="17" spans="2:12" ht="12.75" customHeight="1">
      <c r="B17" s="173" t="s">
        <v>283</v>
      </c>
      <c r="C17" s="174" t="s">
        <v>270</v>
      </c>
      <c r="D17" s="177" t="s">
        <v>284</v>
      </c>
      <c r="E17" s="176">
        <f t="shared" si="0"/>
        <v>6054.6069133167357</v>
      </c>
      <c r="F17" s="173" t="s">
        <v>272</v>
      </c>
      <c r="G17" s="177" t="s">
        <v>270</v>
      </c>
      <c r="H17" s="176">
        <v>7204.9822268469152</v>
      </c>
      <c r="I17" s="177" t="s">
        <v>273</v>
      </c>
      <c r="J17" s="178">
        <f t="shared" ref="J17:J23" si="1">IF(F17="HR",H17*8,0)</f>
        <v>57639.857814775321</v>
      </c>
      <c r="K17" s="161"/>
      <c r="L17" s="161"/>
    </row>
    <row r="18" spans="2:12" ht="12.75" customHeight="1">
      <c r="B18" s="173" t="s">
        <v>285</v>
      </c>
      <c r="C18" s="174" t="s">
        <v>270</v>
      </c>
      <c r="D18" s="175" t="s">
        <v>286</v>
      </c>
      <c r="E18" s="176">
        <f t="shared" si="0"/>
        <v>56378.151260504201</v>
      </c>
      <c r="F18" s="173" t="s">
        <v>272</v>
      </c>
      <c r="G18" s="177" t="s">
        <v>270</v>
      </c>
      <c r="H18" s="176">
        <f>((111000*1.19*8)-(65000*8))/8</f>
        <v>67090</v>
      </c>
      <c r="I18" s="177" t="s">
        <v>273</v>
      </c>
      <c r="J18" s="178">
        <f t="shared" si="1"/>
        <v>536720</v>
      </c>
      <c r="K18" s="161"/>
      <c r="L18" s="161" t="s">
        <v>274</v>
      </c>
    </row>
    <row r="19" spans="2:12" ht="12.75" customHeight="1">
      <c r="B19" s="173" t="s">
        <v>287</v>
      </c>
      <c r="C19" s="174" t="s">
        <v>270</v>
      </c>
      <c r="D19" s="175" t="s">
        <v>288</v>
      </c>
      <c r="E19" s="176">
        <f t="shared" si="0"/>
        <v>131000</v>
      </c>
      <c r="F19" s="173" t="s">
        <v>272</v>
      </c>
      <c r="G19" s="177" t="s">
        <v>270</v>
      </c>
      <c r="H19" s="176">
        <f>131000*1.19</f>
        <v>155890</v>
      </c>
      <c r="I19" s="177" t="s">
        <v>273</v>
      </c>
      <c r="J19" s="178">
        <f t="shared" si="1"/>
        <v>1247120</v>
      </c>
      <c r="K19" s="161"/>
      <c r="L19" s="161" t="s">
        <v>274</v>
      </c>
    </row>
    <row r="20" spans="2:12" ht="12.75" customHeight="1">
      <c r="B20" s="173" t="s">
        <v>289</v>
      </c>
      <c r="C20" s="174" t="s">
        <v>270</v>
      </c>
      <c r="D20" s="177" t="s">
        <v>290</v>
      </c>
      <c r="E20" s="176">
        <f t="shared" si="0"/>
        <v>478.4844235294118</v>
      </c>
      <c r="F20" s="173" t="s">
        <v>272</v>
      </c>
      <c r="G20" s="177" t="s">
        <v>291</v>
      </c>
      <c r="H20" s="176">
        <v>569.39646400000004</v>
      </c>
      <c r="I20" s="177" t="s">
        <v>273</v>
      </c>
      <c r="J20" s="178">
        <f t="shared" si="1"/>
        <v>4555.1717120000003</v>
      </c>
      <c r="K20" s="161"/>
      <c r="L20" s="161"/>
    </row>
    <row r="21" spans="2:12" ht="12.75" customHeight="1">
      <c r="B21" s="173" t="s">
        <v>292</v>
      </c>
      <c r="C21" s="174" t="s">
        <v>270</v>
      </c>
      <c r="D21" s="177" t="s">
        <v>293</v>
      </c>
      <c r="E21" s="176">
        <f t="shared" si="0"/>
        <v>875.89823529411763</v>
      </c>
      <c r="F21" s="173" t="s">
        <v>272</v>
      </c>
      <c r="G21" s="177" t="s">
        <v>291</v>
      </c>
      <c r="H21" s="176">
        <f>987.98*1.055</f>
        <v>1042.3189</v>
      </c>
      <c r="I21" s="177" t="s">
        <v>273</v>
      </c>
      <c r="J21" s="178">
        <f t="shared" si="1"/>
        <v>8338.5511999999999</v>
      </c>
      <c r="K21" s="161"/>
      <c r="L21" s="161"/>
    </row>
    <row r="22" spans="2:12" ht="12.75" customHeight="1">
      <c r="B22" s="173" t="s">
        <v>294</v>
      </c>
      <c r="C22" s="174" t="s">
        <v>270</v>
      </c>
      <c r="D22" s="177" t="s">
        <v>295</v>
      </c>
      <c r="E22" s="176">
        <v>126653.49577266576</v>
      </c>
      <c r="F22" s="173" t="s">
        <v>272</v>
      </c>
      <c r="G22" s="177" t="s">
        <v>296</v>
      </c>
      <c r="H22" s="176">
        <v>211960.7888734728</v>
      </c>
      <c r="I22" s="177" t="s">
        <v>273</v>
      </c>
      <c r="J22" s="178">
        <f t="shared" si="1"/>
        <v>1695686.3109877824</v>
      </c>
      <c r="K22" s="161"/>
      <c r="L22" s="161"/>
    </row>
    <row r="23" spans="2:12" ht="12.75" customHeight="1">
      <c r="B23" s="173" t="s">
        <v>297</v>
      </c>
      <c r="C23" s="174" t="s">
        <v>270</v>
      </c>
      <c r="D23" s="175" t="s">
        <v>298</v>
      </c>
      <c r="E23" s="176">
        <f t="shared" ref="E23:E38" si="2">+H23/1.19</f>
        <v>18250</v>
      </c>
      <c r="F23" s="173" t="s">
        <v>272</v>
      </c>
      <c r="G23" s="177"/>
      <c r="H23" s="176">
        <f>(146000*1.19)/8</f>
        <v>21717.5</v>
      </c>
      <c r="I23" s="177" t="s">
        <v>273</v>
      </c>
      <c r="J23" s="178">
        <f t="shared" si="1"/>
        <v>173740</v>
      </c>
      <c r="K23" s="161"/>
      <c r="L23" s="161" t="s">
        <v>274</v>
      </c>
    </row>
    <row r="24" spans="2:12" ht="12.75" customHeight="1">
      <c r="B24" s="173" t="s">
        <v>299</v>
      </c>
      <c r="C24" s="174" t="s">
        <v>270</v>
      </c>
      <c r="D24" s="175" t="s">
        <v>2524</v>
      </c>
      <c r="E24" s="176">
        <f t="shared" si="2"/>
        <v>107000</v>
      </c>
      <c r="F24" s="173" t="s">
        <v>306</v>
      </c>
      <c r="G24" s="177" t="s">
        <v>270</v>
      </c>
      <c r="H24" s="176">
        <f>(107000*1.19)</f>
        <v>127330</v>
      </c>
      <c r="I24" s="177" t="s">
        <v>273</v>
      </c>
      <c r="J24" s="178"/>
      <c r="K24" s="161"/>
      <c r="L24" s="161" t="s">
        <v>274</v>
      </c>
    </row>
    <row r="25" spans="2:12" ht="12.75" customHeight="1">
      <c r="B25" s="173" t="s">
        <v>301</v>
      </c>
      <c r="C25" s="174" t="s">
        <v>270</v>
      </c>
      <c r="D25" s="177" t="s">
        <v>302</v>
      </c>
      <c r="E25" s="176">
        <f t="shared" si="2"/>
        <v>1115.4861111111109</v>
      </c>
      <c r="F25" s="173" t="s">
        <v>303</v>
      </c>
      <c r="G25" s="177" t="s">
        <v>270</v>
      </c>
      <c r="H25" s="176">
        <f>(735.486111111111+120+90+170)*1.19</f>
        <v>1327.4284722222219</v>
      </c>
      <c r="I25" s="177" t="s">
        <v>273</v>
      </c>
      <c r="J25" s="178">
        <f t="shared" ref="J25:J44" si="3">IF(F25="HR",H25*8,0)</f>
        <v>0</v>
      </c>
      <c r="K25" s="161"/>
      <c r="L25" s="161"/>
    </row>
    <row r="26" spans="2:12" ht="12.75" customHeight="1">
      <c r="B26" s="173" t="s">
        <v>304</v>
      </c>
      <c r="C26" s="174" t="s">
        <v>270</v>
      </c>
      <c r="D26" s="177" t="s">
        <v>305</v>
      </c>
      <c r="E26" s="176">
        <f t="shared" si="2"/>
        <v>23788.006666666668</v>
      </c>
      <c r="F26" s="173" t="s">
        <v>306</v>
      </c>
      <c r="G26" s="177" t="s">
        <v>270</v>
      </c>
      <c r="H26" s="176">
        <v>28307.727933333332</v>
      </c>
      <c r="I26" s="177" t="s">
        <v>273</v>
      </c>
      <c r="J26" s="178">
        <f t="shared" si="3"/>
        <v>0</v>
      </c>
      <c r="K26" s="161"/>
      <c r="L26" s="161"/>
    </row>
    <row r="27" spans="2:12" ht="12.75" customHeight="1">
      <c r="B27" s="173" t="s">
        <v>307</v>
      </c>
      <c r="C27" s="174" t="s">
        <v>270</v>
      </c>
      <c r="D27" s="179" t="s">
        <v>308</v>
      </c>
      <c r="E27" s="176">
        <f t="shared" si="2"/>
        <v>151260.50420168068</v>
      </c>
      <c r="F27" s="173" t="s">
        <v>306</v>
      </c>
      <c r="G27" s="177"/>
      <c r="H27" s="176">
        <v>180000</v>
      </c>
      <c r="I27" s="177" t="s">
        <v>273</v>
      </c>
      <c r="J27" s="178">
        <f t="shared" si="3"/>
        <v>0</v>
      </c>
      <c r="K27" s="161"/>
      <c r="L27" s="161" t="s">
        <v>280</v>
      </c>
    </row>
    <row r="28" spans="2:12" ht="12.75" customHeight="1">
      <c r="B28" s="173" t="s">
        <v>309</v>
      </c>
      <c r="C28" s="174" t="s">
        <v>270</v>
      </c>
      <c r="D28" s="177" t="s">
        <v>2500</v>
      </c>
      <c r="E28" s="176">
        <f t="shared" si="2"/>
        <v>164285.71428571426</v>
      </c>
      <c r="F28" s="173" t="s">
        <v>306</v>
      </c>
      <c r="G28" s="177" t="s">
        <v>270</v>
      </c>
      <c r="H28" s="176">
        <f>170000*1.15</f>
        <v>195499.99999999997</v>
      </c>
      <c r="I28" s="177" t="s">
        <v>273</v>
      </c>
      <c r="J28" s="178">
        <f t="shared" si="3"/>
        <v>0</v>
      </c>
      <c r="K28" s="161"/>
      <c r="L28" s="161"/>
    </row>
    <row r="29" spans="2:12" ht="12.75" customHeight="1">
      <c r="B29" s="173" t="s">
        <v>310</v>
      </c>
      <c r="C29" s="174" t="s">
        <v>270</v>
      </c>
      <c r="D29" s="177" t="s">
        <v>2510</v>
      </c>
      <c r="E29" s="176">
        <f t="shared" si="2"/>
        <v>164285.71428571426</v>
      </c>
      <c r="F29" s="173" t="s">
        <v>306</v>
      </c>
      <c r="G29" s="177" t="s">
        <v>270</v>
      </c>
      <c r="H29" s="176">
        <f>170000*1.15</f>
        <v>195499.99999999997</v>
      </c>
      <c r="I29" s="177" t="s">
        <v>273</v>
      </c>
      <c r="J29" s="178">
        <f t="shared" si="3"/>
        <v>0</v>
      </c>
      <c r="K29" s="161"/>
      <c r="L29" s="161"/>
    </row>
    <row r="30" spans="2:12" ht="12.75" customHeight="1">
      <c r="B30" s="173" t="s">
        <v>312</v>
      </c>
      <c r="C30" s="174" t="s">
        <v>270</v>
      </c>
      <c r="D30" s="177" t="s">
        <v>313</v>
      </c>
      <c r="E30" s="176">
        <f t="shared" si="2"/>
        <v>6633.8235294117649</v>
      </c>
      <c r="F30" s="173" t="s">
        <v>272</v>
      </c>
      <c r="G30" s="177" t="s">
        <v>270</v>
      </c>
      <c r="H30" s="176">
        <v>7894.25</v>
      </c>
      <c r="I30" s="177" t="s">
        <v>273</v>
      </c>
      <c r="J30" s="178">
        <f t="shared" si="3"/>
        <v>63154</v>
      </c>
      <c r="K30" s="161"/>
      <c r="L30" s="161"/>
    </row>
    <row r="31" spans="2:12" ht="12.75" customHeight="1">
      <c r="B31" s="173" t="s">
        <v>314</v>
      </c>
      <c r="C31" s="174" t="s">
        <v>270</v>
      </c>
      <c r="D31" s="177" t="s">
        <v>2501</v>
      </c>
      <c r="E31" s="176">
        <f t="shared" si="2"/>
        <v>57983.193277310929</v>
      </c>
      <c r="F31" s="173" t="s">
        <v>306</v>
      </c>
      <c r="G31" s="177" t="s">
        <v>270</v>
      </c>
      <c r="H31" s="176">
        <f>60000*1.15</f>
        <v>69000</v>
      </c>
      <c r="I31" s="177" t="s">
        <v>273</v>
      </c>
      <c r="J31" s="178">
        <f t="shared" si="3"/>
        <v>0</v>
      </c>
      <c r="K31" s="161"/>
      <c r="L31" s="161"/>
    </row>
    <row r="32" spans="2:12" ht="12.75" customHeight="1">
      <c r="B32" s="173" t="s">
        <v>316</v>
      </c>
      <c r="C32" s="174" t="s">
        <v>270</v>
      </c>
      <c r="D32" s="177" t="s">
        <v>317</v>
      </c>
      <c r="E32" s="176">
        <f t="shared" si="2"/>
        <v>17690.196078431371</v>
      </c>
      <c r="F32" s="173" t="s">
        <v>272</v>
      </c>
      <c r="G32" s="177" t="s">
        <v>270</v>
      </c>
      <c r="H32" s="176">
        <v>21051.333333333332</v>
      </c>
      <c r="I32" s="177" t="s">
        <v>273</v>
      </c>
      <c r="J32" s="178">
        <f t="shared" si="3"/>
        <v>168410.66666666666</v>
      </c>
      <c r="K32" s="161"/>
      <c r="L32" s="161"/>
    </row>
    <row r="33" spans="2:10" ht="12.75" customHeight="1">
      <c r="B33" s="173" t="s">
        <v>318</v>
      </c>
      <c r="C33" s="174"/>
      <c r="D33" s="177" t="s">
        <v>319</v>
      </c>
      <c r="E33" s="176">
        <f t="shared" si="2"/>
        <v>9508.4803921568637</v>
      </c>
      <c r="F33" s="173" t="s">
        <v>272</v>
      </c>
      <c r="G33" s="177" t="s">
        <v>270</v>
      </c>
      <c r="H33" s="176">
        <v>11315.091666666667</v>
      </c>
      <c r="I33" s="177" t="s">
        <v>273</v>
      </c>
      <c r="J33" s="178">
        <f t="shared" si="3"/>
        <v>90520.733333333337</v>
      </c>
    </row>
    <row r="34" spans="2:10" ht="12.75" customHeight="1">
      <c r="B34" s="173" t="s">
        <v>320</v>
      </c>
      <c r="C34" s="174" t="s">
        <v>270</v>
      </c>
      <c r="D34" s="177" t="s">
        <v>321</v>
      </c>
      <c r="E34" s="176">
        <f t="shared" si="2"/>
        <v>3316.9117647058824</v>
      </c>
      <c r="F34" s="173" t="s">
        <v>272</v>
      </c>
      <c r="G34" s="177" t="s">
        <v>270</v>
      </c>
      <c r="H34" s="176">
        <v>3947.125</v>
      </c>
      <c r="I34" s="177" t="s">
        <v>273</v>
      </c>
      <c r="J34" s="178">
        <f t="shared" si="3"/>
        <v>31577</v>
      </c>
    </row>
    <row r="35" spans="2:10" ht="12.75" customHeight="1">
      <c r="B35" s="173" t="s">
        <v>322</v>
      </c>
      <c r="C35" s="174" t="s">
        <v>270</v>
      </c>
      <c r="D35" s="177" t="s">
        <v>323</v>
      </c>
      <c r="E35" s="176">
        <f t="shared" si="2"/>
        <v>53070.588235294119</v>
      </c>
      <c r="F35" s="173" t="s">
        <v>306</v>
      </c>
      <c r="G35" s="177" t="s">
        <v>270</v>
      </c>
      <c r="H35" s="176">
        <v>63154</v>
      </c>
      <c r="I35" s="177" t="s">
        <v>273</v>
      </c>
      <c r="J35" s="178">
        <f t="shared" si="3"/>
        <v>0</v>
      </c>
    </row>
    <row r="36" spans="2:10" ht="12.75" customHeight="1">
      <c r="B36" s="173" t="s">
        <v>324</v>
      </c>
      <c r="C36" s="174" t="s">
        <v>270</v>
      </c>
      <c r="D36" s="177" t="s">
        <v>2504</v>
      </c>
      <c r="E36" s="176">
        <f t="shared" si="2"/>
        <v>106302.52100840336</v>
      </c>
      <c r="F36" s="173" t="s">
        <v>306</v>
      </c>
      <c r="G36" s="177" t="s">
        <v>270</v>
      </c>
      <c r="H36" s="176">
        <f>110000*1.15</f>
        <v>126499.99999999999</v>
      </c>
      <c r="I36" s="177" t="s">
        <v>273</v>
      </c>
      <c r="J36" s="178">
        <f t="shared" si="3"/>
        <v>0</v>
      </c>
    </row>
    <row r="37" spans="2:10" ht="12.75" customHeight="1">
      <c r="B37" s="173" t="s">
        <v>325</v>
      </c>
      <c r="C37" s="174" t="s">
        <v>270</v>
      </c>
      <c r="D37" s="177" t="s">
        <v>2507</v>
      </c>
      <c r="E37" s="176">
        <f t="shared" si="2"/>
        <v>57983.193277310929</v>
      </c>
      <c r="F37" s="173" t="s">
        <v>306</v>
      </c>
      <c r="G37" s="177" t="s">
        <v>270</v>
      </c>
      <c r="H37" s="176">
        <f>60000*1.15</f>
        <v>69000</v>
      </c>
      <c r="I37" s="177" t="s">
        <v>273</v>
      </c>
      <c r="J37" s="178">
        <f t="shared" si="3"/>
        <v>0</v>
      </c>
    </row>
    <row r="38" spans="2:10" ht="12.75" customHeight="1">
      <c r="B38" s="173" t="s">
        <v>326</v>
      </c>
      <c r="C38" s="174" t="s">
        <v>270</v>
      </c>
      <c r="D38" s="177" t="s">
        <v>327</v>
      </c>
      <c r="E38" s="176">
        <f t="shared" si="2"/>
        <v>68549.509803921581</v>
      </c>
      <c r="F38" s="173" t="s">
        <v>272</v>
      </c>
      <c r="G38" s="177" t="s">
        <v>270</v>
      </c>
      <c r="H38" s="176">
        <v>81573.916666666672</v>
      </c>
      <c r="I38" s="177" t="s">
        <v>273</v>
      </c>
      <c r="J38" s="178">
        <f t="shared" si="3"/>
        <v>652591.33333333337</v>
      </c>
    </row>
    <row r="39" spans="2:10" ht="12.75" customHeight="1">
      <c r="B39" s="173" t="s">
        <v>328</v>
      </c>
      <c r="C39" s="174" t="s">
        <v>270</v>
      </c>
      <c r="D39" s="177" t="s">
        <v>329</v>
      </c>
      <c r="E39" s="176">
        <v>58823.529411764706</v>
      </c>
      <c r="F39" s="173" t="s">
        <v>306</v>
      </c>
      <c r="G39" s="177" t="s">
        <v>270</v>
      </c>
      <c r="H39" s="176">
        <f>70000*1.055</f>
        <v>73850</v>
      </c>
      <c r="I39" s="177" t="s">
        <v>273</v>
      </c>
      <c r="J39" s="178">
        <f t="shared" si="3"/>
        <v>0</v>
      </c>
    </row>
    <row r="40" spans="2:10" ht="12.75" customHeight="1">
      <c r="B40" s="173" t="s">
        <v>330</v>
      </c>
      <c r="C40" s="174" t="s">
        <v>270</v>
      </c>
      <c r="D40" s="177" t="s">
        <v>331</v>
      </c>
      <c r="E40" s="176">
        <f t="shared" ref="E40:E41" si="4">+H40/1.19</f>
        <v>42890.037331647291</v>
      </c>
      <c r="F40" s="173" t="s">
        <v>272</v>
      </c>
      <c r="G40" s="177" t="s">
        <v>296</v>
      </c>
      <c r="H40" s="176">
        <v>51039.14442466027</v>
      </c>
      <c r="I40" s="177" t="s">
        <v>273</v>
      </c>
      <c r="J40" s="178">
        <f t="shared" si="3"/>
        <v>408313.15539728216</v>
      </c>
    </row>
    <row r="41" spans="2:10" ht="12.75" customHeight="1">
      <c r="B41" s="173" t="s">
        <v>332</v>
      </c>
      <c r="C41" s="174" t="s">
        <v>270</v>
      </c>
      <c r="D41" s="177" t="s">
        <v>2596</v>
      </c>
      <c r="E41" s="176">
        <f t="shared" si="4"/>
        <v>630.2521008403362</v>
      </c>
      <c r="F41" s="173" t="s">
        <v>306</v>
      </c>
      <c r="G41" s="177"/>
      <c r="H41" s="176">
        <v>750</v>
      </c>
      <c r="I41" s="177" t="s">
        <v>273</v>
      </c>
      <c r="J41" s="178">
        <f t="shared" si="3"/>
        <v>0</v>
      </c>
    </row>
    <row r="42" spans="2:10" ht="12.75" customHeight="1">
      <c r="B42" s="173" t="s">
        <v>333</v>
      </c>
      <c r="C42" s="174"/>
      <c r="D42" s="177" t="s">
        <v>334</v>
      </c>
      <c r="E42" s="176">
        <v>121070.52326954769</v>
      </c>
      <c r="F42" s="173" t="s">
        <v>272</v>
      </c>
      <c r="G42" s="177" t="s">
        <v>296</v>
      </c>
      <c r="H42" s="176">
        <v>144073.92269076174</v>
      </c>
      <c r="I42" s="177" t="s">
        <v>273</v>
      </c>
      <c r="J42" s="178">
        <f t="shared" si="3"/>
        <v>1152591.3815260939</v>
      </c>
    </row>
    <row r="43" spans="2:10" ht="12.75" customHeight="1">
      <c r="B43" s="173" t="s">
        <v>335</v>
      </c>
      <c r="C43" s="174"/>
      <c r="D43" s="177" t="s">
        <v>336</v>
      </c>
      <c r="E43" s="176">
        <f t="shared" ref="E43:E45" si="5">H43/1.19</f>
        <v>35420.168067226892</v>
      </c>
      <c r="F43" s="173" t="s">
        <v>303</v>
      </c>
      <c r="G43" s="177"/>
      <c r="H43" s="176">
        <v>42150</v>
      </c>
      <c r="I43" s="177" t="s">
        <v>273</v>
      </c>
      <c r="J43" s="178">
        <f t="shared" si="3"/>
        <v>0</v>
      </c>
    </row>
    <row r="44" spans="2:10" ht="12.75" customHeight="1">
      <c r="B44" s="173" t="s">
        <v>337</v>
      </c>
      <c r="C44" s="174"/>
      <c r="D44" s="177" t="s">
        <v>338</v>
      </c>
      <c r="E44" s="176">
        <f t="shared" si="5"/>
        <v>49431.932773109249</v>
      </c>
      <c r="F44" s="173" t="s">
        <v>306</v>
      </c>
      <c r="G44" s="177"/>
      <c r="H44" s="176">
        <f>ROUND(1000000/(17),0)</f>
        <v>58824</v>
      </c>
      <c r="I44" s="177" t="s">
        <v>273</v>
      </c>
      <c r="J44" s="178">
        <f t="shared" si="3"/>
        <v>0</v>
      </c>
    </row>
    <row r="45" spans="2:10" ht="12.75" customHeight="1">
      <c r="B45" s="173" t="s">
        <v>339</v>
      </c>
      <c r="C45" s="174"/>
      <c r="D45" s="177" t="s">
        <v>340</v>
      </c>
      <c r="E45" s="176">
        <f t="shared" si="5"/>
        <v>46218.487394957985</v>
      </c>
      <c r="F45" s="173" t="s">
        <v>306</v>
      </c>
      <c r="G45" s="177"/>
      <c r="H45" s="176">
        <f>1100000/20</f>
        <v>55000</v>
      </c>
      <c r="I45" s="177" t="s">
        <v>273</v>
      </c>
      <c r="J45" s="178"/>
    </row>
    <row r="46" spans="2:10" ht="12.75" customHeight="1">
      <c r="B46" s="173"/>
      <c r="C46" s="174"/>
      <c r="D46" s="177"/>
      <c r="E46" s="176"/>
      <c r="F46" s="173"/>
      <c r="G46" s="177"/>
      <c r="H46" s="176"/>
      <c r="I46" s="173"/>
      <c r="J46" s="178"/>
    </row>
    <row r="47" spans="2:10" ht="12.75" customHeight="1">
      <c r="B47" s="173"/>
      <c r="C47" s="174"/>
      <c r="D47" s="177"/>
      <c r="E47" s="176"/>
      <c r="F47" s="173"/>
      <c r="G47" s="177"/>
      <c r="H47" s="176"/>
      <c r="I47" s="173"/>
      <c r="J47" s="178"/>
    </row>
    <row r="48" spans="2:10" ht="12.75" customHeight="1">
      <c r="B48" s="173"/>
      <c r="C48" s="174"/>
      <c r="D48" s="177"/>
      <c r="E48" s="176"/>
      <c r="F48" s="173"/>
      <c r="G48" s="177"/>
      <c r="H48" s="176"/>
      <c r="I48" s="173"/>
      <c r="J48" s="178"/>
    </row>
    <row r="49" spans="2:9" ht="12.75" customHeight="1">
      <c r="B49" s="173"/>
      <c r="C49" s="174"/>
      <c r="D49" s="177"/>
      <c r="E49" s="176"/>
      <c r="F49" s="173"/>
      <c r="G49" s="177" t="s">
        <v>270</v>
      </c>
      <c r="H49" s="176">
        <v>26894</v>
      </c>
      <c r="I49" s="173" t="s">
        <v>273</v>
      </c>
    </row>
    <row r="50" spans="2:9" ht="12.75" customHeight="1">
      <c r="B50" s="173" t="s">
        <v>341</v>
      </c>
      <c r="C50" s="174" t="s">
        <v>270</v>
      </c>
      <c r="D50" s="177" t="s">
        <v>342</v>
      </c>
      <c r="E50" s="176">
        <v>420.1680672268908</v>
      </c>
      <c r="F50" s="173" t="s">
        <v>306</v>
      </c>
      <c r="G50" s="177" t="s">
        <v>270</v>
      </c>
      <c r="H50" s="176">
        <v>500</v>
      </c>
      <c r="I50" s="173" t="s">
        <v>273</v>
      </c>
    </row>
    <row r="51" spans="2:9" ht="12.75" customHeight="1">
      <c r="B51" s="173" t="s">
        <v>343</v>
      </c>
      <c r="C51" s="174" t="s">
        <v>270</v>
      </c>
      <c r="D51" s="177" t="s">
        <v>344</v>
      </c>
      <c r="E51" s="176">
        <v>220.00000000000003</v>
      </c>
      <c r="F51" s="173" t="s">
        <v>306</v>
      </c>
      <c r="G51" s="177" t="s">
        <v>270</v>
      </c>
      <c r="H51" s="176">
        <v>261.8</v>
      </c>
      <c r="I51" s="173" t="s">
        <v>273</v>
      </c>
    </row>
    <row r="52" spans="2:9" ht="12.75" customHeight="1">
      <c r="B52" s="173" t="s">
        <v>345</v>
      </c>
      <c r="C52" s="174" t="s">
        <v>270</v>
      </c>
      <c r="D52" s="177" t="s">
        <v>302</v>
      </c>
      <c r="E52" s="176">
        <v>1115.4861111111109</v>
      </c>
      <c r="F52" s="173" t="s">
        <v>303</v>
      </c>
      <c r="G52" s="177" t="s">
        <v>270</v>
      </c>
      <c r="H52" s="176">
        <v>1327.4284722222219</v>
      </c>
      <c r="I52" s="173" t="s">
        <v>273</v>
      </c>
    </row>
    <row r="53" spans="2:9" ht="12.75" customHeight="1">
      <c r="B53" s="173" t="s">
        <v>346</v>
      </c>
      <c r="C53" s="174" t="s">
        <v>270</v>
      </c>
      <c r="D53" s="177" t="s">
        <v>347</v>
      </c>
      <c r="E53" s="176">
        <v>25210.084033613446</v>
      </c>
      <c r="F53" s="173" t="s">
        <v>306</v>
      </c>
      <c r="G53" s="177" t="s">
        <v>270</v>
      </c>
      <c r="H53" s="176">
        <v>30000</v>
      </c>
      <c r="I53" s="173" t="s">
        <v>273</v>
      </c>
    </row>
    <row r="54" spans="2:9" ht="12.75" customHeight="1">
      <c r="B54" s="173" t="s">
        <v>348</v>
      </c>
      <c r="C54" s="174" t="s">
        <v>270</v>
      </c>
      <c r="D54" s="177" t="s">
        <v>311</v>
      </c>
      <c r="E54" s="176">
        <v>80000</v>
      </c>
      <c r="F54" s="173" t="s">
        <v>306</v>
      </c>
      <c r="G54" s="177" t="s">
        <v>270</v>
      </c>
      <c r="H54" s="176">
        <v>95200</v>
      </c>
      <c r="I54" s="173" t="s">
        <v>273</v>
      </c>
    </row>
    <row r="55" spans="2:9" ht="12.75" customHeight="1">
      <c r="B55" s="173" t="s">
        <v>349</v>
      </c>
      <c r="C55" s="174" t="s">
        <v>270</v>
      </c>
      <c r="D55" s="177" t="s">
        <v>315</v>
      </c>
      <c r="E55" s="176">
        <v>33613.445378151264</v>
      </c>
      <c r="F55" s="173" t="s">
        <v>306</v>
      </c>
      <c r="G55" s="177" t="s">
        <v>270</v>
      </c>
      <c r="H55" s="176">
        <v>40000</v>
      </c>
      <c r="I55" s="173" t="s">
        <v>273</v>
      </c>
    </row>
    <row r="56" spans="2:9" ht="12.75" customHeight="1">
      <c r="B56" s="173" t="s">
        <v>350</v>
      </c>
      <c r="C56" s="174" t="s">
        <v>270</v>
      </c>
      <c r="D56" s="177" t="s">
        <v>313</v>
      </c>
      <c r="E56" s="176">
        <v>50420.168067226892</v>
      </c>
      <c r="F56" s="173" t="s">
        <v>306</v>
      </c>
      <c r="G56" s="177" t="s">
        <v>270</v>
      </c>
      <c r="H56" s="176">
        <v>60000</v>
      </c>
      <c r="I56" s="173" t="s">
        <v>273</v>
      </c>
    </row>
    <row r="57" spans="2:9" ht="12.75" customHeight="1">
      <c r="B57" s="173" t="s">
        <v>351</v>
      </c>
      <c r="C57" s="174" t="s">
        <v>270</v>
      </c>
      <c r="D57" s="177" t="s">
        <v>352</v>
      </c>
      <c r="E57" s="176">
        <v>350</v>
      </c>
      <c r="F57" s="173" t="s">
        <v>306</v>
      </c>
      <c r="G57" s="177" t="s">
        <v>270</v>
      </c>
      <c r="H57" s="176">
        <v>416.5</v>
      </c>
      <c r="I57" s="173" t="s">
        <v>273</v>
      </c>
    </row>
    <row r="58" spans="2:9" ht="12.75" customHeight="1">
      <c r="B58" s="173" t="s">
        <v>353</v>
      </c>
      <c r="C58" s="174" t="s">
        <v>270</v>
      </c>
      <c r="D58" s="177" t="s">
        <v>354</v>
      </c>
      <c r="E58" s="176">
        <v>380</v>
      </c>
      <c r="F58" s="173" t="s">
        <v>306</v>
      </c>
      <c r="G58" s="177" t="s">
        <v>270</v>
      </c>
      <c r="H58" s="176">
        <v>452.2</v>
      </c>
      <c r="I58" s="173" t="s">
        <v>273</v>
      </c>
    </row>
    <row r="59" spans="2:9" ht="12.75" customHeight="1">
      <c r="B59" s="173" t="s">
        <v>355</v>
      </c>
      <c r="C59" s="174" t="s">
        <v>270</v>
      </c>
      <c r="D59" s="177" t="s">
        <v>356</v>
      </c>
      <c r="E59" s="176">
        <v>180</v>
      </c>
      <c r="F59" s="173" t="s">
        <v>306</v>
      </c>
      <c r="G59" s="177" t="s">
        <v>270</v>
      </c>
      <c r="H59" s="176">
        <v>214.2</v>
      </c>
      <c r="I59" s="173" t="s">
        <v>273</v>
      </c>
    </row>
    <row r="60" spans="2:9" ht="12.75" customHeight="1">
      <c r="B60" s="173" t="s">
        <v>357</v>
      </c>
      <c r="C60" s="174" t="s">
        <v>270</v>
      </c>
      <c r="D60" s="177" t="s">
        <v>358</v>
      </c>
      <c r="E60" s="176">
        <v>130</v>
      </c>
      <c r="F60" s="173" t="s">
        <v>306</v>
      </c>
      <c r="G60" s="177" t="s">
        <v>270</v>
      </c>
      <c r="H60" s="176">
        <v>154.69999999999999</v>
      </c>
      <c r="I60" s="173" t="s">
        <v>273</v>
      </c>
    </row>
    <row r="61" spans="2:9" ht="12.75" customHeight="1">
      <c r="B61" s="173" t="s">
        <v>359</v>
      </c>
      <c r="C61" s="174" t="s">
        <v>270</v>
      </c>
      <c r="D61" s="177" t="s">
        <v>360</v>
      </c>
      <c r="E61" s="176">
        <v>50420.168067226892</v>
      </c>
      <c r="F61" s="173" t="s">
        <v>306</v>
      </c>
      <c r="G61" s="177" t="s">
        <v>270</v>
      </c>
      <c r="H61" s="176">
        <v>60000</v>
      </c>
      <c r="I61" s="173" t="s">
        <v>273</v>
      </c>
    </row>
    <row r="62" spans="2:9" ht="12.75" customHeight="1">
      <c r="B62" s="173" t="s">
        <v>361</v>
      </c>
      <c r="C62" s="174" t="s">
        <v>270</v>
      </c>
      <c r="D62" s="177" t="s">
        <v>300</v>
      </c>
      <c r="E62" s="176">
        <v>50420.168067226892</v>
      </c>
      <c r="F62" s="173" t="s">
        <v>306</v>
      </c>
      <c r="G62" s="177" t="s">
        <v>270</v>
      </c>
      <c r="H62" s="176">
        <v>60000</v>
      </c>
      <c r="I62" s="173" t="s">
        <v>273</v>
      </c>
    </row>
    <row r="63" spans="2:9" ht="12.75" customHeight="1">
      <c r="B63" s="173" t="s">
        <v>362</v>
      </c>
      <c r="C63" s="174" t="s">
        <v>270</v>
      </c>
      <c r="D63" s="177" t="s">
        <v>363</v>
      </c>
      <c r="E63" s="176">
        <v>71428.571428571435</v>
      </c>
      <c r="F63" s="173" t="s">
        <v>272</v>
      </c>
      <c r="G63" s="177" t="s">
        <v>270</v>
      </c>
      <c r="H63" s="176">
        <v>85000</v>
      </c>
      <c r="I63" s="173" t="s">
        <v>273</v>
      </c>
    </row>
    <row r="64" spans="2:9" ht="12.75" customHeight="1">
      <c r="B64" s="173" t="s">
        <v>364</v>
      </c>
      <c r="C64" s="174" t="s">
        <v>270</v>
      </c>
      <c r="D64" s="177" t="s">
        <v>365</v>
      </c>
      <c r="E64" s="176">
        <v>50420.168067226892</v>
      </c>
      <c r="F64" s="173" t="s">
        <v>306</v>
      </c>
      <c r="G64" s="177" t="s">
        <v>270</v>
      </c>
      <c r="H64" s="176">
        <v>60000</v>
      </c>
      <c r="I64" s="173" t="s">
        <v>273</v>
      </c>
    </row>
    <row r="65" spans="2:9" ht="12.75" customHeight="1">
      <c r="B65" s="173" t="s">
        <v>366</v>
      </c>
      <c r="C65" s="174" t="s">
        <v>270</v>
      </c>
      <c r="D65" s="177" t="s">
        <v>367</v>
      </c>
      <c r="E65" s="176">
        <v>2205.4861111111109</v>
      </c>
      <c r="F65" s="173" t="s">
        <v>303</v>
      </c>
      <c r="G65" s="177" t="s">
        <v>270</v>
      </c>
      <c r="H65" s="176">
        <v>2624.5284722222218</v>
      </c>
      <c r="I65" s="173" t="s">
        <v>273</v>
      </c>
    </row>
    <row r="66" spans="2:9" ht="12.75" customHeight="1">
      <c r="B66" s="173" t="s">
        <v>368</v>
      </c>
      <c r="C66" s="174" t="s">
        <v>270</v>
      </c>
      <c r="D66" s="177" t="s">
        <v>369</v>
      </c>
      <c r="E66" s="176">
        <v>21008.403361344539</v>
      </c>
      <c r="F66" s="173" t="s">
        <v>306</v>
      </c>
      <c r="G66" s="177" t="s">
        <v>270</v>
      </c>
      <c r="H66" s="176">
        <v>25000</v>
      </c>
      <c r="I66" s="173" t="s">
        <v>273</v>
      </c>
    </row>
    <row r="67" spans="2:9" ht="12.75" customHeight="1">
      <c r="B67" s="173" t="s">
        <v>370</v>
      </c>
      <c r="C67" s="174" t="s">
        <v>270</v>
      </c>
      <c r="D67" s="177" t="s">
        <v>2452</v>
      </c>
      <c r="E67" s="176">
        <v>12605.042016806723</v>
      </c>
      <c r="F67" s="173" t="s">
        <v>306</v>
      </c>
      <c r="G67" s="177" t="s">
        <v>270</v>
      </c>
      <c r="H67" s="176">
        <f>90000*1.15</f>
        <v>103499.99999999999</v>
      </c>
      <c r="I67" s="173" t="s">
        <v>273</v>
      </c>
    </row>
    <row r="68" spans="2:9" ht="12.75" customHeight="1">
      <c r="B68" s="173" t="s">
        <v>372</v>
      </c>
      <c r="C68" s="174" t="s">
        <v>270</v>
      </c>
      <c r="D68" s="177" t="s">
        <v>329</v>
      </c>
      <c r="E68" s="176">
        <v>58823.529411764706</v>
      </c>
      <c r="F68" s="173" t="s">
        <v>306</v>
      </c>
      <c r="G68" s="177" t="s">
        <v>270</v>
      </c>
      <c r="H68" s="176">
        <v>70000</v>
      </c>
      <c r="I68" s="173" t="s">
        <v>273</v>
      </c>
    </row>
    <row r="69" spans="2:9" ht="12.75" customHeight="1">
      <c r="B69" s="173" t="s">
        <v>373</v>
      </c>
      <c r="C69" s="174" t="s">
        <v>270</v>
      </c>
      <c r="D69" s="177" t="s">
        <v>276</v>
      </c>
      <c r="E69" s="176">
        <v>126050.42016806723</v>
      </c>
      <c r="F69" s="173" t="s">
        <v>306</v>
      </c>
      <c r="G69" s="177" t="s">
        <v>270</v>
      </c>
      <c r="H69" s="176">
        <v>150000</v>
      </c>
      <c r="I69" s="173" t="s">
        <v>273</v>
      </c>
    </row>
    <row r="70" spans="2:9" ht="12.75" customHeight="1">
      <c r="B70" s="173" t="s">
        <v>374</v>
      </c>
      <c r="C70" s="174" t="s">
        <v>270</v>
      </c>
      <c r="D70" s="177" t="s">
        <v>271</v>
      </c>
      <c r="E70" s="176">
        <v>75630.252100840342</v>
      </c>
      <c r="F70" s="173" t="s">
        <v>306</v>
      </c>
      <c r="G70" s="177" t="s">
        <v>270</v>
      </c>
      <c r="H70" s="176">
        <v>90000</v>
      </c>
      <c r="I70" s="173" t="s">
        <v>273</v>
      </c>
    </row>
    <row r="71" spans="2:9" ht="12.75" customHeight="1">
      <c r="B71" s="173" t="s">
        <v>375</v>
      </c>
      <c r="C71" s="174" t="s">
        <v>270</v>
      </c>
      <c r="D71" s="177" t="s">
        <v>376</v>
      </c>
      <c r="E71" s="176">
        <v>180</v>
      </c>
      <c r="F71" s="173" t="s">
        <v>306</v>
      </c>
      <c r="G71" s="177" t="s">
        <v>270</v>
      </c>
      <c r="H71" s="176">
        <v>214.2</v>
      </c>
      <c r="I71" s="173" t="s">
        <v>273</v>
      </c>
    </row>
    <row r="72" spans="2:9" ht="12.75" customHeight="1">
      <c r="B72" s="173" t="s">
        <v>377</v>
      </c>
      <c r="C72" s="174" t="s">
        <v>270</v>
      </c>
      <c r="D72" s="177" t="s">
        <v>378</v>
      </c>
      <c r="E72" s="176">
        <v>33613.445378151264</v>
      </c>
      <c r="F72" s="173" t="s">
        <v>306</v>
      </c>
      <c r="G72" s="177" t="s">
        <v>270</v>
      </c>
      <c r="H72" s="176">
        <v>40000</v>
      </c>
      <c r="I72" s="173" t="s">
        <v>273</v>
      </c>
    </row>
    <row r="73" spans="2:9" ht="12.75" customHeight="1">
      <c r="B73" s="173" t="s">
        <v>379</v>
      </c>
      <c r="C73" s="174" t="s">
        <v>270</v>
      </c>
      <c r="D73" s="177" t="s">
        <v>327</v>
      </c>
      <c r="E73" s="176">
        <v>521008.40336134454</v>
      </c>
      <c r="F73" s="173" t="s">
        <v>306</v>
      </c>
      <c r="G73" s="177" t="s">
        <v>270</v>
      </c>
      <c r="H73" s="176">
        <v>620000</v>
      </c>
      <c r="I73" s="173" t="s">
        <v>273</v>
      </c>
    </row>
    <row r="74" spans="2:9" ht="12.75" customHeight="1">
      <c r="B74" s="173" t="s">
        <v>380</v>
      </c>
      <c r="C74" s="174" t="s">
        <v>270</v>
      </c>
      <c r="D74" s="177" t="s">
        <v>282</v>
      </c>
      <c r="E74" s="176">
        <v>42016.806722689078</v>
      </c>
      <c r="F74" s="173" t="s">
        <v>306</v>
      </c>
      <c r="G74" s="177" t="s">
        <v>270</v>
      </c>
      <c r="H74" s="176">
        <v>50000</v>
      </c>
      <c r="I74" s="173" t="s">
        <v>273</v>
      </c>
    </row>
    <row r="75" spans="2:9" ht="12.75" customHeight="1">
      <c r="B75" s="173" t="s">
        <v>381</v>
      </c>
      <c r="C75" s="174" t="s">
        <v>270</v>
      </c>
      <c r="D75" s="177" t="s">
        <v>323</v>
      </c>
      <c r="E75" s="176">
        <v>50420.168067226892</v>
      </c>
      <c r="F75" s="173" t="s">
        <v>306</v>
      </c>
      <c r="G75" s="177" t="s">
        <v>270</v>
      </c>
      <c r="H75" s="176">
        <v>60000</v>
      </c>
      <c r="I75" s="173" t="s">
        <v>273</v>
      </c>
    </row>
    <row r="76" spans="2:9" ht="12.75" customHeight="1">
      <c r="B76" s="173" t="s">
        <v>382</v>
      </c>
      <c r="C76" s="174" t="s">
        <v>270</v>
      </c>
      <c r="D76" s="177" t="s">
        <v>383</v>
      </c>
      <c r="E76" s="176">
        <v>25210.084033613446</v>
      </c>
      <c r="F76" s="173" t="s">
        <v>306</v>
      </c>
      <c r="G76" s="177" t="s">
        <v>270</v>
      </c>
      <c r="H76" s="176">
        <v>30000</v>
      </c>
      <c r="I76" s="173" t="s">
        <v>273</v>
      </c>
    </row>
    <row r="77" spans="2:9" ht="12.75" customHeight="1">
      <c r="B77" s="173" t="s">
        <v>384</v>
      </c>
      <c r="C77" s="174" t="s">
        <v>270</v>
      </c>
      <c r="D77" s="177" t="s">
        <v>385</v>
      </c>
      <c r="E77" s="176">
        <v>33613.445378151264</v>
      </c>
      <c r="F77" s="173" t="s">
        <v>306</v>
      </c>
      <c r="G77" s="177" t="s">
        <v>270</v>
      </c>
      <c r="H77" s="176">
        <v>40000</v>
      </c>
      <c r="I77" s="173" t="s">
        <v>273</v>
      </c>
    </row>
    <row r="78" spans="2:9" ht="12.75" customHeight="1">
      <c r="B78" s="173" t="s">
        <v>386</v>
      </c>
      <c r="C78" s="174" t="s">
        <v>270</v>
      </c>
      <c r="D78" s="177" t="s">
        <v>387</v>
      </c>
      <c r="E78" s="176">
        <v>84033.613445378156</v>
      </c>
      <c r="F78" s="173" t="s">
        <v>306</v>
      </c>
      <c r="G78" s="177" t="s">
        <v>270</v>
      </c>
      <c r="H78" s="176">
        <v>100000</v>
      </c>
      <c r="I78" s="173" t="s">
        <v>273</v>
      </c>
    </row>
    <row r="79" spans="2:9" ht="12.75" customHeight="1">
      <c r="B79" s="173" t="s">
        <v>388</v>
      </c>
      <c r="C79" s="174" t="s">
        <v>270</v>
      </c>
      <c r="D79" s="177" t="s">
        <v>389</v>
      </c>
      <c r="E79" s="176">
        <v>42016.806722689078</v>
      </c>
      <c r="F79" s="173" t="s">
        <v>306</v>
      </c>
      <c r="G79" s="177" t="s">
        <v>270</v>
      </c>
      <c r="H79" s="176">
        <v>50000</v>
      </c>
      <c r="I79" s="173" t="s">
        <v>273</v>
      </c>
    </row>
    <row r="80" spans="2:9" ht="12.75" customHeight="1">
      <c r="B80" s="173" t="s">
        <v>390</v>
      </c>
      <c r="C80" s="174" t="s">
        <v>270</v>
      </c>
      <c r="D80" s="177" t="s">
        <v>391</v>
      </c>
      <c r="E80" s="176">
        <v>42016.806722689078</v>
      </c>
      <c r="F80" s="173" t="s">
        <v>306</v>
      </c>
      <c r="G80" s="177" t="s">
        <v>270</v>
      </c>
      <c r="H80" s="176">
        <v>50000</v>
      </c>
      <c r="I80" s="173" t="s">
        <v>273</v>
      </c>
    </row>
    <row r="81" spans="2:9" ht="12.75" customHeight="1">
      <c r="B81" s="173" t="s">
        <v>392</v>
      </c>
      <c r="C81" s="174" t="s">
        <v>270</v>
      </c>
      <c r="D81" s="177" t="s">
        <v>393</v>
      </c>
      <c r="E81" s="176">
        <v>136604.84186908949</v>
      </c>
      <c r="F81" s="173" t="s">
        <v>272</v>
      </c>
      <c r="G81" s="177" t="s">
        <v>270</v>
      </c>
      <c r="H81" s="176">
        <v>162559.76182421649</v>
      </c>
      <c r="I81" s="173" t="s">
        <v>273</v>
      </c>
    </row>
    <row r="82" spans="2:9" ht="12.75" customHeight="1">
      <c r="B82" s="173" t="s">
        <v>394</v>
      </c>
      <c r="C82" s="174" t="s">
        <v>270</v>
      </c>
      <c r="D82" s="177" t="s">
        <v>395</v>
      </c>
      <c r="E82" s="176">
        <v>134453.78151260506</v>
      </c>
      <c r="F82" s="173" t="s">
        <v>306</v>
      </c>
      <c r="G82" s="177" t="s">
        <v>270</v>
      </c>
      <c r="H82" s="176">
        <v>160000</v>
      </c>
      <c r="I82" s="173" t="s">
        <v>273</v>
      </c>
    </row>
    <row r="83" spans="2:9" ht="12.75" customHeight="1">
      <c r="B83" s="173" t="s">
        <v>396</v>
      </c>
      <c r="C83" s="174" t="s">
        <v>270</v>
      </c>
      <c r="D83" s="177" t="s">
        <v>397</v>
      </c>
      <c r="E83" s="176">
        <v>144746.85231161799</v>
      </c>
      <c r="F83" s="173" t="s">
        <v>272</v>
      </c>
      <c r="G83" s="177" t="s">
        <v>270</v>
      </c>
      <c r="H83" s="176">
        <v>172248.75425082538</v>
      </c>
      <c r="I83" s="173" t="s">
        <v>273</v>
      </c>
    </row>
    <row r="84" spans="2:9" ht="12.75" customHeight="1">
      <c r="B84" s="173" t="s">
        <v>398</v>
      </c>
      <c r="C84" s="174" t="s">
        <v>270</v>
      </c>
      <c r="D84" s="177" t="s">
        <v>279</v>
      </c>
      <c r="E84" s="176">
        <v>108560.1392337135</v>
      </c>
      <c r="F84" s="173" t="s">
        <v>272</v>
      </c>
      <c r="G84" s="177" t="s">
        <v>270</v>
      </c>
      <c r="H84" s="176">
        <v>129186.56568811907</v>
      </c>
      <c r="I84" s="173" t="s">
        <v>273</v>
      </c>
    </row>
    <row r="85" spans="2:9" ht="12.75" customHeight="1">
      <c r="B85" s="173" t="s">
        <v>399</v>
      </c>
      <c r="C85" s="174" t="s">
        <v>270</v>
      </c>
      <c r="D85" s="177" t="s">
        <v>400</v>
      </c>
      <c r="E85" s="176">
        <v>67226.890756302528</v>
      </c>
      <c r="F85" s="173" t="s">
        <v>306</v>
      </c>
      <c r="G85" s="177" t="s">
        <v>270</v>
      </c>
      <c r="H85" s="176">
        <v>80000</v>
      </c>
      <c r="I85" s="173" t="s">
        <v>273</v>
      </c>
    </row>
    <row r="86" spans="2:9" ht="12.75" customHeight="1">
      <c r="B86" s="173" t="s">
        <v>401</v>
      </c>
      <c r="C86" s="174" t="s">
        <v>270</v>
      </c>
      <c r="D86" s="177" t="s">
        <v>2512</v>
      </c>
      <c r="E86" s="176">
        <v>67226.890756302528</v>
      </c>
      <c r="F86" s="173" t="s">
        <v>306</v>
      </c>
      <c r="G86" s="177" t="s">
        <v>270</v>
      </c>
      <c r="H86" s="176">
        <v>80000</v>
      </c>
      <c r="I86" s="173" t="s">
        <v>273</v>
      </c>
    </row>
    <row r="87" spans="2:9" ht="12.75" customHeight="1">
      <c r="B87" s="173" t="s">
        <v>403</v>
      </c>
      <c r="C87" s="174" t="s">
        <v>270</v>
      </c>
      <c r="D87" s="177" t="s">
        <v>404</v>
      </c>
      <c r="E87" s="176">
        <v>122130.15663792766</v>
      </c>
      <c r="F87" s="173" t="s">
        <v>272</v>
      </c>
      <c r="G87" s="177" t="s">
        <v>270</v>
      </c>
      <c r="H87" s="176">
        <v>145334.88639913392</v>
      </c>
      <c r="I87" s="173" t="s">
        <v>273</v>
      </c>
    </row>
    <row r="88" spans="2:9" ht="12.75" customHeight="1">
      <c r="B88" s="173" t="s">
        <v>405</v>
      </c>
      <c r="C88" s="174" t="s">
        <v>270</v>
      </c>
      <c r="D88" s="177" t="s">
        <v>406</v>
      </c>
      <c r="E88" s="176">
        <v>113083.47836845154</v>
      </c>
      <c r="F88" s="173" t="s">
        <v>272</v>
      </c>
      <c r="G88" s="177" t="s">
        <v>270</v>
      </c>
      <c r="H88" s="176">
        <v>134569.33925845733</v>
      </c>
      <c r="I88" s="173" t="s">
        <v>273</v>
      </c>
    </row>
    <row r="89" spans="2:9" ht="12.75" customHeight="1">
      <c r="B89" s="173" t="s">
        <v>407</v>
      </c>
      <c r="C89" s="174" t="s">
        <v>270</v>
      </c>
      <c r="D89" s="177" t="s">
        <v>408</v>
      </c>
      <c r="E89" s="176">
        <v>64834.530613471637</v>
      </c>
      <c r="F89" s="173" t="s">
        <v>272</v>
      </c>
      <c r="G89" s="177"/>
      <c r="H89" s="176">
        <v>77153.091430031243</v>
      </c>
      <c r="I89" s="173" t="s">
        <v>273</v>
      </c>
    </row>
    <row r="90" spans="2:9" ht="12.75" customHeight="1">
      <c r="B90" s="173" t="s">
        <v>409</v>
      </c>
      <c r="C90" s="174" t="s">
        <v>270</v>
      </c>
      <c r="D90" s="177" t="s">
        <v>288</v>
      </c>
      <c r="E90" s="176">
        <v>84033.613445378156</v>
      </c>
      <c r="F90" s="173" t="s">
        <v>272</v>
      </c>
      <c r="G90" s="177" t="s">
        <v>270</v>
      </c>
      <c r="H90" s="176">
        <v>100000</v>
      </c>
      <c r="I90" s="173" t="s">
        <v>273</v>
      </c>
    </row>
    <row r="91" spans="2:9" ht="12.75" customHeight="1">
      <c r="B91" s="173" t="s">
        <v>410</v>
      </c>
      <c r="C91" s="174" t="s">
        <v>270</v>
      </c>
      <c r="D91" s="177" t="s">
        <v>411</v>
      </c>
      <c r="E91" s="176">
        <v>53541.78481023723</v>
      </c>
      <c r="F91" s="173" t="s">
        <v>412</v>
      </c>
      <c r="G91" s="177" t="s">
        <v>296</v>
      </c>
      <c r="H91" s="176">
        <v>63714.723924182304</v>
      </c>
      <c r="I91" s="173" t="s">
        <v>273</v>
      </c>
    </row>
    <row r="92" spans="2:9" ht="12.75" customHeight="1">
      <c r="B92" s="173" t="s">
        <v>413</v>
      </c>
      <c r="C92" s="174" t="s">
        <v>270</v>
      </c>
      <c r="D92" s="177" t="s">
        <v>414</v>
      </c>
      <c r="E92" s="176">
        <v>2854.6747411060674</v>
      </c>
      <c r="F92" s="173" t="s">
        <v>415</v>
      </c>
      <c r="G92" s="177" t="s">
        <v>296</v>
      </c>
      <c r="H92" s="176">
        <v>3397.0629419162201</v>
      </c>
      <c r="I92" s="173" t="s">
        <v>273</v>
      </c>
    </row>
    <row r="93" spans="2:9" ht="12.75" customHeight="1">
      <c r="B93" s="173" t="s">
        <v>416</v>
      </c>
      <c r="C93" s="174" t="s">
        <v>270</v>
      </c>
      <c r="D93" s="177" t="s">
        <v>417</v>
      </c>
      <c r="E93" s="176">
        <v>69503.634058736061</v>
      </c>
      <c r="F93" s="173" t="s">
        <v>415</v>
      </c>
      <c r="G93" s="177" t="s">
        <v>296</v>
      </c>
      <c r="H93" s="176">
        <v>82709.324529895908</v>
      </c>
      <c r="I93" s="173" t="s">
        <v>273</v>
      </c>
    </row>
    <row r="94" spans="2:9" ht="12.75" customHeight="1">
      <c r="B94" s="173" t="s">
        <v>418</v>
      </c>
      <c r="C94" s="174" t="s">
        <v>270</v>
      </c>
      <c r="D94" s="177" t="s">
        <v>419</v>
      </c>
      <c r="E94" s="176">
        <v>66099.094653140201</v>
      </c>
      <c r="F94" s="173" t="s">
        <v>415</v>
      </c>
      <c r="G94" s="177" t="s">
        <v>296</v>
      </c>
      <c r="H94" s="176">
        <v>78657.922637236843</v>
      </c>
      <c r="I94" s="173" t="s">
        <v>273</v>
      </c>
    </row>
    <row r="95" spans="2:9" ht="12.75" customHeight="1">
      <c r="B95" s="173" t="s">
        <v>420</v>
      </c>
      <c r="C95" s="174" t="s">
        <v>270</v>
      </c>
      <c r="D95" s="177" t="s">
        <v>421</v>
      </c>
      <c r="E95" s="176">
        <v>123803.79211778079</v>
      </c>
      <c r="F95" s="173" t="s">
        <v>415</v>
      </c>
      <c r="G95" s="177" t="s">
        <v>296</v>
      </c>
      <c r="H95" s="176">
        <v>147326.51262015913</v>
      </c>
      <c r="I95" s="173" t="s">
        <v>273</v>
      </c>
    </row>
    <row r="96" spans="2:9" ht="12.75" customHeight="1">
      <c r="B96" s="173" t="s">
        <v>422</v>
      </c>
      <c r="C96" s="174" t="s">
        <v>270</v>
      </c>
      <c r="D96" s="177" t="s">
        <v>423</v>
      </c>
      <c r="E96" s="176">
        <v>53027.318831291435</v>
      </c>
      <c r="F96" s="173" t="s">
        <v>415</v>
      </c>
      <c r="G96" s="177" t="s">
        <v>296</v>
      </c>
      <c r="H96" s="176">
        <v>63102.509409236802</v>
      </c>
      <c r="I96" s="173" t="s">
        <v>273</v>
      </c>
    </row>
    <row r="97" spans="2:9" ht="12.75" customHeight="1">
      <c r="B97" s="173" t="s">
        <v>424</v>
      </c>
      <c r="C97" s="174" t="s">
        <v>270</v>
      </c>
      <c r="D97" s="177" t="s">
        <v>2506</v>
      </c>
      <c r="E97" s="176">
        <v>35919.402722011764</v>
      </c>
      <c r="F97" s="173" t="s">
        <v>415</v>
      </c>
      <c r="G97" s="177" t="s">
        <v>296</v>
      </c>
      <c r="H97" s="176">
        <v>42744.089239194</v>
      </c>
      <c r="I97" s="173" t="s">
        <v>273</v>
      </c>
    </row>
    <row r="98" spans="2:9" ht="12.75" customHeight="1">
      <c r="B98" s="173" t="s">
        <v>426</v>
      </c>
      <c r="C98" s="174" t="s">
        <v>270</v>
      </c>
      <c r="D98" s="177" t="s">
        <v>427</v>
      </c>
      <c r="E98" s="176">
        <v>53997.882853522155</v>
      </c>
      <c r="F98" s="173" t="s">
        <v>415</v>
      </c>
      <c r="G98" s="177" t="s">
        <v>296</v>
      </c>
      <c r="H98" s="176">
        <v>64257.480595691362</v>
      </c>
      <c r="I98" s="173" t="s">
        <v>273</v>
      </c>
    </row>
    <row r="99" spans="2:9" ht="12.75" customHeight="1">
      <c r="B99" s="173" t="s">
        <v>428</v>
      </c>
      <c r="C99" s="174" t="s">
        <v>270</v>
      </c>
      <c r="D99" s="177" t="s">
        <v>429</v>
      </c>
      <c r="E99" s="176">
        <v>44583.396447806044</v>
      </c>
      <c r="F99" s="173" t="s">
        <v>415</v>
      </c>
      <c r="G99" s="177" t="s">
        <v>296</v>
      </c>
      <c r="H99" s="176">
        <v>53054.241772889189</v>
      </c>
      <c r="I99" s="173" t="s">
        <v>273</v>
      </c>
    </row>
    <row r="100" spans="2:9" ht="12.75" customHeight="1">
      <c r="B100" s="173" t="s">
        <v>430</v>
      </c>
      <c r="C100" s="174" t="s">
        <v>270</v>
      </c>
      <c r="D100" s="177" t="s">
        <v>431</v>
      </c>
      <c r="E100" s="176">
        <v>159845.75834337366</v>
      </c>
      <c r="F100" s="173" t="s">
        <v>415</v>
      </c>
      <c r="G100" s="177" t="s">
        <v>296</v>
      </c>
      <c r="H100" s="176">
        <v>190216.45242861463</v>
      </c>
      <c r="I100" s="173" t="s">
        <v>273</v>
      </c>
    </row>
    <row r="101" spans="2:9" ht="12.75" customHeight="1">
      <c r="B101" s="173" t="s">
        <v>432</v>
      </c>
      <c r="C101" s="174" t="s">
        <v>270</v>
      </c>
      <c r="D101" s="177" t="s">
        <v>433</v>
      </c>
      <c r="E101" s="176">
        <v>159845.75834337366</v>
      </c>
      <c r="F101" s="173" t="s">
        <v>415</v>
      </c>
      <c r="G101" s="177" t="s">
        <v>296</v>
      </c>
      <c r="H101" s="176">
        <v>190216.45242861463</v>
      </c>
      <c r="I101" s="173" t="s">
        <v>273</v>
      </c>
    </row>
    <row r="102" spans="2:9" ht="12.75" customHeight="1">
      <c r="B102" s="173" t="s">
        <v>434</v>
      </c>
      <c r="C102" s="174" t="s">
        <v>270</v>
      </c>
      <c r="D102" s="177" t="s">
        <v>435</v>
      </c>
      <c r="E102" s="176">
        <v>92276.11834865647</v>
      </c>
      <c r="F102" s="173" t="s">
        <v>415</v>
      </c>
      <c r="G102" s="177" t="s">
        <v>296</v>
      </c>
      <c r="H102" s="176">
        <v>109808.58083490119</v>
      </c>
      <c r="I102" s="173" t="s">
        <v>273</v>
      </c>
    </row>
    <row r="103" spans="2:9" ht="12.75" customHeight="1">
      <c r="B103" s="173" t="s">
        <v>436</v>
      </c>
      <c r="C103" s="174" t="s">
        <v>270</v>
      </c>
      <c r="D103" s="177" t="s">
        <v>437</v>
      </c>
      <c r="E103" s="176">
        <v>65361.036176277557</v>
      </c>
      <c r="F103" s="173" t="s">
        <v>415</v>
      </c>
      <c r="G103" s="177" t="s">
        <v>296</v>
      </c>
      <c r="H103" s="176">
        <v>77779.633049770287</v>
      </c>
      <c r="I103" s="173" t="s">
        <v>273</v>
      </c>
    </row>
    <row r="104" spans="2:9" ht="12.75" customHeight="1">
      <c r="B104" s="173" t="s">
        <v>438</v>
      </c>
      <c r="C104" s="174" t="s">
        <v>270</v>
      </c>
      <c r="D104" s="177" t="s">
        <v>439</v>
      </c>
      <c r="E104" s="176">
        <v>187673.34070028213</v>
      </c>
      <c r="F104" s="173" t="s">
        <v>415</v>
      </c>
      <c r="G104" s="177" t="s">
        <v>296</v>
      </c>
      <c r="H104" s="176">
        <v>223331.27543333572</v>
      </c>
      <c r="I104" s="173" t="s">
        <v>273</v>
      </c>
    </row>
    <row r="105" spans="2:9" ht="12.75" customHeight="1">
      <c r="B105" s="173" t="s">
        <v>440</v>
      </c>
      <c r="C105" s="174" t="s">
        <v>270</v>
      </c>
      <c r="D105" s="177" t="s">
        <v>441</v>
      </c>
      <c r="E105" s="176">
        <v>29582.637941186935</v>
      </c>
      <c r="F105" s="173" t="s">
        <v>415</v>
      </c>
      <c r="G105" s="177" t="s">
        <v>296</v>
      </c>
      <c r="H105" s="176">
        <v>35203.339150012449</v>
      </c>
      <c r="I105" s="173" t="s">
        <v>273</v>
      </c>
    </row>
    <row r="106" spans="2:9" ht="12.75" customHeight="1">
      <c r="B106" s="173" t="s">
        <v>442</v>
      </c>
      <c r="C106" s="174" t="s">
        <v>270</v>
      </c>
      <c r="D106" s="177" t="s">
        <v>443</v>
      </c>
      <c r="E106" s="176">
        <v>33653.643162451182</v>
      </c>
      <c r="F106" s="173" t="s">
        <v>415</v>
      </c>
      <c r="G106" s="177" t="s">
        <v>296</v>
      </c>
      <c r="H106" s="176">
        <v>40047.835363316903</v>
      </c>
      <c r="I106" s="173" t="s">
        <v>273</v>
      </c>
    </row>
    <row r="107" spans="2:9" ht="12.75" customHeight="1">
      <c r="B107" s="173" t="s">
        <v>444</v>
      </c>
      <c r="C107" s="174" t="s">
        <v>270</v>
      </c>
      <c r="D107" s="177" t="s">
        <v>445</v>
      </c>
      <c r="E107" s="176">
        <v>94963.149559950383</v>
      </c>
      <c r="F107" s="173" t="s">
        <v>415</v>
      </c>
      <c r="G107" s="177" t="s">
        <v>296</v>
      </c>
      <c r="H107" s="176">
        <v>113006.14797634094</v>
      </c>
      <c r="I107" s="173" t="s">
        <v>273</v>
      </c>
    </row>
    <row r="108" spans="2:9" ht="12.75" customHeight="1">
      <c r="B108" s="173" t="s">
        <v>446</v>
      </c>
      <c r="C108" s="174" t="s">
        <v>270</v>
      </c>
      <c r="D108" s="177" t="s">
        <v>447</v>
      </c>
      <c r="E108" s="176">
        <v>113083.47836845154</v>
      </c>
      <c r="F108" s="173" t="s">
        <v>415</v>
      </c>
      <c r="G108" s="177" t="s">
        <v>296</v>
      </c>
      <c r="H108" s="176">
        <v>134569.33925845733</v>
      </c>
      <c r="I108" s="173" t="s">
        <v>273</v>
      </c>
    </row>
    <row r="109" spans="2:9" ht="12.75" customHeight="1">
      <c r="B109" s="173" t="s">
        <v>448</v>
      </c>
      <c r="C109" s="174" t="s">
        <v>270</v>
      </c>
      <c r="D109" s="177" t="s">
        <v>449</v>
      </c>
      <c r="E109" s="176">
        <v>135700.17404214185</v>
      </c>
      <c r="F109" s="173" t="s">
        <v>415</v>
      </c>
      <c r="G109" s="177" t="s">
        <v>296</v>
      </c>
      <c r="H109" s="176">
        <v>161483.2071101488</v>
      </c>
      <c r="I109" s="173" t="s">
        <v>273</v>
      </c>
    </row>
    <row r="110" spans="2:9" ht="12.75" customHeight="1">
      <c r="B110" s="173" t="s">
        <v>450</v>
      </c>
      <c r="C110" s="174" t="s">
        <v>270</v>
      </c>
      <c r="D110" s="177" t="s">
        <v>451</v>
      </c>
      <c r="E110" s="176">
        <v>26054.43341609124</v>
      </c>
      <c r="F110" s="173" t="s">
        <v>415</v>
      </c>
      <c r="G110" s="177" t="s">
        <v>296</v>
      </c>
      <c r="H110" s="176">
        <v>31004.775765148574</v>
      </c>
      <c r="I110" s="173" t="s">
        <v>273</v>
      </c>
    </row>
    <row r="111" spans="2:9" ht="12.75" customHeight="1">
      <c r="B111" s="173" t="s">
        <v>452</v>
      </c>
      <c r="C111" s="174" t="s">
        <v>270</v>
      </c>
      <c r="D111" s="177" t="s">
        <v>453</v>
      </c>
      <c r="E111" s="176">
        <v>6937.0036642135783</v>
      </c>
      <c r="F111" s="173" t="s">
        <v>454</v>
      </c>
      <c r="G111" s="177" t="s">
        <v>296</v>
      </c>
      <c r="H111" s="176">
        <v>8255.0343604141581</v>
      </c>
      <c r="I111" s="173" t="s">
        <v>273</v>
      </c>
    </row>
    <row r="112" spans="2:9" ht="12.75" customHeight="1">
      <c r="B112" s="173" t="s">
        <v>455</v>
      </c>
      <c r="C112" s="174" t="s">
        <v>270</v>
      </c>
      <c r="D112" s="177" t="s">
        <v>456</v>
      </c>
      <c r="E112" s="176">
        <v>7339.9977802915218</v>
      </c>
      <c r="F112" s="173" t="s">
        <v>415</v>
      </c>
      <c r="G112" s="177" t="s">
        <v>296</v>
      </c>
      <c r="H112" s="176">
        <v>8734.597358546911</v>
      </c>
      <c r="I112" s="173" t="s">
        <v>273</v>
      </c>
    </row>
    <row r="113" spans="2:9" ht="12.75" customHeight="1">
      <c r="B113" s="173" t="s">
        <v>457</v>
      </c>
      <c r="C113" s="174" t="s">
        <v>270</v>
      </c>
      <c r="D113" s="177" t="s">
        <v>458</v>
      </c>
      <c r="E113" s="176">
        <v>118421.01854744247</v>
      </c>
      <c r="F113" s="173" t="s">
        <v>415</v>
      </c>
      <c r="G113" s="177" t="s">
        <v>296</v>
      </c>
      <c r="H113" s="176">
        <v>140921.01207145653</v>
      </c>
      <c r="I113" s="173" t="s">
        <v>273</v>
      </c>
    </row>
    <row r="114" spans="2:9" ht="12.75" customHeight="1">
      <c r="B114" s="173" t="s">
        <v>459</v>
      </c>
      <c r="C114" s="174" t="s">
        <v>270</v>
      </c>
      <c r="D114" s="177" t="s">
        <v>460</v>
      </c>
      <c r="E114" s="176">
        <v>129186.56568811904</v>
      </c>
      <c r="F114" s="173" t="s">
        <v>415</v>
      </c>
      <c r="G114" s="177" t="s">
        <v>296</v>
      </c>
      <c r="H114" s="176">
        <v>153732.01316886165</v>
      </c>
      <c r="I114" s="173" t="s">
        <v>273</v>
      </c>
    </row>
    <row r="115" spans="2:9" ht="12.75" customHeight="1">
      <c r="B115" s="173" t="s">
        <v>461</v>
      </c>
      <c r="C115" s="174" t="s">
        <v>270</v>
      </c>
      <c r="D115" s="177" t="s">
        <v>462</v>
      </c>
      <c r="E115" s="176">
        <v>38991.183341442098</v>
      </c>
      <c r="F115" s="173" t="s">
        <v>415</v>
      </c>
      <c r="G115" s="177" t="s">
        <v>296</v>
      </c>
      <c r="H115" s="176">
        <v>46399.508176316092</v>
      </c>
      <c r="I115" s="173" t="s">
        <v>273</v>
      </c>
    </row>
    <row r="116" spans="2:9" ht="12.75" customHeight="1">
      <c r="B116" s="173" t="s">
        <v>463</v>
      </c>
      <c r="C116" s="174" t="s">
        <v>270</v>
      </c>
      <c r="D116" s="177" t="s">
        <v>464</v>
      </c>
      <c r="E116" s="176">
        <v>80705.571637552945</v>
      </c>
      <c r="F116" s="173" t="s">
        <v>415</v>
      </c>
      <c r="G116" s="177" t="s">
        <v>296</v>
      </c>
      <c r="H116" s="176">
        <v>96039.630248688001</v>
      </c>
      <c r="I116" s="173" t="s">
        <v>273</v>
      </c>
    </row>
    <row r="117" spans="2:9" ht="12.75" customHeight="1">
      <c r="B117" s="173" t="s">
        <v>465</v>
      </c>
      <c r="C117" s="174" t="s">
        <v>270</v>
      </c>
      <c r="D117" s="177" t="s">
        <v>466</v>
      </c>
      <c r="E117" s="176">
        <v>1809.3356538952248</v>
      </c>
      <c r="F117" s="173" t="s">
        <v>415</v>
      </c>
      <c r="G117" s="177" t="s">
        <v>296</v>
      </c>
      <c r="H117" s="176">
        <v>2153.1094281353176</v>
      </c>
      <c r="I117" s="173" t="s">
        <v>273</v>
      </c>
    </row>
    <row r="118" spans="2:9" ht="12.75" customHeight="1">
      <c r="B118" s="173" t="s">
        <v>467</v>
      </c>
      <c r="C118" s="174" t="s">
        <v>270</v>
      </c>
      <c r="D118" s="177" t="s">
        <v>468</v>
      </c>
      <c r="E118" s="176">
        <v>102272.6978364276</v>
      </c>
      <c r="F118" s="173" t="s">
        <v>415</v>
      </c>
      <c r="G118" s="177" t="s">
        <v>296</v>
      </c>
      <c r="H118" s="176">
        <v>121704.51042534884</v>
      </c>
      <c r="I118" s="173" t="s">
        <v>273</v>
      </c>
    </row>
    <row r="119" spans="2:9" ht="12.75" customHeight="1">
      <c r="B119" s="173" t="s">
        <v>469</v>
      </c>
      <c r="C119" s="174" t="s">
        <v>270</v>
      </c>
      <c r="D119" s="177" t="s">
        <v>470</v>
      </c>
      <c r="E119" s="176">
        <v>96889.924266089307</v>
      </c>
      <c r="F119" s="173" t="s">
        <v>415</v>
      </c>
      <c r="G119" s="177" t="s">
        <v>296</v>
      </c>
      <c r="H119" s="176">
        <v>115299.00987664626</v>
      </c>
      <c r="I119" s="173" t="s">
        <v>273</v>
      </c>
    </row>
    <row r="120" spans="2:9" ht="12.75" customHeight="1">
      <c r="B120" s="173" t="s">
        <v>471</v>
      </c>
      <c r="C120" s="174" t="s">
        <v>270</v>
      </c>
      <c r="D120" s="177" t="s">
        <v>472</v>
      </c>
      <c r="E120" s="176">
        <v>7757.1428571428578</v>
      </c>
      <c r="F120" s="173" t="s">
        <v>415</v>
      </c>
      <c r="G120" s="177" t="s">
        <v>296</v>
      </c>
      <c r="H120" s="176">
        <v>9231</v>
      </c>
      <c r="I120" s="173" t="s">
        <v>273</v>
      </c>
    </row>
    <row r="121" spans="2:9" ht="12.75" customHeight="1">
      <c r="B121" s="173" t="s">
        <v>473</v>
      </c>
      <c r="C121" s="174" t="s">
        <v>270</v>
      </c>
      <c r="D121" s="177" t="s">
        <v>474</v>
      </c>
      <c r="E121" s="176">
        <v>7757.5266160757747</v>
      </c>
      <c r="F121" s="173" t="s">
        <v>415</v>
      </c>
      <c r="G121" s="177" t="s">
        <v>296</v>
      </c>
      <c r="H121" s="176">
        <v>9231.4566731301711</v>
      </c>
      <c r="I121" s="173" t="s">
        <v>273</v>
      </c>
    </row>
    <row r="122" spans="2:9" ht="12.75" customHeight="1">
      <c r="B122" s="173" t="s">
        <v>475</v>
      </c>
      <c r="C122" s="174" t="s">
        <v>270</v>
      </c>
      <c r="D122" s="177" t="s">
        <v>476</v>
      </c>
      <c r="E122" s="176">
        <v>20574.47603457173</v>
      </c>
      <c r="F122" s="173" t="s">
        <v>415</v>
      </c>
      <c r="G122" s="177" t="s">
        <v>296</v>
      </c>
      <c r="H122" s="176">
        <v>24483.626481140356</v>
      </c>
      <c r="I122" s="173" t="s">
        <v>273</v>
      </c>
    </row>
    <row r="123" spans="2:9" ht="12.75" customHeight="1">
      <c r="B123" s="173" t="s">
        <v>477</v>
      </c>
      <c r="C123" s="174" t="s">
        <v>270</v>
      </c>
      <c r="D123" s="177" t="s">
        <v>478</v>
      </c>
      <c r="E123" s="176">
        <v>7757.5266160757747</v>
      </c>
      <c r="F123" s="173" t="s">
        <v>415</v>
      </c>
      <c r="G123" s="177" t="s">
        <v>296</v>
      </c>
      <c r="H123" s="176">
        <v>9231.4566731301711</v>
      </c>
      <c r="I123" s="173" t="s">
        <v>273</v>
      </c>
    </row>
    <row r="124" spans="2:9" ht="12.75" customHeight="1">
      <c r="B124" s="173" t="s">
        <v>479</v>
      </c>
      <c r="C124" s="174" t="s">
        <v>270</v>
      </c>
      <c r="D124" s="177" t="s">
        <v>480</v>
      </c>
      <c r="E124" s="176">
        <v>5722.024005443649</v>
      </c>
      <c r="F124" s="173" t="s">
        <v>415</v>
      </c>
      <c r="G124" s="177" t="s">
        <v>296</v>
      </c>
      <c r="H124" s="176">
        <v>6809.2085664779424</v>
      </c>
      <c r="I124" s="173" t="s">
        <v>273</v>
      </c>
    </row>
    <row r="125" spans="2:9" ht="12.75" customHeight="1">
      <c r="B125" s="173" t="s">
        <v>481</v>
      </c>
      <c r="C125" s="174" t="s">
        <v>270</v>
      </c>
      <c r="D125" s="177" t="s">
        <v>482</v>
      </c>
      <c r="E125" s="176">
        <v>96889.924266089307</v>
      </c>
      <c r="F125" s="173" t="s">
        <v>415</v>
      </c>
      <c r="G125" s="177" t="s">
        <v>296</v>
      </c>
      <c r="H125" s="176">
        <v>115299.00987664626</v>
      </c>
      <c r="I125" s="173" t="s">
        <v>273</v>
      </c>
    </row>
    <row r="126" spans="2:9" ht="12.75" customHeight="1">
      <c r="B126" s="173" t="s">
        <v>483</v>
      </c>
      <c r="C126" s="174" t="s">
        <v>270</v>
      </c>
      <c r="D126" s="177" t="s">
        <v>484</v>
      </c>
      <c r="E126" s="176">
        <v>75358.829984736105</v>
      </c>
      <c r="F126" s="173" t="s">
        <v>415</v>
      </c>
      <c r="G126" s="177" t="s">
        <v>296</v>
      </c>
      <c r="H126" s="176">
        <v>89677.007681835967</v>
      </c>
      <c r="I126" s="173" t="s">
        <v>273</v>
      </c>
    </row>
    <row r="127" spans="2:9" ht="12.75" customHeight="1">
      <c r="B127" s="173" t="s">
        <v>485</v>
      </c>
      <c r="C127" s="174" t="s">
        <v>270</v>
      </c>
      <c r="D127" s="177" t="s">
        <v>369</v>
      </c>
      <c r="E127" s="176">
        <v>62400.287876634517</v>
      </c>
      <c r="F127" s="173" t="s">
        <v>415</v>
      </c>
      <c r="G127" s="177" t="s">
        <v>296</v>
      </c>
      <c r="H127" s="176">
        <v>74256.34257319507</v>
      </c>
      <c r="I127" s="173" t="s">
        <v>273</v>
      </c>
    </row>
    <row r="128" spans="2:9" ht="12.75" customHeight="1">
      <c r="B128" s="173" t="s">
        <v>486</v>
      </c>
      <c r="C128" s="174" t="s">
        <v>270</v>
      </c>
      <c r="D128" s="177" t="s">
        <v>487</v>
      </c>
      <c r="E128" s="176">
        <v>53827.735703382932</v>
      </c>
      <c r="F128" s="173" t="s">
        <v>415</v>
      </c>
      <c r="G128" s="177" t="s">
        <v>296</v>
      </c>
      <c r="H128" s="176">
        <v>64055.005487025686</v>
      </c>
      <c r="I128" s="173" t="s">
        <v>273</v>
      </c>
    </row>
    <row r="129" spans="2:9" ht="12.75" customHeight="1">
      <c r="B129" s="173" t="s">
        <v>488</v>
      </c>
      <c r="C129" s="174" t="s">
        <v>270</v>
      </c>
      <c r="D129" s="177" t="s">
        <v>489</v>
      </c>
      <c r="E129" s="176">
        <v>70564.090501913772</v>
      </c>
      <c r="F129" s="173" t="s">
        <v>415</v>
      </c>
      <c r="G129" s="177" t="s">
        <v>296</v>
      </c>
      <c r="H129" s="176">
        <v>83971.267697277377</v>
      </c>
      <c r="I129" s="173" t="s">
        <v>273</v>
      </c>
    </row>
    <row r="130" spans="2:9" ht="12.75" customHeight="1">
      <c r="B130" s="173" t="s">
        <v>490</v>
      </c>
      <c r="C130" s="174" t="s">
        <v>270</v>
      </c>
      <c r="D130" s="177" t="s">
        <v>491</v>
      </c>
      <c r="E130" s="176">
        <v>80196.732251662732</v>
      </c>
      <c r="F130" s="173" t="s">
        <v>415</v>
      </c>
      <c r="G130" s="177" t="s">
        <v>296</v>
      </c>
      <c r="H130" s="176">
        <v>95434.111379478651</v>
      </c>
      <c r="I130" s="173" t="s">
        <v>273</v>
      </c>
    </row>
    <row r="131" spans="2:9" ht="12.75" customHeight="1">
      <c r="B131" s="173" t="s">
        <v>492</v>
      </c>
      <c r="C131" s="174" t="s">
        <v>270</v>
      </c>
      <c r="D131" s="177" t="s">
        <v>493</v>
      </c>
      <c r="E131" s="176">
        <v>5752.2312885803576</v>
      </c>
      <c r="F131" s="173" t="s">
        <v>415</v>
      </c>
      <c r="G131" s="177" t="s">
        <v>296</v>
      </c>
      <c r="H131" s="176">
        <v>6845.1552334106254</v>
      </c>
      <c r="I131" s="173" t="s">
        <v>273</v>
      </c>
    </row>
    <row r="132" spans="2:9" ht="12.75" customHeight="1">
      <c r="B132" s="173" t="s">
        <v>494</v>
      </c>
      <c r="C132" s="174" t="s">
        <v>270</v>
      </c>
      <c r="D132" s="177" t="s">
        <v>495</v>
      </c>
      <c r="E132" s="176">
        <v>10837.599046628562</v>
      </c>
      <c r="F132" s="173" t="s">
        <v>415</v>
      </c>
      <c r="G132" s="177" t="s">
        <v>296</v>
      </c>
      <c r="H132" s="176">
        <v>12896.742865487988</v>
      </c>
      <c r="I132" s="173" t="s">
        <v>273</v>
      </c>
    </row>
    <row r="133" spans="2:9" ht="12.75" customHeight="1">
      <c r="B133" s="173" t="s">
        <v>496</v>
      </c>
      <c r="C133" s="174" t="s">
        <v>270</v>
      </c>
      <c r="D133" s="177" t="s">
        <v>497</v>
      </c>
      <c r="E133" s="176">
        <v>2772.1232660525193</v>
      </c>
      <c r="F133" s="173" t="s">
        <v>415</v>
      </c>
      <c r="G133" s="177" t="s">
        <v>296</v>
      </c>
      <c r="H133" s="176">
        <v>3298.8266866024978</v>
      </c>
      <c r="I133" s="173" t="s">
        <v>273</v>
      </c>
    </row>
    <row r="134" spans="2:9" ht="12.75" customHeight="1">
      <c r="B134" s="173" t="s">
        <v>498</v>
      </c>
      <c r="C134" s="174" t="s">
        <v>270</v>
      </c>
      <c r="D134" s="177" t="s">
        <v>499</v>
      </c>
      <c r="E134" s="176">
        <v>2260.7648995420832</v>
      </c>
      <c r="F134" s="173" t="s">
        <v>415</v>
      </c>
      <c r="G134" s="177" t="s">
        <v>296</v>
      </c>
      <c r="H134" s="176">
        <v>2690.3102304550789</v>
      </c>
      <c r="I134" s="173" t="s">
        <v>273</v>
      </c>
    </row>
    <row r="135" spans="2:9" ht="12.75" customHeight="1">
      <c r="B135" s="173" t="s">
        <v>500</v>
      </c>
      <c r="C135" s="174" t="s">
        <v>270</v>
      </c>
      <c r="D135" s="177" t="s">
        <v>501</v>
      </c>
      <c r="E135" s="176">
        <v>2583.731313762381</v>
      </c>
      <c r="F135" s="173" t="s">
        <v>415</v>
      </c>
      <c r="G135" s="177" t="s">
        <v>296</v>
      </c>
      <c r="H135" s="176">
        <v>3074.6402633772332</v>
      </c>
      <c r="I135" s="173" t="s">
        <v>273</v>
      </c>
    </row>
    <row r="136" spans="2:9" ht="12.75" customHeight="1">
      <c r="B136" s="173" t="s">
        <v>502</v>
      </c>
      <c r="C136" s="174" t="s">
        <v>270</v>
      </c>
      <c r="D136" s="177" t="s">
        <v>503</v>
      </c>
      <c r="E136" s="176">
        <v>97283.249817180011</v>
      </c>
      <c r="F136" s="173" t="s">
        <v>415</v>
      </c>
      <c r="G136" s="177" t="s">
        <v>296</v>
      </c>
      <c r="H136" s="176">
        <v>115767.06728244422</v>
      </c>
      <c r="I136" s="173" t="s">
        <v>273</v>
      </c>
    </row>
    <row r="137" spans="2:9" ht="12.75" customHeight="1">
      <c r="B137" s="173" t="s">
        <v>504</v>
      </c>
      <c r="C137" s="174" t="s">
        <v>270</v>
      </c>
      <c r="D137" s="177" t="s">
        <v>331</v>
      </c>
      <c r="E137" s="176">
        <v>40748.048261374359</v>
      </c>
      <c r="F137" s="173" t="s">
        <v>415</v>
      </c>
      <c r="G137" s="177" t="s">
        <v>296</v>
      </c>
      <c r="H137" s="176">
        <v>48490.177431035489</v>
      </c>
      <c r="I137" s="173" t="s">
        <v>273</v>
      </c>
    </row>
    <row r="138" spans="2:9" ht="12.75" customHeight="1">
      <c r="B138" s="173" t="s">
        <v>505</v>
      </c>
      <c r="C138" s="174" t="s">
        <v>270</v>
      </c>
      <c r="D138" s="177" t="s">
        <v>506</v>
      </c>
      <c r="E138" s="176">
        <v>108560.1392337135</v>
      </c>
      <c r="F138" s="173" t="s">
        <v>415</v>
      </c>
      <c r="G138" s="177" t="s">
        <v>296</v>
      </c>
      <c r="H138" s="176">
        <v>129186.56568811907</v>
      </c>
      <c r="I138" s="173" t="s">
        <v>273</v>
      </c>
    </row>
    <row r="139" spans="2:9" ht="12.75" customHeight="1">
      <c r="B139" s="173" t="s">
        <v>507</v>
      </c>
      <c r="C139" s="174" t="s">
        <v>270</v>
      </c>
      <c r="D139" s="177" t="s">
        <v>508</v>
      </c>
      <c r="E139" s="176">
        <v>127244.56876184451</v>
      </c>
      <c r="F139" s="173" t="s">
        <v>412</v>
      </c>
      <c r="G139" s="177" t="s">
        <v>296</v>
      </c>
      <c r="H139" s="176">
        <v>151421.03682659497</v>
      </c>
      <c r="I139" s="173" t="s">
        <v>273</v>
      </c>
    </row>
    <row r="140" spans="2:9" ht="12.75" customHeight="1">
      <c r="B140" s="173" t="s">
        <v>509</v>
      </c>
      <c r="C140" s="174" t="s">
        <v>270</v>
      </c>
      <c r="D140" s="177" t="s">
        <v>510</v>
      </c>
      <c r="E140" s="176">
        <v>18093.356538952248</v>
      </c>
      <c r="F140" s="173" t="s">
        <v>415</v>
      </c>
      <c r="G140" s="177" t="s">
        <v>296</v>
      </c>
      <c r="H140" s="176">
        <v>21531.094281353173</v>
      </c>
      <c r="I140" s="173" t="s">
        <v>273</v>
      </c>
    </row>
    <row r="141" spans="2:9" ht="12.75" customHeight="1">
      <c r="B141" s="173" t="s">
        <v>511</v>
      </c>
      <c r="C141" s="174" t="s">
        <v>270</v>
      </c>
      <c r="D141" s="177" t="s">
        <v>512</v>
      </c>
      <c r="E141" s="176">
        <v>158184.52740443411</v>
      </c>
      <c r="F141" s="173" t="s">
        <v>415</v>
      </c>
      <c r="G141" s="177" t="s">
        <v>296</v>
      </c>
      <c r="H141" s="176">
        <v>188239.58761127657</v>
      </c>
      <c r="I141" s="173" t="s">
        <v>273</v>
      </c>
    </row>
    <row r="142" spans="2:9" ht="12.75" customHeight="1">
      <c r="B142" s="173" t="s">
        <v>513</v>
      </c>
      <c r="C142" s="174" t="s">
        <v>270</v>
      </c>
      <c r="D142" s="177" t="s">
        <v>514</v>
      </c>
      <c r="E142" s="176">
        <v>6728.9192968363413</v>
      </c>
      <c r="F142" s="173" t="s">
        <v>415</v>
      </c>
      <c r="G142" s="177" t="s">
        <v>296</v>
      </c>
      <c r="H142" s="176">
        <v>8007.4139632352462</v>
      </c>
      <c r="I142" s="173" t="s">
        <v>273</v>
      </c>
    </row>
    <row r="143" spans="2:9" ht="12.75" customHeight="1">
      <c r="B143" s="173" t="s">
        <v>515</v>
      </c>
      <c r="C143" s="174" t="s">
        <v>270</v>
      </c>
      <c r="D143" s="177" t="s">
        <v>516</v>
      </c>
      <c r="E143" s="176">
        <v>89738.380390161285</v>
      </c>
      <c r="F143" s="173" t="s">
        <v>415</v>
      </c>
      <c r="G143" s="177" t="s">
        <v>296</v>
      </c>
      <c r="H143" s="176">
        <v>106788.67266429192</v>
      </c>
      <c r="I143" s="173" t="s">
        <v>273</v>
      </c>
    </row>
    <row r="144" spans="2:9" ht="12.75" customHeight="1">
      <c r="B144" s="173" t="s">
        <v>517</v>
      </c>
      <c r="C144" s="174" t="s">
        <v>270</v>
      </c>
      <c r="D144" s="177" t="s">
        <v>518</v>
      </c>
      <c r="E144" s="176">
        <v>34861.9163591451</v>
      </c>
      <c r="F144" s="173" t="s">
        <v>415</v>
      </c>
      <c r="G144" s="177" t="s">
        <v>296</v>
      </c>
      <c r="H144" s="176">
        <v>41485.68046738267</v>
      </c>
      <c r="I144" s="173" t="s">
        <v>273</v>
      </c>
    </row>
    <row r="145" spans="2:9" ht="12.75" customHeight="1">
      <c r="B145" s="173" t="s">
        <v>519</v>
      </c>
      <c r="C145" s="174" t="s">
        <v>270</v>
      </c>
      <c r="D145" s="177" t="s">
        <v>520</v>
      </c>
      <c r="E145" s="176">
        <v>10991.239533768125</v>
      </c>
      <c r="F145" s="173" t="s">
        <v>415</v>
      </c>
      <c r="G145" s="177" t="s">
        <v>296</v>
      </c>
      <c r="H145" s="176">
        <v>13079.575045184069</v>
      </c>
      <c r="I145" s="173" t="s">
        <v>273</v>
      </c>
    </row>
    <row r="146" spans="2:9" ht="12.75" customHeight="1">
      <c r="B146" s="173" t="s">
        <v>521</v>
      </c>
      <c r="C146" s="174" t="s">
        <v>270</v>
      </c>
      <c r="D146" s="177" t="s">
        <v>522</v>
      </c>
      <c r="E146" s="176">
        <v>18093.356538952248</v>
      </c>
      <c r="F146" s="173" t="s">
        <v>415</v>
      </c>
      <c r="G146" s="177" t="s">
        <v>296</v>
      </c>
      <c r="H146" s="176">
        <v>21531.094281353173</v>
      </c>
      <c r="I146" s="173" t="s">
        <v>273</v>
      </c>
    </row>
    <row r="147" spans="2:9" ht="12.75" customHeight="1">
      <c r="B147" s="173" t="s">
        <v>523</v>
      </c>
      <c r="C147" s="174" t="s">
        <v>270</v>
      </c>
      <c r="D147" s="177" t="s">
        <v>524</v>
      </c>
      <c r="E147" s="176">
        <v>27140.034808428376</v>
      </c>
      <c r="F147" s="173" t="s">
        <v>415</v>
      </c>
      <c r="G147" s="177" t="s">
        <v>296</v>
      </c>
      <c r="H147" s="176">
        <v>32296.641422029767</v>
      </c>
      <c r="I147" s="173" t="s">
        <v>273</v>
      </c>
    </row>
    <row r="148" spans="2:9" ht="12.75" customHeight="1">
      <c r="B148" s="173" t="s">
        <v>525</v>
      </c>
      <c r="C148" s="174" t="s">
        <v>270</v>
      </c>
      <c r="D148" s="177" t="s">
        <v>526</v>
      </c>
      <c r="E148" s="176">
        <v>11728.091786641933</v>
      </c>
      <c r="F148" s="173" t="s">
        <v>415</v>
      </c>
      <c r="G148" s="177" t="s">
        <v>296</v>
      </c>
      <c r="H148" s="176">
        <v>13956.429226103901</v>
      </c>
      <c r="I148" s="173" t="s">
        <v>273</v>
      </c>
    </row>
    <row r="149" spans="2:9" ht="12.75" customHeight="1">
      <c r="B149" s="173" t="s">
        <v>527</v>
      </c>
      <c r="C149" s="174" t="s">
        <v>270</v>
      </c>
      <c r="D149" s="177" t="s">
        <v>528</v>
      </c>
      <c r="E149" s="176">
        <v>78235.808263169951</v>
      </c>
      <c r="F149" s="173" t="s">
        <v>415</v>
      </c>
      <c r="G149" s="177" t="s">
        <v>296</v>
      </c>
      <c r="H149" s="176">
        <v>93100.611833172239</v>
      </c>
      <c r="I149" s="173" t="s">
        <v>273</v>
      </c>
    </row>
    <row r="150" spans="2:9" ht="12.75" customHeight="1">
      <c r="B150" s="173" t="s">
        <v>529</v>
      </c>
      <c r="C150" s="174" t="s">
        <v>270</v>
      </c>
      <c r="D150" s="177" t="s">
        <v>530</v>
      </c>
      <c r="E150" s="176">
        <v>15115.391753923661</v>
      </c>
      <c r="F150" s="173" t="s">
        <v>415</v>
      </c>
      <c r="G150" s="177" t="s">
        <v>296</v>
      </c>
      <c r="H150" s="176">
        <v>17987.316187169155</v>
      </c>
      <c r="I150" s="173" t="s">
        <v>273</v>
      </c>
    </row>
    <row r="151" spans="2:9" ht="12.75" customHeight="1">
      <c r="B151" s="173" t="s">
        <v>531</v>
      </c>
      <c r="C151" s="174" t="s">
        <v>270</v>
      </c>
      <c r="D151" s="177" t="s">
        <v>532</v>
      </c>
      <c r="E151" s="176">
        <v>1172.998574823534</v>
      </c>
      <c r="F151" s="173" t="s">
        <v>415</v>
      </c>
      <c r="G151" s="177" t="s">
        <v>296</v>
      </c>
      <c r="H151" s="176">
        <v>1395.8683040400053</v>
      </c>
      <c r="I151" s="173" t="s">
        <v>273</v>
      </c>
    </row>
    <row r="152" spans="2:9" ht="12.75" customHeight="1">
      <c r="B152" s="173" t="s">
        <v>533</v>
      </c>
      <c r="C152" s="174" t="s">
        <v>270</v>
      </c>
      <c r="D152" s="177" t="s">
        <v>534</v>
      </c>
      <c r="E152" s="176">
        <v>706.74631110358894</v>
      </c>
      <c r="F152" s="173" t="s">
        <v>415</v>
      </c>
      <c r="G152" s="177" t="s">
        <v>296</v>
      </c>
      <c r="H152" s="176">
        <v>841.02811021327079</v>
      </c>
      <c r="I152" s="173" t="s">
        <v>273</v>
      </c>
    </row>
    <row r="153" spans="2:9" ht="12.75" customHeight="1">
      <c r="B153" s="173" t="s">
        <v>535</v>
      </c>
      <c r="C153" s="174" t="s">
        <v>270</v>
      </c>
      <c r="D153" s="177" t="s">
        <v>536</v>
      </c>
      <c r="E153" s="176">
        <v>1269.7162738339216</v>
      </c>
      <c r="F153" s="173" t="s">
        <v>415</v>
      </c>
      <c r="G153" s="177" t="s">
        <v>296</v>
      </c>
      <c r="H153" s="176">
        <v>1510.9623658623666</v>
      </c>
      <c r="I153" s="173" t="s">
        <v>273</v>
      </c>
    </row>
    <row r="154" spans="2:9" ht="12.75" customHeight="1">
      <c r="B154" s="173" t="s">
        <v>537</v>
      </c>
      <c r="C154" s="174" t="s">
        <v>270</v>
      </c>
      <c r="D154" s="177" t="s">
        <v>538</v>
      </c>
      <c r="E154" s="176">
        <v>1232.6116609167598</v>
      </c>
      <c r="F154" s="173" t="s">
        <v>415</v>
      </c>
      <c r="G154" s="177" t="s">
        <v>296</v>
      </c>
      <c r="H154" s="176">
        <v>1466.8078764909442</v>
      </c>
      <c r="I154" s="173" t="s">
        <v>273</v>
      </c>
    </row>
    <row r="155" spans="2:9" ht="12.75" customHeight="1">
      <c r="B155" s="173" t="s">
        <v>539</v>
      </c>
      <c r="C155" s="174" t="s">
        <v>270</v>
      </c>
      <c r="D155" s="177" t="s">
        <v>540</v>
      </c>
      <c r="E155" s="176">
        <v>796.77793814568111</v>
      </c>
      <c r="F155" s="173" t="s">
        <v>415</v>
      </c>
      <c r="G155" s="177" t="s">
        <v>296</v>
      </c>
      <c r="H155" s="176">
        <v>948.16574639336045</v>
      </c>
      <c r="I155" s="173" t="s">
        <v>273</v>
      </c>
    </row>
    <row r="156" spans="2:9" ht="12.75" customHeight="1">
      <c r="B156" s="173" t="s">
        <v>541</v>
      </c>
      <c r="C156" s="174" t="s">
        <v>270</v>
      </c>
      <c r="D156" s="177" t="s">
        <v>542</v>
      </c>
      <c r="E156" s="176">
        <v>2021.8460848741504</v>
      </c>
      <c r="F156" s="173" t="s">
        <v>415</v>
      </c>
      <c r="G156" s="177" t="s">
        <v>296</v>
      </c>
      <c r="H156" s="176">
        <v>2405.9968410002389</v>
      </c>
      <c r="I156" s="173" t="s">
        <v>273</v>
      </c>
    </row>
    <row r="157" spans="2:9" ht="12.75" customHeight="1">
      <c r="B157" s="173" t="s">
        <v>543</v>
      </c>
      <c r="C157" s="174" t="s">
        <v>270</v>
      </c>
      <c r="D157" s="177" t="s">
        <v>544</v>
      </c>
      <c r="E157" s="176">
        <v>861.24377125412707</v>
      </c>
      <c r="F157" s="173" t="s">
        <v>415</v>
      </c>
      <c r="G157" s="177" t="s">
        <v>296</v>
      </c>
      <c r="H157" s="176">
        <v>1024.8800877924111</v>
      </c>
      <c r="I157" s="173" t="s">
        <v>273</v>
      </c>
    </row>
    <row r="158" spans="2:9" ht="12.75" customHeight="1">
      <c r="B158" s="173" t="s">
        <v>545</v>
      </c>
      <c r="C158" s="174" t="s">
        <v>270</v>
      </c>
      <c r="D158" s="177" t="s">
        <v>546</v>
      </c>
      <c r="E158" s="176">
        <v>4166.6344204221332</v>
      </c>
      <c r="F158" s="173" t="s">
        <v>547</v>
      </c>
      <c r="G158" s="177" t="s">
        <v>296</v>
      </c>
      <c r="H158" s="176">
        <v>4958.294960302338</v>
      </c>
      <c r="I158" s="173" t="s">
        <v>273</v>
      </c>
    </row>
    <row r="159" spans="2:9" ht="12.75" customHeight="1">
      <c r="B159" s="173" t="s">
        <v>548</v>
      </c>
      <c r="C159" s="174" t="s">
        <v>270</v>
      </c>
      <c r="D159" s="177" t="s">
        <v>549</v>
      </c>
      <c r="E159" s="176">
        <v>565.41739184225776</v>
      </c>
      <c r="F159" s="173" t="s">
        <v>550</v>
      </c>
      <c r="G159" s="177" t="s">
        <v>296</v>
      </c>
      <c r="H159" s="176">
        <v>672.84669629228665</v>
      </c>
      <c r="I159" s="173" t="s">
        <v>273</v>
      </c>
    </row>
    <row r="160" spans="2:9" ht="12.75" customHeight="1">
      <c r="B160" s="173" t="s">
        <v>551</v>
      </c>
      <c r="C160" s="174" t="s">
        <v>270</v>
      </c>
      <c r="D160" s="177" t="s">
        <v>552</v>
      </c>
      <c r="E160" s="176">
        <v>340460.85337390198</v>
      </c>
      <c r="F160" s="173" t="s">
        <v>415</v>
      </c>
      <c r="G160" s="177" t="s">
        <v>296</v>
      </c>
      <c r="H160" s="176">
        <v>405148.41551494336</v>
      </c>
      <c r="I160" s="173" t="s">
        <v>273</v>
      </c>
    </row>
    <row r="161" spans="2:9" ht="12.75" customHeight="1">
      <c r="B161" s="173" t="s">
        <v>553</v>
      </c>
      <c r="C161" s="174" t="s">
        <v>270</v>
      </c>
      <c r="D161" s="177" t="s">
        <v>554</v>
      </c>
      <c r="E161" s="176">
        <v>214539.72953123428</v>
      </c>
      <c r="F161" s="173" t="s">
        <v>415</v>
      </c>
      <c r="G161" s="177" t="s">
        <v>296</v>
      </c>
      <c r="H161" s="176">
        <v>255302.27814216877</v>
      </c>
      <c r="I161" s="173" t="s">
        <v>273</v>
      </c>
    </row>
    <row r="162" spans="2:9" ht="12.75" customHeight="1">
      <c r="B162" s="173" t="s">
        <v>555</v>
      </c>
      <c r="C162" s="174" t="s">
        <v>270</v>
      </c>
      <c r="D162" s="177" t="s">
        <v>556</v>
      </c>
      <c r="E162" s="176">
        <v>336958.05487204844</v>
      </c>
      <c r="F162" s="173" t="s">
        <v>415</v>
      </c>
      <c r="G162" s="177" t="s">
        <v>296</v>
      </c>
      <c r="H162" s="176">
        <v>400980.08529773762</v>
      </c>
      <c r="I162" s="173" t="s">
        <v>273</v>
      </c>
    </row>
    <row r="163" spans="2:9" ht="12.75" customHeight="1">
      <c r="B163" s="173" t="s">
        <v>557</v>
      </c>
      <c r="C163" s="174" t="s">
        <v>270</v>
      </c>
      <c r="D163" s="177" t="s">
        <v>558</v>
      </c>
      <c r="E163" s="176">
        <v>149121.4431528702</v>
      </c>
      <c r="F163" s="173" t="s">
        <v>415</v>
      </c>
      <c r="G163" s="177" t="s">
        <v>296</v>
      </c>
      <c r="H163" s="176">
        <v>177454.51735191554</v>
      </c>
      <c r="I163" s="173" t="s">
        <v>273</v>
      </c>
    </row>
    <row r="164" spans="2:9" ht="12.75" customHeight="1">
      <c r="B164" s="173" t="s">
        <v>559</v>
      </c>
      <c r="C164" s="174" t="s">
        <v>270</v>
      </c>
      <c r="D164" s="177" t="s">
        <v>560</v>
      </c>
      <c r="E164" s="176">
        <v>90466.782694761219</v>
      </c>
      <c r="F164" s="173" t="s">
        <v>415</v>
      </c>
      <c r="G164" s="177" t="s">
        <v>296</v>
      </c>
      <c r="H164" s="176">
        <v>107655.47140676585</v>
      </c>
      <c r="I164" s="173" t="s">
        <v>273</v>
      </c>
    </row>
    <row r="165" spans="2:9" ht="12.75" customHeight="1">
      <c r="B165" s="173" t="s">
        <v>561</v>
      </c>
      <c r="C165" s="174" t="s">
        <v>270</v>
      </c>
      <c r="D165" s="177" t="s">
        <v>562</v>
      </c>
      <c r="E165" s="176">
        <v>135700.17404214185</v>
      </c>
      <c r="F165" s="173" t="s">
        <v>415</v>
      </c>
      <c r="G165" s="177" t="s">
        <v>296</v>
      </c>
      <c r="H165" s="176">
        <v>161483.2071101488</v>
      </c>
      <c r="I165" s="173" t="s">
        <v>273</v>
      </c>
    </row>
    <row r="166" spans="2:9" ht="12.75" customHeight="1">
      <c r="B166" s="173" t="s">
        <v>563</v>
      </c>
      <c r="C166" s="174" t="s">
        <v>270</v>
      </c>
      <c r="D166" s="177" t="s">
        <v>564</v>
      </c>
      <c r="E166" s="176">
        <v>294017.043757974</v>
      </c>
      <c r="F166" s="173" t="s">
        <v>415</v>
      </c>
      <c r="G166" s="177" t="s">
        <v>296</v>
      </c>
      <c r="H166" s="176">
        <v>349880.28207198903</v>
      </c>
      <c r="I166" s="173" t="s">
        <v>273</v>
      </c>
    </row>
    <row r="167" spans="2:9" ht="12.75" customHeight="1">
      <c r="B167" s="173" t="s">
        <v>565</v>
      </c>
      <c r="C167" s="174" t="s">
        <v>270</v>
      </c>
      <c r="D167" s="177" t="s">
        <v>308</v>
      </c>
      <c r="E167" s="176">
        <v>134491.65613661887</v>
      </c>
      <c r="F167" s="173" t="s">
        <v>415</v>
      </c>
      <c r="G167" s="177" t="s">
        <v>296</v>
      </c>
      <c r="H167" s="176">
        <v>160045.07080257643</v>
      </c>
      <c r="I167" s="173" t="s">
        <v>273</v>
      </c>
    </row>
    <row r="168" spans="2:9" ht="12.75" customHeight="1">
      <c r="B168" s="173" t="s">
        <v>566</v>
      </c>
      <c r="C168" s="174" t="s">
        <v>270</v>
      </c>
      <c r="D168" s="177" t="s">
        <v>567</v>
      </c>
      <c r="E168" s="176">
        <v>4523.3391347380621</v>
      </c>
      <c r="F168" s="173" t="s">
        <v>415</v>
      </c>
      <c r="G168" s="177" t="s">
        <v>296</v>
      </c>
      <c r="H168" s="176">
        <v>5382.7735703382932</v>
      </c>
      <c r="I168" s="173" t="s">
        <v>273</v>
      </c>
    </row>
    <row r="169" spans="2:9" ht="12.75" customHeight="1">
      <c r="B169" s="173" t="s">
        <v>568</v>
      </c>
      <c r="C169" s="174" t="s">
        <v>270</v>
      </c>
      <c r="D169" s="177" t="s">
        <v>569</v>
      </c>
      <c r="E169" s="176">
        <v>55267.19463330102</v>
      </c>
      <c r="F169" s="173" t="s">
        <v>415</v>
      </c>
      <c r="G169" s="177" t="s">
        <v>296</v>
      </c>
      <c r="H169" s="176">
        <v>65767.961613628213</v>
      </c>
      <c r="I169" s="173" t="s">
        <v>273</v>
      </c>
    </row>
    <row r="170" spans="2:9" ht="12.75" customHeight="1">
      <c r="B170" s="173" t="s">
        <v>570</v>
      </c>
      <c r="C170" s="174" t="s">
        <v>270</v>
      </c>
      <c r="D170" s="177" t="s">
        <v>571</v>
      </c>
      <c r="E170" s="176">
        <v>1289731.6899857237</v>
      </c>
      <c r="F170" s="173" t="s">
        <v>415</v>
      </c>
      <c r="G170" s="177" t="s">
        <v>296</v>
      </c>
      <c r="H170" s="176">
        <v>1534780.7110830112</v>
      </c>
      <c r="I170" s="173" t="s">
        <v>273</v>
      </c>
    </row>
    <row r="171" spans="2:9" ht="12.75" customHeight="1">
      <c r="B171" s="173" t="s">
        <v>572</v>
      </c>
      <c r="C171" s="174" t="s">
        <v>270</v>
      </c>
      <c r="D171" s="177" t="s">
        <v>573</v>
      </c>
      <c r="E171" s="176">
        <v>196933.51700850978</v>
      </c>
      <c r="F171" s="173" t="s">
        <v>415</v>
      </c>
      <c r="G171" s="177" t="s">
        <v>296</v>
      </c>
      <c r="H171" s="176">
        <v>234350.88524012663</v>
      </c>
      <c r="I171" s="173" t="s">
        <v>273</v>
      </c>
    </row>
    <row r="172" spans="2:9" ht="12.75" customHeight="1">
      <c r="B172" s="173" t="s">
        <v>574</v>
      </c>
      <c r="C172" s="174" t="s">
        <v>270</v>
      </c>
      <c r="D172" s="177" t="s">
        <v>575</v>
      </c>
      <c r="E172" s="176">
        <v>35365.357232999966</v>
      </c>
      <c r="F172" s="173" t="s">
        <v>415</v>
      </c>
      <c r="G172" s="177" t="s">
        <v>296</v>
      </c>
      <c r="H172" s="176">
        <v>42084.775107269954</v>
      </c>
      <c r="I172" s="173" t="s">
        <v>273</v>
      </c>
    </row>
    <row r="173" spans="2:9" ht="12.75" customHeight="1">
      <c r="B173" s="173" t="s">
        <v>576</v>
      </c>
      <c r="C173" s="174" t="s">
        <v>270</v>
      </c>
      <c r="D173" s="177" t="s">
        <v>577</v>
      </c>
      <c r="E173" s="176">
        <v>35011.8688356149</v>
      </c>
      <c r="F173" s="173" t="s">
        <v>415</v>
      </c>
      <c r="G173" s="177" t="s">
        <v>296</v>
      </c>
      <c r="H173" s="176">
        <v>41664.123914381729</v>
      </c>
      <c r="I173" s="173" t="s">
        <v>273</v>
      </c>
    </row>
    <row r="174" spans="2:9" ht="12.75" customHeight="1">
      <c r="B174" s="173" t="s">
        <v>578</v>
      </c>
      <c r="C174" s="174" t="s">
        <v>270</v>
      </c>
      <c r="D174" s="177" t="s">
        <v>579</v>
      </c>
      <c r="E174" s="176">
        <v>7056.4090501913788</v>
      </c>
      <c r="F174" s="173" t="s">
        <v>415</v>
      </c>
      <c r="G174" s="177" t="s">
        <v>296</v>
      </c>
      <c r="H174" s="176">
        <v>8397.1267697277399</v>
      </c>
      <c r="I174" s="173" t="s">
        <v>273</v>
      </c>
    </row>
    <row r="175" spans="2:9" ht="12.75" customHeight="1">
      <c r="B175" s="173" t="s">
        <v>580</v>
      </c>
      <c r="C175" s="174" t="s">
        <v>270</v>
      </c>
      <c r="D175" s="177" t="s">
        <v>581</v>
      </c>
      <c r="E175" s="176">
        <v>90466.782694761219</v>
      </c>
      <c r="F175" s="173" t="s">
        <v>415</v>
      </c>
      <c r="G175" s="177" t="s">
        <v>296</v>
      </c>
      <c r="H175" s="176">
        <v>107655.47140676585</v>
      </c>
      <c r="I175" s="173" t="s">
        <v>273</v>
      </c>
    </row>
    <row r="176" spans="2:9" ht="12.75" customHeight="1">
      <c r="B176" s="173" t="s">
        <v>582</v>
      </c>
      <c r="C176" s="174" t="s">
        <v>270</v>
      </c>
      <c r="D176" s="177" t="s">
        <v>583</v>
      </c>
      <c r="E176" s="176">
        <v>72373.426155808993</v>
      </c>
      <c r="F176" s="173" t="s">
        <v>415</v>
      </c>
      <c r="G176" s="177" t="s">
        <v>296</v>
      </c>
      <c r="H176" s="176">
        <v>86124.377125412691</v>
      </c>
      <c r="I176" s="173" t="s">
        <v>273</v>
      </c>
    </row>
    <row r="177" spans="2:9" ht="12.75" customHeight="1">
      <c r="B177" s="173" t="s">
        <v>584</v>
      </c>
      <c r="C177" s="174" t="s">
        <v>270</v>
      </c>
      <c r="D177" s="177" t="s">
        <v>585</v>
      </c>
      <c r="E177" s="176">
        <v>5020.9064395592486</v>
      </c>
      <c r="F177" s="173" t="s">
        <v>415</v>
      </c>
      <c r="G177" s="177" t="s">
        <v>296</v>
      </c>
      <c r="H177" s="176">
        <v>5974.8786630755058</v>
      </c>
      <c r="I177" s="173" t="s">
        <v>273</v>
      </c>
    </row>
    <row r="178" spans="2:9" ht="12.75" customHeight="1">
      <c r="B178" s="173" t="s">
        <v>586</v>
      </c>
      <c r="C178" s="174" t="s">
        <v>270</v>
      </c>
      <c r="D178" s="177" t="s">
        <v>587</v>
      </c>
      <c r="E178" s="176">
        <v>8021.6993485167095</v>
      </c>
      <c r="F178" s="173" t="s">
        <v>415</v>
      </c>
      <c r="G178" s="177" t="s">
        <v>296</v>
      </c>
      <c r="H178" s="176">
        <v>9545.822224734884</v>
      </c>
      <c r="I178" s="173" t="s">
        <v>273</v>
      </c>
    </row>
    <row r="179" spans="2:9" ht="12.75" customHeight="1">
      <c r="B179" s="173" t="s">
        <v>588</v>
      </c>
      <c r="C179" s="174" t="s">
        <v>270</v>
      </c>
      <c r="D179" s="177" t="s">
        <v>589</v>
      </c>
      <c r="E179" s="176">
        <v>18093.356538952248</v>
      </c>
      <c r="F179" s="173" t="s">
        <v>415</v>
      </c>
      <c r="G179" s="177" t="s">
        <v>296</v>
      </c>
      <c r="H179" s="176">
        <v>21531.094281353173</v>
      </c>
      <c r="I179" s="173" t="s">
        <v>273</v>
      </c>
    </row>
    <row r="180" spans="2:9" ht="12.75" customHeight="1">
      <c r="B180" s="173" t="s">
        <v>590</v>
      </c>
      <c r="C180" s="174" t="s">
        <v>270</v>
      </c>
      <c r="D180" s="177" t="s">
        <v>591</v>
      </c>
      <c r="E180" s="176">
        <v>149270.19144635607</v>
      </c>
      <c r="F180" s="173" t="s">
        <v>415</v>
      </c>
      <c r="G180" s="177" t="s">
        <v>296</v>
      </c>
      <c r="H180" s="176">
        <v>177631.52782116371</v>
      </c>
      <c r="I180" s="173" t="s">
        <v>273</v>
      </c>
    </row>
    <row r="181" spans="2:9" ht="12.75" customHeight="1">
      <c r="B181" s="173" t="s">
        <v>592</v>
      </c>
      <c r="C181" s="174" t="s">
        <v>270</v>
      </c>
      <c r="D181" s="177" t="s">
        <v>593</v>
      </c>
      <c r="E181" s="176">
        <v>150717.65996947221</v>
      </c>
      <c r="F181" s="173" t="s">
        <v>415</v>
      </c>
      <c r="G181" s="177" t="s">
        <v>296</v>
      </c>
      <c r="H181" s="176">
        <v>179354.01536367193</v>
      </c>
      <c r="I181" s="173" t="s">
        <v>273</v>
      </c>
    </row>
    <row r="182" spans="2:9" ht="12.75" customHeight="1">
      <c r="B182" s="173" t="s">
        <v>594</v>
      </c>
      <c r="C182" s="174" t="s">
        <v>270</v>
      </c>
      <c r="D182" s="177" t="s">
        <v>595</v>
      </c>
      <c r="E182" s="176">
        <v>4523.3391347380621</v>
      </c>
      <c r="F182" s="173" t="s">
        <v>415</v>
      </c>
      <c r="G182" s="177" t="s">
        <v>296</v>
      </c>
      <c r="H182" s="176">
        <v>5382.7735703382932</v>
      </c>
      <c r="I182" s="173" t="s">
        <v>273</v>
      </c>
    </row>
    <row r="183" spans="2:9" ht="12.75" customHeight="1">
      <c r="B183" s="173" t="s">
        <v>596</v>
      </c>
      <c r="C183" s="174" t="s">
        <v>270</v>
      </c>
      <c r="D183" s="177" t="s">
        <v>597</v>
      </c>
      <c r="E183" s="176">
        <v>22616.695673690308</v>
      </c>
      <c r="F183" s="173" t="s">
        <v>415</v>
      </c>
      <c r="G183" s="177" t="s">
        <v>296</v>
      </c>
      <c r="H183" s="176">
        <v>26913.867851691466</v>
      </c>
      <c r="I183" s="173" t="s">
        <v>273</v>
      </c>
    </row>
    <row r="184" spans="2:9" ht="12.75" customHeight="1">
      <c r="B184" s="173" t="s">
        <v>598</v>
      </c>
      <c r="C184" s="174" t="s">
        <v>270</v>
      </c>
      <c r="D184" s="177" t="s">
        <v>599</v>
      </c>
      <c r="E184" s="176">
        <v>233991.85768357551</v>
      </c>
      <c r="F184" s="173" t="s">
        <v>415</v>
      </c>
      <c r="G184" s="177" t="s">
        <v>296</v>
      </c>
      <c r="H184" s="176">
        <v>278450.31064345484</v>
      </c>
      <c r="I184" s="173" t="s">
        <v>273</v>
      </c>
    </row>
    <row r="185" spans="2:9" ht="12.75" customHeight="1">
      <c r="B185" s="173" t="s">
        <v>600</v>
      </c>
      <c r="C185" s="174" t="s">
        <v>270</v>
      </c>
      <c r="D185" s="177" t="s">
        <v>601</v>
      </c>
      <c r="E185" s="176">
        <v>236276.56130417448</v>
      </c>
      <c r="F185" s="173" t="s">
        <v>415</v>
      </c>
      <c r="G185" s="177" t="s">
        <v>296</v>
      </c>
      <c r="H185" s="176">
        <v>281169.10795196763</v>
      </c>
      <c r="I185" s="173" t="s">
        <v>273</v>
      </c>
    </row>
    <row r="186" spans="2:9" ht="12.75" customHeight="1">
      <c r="B186" s="173" t="s">
        <v>602</v>
      </c>
      <c r="C186" s="174" t="s">
        <v>270</v>
      </c>
      <c r="D186" s="177" t="s">
        <v>603</v>
      </c>
      <c r="E186" s="176">
        <v>87.378059266220703</v>
      </c>
      <c r="F186" s="173" t="s">
        <v>415</v>
      </c>
      <c r="G186" s="177" t="s">
        <v>296</v>
      </c>
      <c r="H186" s="176">
        <v>103.97989052680263</v>
      </c>
      <c r="I186" s="173" t="s">
        <v>273</v>
      </c>
    </row>
    <row r="187" spans="2:9" ht="12.75" customHeight="1">
      <c r="B187" s="173" t="s">
        <v>604</v>
      </c>
      <c r="C187" s="174" t="s">
        <v>270</v>
      </c>
      <c r="D187" s="177" t="s">
        <v>605</v>
      </c>
      <c r="E187" s="176">
        <v>519300.56933652115</v>
      </c>
      <c r="F187" s="173" t="s">
        <v>415</v>
      </c>
      <c r="G187" s="177" t="s">
        <v>296</v>
      </c>
      <c r="H187" s="176">
        <v>617967.67751046014</v>
      </c>
      <c r="I187" s="173" t="s">
        <v>273</v>
      </c>
    </row>
    <row r="188" spans="2:9" ht="12.75" customHeight="1">
      <c r="B188" s="173" t="s">
        <v>606</v>
      </c>
      <c r="C188" s="174" t="s">
        <v>270</v>
      </c>
      <c r="D188" s="177" t="s">
        <v>607</v>
      </c>
      <c r="E188" s="176">
        <v>510955.63301772717</v>
      </c>
      <c r="F188" s="173" t="s">
        <v>415</v>
      </c>
      <c r="G188" s="177" t="s">
        <v>296</v>
      </c>
      <c r="H188" s="176">
        <v>608037.20329109533</v>
      </c>
      <c r="I188" s="173" t="s">
        <v>273</v>
      </c>
    </row>
    <row r="189" spans="2:9" ht="12.75" customHeight="1">
      <c r="B189" s="173" t="s">
        <v>608</v>
      </c>
      <c r="C189" s="174" t="s">
        <v>270</v>
      </c>
      <c r="D189" s="177" t="s">
        <v>609</v>
      </c>
      <c r="E189" s="176">
        <v>498840.16980222915</v>
      </c>
      <c r="F189" s="173" t="s">
        <v>415</v>
      </c>
      <c r="G189" s="177" t="s">
        <v>296</v>
      </c>
      <c r="H189" s="176">
        <v>593619.80206465267</v>
      </c>
      <c r="I189" s="173" t="s">
        <v>273</v>
      </c>
    </row>
    <row r="190" spans="2:9" ht="12.75" customHeight="1">
      <c r="B190" s="173" t="s">
        <v>610</v>
      </c>
      <c r="C190" s="174" t="s">
        <v>270</v>
      </c>
      <c r="D190" s="177" t="s">
        <v>611</v>
      </c>
      <c r="E190" s="176">
        <v>264738.90954721504</v>
      </c>
      <c r="F190" s="173" t="s">
        <v>415</v>
      </c>
      <c r="G190" s="177" t="s">
        <v>296</v>
      </c>
      <c r="H190" s="176">
        <v>315039.3023611859</v>
      </c>
      <c r="I190" s="173" t="s">
        <v>273</v>
      </c>
    </row>
    <row r="191" spans="2:9" ht="12.75" customHeight="1">
      <c r="B191" s="173" t="s">
        <v>612</v>
      </c>
      <c r="C191" s="174" t="s">
        <v>270</v>
      </c>
      <c r="D191" s="177" t="s">
        <v>334</v>
      </c>
      <c r="E191" s="176">
        <v>121070.52326954769</v>
      </c>
      <c r="F191" s="173" t="s">
        <v>415</v>
      </c>
      <c r="G191" s="177" t="s">
        <v>296</v>
      </c>
      <c r="H191" s="176">
        <v>144073.92269076174</v>
      </c>
      <c r="I191" s="173" t="s">
        <v>273</v>
      </c>
    </row>
    <row r="192" spans="2:9" ht="12.75" customHeight="1">
      <c r="B192" s="173" t="s">
        <v>613</v>
      </c>
      <c r="C192" s="174" t="s">
        <v>270</v>
      </c>
      <c r="D192" s="177" t="s">
        <v>614</v>
      </c>
      <c r="E192" s="176">
        <v>9407.090934433003</v>
      </c>
      <c r="F192" s="173" t="s">
        <v>415</v>
      </c>
      <c r="G192" s="177" t="s">
        <v>296</v>
      </c>
      <c r="H192" s="176">
        <v>11194.438211975274</v>
      </c>
      <c r="I192" s="173" t="s">
        <v>273</v>
      </c>
    </row>
    <row r="193" spans="2:9" ht="12.75" customHeight="1">
      <c r="B193" s="173" t="s">
        <v>615</v>
      </c>
      <c r="C193" s="174" t="s">
        <v>270</v>
      </c>
      <c r="D193" s="177" t="s">
        <v>616</v>
      </c>
      <c r="E193" s="176">
        <v>452333.91347380617</v>
      </c>
      <c r="F193" s="173" t="s">
        <v>415</v>
      </c>
      <c r="G193" s="177" t="s">
        <v>296</v>
      </c>
      <c r="H193" s="176">
        <v>400626.58480607899</v>
      </c>
      <c r="I193" s="173" t="s">
        <v>273</v>
      </c>
    </row>
    <row r="194" spans="2:9" ht="12.75" customHeight="1">
      <c r="B194" s="173" t="s">
        <v>617</v>
      </c>
      <c r="C194" s="174" t="s">
        <v>270</v>
      </c>
      <c r="D194" s="177" t="s">
        <v>618</v>
      </c>
      <c r="E194" s="176">
        <v>209578.06279416481</v>
      </c>
      <c r="F194" s="173" t="s">
        <v>415</v>
      </c>
      <c r="G194" s="177" t="s">
        <v>296</v>
      </c>
      <c r="H194" s="176">
        <v>528452.8629894167</v>
      </c>
      <c r="I194" s="173" t="s">
        <v>273</v>
      </c>
    </row>
    <row r="195" spans="2:9" ht="12.75" customHeight="1">
      <c r="B195" s="173" t="s">
        <v>619</v>
      </c>
      <c r="C195" s="174" t="s">
        <v>270</v>
      </c>
      <c r="D195" s="177" t="s">
        <v>620</v>
      </c>
      <c r="E195" s="176">
        <v>3957.921742895805</v>
      </c>
      <c r="F195" s="173" t="s">
        <v>415</v>
      </c>
      <c r="G195" s="177" t="s">
        <v>296</v>
      </c>
      <c r="H195" s="176">
        <v>273995.88272644352</v>
      </c>
      <c r="I195" s="173" t="s">
        <v>273</v>
      </c>
    </row>
    <row r="196" spans="2:9" ht="12.75" customHeight="1">
      <c r="B196" s="173" t="s">
        <v>621</v>
      </c>
      <c r="C196" s="174" t="s">
        <v>270</v>
      </c>
      <c r="D196" s="177" t="s">
        <v>622</v>
      </c>
      <c r="E196" s="176">
        <v>137116.74068333744</v>
      </c>
      <c r="F196" s="173" t="s">
        <v>415</v>
      </c>
      <c r="G196" s="177" t="s">
        <v>296</v>
      </c>
      <c r="H196" s="176">
        <v>3942.8694313661258</v>
      </c>
      <c r="I196" s="173" t="s">
        <v>273</v>
      </c>
    </row>
    <row r="197" spans="2:9" ht="12.75" customHeight="1">
      <c r="B197" s="173" t="s">
        <v>623</v>
      </c>
      <c r="C197" s="174" t="s">
        <v>270</v>
      </c>
      <c r="D197" s="177" t="s">
        <v>624</v>
      </c>
      <c r="E197" s="176">
        <v>420967.60572107526</v>
      </c>
      <c r="F197" s="173" t="s">
        <v>415</v>
      </c>
      <c r="G197" s="177" t="s">
        <v>296</v>
      </c>
      <c r="H197" s="176">
        <v>163168.92141317154</v>
      </c>
      <c r="I197" s="173" t="s">
        <v>273</v>
      </c>
    </row>
    <row r="198" spans="2:9" ht="12.75" customHeight="1">
      <c r="B198" s="173" t="s">
        <v>625</v>
      </c>
      <c r="C198" s="174" t="s">
        <v>270</v>
      </c>
      <c r="D198" s="177" t="s">
        <v>626</v>
      </c>
      <c r="E198" s="176">
        <v>12840.855135694412</v>
      </c>
      <c r="F198" s="173" t="s">
        <v>415</v>
      </c>
      <c r="G198" s="177" t="s">
        <v>296</v>
      </c>
      <c r="H198" s="176">
        <v>500951.45080807956</v>
      </c>
      <c r="I198" s="173" t="s">
        <v>273</v>
      </c>
    </row>
    <row r="199" spans="2:9" ht="12.75" customHeight="1">
      <c r="B199" s="173" t="s">
        <v>627</v>
      </c>
      <c r="C199" s="174" t="s">
        <v>270</v>
      </c>
      <c r="D199" s="177" t="s">
        <v>628</v>
      </c>
      <c r="E199" s="176">
        <v>108560.1392337135</v>
      </c>
      <c r="F199" s="173" t="s">
        <v>415</v>
      </c>
      <c r="G199" s="177" t="s">
        <v>296</v>
      </c>
      <c r="H199" s="176">
        <v>8822.5059836508826</v>
      </c>
      <c r="I199" s="173" t="s">
        <v>273</v>
      </c>
    </row>
    <row r="200" spans="2:9" ht="12.75" customHeight="1">
      <c r="B200" s="173" t="s">
        <v>629</v>
      </c>
      <c r="C200" s="174" t="s">
        <v>270</v>
      </c>
      <c r="D200" s="177" t="s">
        <v>630</v>
      </c>
      <c r="E200" s="176">
        <v>108560.1392337135</v>
      </c>
      <c r="F200" s="173" t="s">
        <v>415</v>
      </c>
      <c r="G200" s="177" t="s">
        <v>296</v>
      </c>
      <c r="H200" s="176">
        <v>108893.50932794367</v>
      </c>
      <c r="I200" s="173" t="s">
        <v>273</v>
      </c>
    </row>
    <row r="201" spans="2:9" ht="12.75" customHeight="1">
      <c r="B201" s="173" t="s">
        <v>631</v>
      </c>
      <c r="C201" s="174" t="s">
        <v>270</v>
      </c>
      <c r="D201" s="177" t="s">
        <v>632</v>
      </c>
      <c r="E201" s="176">
        <v>108560.1392337135</v>
      </c>
      <c r="F201" s="173" t="s">
        <v>415</v>
      </c>
      <c r="G201" s="177" t="s">
        <v>296</v>
      </c>
      <c r="H201" s="176">
        <v>129186.56568811907</v>
      </c>
      <c r="I201" s="173" t="s">
        <v>273</v>
      </c>
    </row>
    <row r="202" spans="2:9" ht="12.75" customHeight="1">
      <c r="B202" s="173" t="s">
        <v>633</v>
      </c>
      <c r="C202" s="174" t="s">
        <v>270</v>
      </c>
      <c r="D202" s="177" t="s">
        <v>634</v>
      </c>
      <c r="E202" s="176">
        <v>108560.1392337135</v>
      </c>
      <c r="F202" s="173" t="s">
        <v>415</v>
      </c>
      <c r="G202" s="177" t="s">
        <v>296</v>
      </c>
      <c r="H202" s="176">
        <v>108893.50932794367</v>
      </c>
      <c r="I202" s="173" t="s">
        <v>273</v>
      </c>
    </row>
    <row r="203" spans="2:9" ht="12.75" customHeight="1">
      <c r="B203" s="173" t="s">
        <v>635</v>
      </c>
      <c r="C203" s="174" t="s">
        <v>270</v>
      </c>
      <c r="D203" s="177" t="s">
        <v>636</v>
      </c>
      <c r="E203" s="176">
        <v>171886.88712004636</v>
      </c>
      <c r="F203" s="173" t="s">
        <v>415</v>
      </c>
      <c r="G203" s="177" t="s">
        <v>296</v>
      </c>
      <c r="H203" s="176">
        <v>179354.01536367193</v>
      </c>
      <c r="I203" s="173" t="s">
        <v>273</v>
      </c>
    </row>
    <row r="204" spans="2:9" ht="12.75" customHeight="1">
      <c r="B204" s="173" t="s">
        <v>637</v>
      </c>
      <c r="C204" s="174" t="s">
        <v>270</v>
      </c>
      <c r="D204" s="177" t="s">
        <v>638</v>
      </c>
      <c r="E204" s="176">
        <v>126653.49577266576</v>
      </c>
      <c r="F204" s="173" t="s">
        <v>415</v>
      </c>
      <c r="G204" s="177" t="s">
        <v>296</v>
      </c>
      <c r="H204" s="176">
        <v>198570.51700977964</v>
      </c>
      <c r="I204" s="173" t="s">
        <v>273</v>
      </c>
    </row>
    <row r="205" spans="2:9" ht="12.75" customHeight="1">
      <c r="B205" s="173" t="s">
        <v>639</v>
      </c>
      <c r="C205" s="174" t="s">
        <v>270</v>
      </c>
      <c r="D205" s="177" t="s">
        <v>640</v>
      </c>
      <c r="E205" s="176">
        <v>122942.54834652664</v>
      </c>
      <c r="F205" s="173" t="s">
        <v>415</v>
      </c>
      <c r="G205" s="177" t="s">
        <v>296</v>
      </c>
      <c r="H205" s="176">
        <v>150717.65996947224</v>
      </c>
      <c r="I205" s="173" t="s">
        <v>273</v>
      </c>
    </row>
    <row r="206" spans="2:9" ht="12.75" customHeight="1">
      <c r="B206" s="173" t="s">
        <v>641</v>
      </c>
      <c r="C206" s="174" t="s">
        <v>270</v>
      </c>
      <c r="D206" s="177" t="s">
        <v>642</v>
      </c>
      <c r="E206" s="176">
        <v>4649.3156855505204</v>
      </c>
      <c r="F206" s="173" t="s">
        <v>415</v>
      </c>
      <c r="G206" s="177" t="s">
        <v>296</v>
      </c>
      <c r="H206" s="176">
        <v>115299.00987664626</v>
      </c>
      <c r="I206" s="173" t="s">
        <v>273</v>
      </c>
    </row>
    <row r="207" spans="2:9" ht="12.75" customHeight="1">
      <c r="B207" s="173" t="s">
        <v>643</v>
      </c>
      <c r="C207" s="174" t="s">
        <v>270</v>
      </c>
      <c r="D207" s="177" t="s">
        <v>644</v>
      </c>
      <c r="E207" s="176">
        <v>81420.104425285128</v>
      </c>
      <c r="F207" s="173" t="s">
        <v>415</v>
      </c>
      <c r="G207" s="177" t="s">
        <v>296</v>
      </c>
      <c r="H207" s="176">
        <v>5532.6856658051192</v>
      </c>
      <c r="I207" s="173" t="s">
        <v>273</v>
      </c>
    </row>
    <row r="208" spans="2:9" ht="12.75" customHeight="1">
      <c r="B208" s="173" t="s">
        <v>645</v>
      </c>
      <c r="C208" s="174" t="s">
        <v>270</v>
      </c>
      <c r="D208" s="177" t="s">
        <v>646</v>
      </c>
      <c r="E208" s="176">
        <v>24124.478400829088</v>
      </c>
      <c r="F208" s="173" t="s">
        <v>415</v>
      </c>
      <c r="G208" s="177" t="s">
        <v>296</v>
      </c>
      <c r="H208" s="176">
        <v>110628.62811813118</v>
      </c>
      <c r="I208" s="173" t="s">
        <v>273</v>
      </c>
    </row>
    <row r="209" spans="2:9" ht="12.75" customHeight="1">
      <c r="B209" s="173" t="s">
        <v>647</v>
      </c>
      <c r="C209" s="174" t="s">
        <v>270</v>
      </c>
      <c r="D209" s="177" t="s">
        <v>648</v>
      </c>
      <c r="E209" s="176">
        <v>31326.005521467701</v>
      </c>
      <c r="F209" s="173" t="s">
        <v>415</v>
      </c>
      <c r="G209" s="177" t="s">
        <v>296</v>
      </c>
      <c r="H209" s="176">
        <v>28708.129296986615</v>
      </c>
      <c r="I209" s="173" t="s">
        <v>273</v>
      </c>
    </row>
    <row r="210" spans="2:9" ht="12.75" customHeight="1">
      <c r="B210" s="173" t="s">
        <v>649</v>
      </c>
      <c r="C210" s="174" t="s">
        <v>270</v>
      </c>
      <c r="D210" s="177" t="s">
        <v>650</v>
      </c>
      <c r="E210" s="176">
        <v>2649.9313936985345</v>
      </c>
      <c r="F210" s="173" t="s">
        <v>415</v>
      </c>
      <c r="G210" s="177" t="s">
        <v>296</v>
      </c>
      <c r="H210" s="176">
        <v>37277.946570546563</v>
      </c>
      <c r="I210" s="173" t="s">
        <v>273</v>
      </c>
    </row>
    <row r="211" spans="2:9" ht="12.75" customHeight="1">
      <c r="B211" s="173" t="s">
        <v>651</v>
      </c>
      <c r="C211" s="174" t="s">
        <v>270</v>
      </c>
      <c r="D211" s="177" t="s">
        <v>652</v>
      </c>
      <c r="E211" s="176">
        <v>6779.1640768375446</v>
      </c>
      <c r="F211" s="173" t="s">
        <v>415</v>
      </c>
      <c r="G211" s="177" t="s">
        <v>296</v>
      </c>
      <c r="H211" s="176">
        <v>5974.8786630755058</v>
      </c>
      <c r="I211" s="173" t="s">
        <v>273</v>
      </c>
    </row>
    <row r="212" spans="2:9" ht="12.75" customHeight="1">
      <c r="B212" s="173" t="s">
        <v>653</v>
      </c>
      <c r="C212" s="174" t="s">
        <v>270</v>
      </c>
      <c r="D212" s="177" t="s">
        <v>654</v>
      </c>
      <c r="E212" s="176">
        <v>181327.4935934715</v>
      </c>
      <c r="F212" s="173" t="s">
        <v>415</v>
      </c>
      <c r="G212" s="177" t="s">
        <v>296</v>
      </c>
      <c r="H212" s="176">
        <v>5383.5203546457669</v>
      </c>
      <c r="I212" s="173" t="s">
        <v>273</v>
      </c>
    </row>
    <row r="213" spans="2:9" ht="12.75" customHeight="1">
      <c r="B213" s="173" t="s">
        <v>655</v>
      </c>
      <c r="C213" s="174" t="s">
        <v>270</v>
      </c>
      <c r="D213" s="177" t="s">
        <v>656</v>
      </c>
      <c r="E213" s="176">
        <v>122130.15663792766</v>
      </c>
      <c r="F213" s="173" t="s">
        <v>412</v>
      </c>
      <c r="G213" s="177" t="s">
        <v>296</v>
      </c>
      <c r="H213" s="176">
        <v>215779.71737623107</v>
      </c>
      <c r="I213" s="173" t="s">
        <v>273</v>
      </c>
    </row>
    <row r="214" spans="2:9" ht="12.75" customHeight="1">
      <c r="B214" s="173" t="s">
        <v>657</v>
      </c>
      <c r="C214" s="174" t="s">
        <v>270</v>
      </c>
      <c r="D214" s="177" t="s">
        <v>658</v>
      </c>
      <c r="E214" s="176">
        <v>122130.15663792766</v>
      </c>
      <c r="F214" s="173" t="s">
        <v>415</v>
      </c>
      <c r="G214" s="177" t="s">
        <v>296</v>
      </c>
      <c r="H214" s="176">
        <v>275436.52359421062</v>
      </c>
      <c r="I214" s="173" t="s">
        <v>273</v>
      </c>
    </row>
    <row r="215" spans="2:9" ht="12.75" customHeight="1">
      <c r="B215" s="173" t="s">
        <v>659</v>
      </c>
      <c r="C215" s="174" t="s">
        <v>270</v>
      </c>
      <c r="D215" s="177" t="s">
        <v>660</v>
      </c>
      <c r="E215" s="176">
        <v>136604.84186908949</v>
      </c>
      <c r="F215" s="173" t="s">
        <v>415</v>
      </c>
      <c r="G215" s="177" t="s">
        <v>296</v>
      </c>
      <c r="H215" s="176">
        <v>275436.52359421062</v>
      </c>
      <c r="I215" s="173" t="s">
        <v>273</v>
      </c>
    </row>
    <row r="216" spans="2:9" ht="12.75" customHeight="1">
      <c r="B216" s="173" t="s">
        <v>661</v>
      </c>
      <c r="C216" s="174" t="s">
        <v>270</v>
      </c>
      <c r="D216" s="177" t="s">
        <v>662</v>
      </c>
      <c r="E216" s="176">
        <v>4048.3885255905652</v>
      </c>
      <c r="F216" s="173" t="s">
        <v>415</v>
      </c>
      <c r="G216" s="177" t="s">
        <v>296</v>
      </c>
      <c r="H216" s="176">
        <v>107655.47140676585</v>
      </c>
      <c r="I216" s="173" t="s">
        <v>273</v>
      </c>
    </row>
    <row r="217" spans="2:9" ht="12.75" customHeight="1">
      <c r="B217" s="173" t="s">
        <v>663</v>
      </c>
      <c r="C217" s="174" t="s">
        <v>270</v>
      </c>
      <c r="D217" s="177" t="s">
        <v>664</v>
      </c>
      <c r="E217" s="176">
        <v>123803.79211778079</v>
      </c>
      <c r="F217" s="173" t="s">
        <v>415</v>
      </c>
      <c r="G217" s="177" t="s">
        <v>296</v>
      </c>
      <c r="H217" s="176">
        <v>5974.8786630755058</v>
      </c>
      <c r="I217" s="173" t="s">
        <v>273</v>
      </c>
    </row>
    <row r="218" spans="2:9" ht="12.75" customHeight="1">
      <c r="B218" s="173" t="s">
        <v>665</v>
      </c>
      <c r="C218" s="174" t="s">
        <v>270</v>
      </c>
      <c r="D218" s="177" t="s">
        <v>666</v>
      </c>
      <c r="E218" s="176">
        <v>45080.502484626486</v>
      </c>
      <c r="F218" s="173" t="s">
        <v>415</v>
      </c>
      <c r="G218" s="177" t="s">
        <v>296</v>
      </c>
      <c r="H218" s="176">
        <v>86124.377125412691</v>
      </c>
      <c r="I218" s="173" t="s">
        <v>273</v>
      </c>
    </row>
    <row r="219" spans="2:9" ht="12.75" customHeight="1">
      <c r="B219" s="173" t="s">
        <v>667</v>
      </c>
      <c r="C219" s="174" t="s">
        <v>270</v>
      </c>
      <c r="D219" s="177" t="s">
        <v>668</v>
      </c>
      <c r="E219" s="176">
        <v>101775.1305316064</v>
      </c>
      <c r="F219" s="173" t="s">
        <v>415</v>
      </c>
      <c r="G219" s="177" t="s">
        <v>296</v>
      </c>
      <c r="H219" s="176">
        <v>51846.80749404095</v>
      </c>
      <c r="I219" s="173" t="s">
        <v>273</v>
      </c>
    </row>
    <row r="220" spans="2:9" ht="12.75" customHeight="1">
      <c r="B220" s="173" t="s">
        <v>669</v>
      </c>
      <c r="C220" s="174" t="s">
        <v>270</v>
      </c>
      <c r="D220" s="177" t="s">
        <v>670</v>
      </c>
      <c r="E220" s="176">
        <v>63326.74788633288</v>
      </c>
      <c r="F220" s="173" t="s">
        <v>415</v>
      </c>
      <c r="G220" s="177" t="s">
        <v>296</v>
      </c>
      <c r="H220" s="176">
        <v>136184.17132955883</v>
      </c>
      <c r="I220" s="173" t="s">
        <v>273</v>
      </c>
    </row>
    <row r="221" spans="2:9" ht="12.75" customHeight="1">
      <c r="B221" s="173" t="s">
        <v>671</v>
      </c>
      <c r="C221" s="174" t="s">
        <v>270</v>
      </c>
      <c r="D221" s="177" t="s">
        <v>672</v>
      </c>
      <c r="E221" s="176">
        <v>63326.74788633288</v>
      </c>
      <c r="F221" s="173" t="s">
        <v>415</v>
      </c>
      <c r="G221" s="177" t="s">
        <v>296</v>
      </c>
      <c r="H221" s="176">
        <v>64055.005487025686</v>
      </c>
      <c r="I221" s="173" t="s">
        <v>273</v>
      </c>
    </row>
    <row r="222" spans="2:9" ht="12.75" customHeight="1">
      <c r="B222" s="173" t="s">
        <v>673</v>
      </c>
      <c r="C222" s="174" t="s">
        <v>270</v>
      </c>
      <c r="D222" s="177" t="s">
        <v>2513</v>
      </c>
      <c r="E222" s="176">
        <v>63327.747886332902</v>
      </c>
      <c r="F222" s="173" t="s">
        <v>415</v>
      </c>
      <c r="G222" s="177"/>
      <c r="H222" s="176">
        <f>90000*1.15</f>
        <v>103499.99999999999</v>
      </c>
      <c r="I222" s="173"/>
    </row>
    <row r="223" spans="2:9" ht="12.75" customHeight="1">
      <c r="B223" s="173" t="s">
        <v>674</v>
      </c>
      <c r="C223" s="174"/>
      <c r="D223" s="177" t="s">
        <v>675</v>
      </c>
      <c r="E223" s="176">
        <f>H223/1.19</f>
        <v>50420.168067226892</v>
      </c>
      <c r="F223" s="173" t="s">
        <v>415</v>
      </c>
      <c r="G223" s="177"/>
      <c r="H223" s="176">
        <f>60000</f>
        <v>60000</v>
      </c>
      <c r="I223" s="177" t="s">
        <v>273</v>
      </c>
    </row>
    <row r="224" spans="2:9" ht="12.75" customHeight="1">
      <c r="B224" s="173"/>
      <c r="C224" s="174"/>
      <c r="D224" s="177"/>
      <c r="E224" s="176"/>
      <c r="F224" s="173"/>
      <c r="G224" s="177"/>
      <c r="H224" s="176"/>
      <c r="I224" s="173"/>
    </row>
    <row r="225" spans="2:9" ht="12.75" customHeight="1">
      <c r="B225" s="173"/>
      <c r="C225" s="174"/>
      <c r="D225" s="177"/>
      <c r="E225" s="176"/>
      <c r="F225" s="173"/>
      <c r="G225" s="177"/>
      <c r="H225" s="176"/>
      <c r="I225" s="173"/>
    </row>
    <row r="226" spans="2:9" ht="12.75" customHeight="1">
      <c r="B226" s="173"/>
      <c r="C226" s="174"/>
      <c r="D226" s="177"/>
      <c r="E226" s="176"/>
      <c r="F226" s="173"/>
      <c r="G226" s="177"/>
      <c r="H226" s="176"/>
      <c r="I226" s="173"/>
    </row>
    <row r="227" spans="2:9" ht="12.75" customHeight="1">
      <c r="B227" s="173"/>
      <c r="C227" s="174"/>
      <c r="D227" s="177"/>
      <c r="E227" s="176"/>
      <c r="F227" s="173"/>
      <c r="G227" s="177"/>
      <c r="H227" s="176"/>
      <c r="I227" s="173"/>
    </row>
    <row r="228" spans="2:9" ht="12.75" customHeight="1">
      <c r="B228" s="173"/>
      <c r="C228" s="174"/>
      <c r="D228" s="177"/>
      <c r="E228" s="176"/>
      <c r="F228" s="173"/>
      <c r="G228" s="177"/>
      <c r="H228" s="176"/>
      <c r="I228" s="173"/>
    </row>
    <row r="229" spans="2:9" ht="12.75" customHeight="1">
      <c r="B229" s="173" t="s">
        <v>676</v>
      </c>
      <c r="C229" s="174"/>
      <c r="D229" s="177" t="s">
        <v>677</v>
      </c>
      <c r="E229" s="176">
        <f t="shared" ref="E229:E288" si="6">+H229/1.19</f>
        <v>85235.294117647049</v>
      </c>
      <c r="F229" s="173" t="s">
        <v>678</v>
      </c>
      <c r="G229" s="177"/>
      <c r="H229" s="176">
        <v>101429.99999999999</v>
      </c>
      <c r="I229" s="177" t="s">
        <v>679</v>
      </c>
    </row>
    <row r="230" spans="2:9" ht="12.75" customHeight="1">
      <c r="B230" s="173" t="s">
        <v>680</v>
      </c>
      <c r="C230" s="174"/>
      <c r="D230" s="177" t="s">
        <v>681</v>
      </c>
      <c r="E230" s="176">
        <f t="shared" si="6"/>
        <v>46096.638655462179</v>
      </c>
      <c r="F230" s="173" t="s">
        <v>678</v>
      </c>
      <c r="G230" s="177"/>
      <c r="H230" s="176">
        <v>54854.999999999993</v>
      </c>
      <c r="I230" s="177" t="s">
        <v>679</v>
      </c>
    </row>
    <row r="231" spans="2:9" ht="12.75" customHeight="1">
      <c r="B231" s="173" t="s">
        <v>682</v>
      </c>
      <c r="C231" s="174"/>
      <c r="D231" s="177" t="s">
        <v>683</v>
      </c>
      <c r="E231" s="176">
        <f t="shared" si="6"/>
        <v>108718.48739495798</v>
      </c>
      <c r="F231" s="173" t="s">
        <v>678</v>
      </c>
      <c r="G231" s="177"/>
      <c r="H231" s="176">
        <v>129374.99999999999</v>
      </c>
      <c r="I231" s="177" t="s">
        <v>679</v>
      </c>
    </row>
    <row r="232" spans="2:9" ht="12.75" customHeight="1">
      <c r="B232" s="173" t="s">
        <v>684</v>
      </c>
      <c r="C232" s="174"/>
      <c r="D232" s="177" t="s">
        <v>685</v>
      </c>
      <c r="E232" s="176">
        <f t="shared" si="6"/>
        <v>150405.04201680672</v>
      </c>
      <c r="F232" s="173" t="s">
        <v>686</v>
      </c>
      <c r="G232" s="177"/>
      <c r="H232" s="176">
        <v>178982</v>
      </c>
      <c r="I232" s="177" t="s">
        <v>679</v>
      </c>
    </row>
    <row r="233" spans="2:9" ht="12.75" customHeight="1">
      <c r="B233" s="173" t="s">
        <v>687</v>
      </c>
      <c r="C233" s="174"/>
      <c r="D233" s="177" t="s">
        <v>688</v>
      </c>
      <c r="E233" s="176">
        <f t="shared" si="6"/>
        <v>196791.97764705884</v>
      </c>
      <c r="F233" s="173" t="s">
        <v>686</v>
      </c>
      <c r="G233" s="177"/>
      <c r="H233" s="176">
        <v>234182.4534</v>
      </c>
      <c r="I233" s="177" t="s">
        <v>679</v>
      </c>
    </row>
    <row r="234" spans="2:9" ht="12.75" customHeight="1">
      <c r="B234" s="173" t="s">
        <v>689</v>
      </c>
      <c r="C234" s="174"/>
      <c r="D234" s="177" t="s">
        <v>690</v>
      </c>
      <c r="E234" s="176">
        <f t="shared" si="6"/>
        <v>313109.24369747902</v>
      </c>
      <c r="F234" s="173" t="s">
        <v>686</v>
      </c>
      <c r="G234" s="177"/>
      <c r="H234" s="176">
        <v>372600</v>
      </c>
      <c r="I234" s="177" t="s">
        <v>679</v>
      </c>
    </row>
    <row r="235" spans="2:9" ht="12.75" customHeight="1">
      <c r="B235" s="173" t="s">
        <v>691</v>
      </c>
      <c r="C235" s="174"/>
      <c r="D235" s="177" t="s">
        <v>692</v>
      </c>
      <c r="E235" s="176">
        <f t="shared" si="6"/>
        <v>173949.57983193276</v>
      </c>
      <c r="F235" s="173" t="s">
        <v>693</v>
      </c>
      <c r="G235" s="177"/>
      <c r="H235" s="176">
        <v>206999.99999999997</v>
      </c>
      <c r="I235" s="177" t="s">
        <v>679</v>
      </c>
    </row>
    <row r="236" spans="2:9" ht="12.75" customHeight="1">
      <c r="B236" s="173" t="s">
        <v>694</v>
      </c>
      <c r="C236" s="174"/>
      <c r="D236" s="177" t="s">
        <v>695</v>
      </c>
      <c r="E236" s="176">
        <f t="shared" si="6"/>
        <v>457747.20821662003</v>
      </c>
      <c r="F236" s="173" t="s">
        <v>686</v>
      </c>
      <c r="G236" s="177"/>
      <c r="H236" s="176">
        <v>544719.17777777778</v>
      </c>
      <c r="I236" s="177" t="s">
        <v>679</v>
      </c>
    </row>
    <row r="237" spans="2:9" ht="12.75" customHeight="1">
      <c r="B237" s="173" t="s">
        <v>696</v>
      </c>
      <c r="C237" s="174"/>
      <c r="D237" s="177" t="s">
        <v>697</v>
      </c>
      <c r="E237" s="176">
        <f t="shared" si="6"/>
        <v>69579.831932773115</v>
      </c>
      <c r="F237" s="173" t="s">
        <v>686</v>
      </c>
      <c r="G237" s="177"/>
      <c r="H237" s="176">
        <v>82800</v>
      </c>
      <c r="I237" s="177" t="s">
        <v>679</v>
      </c>
    </row>
    <row r="238" spans="2:9" ht="12.75" customHeight="1">
      <c r="B238" s="173" t="s">
        <v>698</v>
      </c>
      <c r="C238" s="174"/>
      <c r="D238" s="177" t="s">
        <v>699</v>
      </c>
      <c r="E238" s="176">
        <f t="shared" si="6"/>
        <v>391386.55462184869</v>
      </c>
      <c r="F238" s="173" t="s">
        <v>686</v>
      </c>
      <c r="G238" s="177"/>
      <c r="H238" s="176">
        <v>465749.99999999994</v>
      </c>
      <c r="I238" s="177" t="s">
        <v>679</v>
      </c>
    </row>
    <row r="239" spans="2:9" ht="12.75" customHeight="1">
      <c r="B239" s="173" t="s">
        <v>700</v>
      </c>
      <c r="C239" s="174"/>
      <c r="D239" s="177" t="s">
        <v>701</v>
      </c>
      <c r="E239" s="176">
        <f t="shared" si="6"/>
        <v>52184.873949579829</v>
      </c>
      <c r="F239" s="173" t="s">
        <v>686</v>
      </c>
      <c r="G239" s="177"/>
      <c r="H239" s="176">
        <v>62099.999999999993</v>
      </c>
      <c r="I239" s="177" t="s">
        <v>679</v>
      </c>
    </row>
    <row r="240" spans="2:9" ht="12.75" customHeight="1">
      <c r="B240" s="173" t="s">
        <v>702</v>
      </c>
      <c r="C240" s="174"/>
      <c r="D240" s="177" t="s">
        <v>703</v>
      </c>
      <c r="E240" s="176">
        <f t="shared" si="6"/>
        <v>47752.100840336134</v>
      </c>
      <c r="F240" s="173" t="s">
        <v>686</v>
      </c>
      <c r="G240" s="177"/>
      <c r="H240" s="176">
        <v>56825</v>
      </c>
      <c r="I240" s="177" t="s">
        <v>679</v>
      </c>
    </row>
    <row r="241" spans="2:9" ht="12.75" customHeight="1">
      <c r="B241" s="173" t="s">
        <v>704</v>
      </c>
      <c r="C241" s="174"/>
      <c r="D241" s="177" t="s">
        <v>705</v>
      </c>
      <c r="E241" s="176">
        <f t="shared" si="6"/>
        <v>173949.57983193276</v>
      </c>
      <c r="F241" s="173" t="s">
        <v>706</v>
      </c>
      <c r="G241" s="177"/>
      <c r="H241" s="176">
        <v>206999.99999999997</v>
      </c>
      <c r="I241" s="177" t="s">
        <v>679</v>
      </c>
    </row>
    <row r="242" spans="2:9" ht="12.75" customHeight="1">
      <c r="B242" s="173" t="s">
        <v>707</v>
      </c>
      <c r="C242" s="174"/>
      <c r="D242" s="177" t="s">
        <v>703</v>
      </c>
      <c r="E242" s="176">
        <f t="shared" si="6"/>
        <v>47752.100840336134</v>
      </c>
      <c r="F242" s="173" t="s">
        <v>686</v>
      </c>
      <c r="G242" s="177"/>
      <c r="H242" s="176">
        <v>56825</v>
      </c>
      <c r="I242" s="177" t="s">
        <v>679</v>
      </c>
    </row>
    <row r="243" spans="2:9" ht="12.75" customHeight="1">
      <c r="B243" s="173" t="s">
        <v>708</v>
      </c>
      <c r="C243" s="174"/>
      <c r="D243" s="177" t="s">
        <v>709</v>
      </c>
      <c r="E243" s="176">
        <f t="shared" si="6"/>
        <v>5882.3529411764712</v>
      </c>
      <c r="F243" s="173" t="s">
        <v>710</v>
      </c>
      <c r="G243" s="177"/>
      <c r="H243" s="176">
        <v>7000</v>
      </c>
      <c r="I243" s="177" t="s">
        <v>679</v>
      </c>
    </row>
    <row r="244" spans="2:9" ht="12.75" customHeight="1">
      <c r="B244" s="173" t="s">
        <v>711</v>
      </c>
      <c r="C244" s="174"/>
      <c r="D244" s="177" t="s">
        <v>712</v>
      </c>
      <c r="E244" s="176">
        <f t="shared" si="6"/>
        <v>62500</v>
      </c>
      <c r="F244" s="173" t="s">
        <v>713</v>
      </c>
      <c r="G244" s="177"/>
      <c r="H244" s="176">
        <v>74375</v>
      </c>
      <c r="I244" s="177" t="s">
        <v>679</v>
      </c>
    </row>
    <row r="245" spans="2:9" ht="12.75" customHeight="1">
      <c r="B245" s="173" t="s">
        <v>714</v>
      </c>
      <c r="C245" s="174"/>
      <c r="D245" s="177" t="s">
        <v>715</v>
      </c>
      <c r="E245" s="176">
        <f t="shared" si="6"/>
        <v>42305.042016806721</v>
      </c>
      <c r="F245" s="173" t="s">
        <v>713</v>
      </c>
      <c r="G245" s="177"/>
      <c r="H245" s="176">
        <v>50343</v>
      </c>
      <c r="I245" s="177" t="s">
        <v>679</v>
      </c>
    </row>
    <row r="246" spans="2:9" ht="12.75" customHeight="1">
      <c r="B246" s="173" t="s">
        <v>716</v>
      </c>
      <c r="C246" s="174"/>
      <c r="D246" s="177" t="s">
        <v>717</v>
      </c>
      <c r="E246" s="176">
        <f t="shared" si="6"/>
        <v>80954.394957983197</v>
      </c>
      <c r="F246" s="173" t="s">
        <v>686</v>
      </c>
      <c r="G246" s="177"/>
      <c r="H246" s="176">
        <v>96335.73</v>
      </c>
      <c r="I246" s="177" t="s">
        <v>679</v>
      </c>
    </row>
    <row r="247" spans="2:9" ht="12.75" customHeight="1">
      <c r="B247" s="173" t="s">
        <v>718</v>
      </c>
      <c r="C247" s="174"/>
      <c r="D247" s="177" t="s">
        <v>719</v>
      </c>
      <c r="E247" s="176">
        <f t="shared" si="6"/>
        <v>2609.2436974789912</v>
      </c>
      <c r="F247" s="173" t="s">
        <v>686</v>
      </c>
      <c r="G247" s="177"/>
      <c r="H247" s="176">
        <v>3104.9999999999995</v>
      </c>
      <c r="I247" s="177" t="s">
        <v>679</v>
      </c>
    </row>
    <row r="248" spans="2:9" ht="12.75" customHeight="1">
      <c r="B248" s="173" t="s">
        <v>720</v>
      </c>
      <c r="C248" s="174"/>
      <c r="D248" s="177" t="s">
        <v>721</v>
      </c>
      <c r="E248" s="176">
        <f t="shared" si="6"/>
        <v>130462.18487394959</v>
      </c>
      <c r="F248" s="173" t="s">
        <v>686</v>
      </c>
      <c r="G248" s="177"/>
      <c r="H248" s="176">
        <v>155250</v>
      </c>
      <c r="I248" s="177" t="s">
        <v>679</v>
      </c>
    </row>
    <row r="249" spans="2:9" ht="12.75" customHeight="1">
      <c r="B249" s="173" t="s">
        <v>722</v>
      </c>
      <c r="C249" s="174"/>
      <c r="D249" s="177" t="s">
        <v>723</v>
      </c>
      <c r="E249" s="176">
        <f t="shared" si="6"/>
        <v>4899.2899159663866</v>
      </c>
      <c r="F249" s="173" t="s">
        <v>706</v>
      </c>
      <c r="G249" s="177"/>
      <c r="H249" s="176">
        <v>5830.1549999999997</v>
      </c>
      <c r="I249" s="177" t="s">
        <v>679</v>
      </c>
    </row>
    <row r="250" spans="2:9" ht="12.75" customHeight="1">
      <c r="B250" s="173" t="s">
        <v>724</v>
      </c>
      <c r="C250" s="174"/>
      <c r="D250" s="177" t="s">
        <v>725</v>
      </c>
      <c r="E250" s="176">
        <f t="shared" si="6"/>
        <v>64273.10924369748</v>
      </c>
      <c r="F250" s="173" t="s">
        <v>713</v>
      </c>
      <c r="G250" s="177"/>
      <c r="H250" s="176">
        <v>76485</v>
      </c>
      <c r="I250" s="177" t="s">
        <v>679</v>
      </c>
    </row>
    <row r="251" spans="2:9" ht="12.75" customHeight="1">
      <c r="B251" s="173" t="s">
        <v>726</v>
      </c>
      <c r="C251" s="174"/>
      <c r="D251" s="177" t="s">
        <v>727</v>
      </c>
      <c r="E251" s="176">
        <f t="shared" si="6"/>
        <v>3478.9915966386557</v>
      </c>
      <c r="F251" s="173" t="s">
        <v>728</v>
      </c>
      <c r="G251" s="177"/>
      <c r="H251" s="176">
        <v>4140</v>
      </c>
      <c r="I251" s="177" t="s">
        <v>679</v>
      </c>
    </row>
    <row r="252" spans="2:9" ht="12.75" customHeight="1">
      <c r="B252" s="173" t="s">
        <v>729</v>
      </c>
      <c r="C252" s="174"/>
      <c r="D252" s="177" t="s">
        <v>730</v>
      </c>
      <c r="E252" s="176">
        <f t="shared" si="6"/>
        <v>18640.436974789915</v>
      </c>
      <c r="F252" s="173" t="s">
        <v>686</v>
      </c>
      <c r="G252" s="177"/>
      <c r="H252" s="176">
        <v>22182.12</v>
      </c>
      <c r="I252" s="177" t="s">
        <v>679</v>
      </c>
    </row>
    <row r="253" spans="2:9" ht="12.75" customHeight="1">
      <c r="B253" s="173" t="s">
        <v>731</v>
      </c>
      <c r="C253" s="174"/>
      <c r="D253" s="177" t="s">
        <v>732</v>
      </c>
      <c r="E253" s="176">
        <f t="shared" si="6"/>
        <v>40791.176470588231</v>
      </c>
      <c r="F253" s="173" t="s">
        <v>686</v>
      </c>
      <c r="G253" s="177"/>
      <c r="H253" s="176">
        <v>48541.499999999993</v>
      </c>
      <c r="I253" s="177" t="s">
        <v>679</v>
      </c>
    </row>
    <row r="254" spans="2:9" ht="12.75" customHeight="1">
      <c r="B254" s="173" t="s">
        <v>733</v>
      </c>
      <c r="C254" s="174"/>
      <c r="D254" s="177" t="s">
        <v>734</v>
      </c>
      <c r="E254" s="176">
        <f t="shared" si="6"/>
        <v>243529.4117647059</v>
      </c>
      <c r="F254" s="173" t="s">
        <v>686</v>
      </c>
      <c r="G254" s="177"/>
      <c r="H254" s="176">
        <v>289800</v>
      </c>
      <c r="I254" s="177" t="s">
        <v>679</v>
      </c>
    </row>
    <row r="255" spans="2:9" ht="12.75" customHeight="1">
      <c r="B255" s="173" t="s">
        <v>735</v>
      </c>
      <c r="C255" s="174"/>
      <c r="D255" s="177" t="s">
        <v>736</v>
      </c>
      <c r="E255" s="176">
        <f t="shared" si="6"/>
        <v>27831.932773109245</v>
      </c>
      <c r="F255" s="173" t="s">
        <v>686</v>
      </c>
      <c r="G255" s="177"/>
      <c r="H255" s="176">
        <v>33120</v>
      </c>
      <c r="I255" s="177" t="s">
        <v>679</v>
      </c>
    </row>
    <row r="256" spans="2:9" ht="12.75" customHeight="1">
      <c r="B256" s="173" t="s">
        <v>737</v>
      </c>
      <c r="C256" s="174"/>
      <c r="D256" s="177" t="s">
        <v>738</v>
      </c>
      <c r="E256" s="176">
        <f t="shared" si="6"/>
        <v>27831.932773109245</v>
      </c>
      <c r="F256" s="173" t="s">
        <v>686</v>
      </c>
      <c r="G256" s="177"/>
      <c r="H256" s="176">
        <v>33120</v>
      </c>
      <c r="I256" s="177" t="s">
        <v>679</v>
      </c>
    </row>
    <row r="257" spans="2:9" ht="12.75" customHeight="1">
      <c r="B257" s="173" t="s">
        <v>739</v>
      </c>
      <c r="C257" s="174"/>
      <c r="D257" s="177" t="s">
        <v>740</v>
      </c>
      <c r="E257" s="176">
        <f t="shared" si="6"/>
        <v>71958.823529411762</v>
      </c>
      <c r="F257" s="173" t="s">
        <v>741</v>
      </c>
      <c r="G257" s="177"/>
      <c r="H257" s="176">
        <v>85631</v>
      </c>
      <c r="I257" s="177" t="s">
        <v>679</v>
      </c>
    </row>
    <row r="258" spans="2:9" ht="12.75" customHeight="1">
      <c r="B258" s="173" t="s">
        <v>742</v>
      </c>
      <c r="C258" s="174"/>
      <c r="D258" s="177" t="s">
        <v>743</v>
      </c>
      <c r="E258" s="176">
        <f t="shared" si="6"/>
        <v>6282.1890756302519</v>
      </c>
      <c r="F258" s="173" t="s">
        <v>744</v>
      </c>
      <c r="G258" s="177"/>
      <c r="H258" s="176">
        <v>7475.8049999999994</v>
      </c>
      <c r="I258" s="177" t="s">
        <v>679</v>
      </c>
    </row>
    <row r="259" spans="2:9" ht="12.75" customHeight="1">
      <c r="B259" s="173" t="s">
        <v>745</v>
      </c>
      <c r="C259" s="174"/>
      <c r="D259" s="177" t="s">
        <v>746</v>
      </c>
      <c r="E259" s="176">
        <f t="shared" si="6"/>
        <v>130462.18487394959</v>
      </c>
      <c r="F259" s="173" t="s">
        <v>686</v>
      </c>
      <c r="G259" s="177"/>
      <c r="H259" s="176">
        <v>155250</v>
      </c>
      <c r="I259" s="177" t="s">
        <v>679</v>
      </c>
    </row>
    <row r="260" spans="2:9" ht="12.75" customHeight="1">
      <c r="B260" s="173" t="s">
        <v>747</v>
      </c>
      <c r="C260" s="174"/>
      <c r="D260" s="177" t="s">
        <v>748</v>
      </c>
      <c r="E260" s="176">
        <f t="shared" si="6"/>
        <v>108718.48739495798</v>
      </c>
      <c r="F260" s="173" t="s">
        <v>686</v>
      </c>
      <c r="G260" s="177"/>
      <c r="H260" s="176">
        <v>129374.99999999999</v>
      </c>
      <c r="I260" s="177" t="s">
        <v>679</v>
      </c>
    </row>
    <row r="261" spans="2:9" ht="12.75" customHeight="1">
      <c r="B261" s="173" t="s">
        <v>749</v>
      </c>
      <c r="C261" s="174"/>
      <c r="D261" s="177" t="s">
        <v>750</v>
      </c>
      <c r="E261" s="176">
        <f t="shared" si="6"/>
        <v>95672.268907563019</v>
      </c>
      <c r="F261" s="173" t="s">
        <v>686</v>
      </c>
      <c r="G261" s="177"/>
      <c r="H261" s="176">
        <v>113849.99999999999</v>
      </c>
      <c r="I261" s="177" t="s">
        <v>679</v>
      </c>
    </row>
    <row r="262" spans="2:9" ht="12.75" customHeight="1">
      <c r="B262" s="173" t="s">
        <v>751</v>
      </c>
      <c r="C262" s="174"/>
      <c r="D262" s="177" t="s">
        <v>752</v>
      </c>
      <c r="E262" s="176">
        <f t="shared" si="6"/>
        <v>869747.89915966382</v>
      </c>
      <c r="F262" s="173" t="s">
        <v>686</v>
      </c>
      <c r="G262" s="177"/>
      <c r="H262" s="176">
        <v>1034999.9999999999</v>
      </c>
      <c r="I262" s="177" t="s">
        <v>679</v>
      </c>
    </row>
    <row r="263" spans="2:9" ht="12.75" customHeight="1">
      <c r="B263" s="173" t="s">
        <v>753</v>
      </c>
      <c r="C263" s="174"/>
      <c r="D263" s="177" t="s">
        <v>616</v>
      </c>
      <c r="E263" s="176">
        <f t="shared" si="6"/>
        <v>782773.10924369737</v>
      </c>
      <c r="F263" s="173" t="s">
        <v>686</v>
      </c>
      <c r="G263" s="177"/>
      <c r="H263" s="176">
        <v>931499.99999999988</v>
      </c>
      <c r="I263" s="177" t="s">
        <v>679</v>
      </c>
    </row>
    <row r="264" spans="2:9" ht="12.75" customHeight="1">
      <c r="B264" s="173" t="s">
        <v>754</v>
      </c>
      <c r="C264" s="174"/>
      <c r="D264" s="177" t="s">
        <v>755</v>
      </c>
      <c r="E264" s="176">
        <f t="shared" si="6"/>
        <v>130462.18487394959</v>
      </c>
      <c r="F264" s="173" t="s">
        <v>686</v>
      </c>
      <c r="G264" s="177"/>
      <c r="H264" s="176">
        <v>155250</v>
      </c>
      <c r="I264" s="177" t="s">
        <v>679</v>
      </c>
    </row>
    <row r="265" spans="2:9" ht="12.75" customHeight="1">
      <c r="B265" s="173" t="s">
        <v>756</v>
      </c>
      <c r="C265" s="174"/>
      <c r="D265" s="177" t="s">
        <v>404</v>
      </c>
      <c r="E265" s="176">
        <f t="shared" si="6"/>
        <v>1043697.4789915967</v>
      </c>
      <c r="F265" s="173" t="s">
        <v>686</v>
      </c>
      <c r="G265" s="177"/>
      <c r="H265" s="176">
        <v>1242000</v>
      </c>
      <c r="I265" s="177" t="s">
        <v>679</v>
      </c>
    </row>
    <row r="266" spans="2:9" ht="12.75" customHeight="1">
      <c r="B266" s="173" t="s">
        <v>757</v>
      </c>
      <c r="C266" s="174"/>
      <c r="D266" s="177" t="s">
        <v>670</v>
      </c>
      <c r="E266" s="176">
        <f t="shared" si="6"/>
        <v>69579.831932773115</v>
      </c>
      <c r="F266" s="173" t="s">
        <v>758</v>
      </c>
      <c r="G266" s="177"/>
      <c r="H266" s="176">
        <v>82800</v>
      </c>
      <c r="I266" s="177" t="s">
        <v>679</v>
      </c>
    </row>
    <row r="267" spans="2:9" ht="12.75" customHeight="1">
      <c r="B267" s="173" t="s">
        <v>759</v>
      </c>
      <c r="C267" s="174"/>
      <c r="D267" s="177" t="s">
        <v>760</v>
      </c>
      <c r="E267" s="176">
        <f t="shared" si="6"/>
        <v>956.72268907563034</v>
      </c>
      <c r="F267" s="173" t="s">
        <v>758</v>
      </c>
      <c r="G267" s="177"/>
      <c r="H267" s="176">
        <v>1138.5</v>
      </c>
      <c r="I267" s="177" t="s">
        <v>679</v>
      </c>
    </row>
    <row r="268" spans="2:9" ht="12.75" customHeight="1">
      <c r="B268" s="173" t="s">
        <v>761</v>
      </c>
      <c r="C268" s="174"/>
      <c r="D268" s="177" t="s">
        <v>762</v>
      </c>
      <c r="E268" s="176">
        <f t="shared" si="6"/>
        <v>956.72268907563034</v>
      </c>
      <c r="F268" s="173" t="s">
        <v>758</v>
      </c>
      <c r="G268" s="177"/>
      <c r="H268" s="176">
        <v>1138.5</v>
      </c>
      <c r="I268" s="177" t="s">
        <v>679</v>
      </c>
    </row>
    <row r="269" spans="2:9" ht="12.75" customHeight="1">
      <c r="B269" s="173" t="s">
        <v>763</v>
      </c>
      <c r="C269" s="174"/>
      <c r="D269" s="177" t="s">
        <v>764</v>
      </c>
      <c r="E269" s="176">
        <f t="shared" si="6"/>
        <v>128722.68907563026</v>
      </c>
      <c r="F269" s="173" t="s">
        <v>744</v>
      </c>
      <c r="G269" s="177"/>
      <c r="H269" s="176">
        <v>153180</v>
      </c>
      <c r="I269" s="177" t="s">
        <v>679</v>
      </c>
    </row>
    <row r="270" spans="2:9" ht="12.75" customHeight="1">
      <c r="B270" s="173" t="s">
        <v>765</v>
      </c>
      <c r="C270" s="174"/>
      <c r="D270" s="177" t="s">
        <v>766</v>
      </c>
      <c r="E270" s="176">
        <f t="shared" si="6"/>
        <v>64274.36974789916</v>
      </c>
      <c r="F270" s="173" t="s">
        <v>686</v>
      </c>
      <c r="G270" s="177"/>
      <c r="H270" s="176">
        <v>76486.5</v>
      </c>
      <c r="I270" s="177" t="s">
        <v>679</v>
      </c>
    </row>
    <row r="271" spans="2:9" ht="12.75" customHeight="1">
      <c r="B271" s="173" t="s">
        <v>767</v>
      </c>
      <c r="C271" s="174"/>
      <c r="D271" s="177" t="s">
        <v>768</v>
      </c>
      <c r="E271" s="176">
        <f t="shared" si="6"/>
        <v>22613.44537815126</v>
      </c>
      <c r="F271" s="173" t="s">
        <v>686</v>
      </c>
      <c r="G271" s="177"/>
      <c r="H271" s="176">
        <v>26909.999999999996</v>
      </c>
      <c r="I271" s="177" t="s">
        <v>679</v>
      </c>
    </row>
    <row r="272" spans="2:9" ht="12.75" customHeight="1">
      <c r="B272" s="173" t="s">
        <v>769</v>
      </c>
      <c r="C272" s="174"/>
      <c r="D272" s="177" t="s">
        <v>770</v>
      </c>
      <c r="E272" s="176">
        <f t="shared" si="6"/>
        <v>53924.36974789916</v>
      </c>
      <c r="F272" s="173" t="s">
        <v>713</v>
      </c>
      <c r="G272" s="177"/>
      <c r="H272" s="176">
        <v>64170</v>
      </c>
      <c r="I272" s="177" t="s">
        <v>679</v>
      </c>
    </row>
    <row r="273" spans="2:9" ht="12.75" customHeight="1">
      <c r="B273" s="173" t="s">
        <v>771</v>
      </c>
      <c r="C273" s="174"/>
      <c r="D273" s="177" t="s">
        <v>772</v>
      </c>
      <c r="E273" s="176">
        <f t="shared" si="6"/>
        <v>28806.722689075632</v>
      </c>
      <c r="F273" s="173" t="s">
        <v>686</v>
      </c>
      <c r="G273" s="177"/>
      <c r="H273" s="176">
        <v>34280</v>
      </c>
      <c r="I273" s="177" t="s">
        <v>679</v>
      </c>
    </row>
    <row r="274" spans="2:9" ht="12.75" customHeight="1">
      <c r="B274" s="173" t="s">
        <v>773</v>
      </c>
      <c r="C274" s="174"/>
      <c r="D274" s="177" t="s">
        <v>774</v>
      </c>
      <c r="E274" s="176">
        <f t="shared" si="6"/>
        <v>90019.327731092446</v>
      </c>
      <c r="F274" s="173" t="s">
        <v>713</v>
      </c>
      <c r="G274" s="177"/>
      <c r="H274" s="176">
        <v>107123</v>
      </c>
      <c r="I274" s="177" t="s">
        <v>679</v>
      </c>
    </row>
    <row r="275" spans="2:9" ht="12.75" customHeight="1">
      <c r="B275" s="173" t="s">
        <v>775</v>
      </c>
      <c r="C275" s="174"/>
      <c r="D275" s="177" t="s">
        <v>776</v>
      </c>
      <c r="E275" s="176">
        <f t="shared" si="6"/>
        <v>4899.1596638655465</v>
      </c>
      <c r="F275" s="173" t="s">
        <v>777</v>
      </c>
      <c r="G275" s="177"/>
      <c r="H275" s="176">
        <v>5830</v>
      </c>
      <c r="I275" s="177" t="s">
        <v>679</v>
      </c>
    </row>
    <row r="276" spans="2:9" ht="12.75" customHeight="1">
      <c r="B276" s="173" t="s">
        <v>778</v>
      </c>
      <c r="C276" s="174"/>
      <c r="D276" s="177" t="s">
        <v>779</v>
      </c>
      <c r="E276" s="176">
        <f t="shared" si="6"/>
        <v>314822.68907563027</v>
      </c>
      <c r="F276" s="173" t="s">
        <v>777</v>
      </c>
      <c r="G276" s="177"/>
      <c r="H276" s="176">
        <v>374639</v>
      </c>
      <c r="I276" s="177" t="s">
        <v>679</v>
      </c>
    </row>
    <row r="277" spans="2:9" ht="12.75" customHeight="1">
      <c r="B277" s="173" t="s">
        <v>780</v>
      </c>
      <c r="C277" s="174"/>
      <c r="D277" s="177" t="s">
        <v>781</v>
      </c>
      <c r="E277" s="176">
        <f t="shared" si="6"/>
        <v>27831.932773109245</v>
      </c>
      <c r="F277" s="173" t="s">
        <v>782</v>
      </c>
      <c r="G277" s="177"/>
      <c r="H277" s="176">
        <v>33120</v>
      </c>
      <c r="I277" s="177" t="s">
        <v>679</v>
      </c>
    </row>
    <row r="278" spans="2:9" ht="12.75" customHeight="1">
      <c r="B278" s="173" t="s">
        <v>783</v>
      </c>
      <c r="C278" s="174"/>
      <c r="D278" s="177" t="s">
        <v>784</v>
      </c>
      <c r="E278" s="176">
        <f t="shared" si="6"/>
        <v>18487.394957983193</v>
      </c>
      <c r="F278" s="173" t="s">
        <v>777</v>
      </c>
      <c r="G278" s="177"/>
      <c r="H278" s="176">
        <v>22000</v>
      </c>
      <c r="I278" s="177" t="s">
        <v>679</v>
      </c>
    </row>
    <row r="279" spans="2:9" ht="12.75" customHeight="1">
      <c r="B279" s="173" t="s">
        <v>785</v>
      </c>
      <c r="C279" s="174"/>
      <c r="D279" s="177" t="s">
        <v>786</v>
      </c>
      <c r="E279" s="176">
        <f t="shared" si="6"/>
        <v>11386.55462184874</v>
      </c>
      <c r="F279" s="173" t="s">
        <v>758</v>
      </c>
      <c r="G279" s="177"/>
      <c r="H279" s="176">
        <v>13550</v>
      </c>
      <c r="I279" s="177" t="s">
        <v>679</v>
      </c>
    </row>
    <row r="280" spans="2:9" ht="12.75" customHeight="1">
      <c r="B280" s="173" t="s">
        <v>787</v>
      </c>
      <c r="C280" s="174"/>
      <c r="D280" s="177" t="s">
        <v>788</v>
      </c>
      <c r="E280" s="176">
        <f t="shared" si="6"/>
        <v>86974.789915966394</v>
      </c>
      <c r="F280" s="173" t="s">
        <v>782</v>
      </c>
      <c r="G280" s="177"/>
      <c r="H280" s="176">
        <v>103500</v>
      </c>
      <c r="I280" s="177" t="s">
        <v>679</v>
      </c>
    </row>
    <row r="281" spans="2:9" ht="12.75" customHeight="1">
      <c r="B281" s="173" t="s">
        <v>789</v>
      </c>
      <c r="C281" s="174"/>
      <c r="D281" s="177" t="s">
        <v>717</v>
      </c>
      <c r="E281" s="176">
        <f t="shared" si="6"/>
        <v>78277.310924369755</v>
      </c>
      <c r="F281" s="173" t="s">
        <v>782</v>
      </c>
      <c r="G281" s="177"/>
      <c r="H281" s="176">
        <v>93150</v>
      </c>
      <c r="I281" s="177" t="s">
        <v>679</v>
      </c>
    </row>
    <row r="282" spans="2:9" ht="12.75" customHeight="1">
      <c r="B282" s="173" t="s">
        <v>790</v>
      </c>
      <c r="C282" s="174"/>
      <c r="D282" s="177" t="s">
        <v>791</v>
      </c>
      <c r="E282" s="176">
        <f t="shared" si="6"/>
        <v>89949.579831932773</v>
      </c>
      <c r="F282" s="173" t="s">
        <v>782</v>
      </c>
      <c r="G282" s="177"/>
      <c r="H282" s="176">
        <v>107040</v>
      </c>
      <c r="I282" s="177" t="s">
        <v>679</v>
      </c>
    </row>
    <row r="283" spans="2:9" ht="12.75" customHeight="1">
      <c r="B283" s="173" t="s">
        <v>792</v>
      </c>
      <c r="C283" s="174"/>
      <c r="D283" s="177" t="s">
        <v>793</v>
      </c>
      <c r="E283" s="176">
        <f t="shared" si="6"/>
        <v>42573.10924369748</v>
      </c>
      <c r="F283" s="173" t="s">
        <v>713</v>
      </c>
      <c r="G283" s="177"/>
      <c r="H283" s="176">
        <v>50662</v>
      </c>
      <c r="I283" s="177" t="s">
        <v>679</v>
      </c>
    </row>
    <row r="284" spans="2:9" ht="12.75" customHeight="1">
      <c r="B284" s="173" t="s">
        <v>794</v>
      </c>
      <c r="C284" s="174"/>
      <c r="D284" s="177" t="s">
        <v>795</v>
      </c>
      <c r="E284" s="176">
        <f t="shared" si="6"/>
        <v>24286.55462184874</v>
      </c>
      <c r="F284" s="173" t="s">
        <v>782</v>
      </c>
      <c r="G284" s="177"/>
      <c r="H284" s="176">
        <v>28901</v>
      </c>
      <c r="I284" s="177" t="s">
        <v>679</v>
      </c>
    </row>
    <row r="285" spans="2:9" ht="12.75" customHeight="1">
      <c r="B285" s="173" t="s">
        <v>796</v>
      </c>
      <c r="C285" s="174"/>
      <c r="D285" s="177" t="s">
        <v>797</v>
      </c>
      <c r="E285" s="176">
        <f t="shared" si="6"/>
        <v>4348.7394957983197</v>
      </c>
      <c r="F285" s="173" t="s">
        <v>272</v>
      </c>
      <c r="G285" s="177"/>
      <c r="H285" s="176">
        <v>5175</v>
      </c>
      <c r="I285" s="177" t="s">
        <v>679</v>
      </c>
    </row>
    <row r="286" spans="2:9" ht="12.75" customHeight="1">
      <c r="B286" s="173" t="s">
        <v>798</v>
      </c>
      <c r="C286" s="174"/>
      <c r="D286" s="177" t="s">
        <v>799</v>
      </c>
      <c r="E286" s="176">
        <f t="shared" si="6"/>
        <v>6957.9831932773113</v>
      </c>
      <c r="F286" s="173" t="s">
        <v>272</v>
      </c>
      <c r="G286" s="177"/>
      <c r="H286" s="176">
        <v>8280</v>
      </c>
      <c r="I286" s="177" t="s">
        <v>679</v>
      </c>
    </row>
    <row r="287" spans="2:9" ht="12.75" customHeight="1">
      <c r="B287" s="173" t="s">
        <v>800</v>
      </c>
      <c r="C287" s="174"/>
      <c r="D287" s="177" t="s">
        <v>801</v>
      </c>
      <c r="E287" s="176">
        <f t="shared" si="6"/>
        <v>107939.49579831933</v>
      </c>
      <c r="F287" s="173" t="s">
        <v>777</v>
      </c>
      <c r="G287" s="177"/>
      <c r="H287" s="176">
        <v>128448</v>
      </c>
      <c r="I287" s="177" t="s">
        <v>679</v>
      </c>
    </row>
    <row r="288" spans="2:9" ht="12.75" customHeight="1">
      <c r="B288" s="173" t="s">
        <v>802</v>
      </c>
      <c r="C288" s="174"/>
      <c r="D288" s="177" t="s">
        <v>803</v>
      </c>
      <c r="E288" s="176">
        <f t="shared" si="6"/>
        <v>17394.957983193279</v>
      </c>
      <c r="F288" s="173" t="s">
        <v>782</v>
      </c>
      <c r="G288" s="177"/>
      <c r="H288" s="176">
        <v>20700</v>
      </c>
      <c r="I288" s="177" t="s">
        <v>679</v>
      </c>
    </row>
    <row r="289" spans="2:9" ht="12.75" customHeight="1">
      <c r="B289" s="173"/>
      <c r="C289" s="174"/>
      <c r="D289" s="177" t="s">
        <v>804</v>
      </c>
      <c r="E289" s="176"/>
      <c r="F289" s="173"/>
      <c r="G289" s="177"/>
      <c r="H289" s="176"/>
      <c r="I289" s="173"/>
    </row>
    <row r="290" spans="2:9" ht="12.75" customHeight="1">
      <c r="B290" s="173"/>
      <c r="C290" s="174"/>
      <c r="D290" s="177" t="s">
        <v>804</v>
      </c>
      <c r="E290" s="176"/>
      <c r="F290" s="173"/>
      <c r="G290" s="177"/>
      <c r="H290" s="176"/>
      <c r="I290" s="173"/>
    </row>
    <row r="291" spans="2:9" ht="12.75" customHeight="1">
      <c r="B291" s="173"/>
      <c r="C291" s="174"/>
      <c r="D291" s="177" t="s">
        <v>804</v>
      </c>
      <c r="E291" s="176"/>
      <c r="F291" s="173"/>
      <c r="G291" s="177"/>
      <c r="H291" s="176"/>
      <c r="I291" s="173"/>
    </row>
    <row r="292" spans="2:9" ht="12.75" customHeight="1">
      <c r="B292" s="173" t="s">
        <v>805</v>
      </c>
      <c r="C292" s="174"/>
      <c r="D292" s="177" t="s">
        <v>806</v>
      </c>
      <c r="E292" s="176">
        <f t="shared" ref="E292:E296" si="7">+H292/1.19</f>
        <v>18640.436974789915</v>
      </c>
      <c r="F292" s="173" t="s">
        <v>807</v>
      </c>
      <c r="G292" s="177"/>
      <c r="H292" s="176">
        <v>22182.12</v>
      </c>
      <c r="I292" s="177" t="s">
        <v>679</v>
      </c>
    </row>
    <row r="293" spans="2:9" ht="12.75" customHeight="1">
      <c r="B293" s="173" t="s">
        <v>808</v>
      </c>
      <c r="C293" s="174"/>
      <c r="D293" s="177" t="s">
        <v>809</v>
      </c>
      <c r="E293" s="176">
        <f t="shared" si="7"/>
        <v>27831.932773109245</v>
      </c>
      <c r="F293" s="173" t="s">
        <v>807</v>
      </c>
      <c r="G293" s="177"/>
      <c r="H293" s="176">
        <v>33120</v>
      </c>
      <c r="I293" s="177" t="s">
        <v>679</v>
      </c>
    </row>
    <row r="294" spans="2:9" ht="12.75" customHeight="1">
      <c r="B294" s="173" t="s">
        <v>810</v>
      </c>
      <c r="C294" s="174"/>
      <c r="D294" s="177" t="s">
        <v>811</v>
      </c>
      <c r="E294" s="176">
        <f t="shared" si="7"/>
        <v>6282.1932773109247</v>
      </c>
      <c r="F294" s="173" t="s">
        <v>713</v>
      </c>
      <c r="G294" s="177"/>
      <c r="H294" s="176">
        <v>7475.81</v>
      </c>
      <c r="I294" s="177" t="s">
        <v>679</v>
      </c>
    </row>
    <row r="295" spans="2:9" ht="12.75" customHeight="1">
      <c r="B295" s="173" t="s">
        <v>812</v>
      </c>
      <c r="C295" s="174"/>
      <c r="D295" s="177" t="s">
        <v>813</v>
      </c>
      <c r="E295" s="176">
        <f t="shared" si="7"/>
        <v>3125.7142857142858</v>
      </c>
      <c r="F295" s="173" t="s">
        <v>814</v>
      </c>
      <c r="G295" s="177"/>
      <c r="H295" s="176">
        <v>3719.6</v>
      </c>
      <c r="I295" s="177" t="s">
        <v>679</v>
      </c>
    </row>
    <row r="296" spans="2:9" ht="12.75" customHeight="1">
      <c r="B296" s="173" t="s">
        <v>815</v>
      </c>
      <c r="C296" s="174"/>
      <c r="D296" s="177" t="s">
        <v>740</v>
      </c>
      <c r="E296" s="176">
        <f t="shared" si="7"/>
        <v>69579.831932773115</v>
      </c>
      <c r="F296" s="173" t="s">
        <v>777</v>
      </c>
      <c r="G296" s="177"/>
      <c r="H296" s="176">
        <v>82800</v>
      </c>
      <c r="I296" s="177" t="s">
        <v>679</v>
      </c>
    </row>
    <row r="297" spans="2:9" ht="12.75" customHeight="1">
      <c r="B297" s="173"/>
      <c r="C297" s="174"/>
      <c r="D297" s="177" t="s">
        <v>804</v>
      </c>
      <c r="E297" s="176"/>
      <c r="F297" s="173"/>
      <c r="G297" s="177"/>
      <c r="H297" s="176"/>
      <c r="I297" s="173"/>
    </row>
    <row r="298" spans="2:9" ht="12.75" customHeight="1">
      <c r="B298" s="173"/>
      <c r="C298" s="174"/>
      <c r="D298" s="177" t="s">
        <v>804</v>
      </c>
      <c r="E298" s="176"/>
      <c r="F298" s="173"/>
      <c r="G298" s="177"/>
      <c r="H298" s="176"/>
      <c r="I298" s="173"/>
    </row>
    <row r="299" spans="2:9" ht="12.75" customHeight="1">
      <c r="B299" s="173">
        <f>Transportes!B105</f>
        <v>0</v>
      </c>
      <c r="C299" s="174"/>
      <c r="D299" s="174">
        <f>Transportes!D105</f>
        <v>0</v>
      </c>
      <c r="E299" s="176">
        <f t="shared" ref="E299:E307" si="8">+H299/1.19</f>
        <v>0</v>
      </c>
      <c r="F299" s="173">
        <f>Transportes!F105</f>
        <v>0</v>
      </c>
      <c r="G299" s="177"/>
      <c r="H299" s="176">
        <f>Transportes!H105</f>
        <v>0</v>
      </c>
      <c r="I299" s="177" t="s">
        <v>679</v>
      </c>
    </row>
    <row r="300" spans="2:9" ht="12.75" customHeight="1">
      <c r="B300" s="173">
        <f>Transportes!B106</f>
        <v>0</v>
      </c>
      <c r="C300" s="174"/>
      <c r="D300" s="174">
        <f>Transportes!D106</f>
        <v>0</v>
      </c>
      <c r="E300" s="176">
        <f t="shared" si="8"/>
        <v>0</v>
      </c>
      <c r="F300" s="173">
        <f>Transportes!F106</f>
        <v>0</v>
      </c>
      <c r="G300" s="177"/>
      <c r="H300" s="176">
        <f>Transportes!H106</f>
        <v>0</v>
      </c>
      <c r="I300" s="177" t="s">
        <v>679</v>
      </c>
    </row>
    <row r="301" spans="2:9" ht="12.75" customHeight="1">
      <c r="B301" s="173">
        <f>Transportes!B107</f>
        <v>0</v>
      </c>
      <c r="C301" s="174"/>
      <c r="D301" s="174">
        <f>Transportes!D107</f>
        <v>0</v>
      </c>
      <c r="E301" s="176">
        <f t="shared" si="8"/>
        <v>0</v>
      </c>
      <c r="F301" s="173">
        <f>Transportes!F107</f>
        <v>0</v>
      </c>
      <c r="G301" s="177"/>
      <c r="H301" s="176">
        <f>Transportes!H107</f>
        <v>0</v>
      </c>
      <c r="I301" s="177" t="s">
        <v>679</v>
      </c>
    </row>
    <row r="302" spans="2:9" ht="12.75" customHeight="1">
      <c r="B302" s="173">
        <f>Transportes!B108</f>
        <v>0</v>
      </c>
      <c r="C302" s="174"/>
      <c r="D302" s="174">
        <f>Transportes!D108</f>
        <v>0</v>
      </c>
      <c r="E302" s="176">
        <f t="shared" si="8"/>
        <v>0</v>
      </c>
      <c r="F302" s="173">
        <f>Transportes!F108</f>
        <v>0</v>
      </c>
      <c r="G302" s="177"/>
      <c r="H302" s="176">
        <f>Transportes!H108</f>
        <v>0</v>
      </c>
      <c r="I302" s="177" t="s">
        <v>679</v>
      </c>
    </row>
    <row r="303" spans="2:9" ht="12.75" customHeight="1">
      <c r="B303" s="173">
        <f>Transportes!B109</f>
        <v>0</v>
      </c>
      <c r="C303" s="174"/>
      <c r="D303" s="174">
        <f>Transportes!D109</f>
        <v>0</v>
      </c>
      <c r="E303" s="176">
        <f t="shared" si="8"/>
        <v>0</v>
      </c>
      <c r="F303" s="173">
        <f>Transportes!F109</f>
        <v>0</v>
      </c>
      <c r="G303" s="177"/>
      <c r="H303" s="176">
        <f>Transportes!H109</f>
        <v>0</v>
      </c>
      <c r="I303" s="177" t="s">
        <v>679</v>
      </c>
    </row>
    <row r="304" spans="2:9" ht="12.75" customHeight="1">
      <c r="B304" s="173">
        <f>Transportes!B110</f>
        <v>0</v>
      </c>
      <c r="C304" s="174"/>
      <c r="D304" s="174">
        <f>Transportes!D110</f>
        <v>0</v>
      </c>
      <c r="E304" s="176">
        <f t="shared" si="8"/>
        <v>0</v>
      </c>
      <c r="F304" s="173">
        <f>Transportes!F110</f>
        <v>0</v>
      </c>
      <c r="G304" s="177"/>
      <c r="H304" s="176">
        <f>Transportes!H110</f>
        <v>0</v>
      </c>
      <c r="I304" s="177" t="s">
        <v>679</v>
      </c>
    </row>
    <row r="305" spans="2:9" ht="12.75" customHeight="1">
      <c r="B305" s="173">
        <f>Transportes!B111</f>
        <v>0</v>
      </c>
      <c r="C305" s="174"/>
      <c r="D305" s="174">
        <f>Transportes!D111</f>
        <v>0</v>
      </c>
      <c r="E305" s="176">
        <f t="shared" si="8"/>
        <v>0</v>
      </c>
      <c r="F305" s="173">
        <f>Transportes!F111</f>
        <v>0</v>
      </c>
      <c r="G305" s="177"/>
      <c r="H305" s="176">
        <f>Transportes!H111</f>
        <v>0</v>
      </c>
      <c r="I305" s="177" t="s">
        <v>679</v>
      </c>
    </row>
    <row r="306" spans="2:9" ht="12.75" customHeight="1">
      <c r="B306" s="173">
        <f>Transportes!B112</f>
        <v>0</v>
      </c>
      <c r="C306" s="174"/>
      <c r="D306" s="174">
        <f>Transportes!D112</f>
        <v>0</v>
      </c>
      <c r="E306" s="176">
        <f t="shared" si="8"/>
        <v>0</v>
      </c>
      <c r="F306" s="173">
        <f>Transportes!F112</f>
        <v>0</v>
      </c>
      <c r="G306" s="177"/>
      <c r="H306" s="176">
        <f>Transportes!H112</f>
        <v>0</v>
      </c>
      <c r="I306" s="177" t="s">
        <v>679</v>
      </c>
    </row>
    <row r="307" spans="2:9" ht="12.75" customHeight="1">
      <c r="B307" s="173">
        <f>Transportes!B113</f>
        <v>0</v>
      </c>
      <c r="C307" s="174"/>
      <c r="D307" s="174">
        <f>Transportes!D113</f>
        <v>0</v>
      </c>
      <c r="E307" s="176">
        <f t="shared" si="8"/>
        <v>0</v>
      </c>
      <c r="F307" s="173">
        <f>Transportes!F113</f>
        <v>0</v>
      </c>
      <c r="G307" s="177"/>
      <c r="H307" s="176">
        <f>Transportes!H113</f>
        <v>0</v>
      </c>
      <c r="I307" s="177" t="s">
        <v>679</v>
      </c>
    </row>
    <row r="308" spans="2:9" ht="12.75" customHeight="1">
      <c r="B308" s="173"/>
      <c r="C308" s="174"/>
      <c r="D308" s="174"/>
      <c r="E308" s="176"/>
      <c r="F308" s="173"/>
      <c r="G308" s="177"/>
      <c r="H308" s="176"/>
      <c r="I308" s="173"/>
    </row>
    <row r="309" spans="2:9" ht="12.75" customHeight="1">
      <c r="B309" s="173"/>
      <c r="C309" s="174"/>
      <c r="D309" s="177"/>
      <c r="E309" s="176"/>
      <c r="F309" s="173"/>
      <c r="G309" s="177"/>
      <c r="H309" s="176"/>
      <c r="I309" s="173"/>
    </row>
    <row r="310" spans="2:9" ht="12.75" customHeight="1">
      <c r="B310" s="173"/>
      <c r="C310" s="174"/>
      <c r="D310" s="177"/>
      <c r="E310" s="176"/>
      <c r="F310" s="173"/>
      <c r="G310" s="177"/>
      <c r="H310" s="176"/>
      <c r="I310" s="173"/>
    </row>
    <row r="311" spans="2:9" ht="12.75" customHeight="1">
      <c r="B311" s="173"/>
      <c r="C311" s="174"/>
      <c r="D311" s="177" t="s">
        <v>804</v>
      </c>
      <c r="E311" s="176"/>
      <c r="F311" s="173"/>
      <c r="G311" s="177"/>
      <c r="H311" s="176"/>
      <c r="I311" s="173"/>
    </row>
    <row r="312" spans="2:9" ht="12.75" customHeight="1">
      <c r="B312" s="173"/>
      <c r="C312" s="174"/>
      <c r="D312" s="177" t="s">
        <v>804</v>
      </c>
      <c r="E312" s="176"/>
      <c r="F312" s="173"/>
      <c r="G312" s="177"/>
      <c r="H312" s="176"/>
      <c r="I312" s="173"/>
    </row>
    <row r="313" spans="2:9" ht="12.75" customHeight="1">
      <c r="B313" s="173"/>
      <c r="C313" s="174"/>
      <c r="D313" s="177" t="s">
        <v>804</v>
      </c>
      <c r="E313" s="176"/>
      <c r="F313" s="173"/>
      <c r="G313" s="177"/>
      <c r="H313" s="176"/>
      <c r="I313" s="173"/>
    </row>
    <row r="314" spans="2:9" ht="12.75" customHeight="1">
      <c r="B314" s="173"/>
      <c r="C314" s="174"/>
      <c r="D314" s="177" t="s">
        <v>804</v>
      </c>
      <c r="E314" s="176"/>
      <c r="F314" s="173"/>
      <c r="G314" s="177"/>
      <c r="H314" s="176"/>
      <c r="I314" s="173"/>
    </row>
    <row r="315" spans="2:9" ht="12.75" customHeight="1">
      <c r="B315" s="173"/>
      <c r="C315" s="174"/>
      <c r="D315" s="177" t="s">
        <v>804</v>
      </c>
      <c r="E315" s="176"/>
      <c r="F315" s="173"/>
      <c r="G315" s="177"/>
      <c r="H315" s="176"/>
      <c r="I315" s="173"/>
    </row>
    <row r="316" spans="2:9" ht="12.75" customHeight="1">
      <c r="B316" s="173"/>
      <c r="C316" s="174"/>
      <c r="D316" s="177" t="s">
        <v>804</v>
      </c>
      <c r="E316" s="176"/>
      <c r="F316" s="173"/>
      <c r="G316" s="177"/>
      <c r="H316" s="176"/>
      <c r="I316" s="173"/>
    </row>
    <row r="317" spans="2:9" ht="12.75" customHeight="1">
      <c r="B317" s="173"/>
      <c r="C317" s="174"/>
      <c r="D317" s="177" t="s">
        <v>804</v>
      </c>
      <c r="E317" s="176"/>
      <c r="F317" s="173"/>
      <c r="G317" s="177"/>
      <c r="H317" s="176"/>
      <c r="I317" s="173"/>
    </row>
    <row r="318" spans="2:9" ht="12.75" customHeight="1">
      <c r="B318" s="173"/>
      <c r="C318" s="174"/>
      <c r="D318" s="177" t="s">
        <v>804</v>
      </c>
      <c r="E318" s="176"/>
      <c r="F318" s="173"/>
      <c r="G318" s="177"/>
      <c r="H318" s="176"/>
      <c r="I318" s="173"/>
    </row>
    <row r="319" spans="2:9" ht="12.75" customHeight="1">
      <c r="B319" s="173"/>
      <c r="C319" s="174"/>
      <c r="D319" s="177" t="s">
        <v>804</v>
      </c>
      <c r="E319" s="176"/>
      <c r="F319" s="173"/>
      <c r="G319" s="177"/>
      <c r="H319" s="176"/>
      <c r="I319" s="173"/>
    </row>
    <row r="320" spans="2:9" ht="12.75" customHeight="1">
      <c r="B320" s="173"/>
      <c r="C320" s="174"/>
      <c r="D320" s="177" t="s">
        <v>804</v>
      </c>
      <c r="E320" s="176"/>
      <c r="F320" s="173"/>
      <c r="G320" s="177"/>
      <c r="H320" s="176"/>
      <c r="I320" s="173"/>
    </row>
    <row r="321" spans="2:8" ht="12.75" customHeight="1">
      <c r="B321" s="173"/>
      <c r="C321" s="174"/>
      <c r="D321" s="177" t="s">
        <v>804</v>
      </c>
      <c r="E321" s="176"/>
      <c r="F321" s="173"/>
      <c r="G321" s="177"/>
      <c r="H321" s="176"/>
    </row>
    <row r="322" spans="2:8" ht="12.75" customHeight="1">
      <c r="B322" s="173"/>
      <c r="C322" s="174"/>
      <c r="D322" s="177" t="s">
        <v>804</v>
      </c>
      <c r="E322" s="176"/>
      <c r="F322" s="173"/>
      <c r="G322" s="177"/>
      <c r="H322" s="176"/>
    </row>
    <row r="323" spans="2:8" ht="12.75" customHeight="1">
      <c r="B323" s="173"/>
      <c r="C323" s="174"/>
      <c r="D323" s="177" t="s">
        <v>804</v>
      </c>
      <c r="E323" s="176"/>
      <c r="F323" s="173"/>
      <c r="G323" s="177"/>
      <c r="H323" s="176"/>
    </row>
    <row r="324" spans="2:8" ht="12.75" customHeight="1">
      <c r="B324" s="173"/>
      <c r="C324" s="174"/>
      <c r="D324" s="177" t="s">
        <v>804</v>
      </c>
      <c r="E324" s="176"/>
      <c r="F324" s="173"/>
      <c r="G324" s="177"/>
      <c r="H324" s="176"/>
    </row>
    <row r="325" spans="2:8" ht="12.75" customHeight="1">
      <c r="B325" s="173"/>
      <c r="C325" s="174"/>
      <c r="D325" s="177" t="s">
        <v>804</v>
      </c>
      <c r="E325" s="176"/>
      <c r="F325" s="173"/>
      <c r="G325" s="177"/>
      <c r="H325" s="176"/>
    </row>
    <row r="326" spans="2:8" ht="12.75" customHeight="1">
      <c r="B326" s="173"/>
      <c r="C326" s="174"/>
      <c r="D326" s="177" t="s">
        <v>804</v>
      </c>
      <c r="E326" s="176"/>
      <c r="F326" s="173"/>
      <c r="G326" s="177"/>
      <c r="H326" s="176"/>
    </row>
    <row r="327" spans="2:8" ht="12.75" customHeight="1">
      <c r="B327" s="173"/>
      <c r="C327" s="174"/>
      <c r="D327" s="177" t="s">
        <v>804</v>
      </c>
      <c r="E327" s="176"/>
      <c r="F327" s="173"/>
      <c r="G327" s="177"/>
      <c r="H327" s="176"/>
    </row>
    <row r="328" spans="2:8" ht="12.75" customHeight="1">
      <c r="B328" s="173"/>
      <c r="C328" s="174"/>
      <c r="D328" s="177" t="s">
        <v>804</v>
      </c>
      <c r="E328" s="176"/>
      <c r="F328" s="173"/>
      <c r="G328" s="177"/>
      <c r="H328" s="176"/>
    </row>
    <row r="329" spans="2:8" ht="12.75" customHeight="1">
      <c r="B329" s="173"/>
      <c r="C329" s="174"/>
      <c r="D329" s="177" t="s">
        <v>804</v>
      </c>
      <c r="E329" s="176"/>
      <c r="F329" s="173"/>
      <c r="G329" s="177"/>
      <c r="H329" s="176"/>
    </row>
    <row r="330" spans="2:8" ht="12.75" customHeight="1">
      <c r="B330" s="173"/>
      <c r="C330" s="174"/>
      <c r="D330" s="177" t="s">
        <v>804</v>
      </c>
      <c r="E330" s="176"/>
      <c r="F330" s="173"/>
      <c r="G330" s="177"/>
      <c r="H330" s="176"/>
    </row>
    <row r="331" spans="2:8" ht="12.75" customHeight="1">
      <c r="B331" s="173"/>
      <c r="C331" s="174"/>
      <c r="D331" s="177" t="s">
        <v>804</v>
      </c>
      <c r="E331" s="176"/>
      <c r="F331" s="173"/>
      <c r="G331" s="177"/>
      <c r="H331" s="176"/>
    </row>
    <row r="332" spans="2:8" ht="12.75" customHeight="1">
      <c r="B332" s="173"/>
      <c r="C332" s="174"/>
      <c r="D332" s="177" t="s">
        <v>804</v>
      </c>
      <c r="E332" s="176"/>
      <c r="F332" s="173"/>
      <c r="G332" s="177"/>
      <c r="H332" s="176"/>
    </row>
    <row r="333" spans="2:8" ht="12.75" customHeight="1">
      <c r="B333" s="173"/>
      <c r="C333" s="174"/>
      <c r="D333" s="177" t="s">
        <v>804</v>
      </c>
      <c r="E333" s="176"/>
      <c r="F333" s="173"/>
      <c r="G333" s="177"/>
      <c r="H333" s="176"/>
    </row>
    <row r="334" spans="2:8" ht="12.75" customHeight="1">
      <c r="B334" s="173"/>
      <c r="C334" s="174"/>
      <c r="D334" s="177" t="s">
        <v>804</v>
      </c>
      <c r="E334" s="176"/>
      <c r="F334" s="173"/>
      <c r="G334" s="177"/>
      <c r="H334" s="176"/>
    </row>
    <row r="335" spans="2:8" ht="12.75" customHeight="1">
      <c r="B335" s="173"/>
      <c r="C335" s="174"/>
      <c r="D335" s="177" t="s">
        <v>804</v>
      </c>
      <c r="E335" s="176"/>
      <c r="F335" s="173"/>
      <c r="G335" s="177"/>
      <c r="H335" s="176"/>
    </row>
    <row r="336" spans="2:8" ht="12.75" customHeight="1">
      <c r="B336" s="173"/>
      <c r="C336" s="174"/>
      <c r="D336" s="177" t="s">
        <v>804</v>
      </c>
      <c r="E336" s="176"/>
      <c r="F336" s="173"/>
      <c r="G336" s="177"/>
      <c r="H336" s="176"/>
    </row>
    <row r="337" spans="2:8" ht="12.75" customHeight="1">
      <c r="B337" s="173"/>
      <c r="C337" s="174"/>
      <c r="D337" s="177" t="s">
        <v>804</v>
      </c>
      <c r="E337" s="176"/>
      <c r="F337" s="173"/>
      <c r="G337" s="177"/>
      <c r="H337" s="176"/>
    </row>
    <row r="338" spans="2:8" ht="12.75" customHeight="1">
      <c r="B338" s="173"/>
      <c r="C338" s="174"/>
      <c r="D338" s="177" t="s">
        <v>804</v>
      </c>
      <c r="E338" s="176"/>
      <c r="F338" s="173"/>
      <c r="G338" s="177"/>
      <c r="H338" s="176"/>
    </row>
    <row r="339" spans="2:8" ht="12.75" customHeight="1">
      <c r="B339" s="173"/>
      <c r="C339" s="174"/>
      <c r="D339" s="177" t="s">
        <v>804</v>
      </c>
      <c r="E339" s="176"/>
      <c r="F339" s="173"/>
      <c r="G339" s="177"/>
      <c r="H339" s="176"/>
    </row>
    <row r="340" spans="2:8" ht="12.75" customHeight="1">
      <c r="B340" s="173"/>
      <c r="C340" s="174"/>
      <c r="D340" s="177" t="s">
        <v>804</v>
      </c>
      <c r="E340" s="176"/>
      <c r="F340" s="173"/>
      <c r="G340" s="177"/>
      <c r="H340" s="176"/>
    </row>
    <row r="341" spans="2:8" ht="12.75" customHeight="1">
      <c r="B341" s="173"/>
      <c r="C341" s="174"/>
      <c r="D341" s="177" t="s">
        <v>804</v>
      </c>
      <c r="E341" s="176"/>
      <c r="F341" s="173"/>
      <c r="G341" s="177"/>
      <c r="H341" s="176"/>
    </row>
    <row r="342" spans="2:8" ht="12.75" customHeight="1">
      <c r="B342" s="173"/>
      <c r="C342" s="174"/>
      <c r="D342" s="177" t="s">
        <v>804</v>
      </c>
      <c r="E342" s="176"/>
      <c r="F342" s="173"/>
      <c r="G342" s="177"/>
      <c r="H342" s="176"/>
    </row>
    <row r="343" spans="2:8" ht="12.75" customHeight="1">
      <c r="B343" s="173"/>
      <c r="C343" s="174"/>
      <c r="D343" s="177" t="s">
        <v>804</v>
      </c>
      <c r="E343" s="176"/>
      <c r="F343" s="173"/>
      <c r="G343" s="177"/>
      <c r="H343" s="176"/>
    </row>
    <row r="344" spans="2:8" ht="12.75" customHeight="1">
      <c r="B344" s="173"/>
      <c r="C344" s="174"/>
      <c r="D344" s="177" t="s">
        <v>804</v>
      </c>
      <c r="E344" s="176"/>
      <c r="F344" s="173"/>
      <c r="G344" s="177"/>
      <c r="H344" s="176"/>
    </row>
    <row r="345" spans="2:8" ht="12.75" customHeight="1">
      <c r="B345" s="173"/>
      <c r="C345" s="174"/>
      <c r="D345" s="177" t="s">
        <v>804</v>
      </c>
      <c r="E345" s="176"/>
      <c r="F345" s="173"/>
      <c r="G345" s="177"/>
      <c r="H345" s="176"/>
    </row>
    <row r="346" spans="2:8" ht="12.75" customHeight="1">
      <c r="B346" s="173"/>
      <c r="C346" s="174"/>
      <c r="D346" s="177" t="s">
        <v>804</v>
      </c>
      <c r="E346" s="176"/>
      <c r="F346" s="173"/>
      <c r="G346" s="177"/>
      <c r="H346" s="176"/>
    </row>
    <row r="347" spans="2:8" ht="12.75" customHeight="1">
      <c r="B347" s="173"/>
      <c r="C347" s="174"/>
      <c r="D347" s="177" t="s">
        <v>804</v>
      </c>
      <c r="E347" s="176"/>
      <c r="F347" s="173"/>
      <c r="G347" s="177"/>
      <c r="H347" s="176"/>
    </row>
    <row r="348" spans="2:8" ht="12.75" customHeight="1">
      <c r="B348" s="173"/>
      <c r="C348" s="174"/>
      <c r="D348" s="177" t="s">
        <v>804</v>
      </c>
      <c r="E348" s="176"/>
      <c r="F348" s="173"/>
      <c r="G348" s="177"/>
      <c r="H348" s="176"/>
    </row>
    <row r="349" spans="2:8" ht="12.75" customHeight="1">
      <c r="B349" s="173"/>
      <c r="C349" s="174"/>
      <c r="D349" s="177" t="s">
        <v>804</v>
      </c>
      <c r="E349" s="176"/>
      <c r="F349" s="173"/>
      <c r="G349" s="177"/>
      <c r="H349" s="176"/>
    </row>
    <row r="350" spans="2:8" ht="12.75" customHeight="1">
      <c r="B350" s="173"/>
      <c r="C350" s="174"/>
      <c r="D350" s="177" t="s">
        <v>804</v>
      </c>
      <c r="E350" s="176"/>
      <c r="F350" s="173"/>
      <c r="G350" s="177"/>
      <c r="H350" s="176"/>
    </row>
    <row r="351" spans="2:8" ht="12.75" customHeight="1">
      <c r="B351" s="173"/>
      <c r="C351" s="174"/>
      <c r="D351" s="177" t="s">
        <v>804</v>
      </c>
      <c r="E351" s="176"/>
      <c r="F351" s="173"/>
      <c r="G351" s="177"/>
      <c r="H351" s="176"/>
    </row>
    <row r="352" spans="2:8" ht="12.75" customHeight="1">
      <c r="B352" s="173"/>
      <c r="C352" s="174"/>
      <c r="D352" s="177" t="s">
        <v>804</v>
      </c>
      <c r="E352" s="176"/>
      <c r="F352" s="173"/>
      <c r="G352" s="177"/>
      <c r="H352" s="176"/>
    </row>
    <row r="353" spans="2:8" ht="12.75" customHeight="1">
      <c r="B353" s="173"/>
      <c r="C353" s="174"/>
      <c r="D353" s="177" t="s">
        <v>804</v>
      </c>
      <c r="E353" s="176"/>
      <c r="F353" s="173"/>
      <c r="G353" s="177"/>
      <c r="H353" s="176"/>
    </row>
    <row r="354" spans="2:8" ht="12.75" customHeight="1">
      <c r="B354" s="173"/>
      <c r="C354" s="174"/>
      <c r="D354" s="177" t="s">
        <v>804</v>
      </c>
      <c r="E354" s="176"/>
      <c r="F354" s="173"/>
      <c r="G354" s="177"/>
      <c r="H354" s="176"/>
    </row>
    <row r="355" spans="2:8" ht="12.75" customHeight="1">
      <c r="B355" s="173"/>
      <c r="C355" s="174"/>
      <c r="D355" s="177" t="s">
        <v>804</v>
      </c>
      <c r="E355" s="176"/>
      <c r="F355" s="173"/>
      <c r="G355" s="177"/>
      <c r="H355" s="176"/>
    </row>
    <row r="356" spans="2:8" ht="12.75" customHeight="1">
      <c r="B356" s="173"/>
      <c r="C356" s="174"/>
      <c r="D356" s="177" t="s">
        <v>804</v>
      </c>
      <c r="E356" s="176"/>
      <c r="F356" s="173"/>
      <c r="G356" s="177"/>
      <c r="H356" s="176"/>
    </row>
    <row r="357" spans="2:8" ht="12.75" customHeight="1">
      <c r="B357" s="173"/>
      <c r="C357" s="174"/>
      <c r="D357" s="177" t="s">
        <v>804</v>
      </c>
      <c r="E357" s="176"/>
      <c r="F357" s="173"/>
      <c r="G357" s="177"/>
      <c r="H357" s="176"/>
    </row>
    <row r="358" spans="2:8" ht="12.75" customHeight="1">
      <c r="B358" s="173"/>
      <c r="C358" s="174"/>
      <c r="D358" s="177" t="s">
        <v>804</v>
      </c>
      <c r="E358" s="176"/>
      <c r="F358" s="173"/>
      <c r="G358" s="177"/>
      <c r="H358" s="176"/>
    </row>
    <row r="359" spans="2:8" ht="12.75" customHeight="1">
      <c r="B359" s="173"/>
      <c r="C359" s="174"/>
      <c r="D359" s="177" t="s">
        <v>804</v>
      </c>
      <c r="E359" s="176"/>
      <c r="F359" s="173"/>
      <c r="G359" s="177"/>
      <c r="H359" s="176"/>
    </row>
    <row r="360" spans="2:8" ht="12.75" customHeight="1">
      <c r="B360" s="173"/>
      <c r="C360" s="174"/>
      <c r="D360" s="177" t="s">
        <v>804</v>
      </c>
      <c r="E360" s="176"/>
      <c r="F360" s="173"/>
      <c r="G360" s="177"/>
      <c r="H360" s="176"/>
    </row>
    <row r="361" spans="2:8" ht="12.75" customHeight="1">
      <c r="B361" s="173"/>
      <c r="C361" s="174"/>
      <c r="D361" s="177" t="s">
        <v>804</v>
      </c>
      <c r="E361" s="176"/>
      <c r="F361" s="173"/>
      <c r="G361" s="177"/>
      <c r="H361" s="176"/>
    </row>
    <row r="362" spans="2:8" ht="12.75" customHeight="1">
      <c r="B362" s="173"/>
      <c r="C362" s="174"/>
      <c r="D362" s="177" t="s">
        <v>804</v>
      </c>
      <c r="E362" s="176"/>
      <c r="F362" s="173"/>
      <c r="G362" s="177"/>
      <c r="H362" s="176"/>
    </row>
    <row r="363" spans="2:8" ht="12.75" customHeight="1">
      <c r="B363" s="173"/>
      <c r="C363" s="174"/>
      <c r="D363" s="177" t="s">
        <v>804</v>
      </c>
      <c r="E363" s="176"/>
      <c r="F363" s="173"/>
      <c r="G363" s="177"/>
      <c r="H363" s="176"/>
    </row>
    <row r="364" spans="2:8" ht="12.75" customHeight="1">
      <c r="B364" s="173"/>
      <c r="C364" s="174"/>
      <c r="D364" s="177" t="s">
        <v>804</v>
      </c>
      <c r="E364" s="176"/>
      <c r="F364" s="173"/>
      <c r="G364" s="177"/>
      <c r="H364" s="176"/>
    </row>
    <row r="365" spans="2:8" ht="12.75" customHeight="1">
      <c r="B365" s="173"/>
      <c r="C365" s="174"/>
      <c r="D365" s="177" t="s">
        <v>804</v>
      </c>
      <c r="E365" s="176"/>
      <c r="F365" s="173"/>
      <c r="G365" s="177"/>
      <c r="H365" s="176"/>
    </row>
    <row r="366" spans="2:8" ht="12.75" customHeight="1">
      <c r="B366" s="173"/>
      <c r="C366" s="174"/>
      <c r="D366" s="177" t="s">
        <v>804</v>
      </c>
      <c r="E366" s="176"/>
      <c r="F366" s="173"/>
      <c r="G366" s="177"/>
      <c r="H366" s="176"/>
    </row>
    <row r="367" spans="2:8" ht="12.75" customHeight="1">
      <c r="B367" s="173"/>
      <c r="C367" s="174"/>
      <c r="D367" s="177"/>
      <c r="E367" s="176"/>
      <c r="F367" s="173"/>
      <c r="G367" s="177"/>
      <c r="H367" s="176"/>
    </row>
    <row r="368" spans="2:8" ht="12.75" customHeight="1">
      <c r="B368" s="173"/>
      <c r="C368" s="174"/>
      <c r="D368" s="177"/>
      <c r="E368" s="176"/>
      <c r="F368" s="173"/>
      <c r="G368" s="177"/>
      <c r="H368" s="176"/>
    </row>
    <row r="369" spans="2:8" ht="12.75" customHeight="1">
      <c r="B369" s="173"/>
      <c r="C369" s="174"/>
      <c r="D369" s="177"/>
      <c r="E369" s="176"/>
      <c r="F369" s="173"/>
      <c r="G369" s="177"/>
      <c r="H369" s="176"/>
    </row>
    <row r="370" spans="2:8" ht="12.75" customHeight="1">
      <c r="B370" s="173"/>
      <c r="C370" s="174"/>
      <c r="D370" s="177"/>
      <c r="E370" s="176"/>
      <c r="F370" s="173"/>
      <c r="G370" s="177"/>
      <c r="H370" s="176"/>
    </row>
    <row r="371" spans="2:8" ht="12.75" customHeight="1">
      <c r="B371" s="173"/>
      <c r="C371" s="174"/>
      <c r="D371" s="177"/>
      <c r="E371" s="176"/>
      <c r="F371" s="173"/>
      <c r="G371" s="177"/>
      <c r="H371" s="176"/>
    </row>
    <row r="372" spans="2:8" ht="12.75" customHeight="1">
      <c r="B372" s="173"/>
      <c r="C372" s="174"/>
      <c r="D372" s="177"/>
      <c r="E372" s="176"/>
      <c r="F372" s="173"/>
      <c r="G372" s="177"/>
      <c r="H372" s="176"/>
    </row>
    <row r="373" spans="2:8" ht="12.75" customHeight="1">
      <c r="B373" s="173"/>
      <c r="C373" s="174"/>
      <c r="D373" s="177"/>
      <c r="E373" s="176"/>
      <c r="F373" s="173"/>
      <c r="G373" s="177"/>
      <c r="H373" s="176"/>
    </row>
    <row r="374" spans="2:8" ht="12.75" customHeight="1">
      <c r="B374" s="173"/>
      <c r="C374" s="174"/>
      <c r="D374" s="177"/>
      <c r="E374" s="176"/>
      <c r="F374" s="173"/>
      <c r="G374" s="177"/>
      <c r="H374" s="176"/>
    </row>
    <row r="375" spans="2:8" ht="12.75" customHeight="1">
      <c r="B375" s="173"/>
      <c r="C375" s="174"/>
      <c r="D375" s="177"/>
      <c r="E375" s="176"/>
      <c r="F375" s="173"/>
      <c r="G375" s="177"/>
      <c r="H375" s="176"/>
    </row>
    <row r="376" spans="2:8" ht="12.75" customHeight="1">
      <c r="B376" s="173"/>
      <c r="C376" s="174"/>
      <c r="D376" s="177"/>
      <c r="E376" s="176"/>
      <c r="F376" s="173"/>
      <c r="G376" s="177"/>
      <c r="H376" s="176"/>
    </row>
    <row r="377" spans="2:8" ht="12.75" customHeight="1">
      <c r="B377" s="173"/>
      <c r="C377" s="174"/>
      <c r="D377" s="177"/>
      <c r="E377" s="176"/>
      <c r="F377" s="173"/>
      <c r="G377" s="177"/>
      <c r="H377" s="176"/>
    </row>
    <row r="378" spans="2:8" ht="12.75" customHeight="1">
      <c r="B378" s="173"/>
      <c r="C378" s="174"/>
      <c r="D378" s="177"/>
      <c r="E378" s="176"/>
      <c r="F378" s="173"/>
      <c r="G378" s="177"/>
      <c r="H378" s="176"/>
    </row>
    <row r="379" spans="2:8" ht="12.75" customHeight="1">
      <c r="B379" s="173"/>
      <c r="C379" s="174"/>
      <c r="D379" s="177"/>
      <c r="E379" s="176"/>
      <c r="F379" s="173"/>
      <c r="G379" s="177"/>
      <c r="H379" s="176"/>
    </row>
    <row r="380" spans="2:8" ht="12.75" customHeight="1">
      <c r="B380" s="173"/>
      <c r="C380" s="174"/>
      <c r="D380" s="177"/>
      <c r="E380" s="176"/>
      <c r="F380" s="173"/>
      <c r="G380" s="177"/>
      <c r="H380" s="176"/>
    </row>
    <row r="381" spans="2:8" ht="12.75" customHeight="1">
      <c r="B381" s="173"/>
      <c r="C381" s="174"/>
      <c r="D381" s="177"/>
      <c r="E381" s="176"/>
      <c r="F381" s="173"/>
      <c r="G381" s="177"/>
      <c r="H381" s="176"/>
    </row>
    <row r="382" spans="2:8" ht="12.75" customHeight="1">
      <c r="B382" s="173"/>
      <c r="C382" s="174"/>
      <c r="D382" s="177"/>
      <c r="E382" s="176"/>
      <c r="F382" s="173"/>
      <c r="G382" s="177"/>
      <c r="H382" s="176"/>
    </row>
    <row r="383" spans="2:8" ht="12.75" customHeight="1">
      <c r="B383" s="173"/>
      <c r="C383" s="174"/>
      <c r="D383" s="177"/>
      <c r="E383" s="176"/>
      <c r="F383" s="173"/>
      <c r="G383" s="177"/>
      <c r="H383" s="176"/>
    </row>
    <row r="384" spans="2:8" ht="12.75" customHeight="1">
      <c r="B384" s="173"/>
      <c r="C384" s="174"/>
      <c r="D384" s="177"/>
      <c r="E384" s="176"/>
      <c r="F384" s="173"/>
      <c r="G384" s="177"/>
      <c r="H384" s="176"/>
    </row>
    <row r="385" spans="2:8" ht="12.75" customHeight="1">
      <c r="B385" s="173"/>
      <c r="C385" s="174"/>
      <c r="D385" s="177"/>
      <c r="E385" s="176"/>
      <c r="F385" s="173"/>
      <c r="G385" s="177"/>
      <c r="H385" s="176"/>
    </row>
    <row r="386" spans="2:8" ht="12.75" customHeight="1">
      <c r="B386" s="173"/>
      <c r="C386" s="174"/>
      <c r="D386" s="177"/>
      <c r="E386" s="176"/>
      <c r="F386" s="173"/>
      <c r="G386" s="177"/>
      <c r="H386" s="176"/>
    </row>
    <row r="387" spans="2:8" ht="12.75" customHeight="1">
      <c r="B387" s="173"/>
      <c r="C387" s="174"/>
      <c r="D387" s="177"/>
      <c r="E387" s="176"/>
      <c r="F387" s="173"/>
      <c r="G387" s="177"/>
      <c r="H387" s="176"/>
    </row>
    <row r="388" spans="2:8" ht="12.75" customHeight="1">
      <c r="B388" s="173"/>
      <c r="C388" s="174"/>
      <c r="D388" s="177"/>
      <c r="E388" s="176"/>
      <c r="F388" s="173"/>
      <c r="G388" s="177"/>
      <c r="H388" s="176"/>
    </row>
    <row r="389" spans="2:8" ht="12.75" customHeight="1">
      <c r="B389" s="173"/>
      <c r="C389" s="174"/>
      <c r="D389" s="177"/>
      <c r="E389" s="176"/>
      <c r="F389" s="173"/>
      <c r="G389" s="177"/>
      <c r="H389" s="176"/>
    </row>
    <row r="390" spans="2:8" ht="12.75" customHeight="1">
      <c r="B390" s="173"/>
      <c r="C390" s="174"/>
      <c r="D390" s="177"/>
      <c r="E390" s="176"/>
      <c r="F390" s="173"/>
      <c r="G390" s="177"/>
      <c r="H390" s="176"/>
    </row>
    <row r="391" spans="2:8" ht="12.75" customHeight="1">
      <c r="B391" s="173"/>
      <c r="C391" s="174"/>
      <c r="D391" s="177"/>
      <c r="E391" s="176"/>
      <c r="F391" s="173"/>
      <c r="G391" s="177"/>
      <c r="H391" s="176"/>
    </row>
    <row r="392" spans="2:8" ht="12.75" customHeight="1">
      <c r="B392" s="173"/>
      <c r="C392" s="174"/>
      <c r="D392" s="177"/>
      <c r="E392" s="176"/>
      <c r="F392" s="173"/>
      <c r="G392" s="177"/>
      <c r="H392" s="176"/>
    </row>
    <row r="393" spans="2:8" ht="12.75" customHeight="1">
      <c r="B393" s="173"/>
      <c r="C393" s="174"/>
      <c r="D393" s="177"/>
      <c r="E393" s="176"/>
      <c r="F393" s="173"/>
      <c r="G393" s="177"/>
      <c r="H393" s="176"/>
    </row>
    <row r="394" spans="2:8" ht="12.75" customHeight="1">
      <c r="B394" s="173"/>
      <c r="C394" s="174"/>
      <c r="D394" s="177"/>
      <c r="E394" s="176"/>
      <c r="F394" s="173"/>
      <c r="G394" s="177"/>
      <c r="H394" s="176"/>
    </row>
    <row r="395" spans="2:8" ht="12.75" customHeight="1">
      <c r="B395" s="173"/>
      <c r="C395" s="174"/>
      <c r="D395" s="177"/>
      <c r="E395" s="176"/>
      <c r="F395" s="173"/>
      <c r="G395" s="177"/>
      <c r="H395" s="176"/>
    </row>
    <row r="396" spans="2:8" ht="12.75" customHeight="1">
      <c r="B396" s="173"/>
      <c r="C396" s="174"/>
      <c r="D396" s="177"/>
      <c r="E396" s="176"/>
      <c r="F396" s="173"/>
      <c r="G396" s="177"/>
      <c r="H396" s="176"/>
    </row>
    <row r="397" spans="2:8" ht="12.75" customHeight="1">
      <c r="B397" s="173"/>
      <c r="C397" s="174"/>
      <c r="D397" s="177"/>
      <c r="E397" s="176"/>
      <c r="F397" s="173"/>
      <c r="G397" s="177"/>
      <c r="H397" s="176"/>
    </row>
    <row r="398" spans="2:8" ht="12.75" customHeight="1">
      <c r="B398" s="173"/>
      <c r="C398" s="174"/>
      <c r="D398" s="177"/>
      <c r="E398" s="176"/>
      <c r="F398" s="173"/>
      <c r="G398" s="177"/>
      <c r="H398" s="176"/>
    </row>
    <row r="399" spans="2:8" ht="12.75" customHeight="1">
      <c r="B399" s="173"/>
      <c r="C399" s="174"/>
      <c r="D399" s="177"/>
      <c r="E399" s="176"/>
      <c r="F399" s="173"/>
      <c r="G399" s="177"/>
      <c r="H399" s="176"/>
    </row>
    <row r="400" spans="2:8" ht="12.75" customHeight="1">
      <c r="B400" s="173"/>
      <c r="C400" s="174"/>
      <c r="D400" s="177"/>
      <c r="E400" s="176"/>
      <c r="F400" s="173"/>
      <c r="G400" s="177"/>
      <c r="H400" s="176"/>
    </row>
    <row r="401" spans="2:8" ht="12.75" customHeight="1">
      <c r="B401" s="173"/>
      <c r="C401" s="174"/>
      <c r="D401" s="177"/>
      <c r="E401" s="176"/>
      <c r="F401" s="173"/>
      <c r="G401" s="177"/>
      <c r="H401" s="176"/>
    </row>
    <row r="402" spans="2:8" ht="12.75" customHeight="1">
      <c r="B402" s="173"/>
      <c r="C402" s="174"/>
      <c r="D402" s="177"/>
      <c r="E402" s="176"/>
      <c r="F402" s="173"/>
      <c r="G402" s="177"/>
      <c r="H402" s="176"/>
    </row>
    <row r="403" spans="2:8" ht="12.75" customHeight="1">
      <c r="B403" s="173"/>
      <c r="C403" s="174"/>
      <c r="D403" s="177"/>
      <c r="E403" s="176"/>
      <c r="F403" s="173"/>
      <c r="G403" s="177"/>
      <c r="H403" s="176"/>
    </row>
    <row r="404" spans="2:8" ht="12.75" customHeight="1">
      <c r="B404" s="173"/>
      <c r="C404" s="174"/>
      <c r="D404" s="177"/>
      <c r="E404" s="176"/>
      <c r="F404" s="173"/>
      <c r="G404" s="177"/>
      <c r="H404" s="176"/>
    </row>
    <row r="405" spans="2:8" ht="12.75" customHeight="1">
      <c r="B405" s="173"/>
      <c r="C405" s="174"/>
      <c r="D405" s="177"/>
      <c r="E405" s="176"/>
      <c r="F405" s="173"/>
      <c r="G405" s="177"/>
      <c r="H405" s="176"/>
    </row>
    <row r="406" spans="2:8" ht="12.75" customHeight="1">
      <c r="B406" s="173"/>
      <c r="C406" s="174"/>
      <c r="D406" s="177"/>
      <c r="E406" s="176"/>
      <c r="F406" s="173"/>
      <c r="G406" s="177"/>
      <c r="H406" s="176"/>
    </row>
    <row r="407" spans="2:8" ht="12.75" customHeight="1">
      <c r="B407" s="173"/>
      <c r="C407" s="174"/>
      <c r="D407" s="177"/>
      <c r="E407" s="176"/>
      <c r="F407" s="173"/>
      <c r="G407" s="177"/>
      <c r="H407" s="176"/>
    </row>
    <row r="408" spans="2:8" ht="12.75" customHeight="1">
      <c r="B408" s="173"/>
      <c r="C408" s="174"/>
      <c r="D408" s="177"/>
      <c r="E408" s="176"/>
      <c r="F408" s="173"/>
      <c r="G408" s="177"/>
      <c r="H408" s="176"/>
    </row>
    <row r="409" spans="2:8" ht="12.75" customHeight="1">
      <c r="B409" s="173"/>
      <c r="C409" s="174"/>
      <c r="D409" s="177"/>
      <c r="E409" s="176"/>
      <c r="F409" s="173"/>
      <c r="G409" s="177"/>
      <c r="H409" s="176"/>
    </row>
    <row r="410" spans="2:8" ht="12.75" customHeight="1">
      <c r="B410" s="173"/>
      <c r="C410" s="174"/>
      <c r="D410" s="177"/>
      <c r="E410" s="176"/>
      <c r="F410" s="173"/>
      <c r="G410" s="177"/>
      <c r="H410" s="176"/>
    </row>
    <row r="411" spans="2:8" ht="12.75" customHeight="1">
      <c r="B411" s="173"/>
      <c r="C411" s="174"/>
      <c r="D411" s="177"/>
      <c r="E411" s="176"/>
      <c r="F411" s="173"/>
      <c r="G411" s="177"/>
      <c r="H411" s="176"/>
    </row>
    <row r="412" spans="2:8" ht="12.75" customHeight="1">
      <c r="B412" s="173"/>
      <c r="C412" s="174"/>
      <c r="D412" s="177"/>
      <c r="E412" s="176"/>
      <c r="F412" s="173"/>
      <c r="G412" s="177"/>
      <c r="H412" s="176"/>
    </row>
    <row r="413" spans="2:8" ht="12.75" customHeight="1">
      <c r="B413" s="173"/>
      <c r="C413" s="174"/>
      <c r="D413" s="177"/>
      <c r="E413" s="176"/>
      <c r="F413" s="173"/>
      <c r="G413" s="177"/>
      <c r="H413" s="176"/>
    </row>
    <row r="414" spans="2:8" ht="12.75" customHeight="1">
      <c r="B414" s="173"/>
      <c r="C414" s="174"/>
      <c r="D414" s="177"/>
      <c r="E414" s="176"/>
      <c r="F414" s="173"/>
      <c r="G414" s="177"/>
      <c r="H414" s="176"/>
    </row>
    <row r="415" spans="2:8" ht="12.75" customHeight="1">
      <c r="B415" s="173"/>
      <c r="C415" s="174"/>
      <c r="D415" s="177"/>
      <c r="E415" s="176"/>
      <c r="F415" s="173"/>
      <c r="G415" s="177"/>
      <c r="H415" s="176"/>
    </row>
    <row r="416" spans="2:8" ht="12.75" customHeight="1">
      <c r="B416" s="173"/>
      <c r="C416" s="174"/>
      <c r="D416" s="177"/>
      <c r="E416" s="176"/>
      <c r="F416" s="173"/>
      <c r="G416" s="177"/>
      <c r="H416" s="176"/>
    </row>
    <row r="417" spans="2:8" ht="12.75" customHeight="1">
      <c r="B417" s="173"/>
      <c r="C417" s="174"/>
      <c r="D417" s="177"/>
      <c r="E417" s="176"/>
      <c r="F417" s="173"/>
      <c r="G417" s="177"/>
      <c r="H417" s="176"/>
    </row>
    <row r="418" spans="2:8" ht="12.75" customHeight="1">
      <c r="B418" s="173"/>
      <c r="C418" s="174"/>
      <c r="D418" s="177"/>
      <c r="E418" s="176"/>
      <c r="F418" s="173"/>
      <c r="G418" s="177"/>
      <c r="H418" s="176"/>
    </row>
    <row r="419" spans="2:8" ht="12.75" customHeight="1">
      <c r="B419" s="173"/>
      <c r="C419" s="174"/>
      <c r="D419" s="177"/>
      <c r="E419" s="176"/>
      <c r="F419" s="173"/>
      <c r="G419" s="177"/>
      <c r="H419" s="176"/>
    </row>
    <row r="420" spans="2:8" ht="12.75" customHeight="1">
      <c r="B420" s="173"/>
      <c r="C420" s="174"/>
      <c r="D420" s="177"/>
      <c r="E420" s="176"/>
      <c r="F420" s="173"/>
      <c r="G420" s="177"/>
      <c r="H420" s="176"/>
    </row>
    <row r="421" spans="2:8" ht="12.75" customHeight="1">
      <c r="B421" s="173"/>
      <c r="C421" s="174"/>
      <c r="D421" s="177"/>
      <c r="E421" s="176"/>
      <c r="F421" s="173"/>
      <c r="G421" s="177"/>
      <c r="H421" s="176"/>
    </row>
    <row r="422" spans="2:8" ht="12.75" customHeight="1">
      <c r="B422" s="173"/>
      <c r="C422" s="174"/>
      <c r="D422" s="177"/>
      <c r="E422" s="176"/>
      <c r="F422" s="173"/>
      <c r="G422" s="177"/>
      <c r="H422" s="176"/>
    </row>
    <row r="423" spans="2:8" ht="12.75" customHeight="1">
      <c r="B423" s="173"/>
      <c r="C423" s="174"/>
      <c r="D423" s="177"/>
      <c r="E423" s="176"/>
      <c r="F423" s="173"/>
      <c r="G423" s="177"/>
      <c r="H423" s="176"/>
    </row>
    <row r="424" spans="2:8" ht="12.75" customHeight="1">
      <c r="B424" s="173"/>
      <c r="C424" s="174"/>
      <c r="D424" s="177"/>
      <c r="E424" s="176"/>
      <c r="F424" s="173"/>
      <c r="G424" s="177"/>
      <c r="H424" s="176"/>
    </row>
    <row r="425" spans="2:8" ht="12.75" customHeight="1">
      <c r="B425" s="173"/>
      <c r="C425" s="174"/>
      <c r="D425" s="177"/>
      <c r="E425" s="176"/>
      <c r="F425" s="173"/>
      <c r="G425" s="177"/>
      <c r="H425" s="176"/>
    </row>
    <row r="426" spans="2:8" ht="12.75" customHeight="1">
      <c r="B426" s="173"/>
      <c r="C426" s="174"/>
      <c r="D426" s="177"/>
      <c r="E426" s="176"/>
      <c r="F426" s="173"/>
      <c r="G426" s="177"/>
      <c r="H426" s="176"/>
    </row>
    <row r="427" spans="2:8" ht="12.75" customHeight="1">
      <c r="B427" s="173"/>
      <c r="C427" s="174"/>
      <c r="D427" s="177"/>
      <c r="E427" s="176"/>
      <c r="F427" s="173"/>
      <c r="G427" s="177"/>
      <c r="H427" s="176"/>
    </row>
    <row r="428" spans="2:8" ht="12.75" customHeight="1">
      <c r="B428" s="173"/>
      <c r="C428" s="174"/>
      <c r="D428" s="177"/>
      <c r="E428" s="176"/>
      <c r="F428" s="173"/>
      <c r="G428" s="177"/>
      <c r="H428" s="176"/>
    </row>
    <row r="429" spans="2:8" ht="12.75" customHeight="1">
      <c r="B429" s="173"/>
      <c r="C429" s="174"/>
      <c r="D429" s="177"/>
      <c r="E429" s="176"/>
      <c r="F429" s="173"/>
      <c r="G429" s="177"/>
      <c r="H429" s="176"/>
    </row>
    <row r="430" spans="2:8" ht="12.75" customHeight="1">
      <c r="B430" s="173"/>
      <c r="C430" s="174"/>
      <c r="D430" s="177"/>
      <c r="E430" s="176"/>
      <c r="F430" s="173"/>
      <c r="G430" s="177"/>
      <c r="H430" s="176"/>
    </row>
    <row r="431" spans="2:8" ht="12.75" customHeight="1">
      <c r="B431" s="173"/>
      <c r="C431" s="174"/>
      <c r="D431" s="177"/>
      <c r="E431" s="176"/>
      <c r="F431" s="173"/>
      <c r="G431" s="177"/>
      <c r="H431" s="176"/>
    </row>
    <row r="432" spans="2:8" ht="12.75" customHeight="1">
      <c r="B432" s="173"/>
      <c r="C432" s="174"/>
      <c r="D432" s="177"/>
      <c r="E432" s="176"/>
      <c r="F432" s="173"/>
      <c r="G432" s="177"/>
      <c r="H432" s="176"/>
    </row>
    <row r="433" spans="2:8" ht="12.75" customHeight="1">
      <c r="B433" s="173"/>
      <c r="C433" s="174"/>
      <c r="D433" s="177"/>
      <c r="E433" s="176"/>
      <c r="F433" s="173"/>
      <c r="G433" s="177"/>
      <c r="H433" s="176"/>
    </row>
    <row r="434" spans="2:8" ht="12.75" customHeight="1">
      <c r="B434" s="173"/>
      <c r="C434" s="174"/>
      <c r="D434" s="177"/>
      <c r="E434" s="176"/>
      <c r="F434" s="173"/>
      <c r="G434" s="177"/>
      <c r="H434" s="176"/>
    </row>
    <row r="435" spans="2:8" ht="12.75" customHeight="1">
      <c r="B435" s="173"/>
      <c r="C435" s="174"/>
      <c r="D435" s="177"/>
      <c r="E435" s="176"/>
      <c r="F435" s="173"/>
      <c r="G435" s="177"/>
      <c r="H435" s="176"/>
    </row>
    <row r="436" spans="2:8" ht="12.75" customHeight="1">
      <c r="B436" s="173"/>
      <c r="C436" s="174"/>
      <c r="D436" s="177"/>
      <c r="E436" s="176"/>
      <c r="F436" s="173"/>
      <c r="G436" s="177"/>
      <c r="H436" s="176"/>
    </row>
    <row r="437" spans="2:8" ht="12.75" customHeight="1">
      <c r="B437" s="173"/>
      <c r="C437" s="174"/>
      <c r="D437" s="177"/>
      <c r="E437" s="176"/>
      <c r="F437" s="173"/>
      <c r="G437" s="177"/>
      <c r="H437" s="176"/>
    </row>
    <row r="438" spans="2:8" ht="12.75" customHeight="1">
      <c r="B438" s="173"/>
      <c r="C438" s="174"/>
      <c r="D438" s="177"/>
      <c r="E438" s="176"/>
      <c r="F438" s="173"/>
      <c r="G438" s="177"/>
      <c r="H438" s="176"/>
    </row>
    <row r="439" spans="2:8" ht="12.75" customHeight="1">
      <c r="B439" s="173"/>
      <c r="C439" s="174"/>
      <c r="D439" s="177"/>
      <c r="E439" s="176"/>
      <c r="F439" s="173"/>
      <c r="G439" s="177"/>
      <c r="H439" s="176"/>
    </row>
    <row r="440" spans="2:8" ht="12.75" customHeight="1">
      <c r="B440" s="173"/>
      <c r="C440" s="174"/>
      <c r="D440" s="177"/>
      <c r="E440" s="176"/>
      <c r="F440" s="173"/>
      <c r="G440" s="177"/>
      <c r="H440" s="176"/>
    </row>
    <row r="441" spans="2:8" ht="12.75" customHeight="1">
      <c r="B441" s="173"/>
      <c r="C441" s="174"/>
      <c r="D441" s="177"/>
      <c r="E441" s="176"/>
      <c r="F441" s="173"/>
      <c r="G441" s="177"/>
      <c r="H441" s="176"/>
    </row>
    <row r="442" spans="2:8" ht="12.75" customHeight="1">
      <c r="B442" s="173"/>
      <c r="C442" s="174"/>
      <c r="D442" s="177"/>
      <c r="E442" s="176"/>
      <c r="F442" s="173"/>
      <c r="G442" s="177"/>
      <c r="H442" s="176"/>
    </row>
    <row r="443" spans="2:8" ht="12.75" customHeight="1">
      <c r="B443" s="173"/>
      <c r="C443" s="174"/>
      <c r="D443" s="177"/>
      <c r="E443" s="176"/>
      <c r="F443" s="173"/>
      <c r="G443" s="177"/>
      <c r="H443" s="176"/>
    </row>
    <row r="444" spans="2:8" ht="12.75" customHeight="1">
      <c r="B444" s="173"/>
      <c r="C444" s="174"/>
      <c r="D444" s="177"/>
      <c r="E444" s="176"/>
      <c r="F444" s="173"/>
      <c r="G444" s="177"/>
      <c r="H444" s="176"/>
    </row>
    <row r="445" spans="2:8" ht="12.75" customHeight="1">
      <c r="B445" s="173"/>
      <c r="C445" s="174"/>
      <c r="D445" s="177"/>
      <c r="E445" s="176"/>
      <c r="F445" s="173"/>
      <c r="G445" s="177"/>
      <c r="H445" s="176"/>
    </row>
    <row r="446" spans="2:8" ht="12.75" customHeight="1">
      <c r="B446" s="173"/>
      <c r="C446" s="174"/>
      <c r="D446" s="177"/>
      <c r="E446" s="176"/>
      <c r="F446" s="173"/>
      <c r="G446" s="177"/>
      <c r="H446" s="176"/>
    </row>
    <row r="447" spans="2:8" ht="12.75" customHeight="1">
      <c r="B447" s="173"/>
      <c r="C447" s="174"/>
      <c r="D447" s="177"/>
      <c r="E447" s="176"/>
      <c r="F447" s="173"/>
      <c r="G447" s="177"/>
      <c r="H447" s="176"/>
    </row>
    <row r="448" spans="2:8" ht="12.75" customHeight="1">
      <c r="B448" s="173"/>
      <c r="C448" s="174"/>
      <c r="D448" s="177"/>
      <c r="E448" s="176"/>
      <c r="F448" s="173"/>
      <c r="G448" s="177"/>
      <c r="H448" s="176"/>
    </row>
    <row r="449" spans="2:9" ht="12.75" customHeight="1">
      <c r="B449" s="173"/>
      <c r="C449" s="174"/>
      <c r="D449" s="177"/>
      <c r="E449" s="176"/>
      <c r="F449" s="173"/>
      <c r="G449" s="177"/>
      <c r="H449" s="176"/>
      <c r="I449" s="173"/>
    </row>
    <row r="450" spans="2:9" ht="12.75" customHeight="1">
      <c r="B450" s="173"/>
      <c r="C450" s="174"/>
      <c r="D450" s="177"/>
      <c r="E450" s="176"/>
      <c r="F450" s="173"/>
      <c r="G450" s="177"/>
      <c r="H450" s="176"/>
      <c r="I450" s="173"/>
    </row>
    <row r="451" spans="2:9" ht="12.75" customHeight="1">
      <c r="B451" s="173"/>
      <c r="C451" s="174"/>
      <c r="D451" s="177"/>
      <c r="E451" s="176"/>
      <c r="F451" s="173"/>
      <c r="G451" s="177"/>
      <c r="H451" s="176"/>
      <c r="I451" s="173"/>
    </row>
    <row r="452" spans="2:9" ht="12.75" customHeight="1">
      <c r="B452" s="173"/>
      <c r="C452" s="174"/>
      <c r="D452" s="177"/>
      <c r="E452" s="176"/>
      <c r="F452" s="173"/>
      <c r="G452" s="177"/>
      <c r="H452" s="176"/>
      <c r="I452" s="173"/>
    </row>
    <row r="453" spans="2:9" ht="12.75" customHeight="1">
      <c r="B453" s="173"/>
      <c r="C453" s="174"/>
      <c r="D453" s="177"/>
      <c r="E453" s="176"/>
      <c r="F453" s="173"/>
      <c r="G453" s="177"/>
      <c r="H453" s="176"/>
      <c r="I453" s="173"/>
    </row>
    <row r="454" spans="2:9" ht="12.75" customHeight="1">
      <c r="B454" s="173"/>
      <c r="C454" s="174"/>
      <c r="D454" s="177"/>
      <c r="E454" s="176"/>
      <c r="F454" s="173"/>
      <c r="G454" s="177"/>
      <c r="H454" s="176"/>
      <c r="I454" s="173"/>
    </row>
    <row r="455" spans="2:9" ht="12.75" customHeight="1">
      <c r="B455" s="173"/>
      <c r="C455" s="174"/>
      <c r="D455" s="177"/>
      <c r="E455" s="176"/>
      <c r="F455" s="173"/>
      <c r="G455" s="177"/>
      <c r="H455" s="176"/>
      <c r="I455" s="173"/>
    </row>
    <row r="456" spans="2:9" ht="12.75" customHeight="1">
      <c r="B456" s="173"/>
      <c r="C456" s="174"/>
      <c r="D456" s="177"/>
      <c r="E456" s="176"/>
      <c r="F456" s="173"/>
      <c r="G456" s="177"/>
      <c r="H456" s="176"/>
      <c r="I456" s="173"/>
    </row>
    <row r="457" spans="2:9" ht="12.75" customHeight="1">
      <c r="B457" s="173" t="s">
        <v>816</v>
      </c>
      <c r="C457" s="174" t="s">
        <v>270</v>
      </c>
      <c r="D457" s="177" t="s">
        <v>305</v>
      </c>
      <c r="E457" s="176">
        <f t="shared" ref="E457:E600" si="9">+H457/1.19</f>
        <v>22600</v>
      </c>
      <c r="F457" s="173" t="s">
        <v>306</v>
      </c>
      <c r="G457" s="177" t="s">
        <v>270</v>
      </c>
      <c r="H457" s="176">
        <f>22600*1.19</f>
        <v>26894</v>
      </c>
      <c r="I457" s="177" t="s">
        <v>273</v>
      </c>
    </row>
    <row r="458" spans="2:9" ht="12.75" customHeight="1">
      <c r="B458" s="173" t="s">
        <v>341</v>
      </c>
      <c r="C458" s="174" t="s">
        <v>270</v>
      </c>
      <c r="D458" s="177" t="s">
        <v>342</v>
      </c>
      <c r="E458" s="176">
        <f t="shared" si="9"/>
        <v>420.1680672268908</v>
      </c>
      <c r="F458" s="173" t="s">
        <v>306</v>
      </c>
      <c r="G458" s="177" t="s">
        <v>270</v>
      </c>
      <c r="H458" s="176">
        <v>500</v>
      </c>
      <c r="I458" s="177" t="s">
        <v>273</v>
      </c>
    </row>
    <row r="459" spans="2:9" ht="12.75" customHeight="1">
      <c r="B459" s="173" t="s">
        <v>343</v>
      </c>
      <c r="C459" s="174" t="s">
        <v>270</v>
      </c>
      <c r="D459" s="177" t="s">
        <v>344</v>
      </c>
      <c r="E459" s="176">
        <f t="shared" si="9"/>
        <v>220.00000000000003</v>
      </c>
      <c r="F459" s="173" t="s">
        <v>306</v>
      </c>
      <c r="G459" s="177" t="s">
        <v>270</v>
      </c>
      <c r="H459" s="176">
        <f>220*1.19</f>
        <v>261.8</v>
      </c>
      <c r="I459" s="177" t="s">
        <v>273</v>
      </c>
    </row>
    <row r="460" spans="2:9" ht="12.75" customHeight="1">
      <c r="B460" s="173" t="s">
        <v>345</v>
      </c>
      <c r="C460" s="174" t="s">
        <v>270</v>
      </c>
      <c r="D460" s="177" t="s">
        <v>302</v>
      </c>
      <c r="E460" s="176">
        <f t="shared" si="9"/>
        <v>1115.4861111111109</v>
      </c>
      <c r="F460" s="173" t="s">
        <v>303</v>
      </c>
      <c r="G460" s="177" t="s">
        <v>270</v>
      </c>
      <c r="H460" s="176">
        <f>(735.486111111111+120+90+170)*1.19</f>
        <v>1327.4284722222219</v>
      </c>
      <c r="I460" s="177" t="s">
        <v>273</v>
      </c>
    </row>
    <row r="461" spans="2:9" ht="12.75" customHeight="1">
      <c r="B461" s="173" t="s">
        <v>346</v>
      </c>
      <c r="C461" s="174" t="s">
        <v>270</v>
      </c>
      <c r="D461" s="177" t="s">
        <v>347</v>
      </c>
      <c r="E461" s="176">
        <f t="shared" si="9"/>
        <v>25210.084033613446</v>
      </c>
      <c r="F461" s="173" t="s">
        <v>306</v>
      </c>
      <c r="G461" s="177" t="s">
        <v>270</v>
      </c>
      <c r="H461" s="176">
        <v>30000</v>
      </c>
      <c r="I461" s="177" t="s">
        <v>273</v>
      </c>
    </row>
    <row r="462" spans="2:9" ht="12.75" customHeight="1">
      <c r="B462" s="173" t="s">
        <v>348</v>
      </c>
      <c r="C462" s="174" t="s">
        <v>270</v>
      </c>
      <c r="D462" s="177" t="s">
        <v>311</v>
      </c>
      <c r="E462" s="176">
        <f t="shared" si="9"/>
        <v>80000</v>
      </c>
      <c r="F462" s="173" t="s">
        <v>306</v>
      </c>
      <c r="G462" s="177" t="s">
        <v>270</v>
      </c>
      <c r="H462" s="176">
        <f>80000*1.19</f>
        <v>95200</v>
      </c>
      <c r="I462" s="177" t="s">
        <v>273</v>
      </c>
    </row>
    <row r="463" spans="2:9" ht="12.75" customHeight="1">
      <c r="B463" s="173" t="s">
        <v>349</v>
      </c>
      <c r="C463" s="174" t="s">
        <v>270</v>
      </c>
      <c r="D463" s="177" t="s">
        <v>315</v>
      </c>
      <c r="E463" s="176">
        <f t="shared" si="9"/>
        <v>33613.445378151264</v>
      </c>
      <c r="F463" s="173" t="s">
        <v>306</v>
      </c>
      <c r="G463" s="177" t="s">
        <v>270</v>
      </c>
      <c r="H463" s="176">
        <v>40000</v>
      </c>
      <c r="I463" s="177" t="s">
        <v>273</v>
      </c>
    </row>
    <row r="464" spans="2:9" ht="12.75" customHeight="1">
      <c r="B464" s="173" t="s">
        <v>350</v>
      </c>
      <c r="C464" s="174" t="s">
        <v>270</v>
      </c>
      <c r="D464" s="177" t="s">
        <v>313</v>
      </c>
      <c r="E464" s="176">
        <f t="shared" si="9"/>
        <v>50420.168067226892</v>
      </c>
      <c r="F464" s="173" t="s">
        <v>306</v>
      </c>
      <c r="G464" s="177" t="s">
        <v>270</v>
      </c>
      <c r="H464" s="176">
        <v>60000</v>
      </c>
      <c r="I464" s="177" t="s">
        <v>273</v>
      </c>
    </row>
    <row r="465" spans="2:9" ht="12.75" customHeight="1">
      <c r="B465" s="173" t="s">
        <v>351</v>
      </c>
      <c r="C465" s="174" t="s">
        <v>270</v>
      </c>
      <c r="D465" s="177" t="s">
        <v>352</v>
      </c>
      <c r="E465" s="176">
        <f t="shared" si="9"/>
        <v>350</v>
      </c>
      <c r="F465" s="173" t="s">
        <v>306</v>
      </c>
      <c r="G465" s="177" t="s">
        <v>270</v>
      </c>
      <c r="H465" s="176">
        <f>350*1.19</f>
        <v>416.5</v>
      </c>
      <c r="I465" s="177" t="s">
        <v>273</v>
      </c>
    </row>
    <row r="466" spans="2:9" ht="12.75" customHeight="1">
      <c r="B466" s="173" t="s">
        <v>353</v>
      </c>
      <c r="C466" s="174" t="s">
        <v>270</v>
      </c>
      <c r="D466" s="177" t="s">
        <v>354</v>
      </c>
      <c r="E466" s="176">
        <f t="shared" si="9"/>
        <v>380</v>
      </c>
      <c r="F466" s="173" t="s">
        <v>306</v>
      </c>
      <c r="G466" s="177" t="s">
        <v>270</v>
      </c>
      <c r="H466" s="176">
        <f>380*1.19</f>
        <v>452.2</v>
      </c>
      <c r="I466" s="177" t="s">
        <v>273</v>
      </c>
    </row>
    <row r="467" spans="2:9" ht="12.75" customHeight="1">
      <c r="B467" s="173" t="s">
        <v>355</v>
      </c>
      <c r="C467" s="174" t="s">
        <v>270</v>
      </c>
      <c r="D467" s="177" t="s">
        <v>356</v>
      </c>
      <c r="E467" s="176">
        <f t="shared" si="9"/>
        <v>180</v>
      </c>
      <c r="F467" s="173" t="s">
        <v>306</v>
      </c>
      <c r="G467" s="177" t="s">
        <v>270</v>
      </c>
      <c r="H467" s="176">
        <f>180*1.19</f>
        <v>214.2</v>
      </c>
      <c r="I467" s="177" t="s">
        <v>273</v>
      </c>
    </row>
    <row r="468" spans="2:9" ht="12.75" customHeight="1">
      <c r="B468" s="173" t="s">
        <v>357</v>
      </c>
      <c r="C468" s="174" t="s">
        <v>270</v>
      </c>
      <c r="D468" s="177" t="s">
        <v>358</v>
      </c>
      <c r="E468" s="176">
        <f t="shared" si="9"/>
        <v>130</v>
      </c>
      <c r="F468" s="173" t="s">
        <v>306</v>
      </c>
      <c r="G468" s="177" t="s">
        <v>270</v>
      </c>
      <c r="H468" s="176">
        <f>130*1.19</f>
        <v>154.69999999999999</v>
      </c>
      <c r="I468" s="177" t="s">
        <v>273</v>
      </c>
    </row>
    <row r="469" spans="2:9" ht="12.75" customHeight="1">
      <c r="B469" s="173" t="s">
        <v>359</v>
      </c>
      <c r="C469" s="174" t="s">
        <v>270</v>
      </c>
      <c r="D469" s="177" t="s">
        <v>360</v>
      </c>
      <c r="E469" s="176">
        <f t="shared" si="9"/>
        <v>50420.168067226892</v>
      </c>
      <c r="F469" s="173" t="s">
        <v>306</v>
      </c>
      <c r="G469" s="177" t="s">
        <v>270</v>
      </c>
      <c r="H469" s="176">
        <v>60000</v>
      </c>
      <c r="I469" s="177" t="s">
        <v>273</v>
      </c>
    </row>
    <row r="470" spans="2:9" ht="12.75" customHeight="1">
      <c r="B470" s="173" t="s">
        <v>361</v>
      </c>
      <c r="C470" s="174" t="s">
        <v>270</v>
      </c>
      <c r="D470" s="177" t="s">
        <v>300</v>
      </c>
      <c r="E470" s="176">
        <f t="shared" si="9"/>
        <v>50420.168067226892</v>
      </c>
      <c r="F470" s="173" t="s">
        <v>306</v>
      </c>
      <c r="G470" s="177" t="s">
        <v>270</v>
      </c>
      <c r="H470" s="176">
        <v>60000</v>
      </c>
      <c r="I470" s="177" t="s">
        <v>273</v>
      </c>
    </row>
    <row r="471" spans="2:9" ht="12.75" customHeight="1">
      <c r="B471" s="173" t="s">
        <v>362</v>
      </c>
      <c r="C471" s="174" t="s">
        <v>270</v>
      </c>
      <c r="D471" s="177" t="s">
        <v>363</v>
      </c>
      <c r="E471" s="176">
        <f t="shared" si="9"/>
        <v>71428.571428571435</v>
      </c>
      <c r="F471" s="173" t="s">
        <v>272</v>
      </c>
      <c r="G471" s="177" t="s">
        <v>270</v>
      </c>
      <c r="H471" s="176">
        <v>85000</v>
      </c>
      <c r="I471" s="177" t="s">
        <v>273</v>
      </c>
    </row>
    <row r="472" spans="2:9" ht="12.75" customHeight="1">
      <c r="B472" s="173" t="s">
        <v>364</v>
      </c>
      <c r="C472" s="174" t="s">
        <v>270</v>
      </c>
      <c r="D472" s="177" t="s">
        <v>365</v>
      </c>
      <c r="E472" s="176">
        <f t="shared" si="9"/>
        <v>50420.168067226892</v>
      </c>
      <c r="F472" s="173" t="s">
        <v>306</v>
      </c>
      <c r="G472" s="177" t="s">
        <v>270</v>
      </c>
      <c r="H472" s="176">
        <v>60000</v>
      </c>
      <c r="I472" s="177" t="s">
        <v>273</v>
      </c>
    </row>
    <row r="473" spans="2:9" ht="12.75" customHeight="1">
      <c r="B473" s="173" t="s">
        <v>366</v>
      </c>
      <c r="C473" s="174" t="s">
        <v>270</v>
      </c>
      <c r="D473" s="177" t="s">
        <v>367</v>
      </c>
      <c r="E473" s="176">
        <f t="shared" si="9"/>
        <v>2205.4861111111109</v>
      </c>
      <c r="F473" s="173" t="s">
        <v>303</v>
      </c>
      <c r="G473" s="177" t="s">
        <v>270</v>
      </c>
      <c r="H473" s="176">
        <f>(735.486111111111+2*120+90+170+130+220+120+500)*1.19</f>
        <v>2624.5284722222218</v>
      </c>
      <c r="I473" s="177" t="s">
        <v>273</v>
      </c>
    </row>
    <row r="474" spans="2:9" ht="12.75" customHeight="1">
      <c r="B474" s="173" t="s">
        <v>368</v>
      </c>
      <c r="C474" s="174" t="s">
        <v>270</v>
      </c>
      <c r="D474" s="177" t="s">
        <v>369</v>
      </c>
      <c r="E474" s="176">
        <f t="shared" si="9"/>
        <v>21008.403361344539</v>
      </c>
      <c r="F474" s="173" t="s">
        <v>306</v>
      </c>
      <c r="G474" s="177" t="s">
        <v>270</v>
      </c>
      <c r="H474" s="176">
        <v>25000</v>
      </c>
      <c r="I474" s="177" t="s">
        <v>273</v>
      </c>
    </row>
    <row r="475" spans="2:9" ht="12.75" customHeight="1">
      <c r="B475" s="173" t="s">
        <v>370</v>
      </c>
      <c r="C475" s="174" t="s">
        <v>270</v>
      </c>
      <c r="D475" s="177" t="s">
        <v>371</v>
      </c>
      <c r="E475" s="176">
        <f t="shared" si="9"/>
        <v>12605.042016806723</v>
      </c>
      <c r="F475" s="173" t="s">
        <v>306</v>
      </c>
      <c r="G475" s="177" t="s">
        <v>270</v>
      </c>
      <c r="H475" s="176">
        <v>15000</v>
      </c>
      <c r="I475" s="177" t="s">
        <v>273</v>
      </c>
    </row>
    <row r="476" spans="2:9" ht="12.75" customHeight="1">
      <c r="B476" s="173" t="s">
        <v>372</v>
      </c>
      <c r="C476" s="174" t="s">
        <v>270</v>
      </c>
      <c r="D476" s="177" t="s">
        <v>329</v>
      </c>
      <c r="E476" s="176">
        <f t="shared" si="9"/>
        <v>58823.529411764706</v>
      </c>
      <c r="F476" s="173" t="s">
        <v>306</v>
      </c>
      <c r="G476" s="177" t="s">
        <v>270</v>
      </c>
      <c r="H476" s="176">
        <v>70000</v>
      </c>
      <c r="I476" s="177" t="s">
        <v>273</v>
      </c>
    </row>
    <row r="477" spans="2:9" ht="12.75" customHeight="1">
      <c r="B477" s="173" t="s">
        <v>373</v>
      </c>
      <c r="C477" s="174" t="s">
        <v>270</v>
      </c>
      <c r="D477" s="177" t="s">
        <v>276</v>
      </c>
      <c r="E477" s="176">
        <f t="shared" si="9"/>
        <v>126050.42016806723</v>
      </c>
      <c r="F477" s="173" t="s">
        <v>306</v>
      </c>
      <c r="G477" s="177" t="s">
        <v>270</v>
      </c>
      <c r="H477" s="176">
        <v>150000</v>
      </c>
      <c r="I477" s="177" t="s">
        <v>273</v>
      </c>
    </row>
    <row r="478" spans="2:9" ht="12.75" customHeight="1">
      <c r="B478" s="173" t="s">
        <v>374</v>
      </c>
      <c r="C478" s="174" t="s">
        <v>270</v>
      </c>
      <c r="D478" s="177" t="s">
        <v>271</v>
      </c>
      <c r="E478" s="176">
        <f t="shared" si="9"/>
        <v>75630.252100840342</v>
      </c>
      <c r="F478" s="173" t="s">
        <v>306</v>
      </c>
      <c r="G478" s="177" t="s">
        <v>270</v>
      </c>
      <c r="H478" s="176">
        <v>90000</v>
      </c>
      <c r="I478" s="177" t="s">
        <v>273</v>
      </c>
    </row>
    <row r="479" spans="2:9" ht="12.75" customHeight="1">
      <c r="B479" s="173" t="s">
        <v>375</v>
      </c>
      <c r="C479" s="174" t="s">
        <v>270</v>
      </c>
      <c r="D479" s="177" t="s">
        <v>376</v>
      </c>
      <c r="E479" s="176">
        <f t="shared" si="9"/>
        <v>180</v>
      </c>
      <c r="F479" s="173" t="s">
        <v>306</v>
      </c>
      <c r="G479" s="177" t="s">
        <v>270</v>
      </c>
      <c r="H479" s="176">
        <f>+H467</f>
        <v>214.2</v>
      </c>
      <c r="I479" s="177" t="s">
        <v>273</v>
      </c>
    </row>
    <row r="480" spans="2:9" ht="12.75" customHeight="1">
      <c r="B480" s="173" t="s">
        <v>377</v>
      </c>
      <c r="C480" s="174" t="s">
        <v>270</v>
      </c>
      <c r="D480" s="177" t="s">
        <v>378</v>
      </c>
      <c r="E480" s="176">
        <f t="shared" si="9"/>
        <v>33613.445378151264</v>
      </c>
      <c r="F480" s="173" t="s">
        <v>306</v>
      </c>
      <c r="G480" s="177" t="s">
        <v>270</v>
      </c>
      <c r="H480" s="176">
        <v>40000</v>
      </c>
      <c r="I480" s="177" t="s">
        <v>273</v>
      </c>
    </row>
    <row r="481" spans="2:9" ht="12.75" customHeight="1">
      <c r="B481" s="173" t="s">
        <v>379</v>
      </c>
      <c r="C481" s="174" t="s">
        <v>270</v>
      </c>
      <c r="D481" s="177" t="s">
        <v>327</v>
      </c>
      <c r="E481" s="176">
        <f t="shared" si="9"/>
        <v>521008.40336134454</v>
      </c>
      <c r="F481" s="173" t="s">
        <v>306</v>
      </c>
      <c r="G481" s="177" t="s">
        <v>270</v>
      </c>
      <c r="H481" s="176">
        <v>620000</v>
      </c>
      <c r="I481" s="177" t="s">
        <v>273</v>
      </c>
    </row>
    <row r="482" spans="2:9" ht="12.75" customHeight="1">
      <c r="B482" s="173" t="s">
        <v>380</v>
      </c>
      <c r="C482" s="174" t="s">
        <v>270</v>
      </c>
      <c r="D482" s="177" t="s">
        <v>282</v>
      </c>
      <c r="E482" s="176">
        <f t="shared" si="9"/>
        <v>42016.806722689078</v>
      </c>
      <c r="F482" s="173" t="s">
        <v>306</v>
      </c>
      <c r="G482" s="177" t="s">
        <v>270</v>
      </c>
      <c r="H482" s="176">
        <v>50000</v>
      </c>
      <c r="I482" s="177" t="s">
        <v>273</v>
      </c>
    </row>
    <row r="483" spans="2:9" ht="12.75" customHeight="1">
      <c r="B483" s="173" t="s">
        <v>381</v>
      </c>
      <c r="C483" s="174" t="s">
        <v>270</v>
      </c>
      <c r="D483" s="177" t="s">
        <v>323</v>
      </c>
      <c r="E483" s="176">
        <f t="shared" si="9"/>
        <v>50420.168067226892</v>
      </c>
      <c r="F483" s="173" t="s">
        <v>306</v>
      </c>
      <c r="G483" s="177" t="s">
        <v>270</v>
      </c>
      <c r="H483" s="176">
        <v>60000</v>
      </c>
      <c r="I483" s="177" t="s">
        <v>273</v>
      </c>
    </row>
    <row r="484" spans="2:9" ht="12.75" customHeight="1">
      <c r="B484" s="173" t="s">
        <v>382</v>
      </c>
      <c r="C484" s="174" t="s">
        <v>270</v>
      </c>
      <c r="D484" s="177" t="s">
        <v>383</v>
      </c>
      <c r="E484" s="176">
        <f t="shared" si="9"/>
        <v>25210.084033613446</v>
      </c>
      <c r="F484" s="173" t="s">
        <v>306</v>
      </c>
      <c r="G484" s="177" t="s">
        <v>270</v>
      </c>
      <c r="H484" s="176">
        <v>30000</v>
      </c>
      <c r="I484" s="177" t="s">
        <v>273</v>
      </c>
    </row>
    <row r="485" spans="2:9" ht="12.75" customHeight="1">
      <c r="B485" s="173" t="s">
        <v>384</v>
      </c>
      <c r="C485" s="174" t="s">
        <v>270</v>
      </c>
      <c r="D485" s="177" t="s">
        <v>385</v>
      </c>
      <c r="E485" s="176">
        <f t="shared" si="9"/>
        <v>33613.445378151264</v>
      </c>
      <c r="F485" s="173" t="s">
        <v>306</v>
      </c>
      <c r="G485" s="177" t="s">
        <v>270</v>
      </c>
      <c r="H485" s="176">
        <v>40000</v>
      </c>
      <c r="I485" s="177" t="s">
        <v>273</v>
      </c>
    </row>
    <row r="486" spans="2:9" ht="12.75" customHeight="1">
      <c r="B486" s="173" t="s">
        <v>386</v>
      </c>
      <c r="C486" s="174" t="s">
        <v>270</v>
      </c>
      <c r="D486" s="177" t="s">
        <v>387</v>
      </c>
      <c r="E486" s="176">
        <f t="shared" si="9"/>
        <v>84033.613445378156</v>
      </c>
      <c r="F486" s="173" t="s">
        <v>306</v>
      </c>
      <c r="G486" s="177" t="s">
        <v>270</v>
      </c>
      <c r="H486" s="176">
        <v>100000</v>
      </c>
      <c r="I486" s="177" t="s">
        <v>273</v>
      </c>
    </row>
    <row r="487" spans="2:9" ht="12.75" customHeight="1">
      <c r="B487" s="173" t="s">
        <v>388</v>
      </c>
      <c r="C487" s="174" t="s">
        <v>270</v>
      </c>
      <c r="D487" s="177" t="s">
        <v>389</v>
      </c>
      <c r="E487" s="176">
        <f t="shared" si="9"/>
        <v>42016.806722689078</v>
      </c>
      <c r="F487" s="173" t="s">
        <v>306</v>
      </c>
      <c r="G487" s="177" t="s">
        <v>270</v>
      </c>
      <c r="H487" s="176">
        <v>50000</v>
      </c>
      <c r="I487" s="177" t="s">
        <v>273</v>
      </c>
    </row>
    <row r="488" spans="2:9" ht="12.75" customHeight="1">
      <c r="B488" s="173" t="s">
        <v>390</v>
      </c>
      <c r="C488" s="174" t="s">
        <v>270</v>
      </c>
      <c r="D488" s="177" t="s">
        <v>391</v>
      </c>
      <c r="E488" s="176">
        <f t="shared" si="9"/>
        <v>42016.806722689078</v>
      </c>
      <c r="F488" s="173" t="s">
        <v>306</v>
      </c>
      <c r="G488" s="177" t="s">
        <v>270</v>
      </c>
      <c r="H488" s="176">
        <v>50000</v>
      </c>
      <c r="I488" s="177" t="s">
        <v>273</v>
      </c>
    </row>
    <row r="489" spans="2:9" ht="12.75" customHeight="1">
      <c r="B489" s="173" t="s">
        <v>392</v>
      </c>
      <c r="C489" s="174" t="s">
        <v>270</v>
      </c>
      <c r="D489" s="177" t="s">
        <v>393</v>
      </c>
      <c r="E489" s="176">
        <f t="shared" si="9"/>
        <v>136604.84186908949</v>
      </c>
      <c r="F489" s="173" t="s">
        <v>272</v>
      </c>
      <c r="G489" s="177" t="s">
        <v>270</v>
      </c>
      <c r="H489" s="176">
        <v>162559.76182421649</v>
      </c>
      <c r="I489" s="177" t="s">
        <v>273</v>
      </c>
    </row>
    <row r="490" spans="2:9" ht="12.75" customHeight="1">
      <c r="B490" s="173" t="s">
        <v>394</v>
      </c>
      <c r="C490" s="174" t="s">
        <v>270</v>
      </c>
      <c r="D490" s="177" t="s">
        <v>395</v>
      </c>
      <c r="E490" s="176">
        <f t="shared" si="9"/>
        <v>134453.78151260506</v>
      </c>
      <c r="F490" s="173" t="s">
        <v>306</v>
      </c>
      <c r="G490" s="177" t="s">
        <v>270</v>
      </c>
      <c r="H490" s="176">
        <v>160000</v>
      </c>
      <c r="I490" s="177" t="s">
        <v>273</v>
      </c>
    </row>
    <row r="491" spans="2:9" ht="12.75" customHeight="1">
      <c r="B491" s="173" t="s">
        <v>396</v>
      </c>
      <c r="C491" s="174" t="s">
        <v>270</v>
      </c>
      <c r="D491" s="177" t="s">
        <v>397</v>
      </c>
      <c r="E491" s="176">
        <f t="shared" si="9"/>
        <v>144746.85231161799</v>
      </c>
      <c r="F491" s="173" t="s">
        <v>272</v>
      </c>
      <c r="G491" s="177" t="s">
        <v>270</v>
      </c>
      <c r="H491" s="176">
        <v>172248.75425082538</v>
      </c>
      <c r="I491" s="177" t="s">
        <v>273</v>
      </c>
    </row>
    <row r="492" spans="2:9" ht="12.75" customHeight="1">
      <c r="B492" s="173" t="s">
        <v>398</v>
      </c>
      <c r="C492" s="174" t="s">
        <v>270</v>
      </c>
      <c r="D492" s="177" t="s">
        <v>279</v>
      </c>
      <c r="E492" s="176">
        <f t="shared" si="9"/>
        <v>108560.1392337135</v>
      </c>
      <c r="F492" s="173" t="s">
        <v>272</v>
      </c>
      <c r="G492" s="177" t="s">
        <v>270</v>
      </c>
      <c r="H492" s="176">
        <v>129186.56568811907</v>
      </c>
      <c r="I492" s="177" t="s">
        <v>273</v>
      </c>
    </row>
    <row r="493" spans="2:9" ht="12.75" customHeight="1">
      <c r="B493" s="173" t="s">
        <v>399</v>
      </c>
      <c r="C493" s="174" t="s">
        <v>270</v>
      </c>
      <c r="D493" s="177" t="s">
        <v>400</v>
      </c>
      <c r="E493" s="176">
        <f t="shared" si="9"/>
        <v>67226.890756302528</v>
      </c>
      <c r="F493" s="173" t="s">
        <v>306</v>
      </c>
      <c r="G493" s="177" t="s">
        <v>270</v>
      </c>
      <c r="H493" s="176">
        <v>80000</v>
      </c>
      <c r="I493" s="177" t="s">
        <v>273</v>
      </c>
    </row>
    <row r="494" spans="2:9" ht="12.75" customHeight="1">
      <c r="B494" s="173" t="s">
        <v>401</v>
      </c>
      <c r="C494" s="174" t="s">
        <v>270</v>
      </c>
      <c r="D494" s="177" t="s">
        <v>402</v>
      </c>
      <c r="E494" s="176">
        <f t="shared" si="9"/>
        <v>67226.890756302528</v>
      </c>
      <c r="F494" s="173" t="s">
        <v>306</v>
      </c>
      <c r="G494" s="177" t="s">
        <v>270</v>
      </c>
      <c r="H494" s="176">
        <v>80000</v>
      </c>
      <c r="I494" s="177" t="s">
        <v>273</v>
      </c>
    </row>
    <row r="495" spans="2:9" ht="12.75" customHeight="1">
      <c r="B495" s="173" t="s">
        <v>403</v>
      </c>
      <c r="C495" s="174" t="s">
        <v>270</v>
      </c>
      <c r="D495" s="177" t="s">
        <v>404</v>
      </c>
      <c r="E495" s="176">
        <f t="shared" si="9"/>
        <v>122130.15663792766</v>
      </c>
      <c r="F495" s="173" t="s">
        <v>272</v>
      </c>
      <c r="G495" s="177" t="s">
        <v>270</v>
      </c>
      <c r="H495" s="176">
        <v>145334.88639913392</v>
      </c>
      <c r="I495" s="177" t="s">
        <v>273</v>
      </c>
    </row>
    <row r="496" spans="2:9" ht="12.75" customHeight="1">
      <c r="B496" s="173" t="s">
        <v>405</v>
      </c>
      <c r="C496" s="174" t="s">
        <v>270</v>
      </c>
      <c r="D496" s="177" t="s">
        <v>406</v>
      </c>
      <c r="E496" s="176">
        <f t="shared" si="9"/>
        <v>113083.47836845154</v>
      </c>
      <c r="F496" s="173" t="s">
        <v>272</v>
      </c>
      <c r="G496" s="177" t="s">
        <v>270</v>
      </c>
      <c r="H496" s="176">
        <v>134569.33925845733</v>
      </c>
      <c r="I496" s="177" t="s">
        <v>273</v>
      </c>
    </row>
    <row r="497" spans="2:9" ht="12.75" customHeight="1">
      <c r="B497" s="173" t="s">
        <v>407</v>
      </c>
      <c r="C497" s="174" t="s">
        <v>270</v>
      </c>
      <c r="D497" s="177" t="s">
        <v>408</v>
      </c>
      <c r="E497" s="176">
        <f t="shared" si="9"/>
        <v>64834.530613471637</v>
      </c>
      <c r="F497" s="173" t="s">
        <v>272</v>
      </c>
      <c r="G497" s="177"/>
      <c r="H497" s="176">
        <v>77153.091430031243</v>
      </c>
      <c r="I497" s="177" t="s">
        <v>273</v>
      </c>
    </row>
    <row r="498" spans="2:9" ht="12.75" customHeight="1">
      <c r="B498" s="173" t="s">
        <v>409</v>
      </c>
      <c r="C498" s="174" t="s">
        <v>270</v>
      </c>
      <c r="D498" s="177" t="s">
        <v>288</v>
      </c>
      <c r="E498" s="176">
        <f t="shared" si="9"/>
        <v>84033.613445378156</v>
      </c>
      <c r="F498" s="173" t="s">
        <v>272</v>
      </c>
      <c r="G498" s="177" t="s">
        <v>270</v>
      </c>
      <c r="H498" s="176">
        <v>100000</v>
      </c>
      <c r="I498" s="177" t="s">
        <v>273</v>
      </c>
    </row>
    <row r="499" spans="2:9" ht="12.75" customHeight="1">
      <c r="B499" s="173" t="s">
        <v>410</v>
      </c>
      <c r="C499" s="174" t="s">
        <v>270</v>
      </c>
      <c r="D499" s="177" t="s">
        <v>411</v>
      </c>
      <c r="E499" s="176">
        <f t="shared" si="9"/>
        <v>53541.78481023723</v>
      </c>
      <c r="F499" s="173" t="s">
        <v>412</v>
      </c>
      <c r="G499" s="177" t="s">
        <v>296</v>
      </c>
      <c r="H499" s="176">
        <v>63714.723924182304</v>
      </c>
      <c r="I499" s="177" t="s">
        <v>273</v>
      </c>
    </row>
    <row r="500" spans="2:9" ht="12.75" customHeight="1">
      <c r="B500" s="173" t="s">
        <v>413</v>
      </c>
      <c r="C500" s="174" t="s">
        <v>270</v>
      </c>
      <c r="D500" s="177" t="s">
        <v>414</v>
      </c>
      <c r="E500" s="176">
        <f t="shared" si="9"/>
        <v>2854.6747411060674</v>
      </c>
      <c r="F500" s="173" t="s">
        <v>415</v>
      </c>
      <c r="G500" s="177" t="s">
        <v>296</v>
      </c>
      <c r="H500" s="176">
        <v>3397.0629419162201</v>
      </c>
      <c r="I500" s="177" t="s">
        <v>273</v>
      </c>
    </row>
    <row r="501" spans="2:9" ht="12.75" customHeight="1">
      <c r="B501" s="173" t="s">
        <v>416</v>
      </c>
      <c r="C501" s="174" t="s">
        <v>270</v>
      </c>
      <c r="D501" s="177" t="s">
        <v>417</v>
      </c>
      <c r="E501" s="176">
        <f t="shared" si="9"/>
        <v>69503.634058736061</v>
      </c>
      <c r="F501" s="173" t="s">
        <v>415</v>
      </c>
      <c r="G501" s="177" t="s">
        <v>296</v>
      </c>
      <c r="H501" s="176">
        <v>82709.324529895908</v>
      </c>
      <c r="I501" s="177" t="s">
        <v>273</v>
      </c>
    </row>
    <row r="502" spans="2:9" ht="12.75" customHeight="1">
      <c r="B502" s="173" t="s">
        <v>418</v>
      </c>
      <c r="C502" s="174" t="s">
        <v>270</v>
      </c>
      <c r="D502" s="177" t="s">
        <v>419</v>
      </c>
      <c r="E502" s="176">
        <f t="shared" si="9"/>
        <v>66099.094653140201</v>
      </c>
      <c r="F502" s="173" t="s">
        <v>415</v>
      </c>
      <c r="G502" s="177" t="s">
        <v>296</v>
      </c>
      <c r="H502" s="176">
        <v>78657.922637236843</v>
      </c>
      <c r="I502" s="177" t="s">
        <v>273</v>
      </c>
    </row>
    <row r="503" spans="2:9" ht="12.75" customHeight="1">
      <c r="B503" s="173" t="s">
        <v>420</v>
      </c>
      <c r="C503" s="174" t="s">
        <v>270</v>
      </c>
      <c r="D503" s="177" t="s">
        <v>421</v>
      </c>
      <c r="E503" s="176">
        <f t="shared" si="9"/>
        <v>123803.79211778079</v>
      </c>
      <c r="F503" s="173" t="s">
        <v>415</v>
      </c>
      <c r="G503" s="177" t="s">
        <v>296</v>
      </c>
      <c r="H503" s="176">
        <v>147326.51262015913</v>
      </c>
      <c r="I503" s="177" t="s">
        <v>273</v>
      </c>
    </row>
    <row r="504" spans="2:9" ht="12.75" customHeight="1">
      <c r="B504" s="173" t="s">
        <v>422</v>
      </c>
      <c r="C504" s="174" t="s">
        <v>270</v>
      </c>
      <c r="D504" s="177" t="s">
        <v>423</v>
      </c>
      <c r="E504" s="176">
        <f t="shared" si="9"/>
        <v>53027.318831291435</v>
      </c>
      <c r="F504" s="173" t="s">
        <v>415</v>
      </c>
      <c r="G504" s="177" t="s">
        <v>296</v>
      </c>
      <c r="H504" s="176">
        <v>63102.509409236802</v>
      </c>
      <c r="I504" s="177" t="s">
        <v>273</v>
      </c>
    </row>
    <row r="505" spans="2:9" ht="12.75" customHeight="1">
      <c r="B505" s="173" t="s">
        <v>424</v>
      </c>
      <c r="C505" s="174" t="s">
        <v>270</v>
      </c>
      <c r="D505" s="177" t="s">
        <v>425</v>
      </c>
      <c r="E505" s="176">
        <f t="shared" si="9"/>
        <v>35919.402722011764</v>
      </c>
      <c r="F505" s="173" t="s">
        <v>415</v>
      </c>
      <c r="G505" s="177" t="s">
        <v>296</v>
      </c>
      <c r="H505" s="176">
        <v>42744.089239194</v>
      </c>
      <c r="I505" s="177" t="s">
        <v>273</v>
      </c>
    </row>
    <row r="506" spans="2:9" ht="12.75" customHeight="1">
      <c r="B506" s="173" t="s">
        <v>426</v>
      </c>
      <c r="C506" s="174" t="s">
        <v>270</v>
      </c>
      <c r="D506" s="177" t="s">
        <v>427</v>
      </c>
      <c r="E506" s="176">
        <f t="shared" si="9"/>
        <v>53997.882853522155</v>
      </c>
      <c r="F506" s="173" t="s">
        <v>415</v>
      </c>
      <c r="G506" s="177" t="s">
        <v>296</v>
      </c>
      <c r="H506" s="176">
        <v>64257.480595691362</v>
      </c>
      <c r="I506" s="177" t="s">
        <v>273</v>
      </c>
    </row>
    <row r="507" spans="2:9" ht="12.75" customHeight="1">
      <c r="B507" s="173" t="s">
        <v>428</v>
      </c>
      <c r="C507" s="174" t="s">
        <v>270</v>
      </c>
      <c r="D507" s="177" t="s">
        <v>429</v>
      </c>
      <c r="E507" s="176">
        <f t="shared" si="9"/>
        <v>44583.396447806044</v>
      </c>
      <c r="F507" s="173" t="s">
        <v>415</v>
      </c>
      <c r="G507" s="177" t="s">
        <v>296</v>
      </c>
      <c r="H507" s="176">
        <v>53054.241772889189</v>
      </c>
      <c r="I507" s="177" t="s">
        <v>273</v>
      </c>
    </row>
    <row r="508" spans="2:9" ht="12.75" customHeight="1">
      <c r="B508" s="173" t="s">
        <v>430</v>
      </c>
      <c r="C508" s="174" t="s">
        <v>270</v>
      </c>
      <c r="D508" s="177" t="s">
        <v>431</v>
      </c>
      <c r="E508" s="176">
        <f t="shared" si="9"/>
        <v>159845.75834337366</v>
      </c>
      <c r="F508" s="173" t="s">
        <v>415</v>
      </c>
      <c r="G508" s="177" t="s">
        <v>296</v>
      </c>
      <c r="H508" s="176">
        <v>190216.45242861463</v>
      </c>
      <c r="I508" s="177" t="s">
        <v>273</v>
      </c>
    </row>
    <row r="509" spans="2:9" ht="12.75" customHeight="1">
      <c r="B509" s="173" t="s">
        <v>432</v>
      </c>
      <c r="C509" s="174" t="s">
        <v>270</v>
      </c>
      <c r="D509" s="177" t="s">
        <v>433</v>
      </c>
      <c r="E509" s="176">
        <f t="shared" si="9"/>
        <v>159845.75834337366</v>
      </c>
      <c r="F509" s="173" t="s">
        <v>415</v>
      </c>
      <c r="G509" s="177" t="s">
        <v>296</v>
      </c>
      <c r="H509" s="176">
        <v>190216.45242861463</v>
      </c>
      <c r="I509" s="177" t="s">
        <v>273</v>
      </c>
    </row>
    <row r="510" spans="2:9" ht="12.75" customHeight="1">
      <c r="B510" s="173" t="s">
        <v>434</v>
      </c>
      <c r="C510" s="174" t="s">
        <v>270</v>
      </c>
      <c r="D510" s="177" t="s">
        <v>435</v>
      </c>
      <c r="E510" s="176">
        <f t="shared" si="9"/>
        <v>92276.11834865647</v>
      </c>
      <c r="F510" s="173" t="s">
        <v>415</v>
      </c>
      <c r="G510" s="177" t="s">
        <v>296</v>
      </c>
      <c r="H510" s="176">
        <v>109808.58083490119</v>
      </c>
      <c r="I510" s="177" t="s">
        <v>273</v>
      </c>
    </row>
    <row r="511" spans="2:9" ht="12.75" customHeight="1">
      <c r="B511" s="173" t="s">
        <v>436</v>
      </c>
      <c r="C511" s="174" t="s">
        <v>270</v>
      </c>
      <c r="D511" s="177" t="s">
        <v>437</v>
      </c>
      <c r="E511" s="176">
        <f t="shared" si="9"/>
        <v>65361.036176277557</v>
      </c>
      <c r="F511" s="173" t="s">
        <v>415</v>
      </c>
      <c r="G511" s="177" t="s">
        <v>296</v>
      </c>
      <c r="H511" s="176">
        <v>77779.633049770287</v>
      </c>
      <c r="I511" s="177" t="s">
        <v>273</v>
      </c>
    </row>
    <row r="512" spans="2:9" ht="12.75" customHeight="1">
      <c r="B512" s="173" t="s">
        <v>438</v>
      </c>
      <c r="C512" s="174" t="s">
        <v>270</v>
      </c>
      <c r="D512" s="177" t="s">
        <v>439</v>
      </c>
      <c r="E512" s="176">
        <f t="shared" si="9"/>
        <v>187673.34070028213</v>
      </c>
      <c r="F512" s="173" t="s">
        <v>415</v>
      </c>
      <c r="G512" s="177" t="s">
        <v>296</v>
      </c>
      <c r="H512" s="176">
        <v>223331.27543333572</v>
      </c>
      <c r="I512" s="177" t="s">
        <v>273</v>
      </c>
    </row>
    <row r="513" spans="2:9" ht="12.75" customHeight="1">
      <c r="B513" s="173" t="s">
        <v>440</v>
      </c>
      <c r="C513" s="174" t="s">
        <v>270</v>
      </c>
      <c r="D513" s="177" t="s">
        <v>441</v>
      </c>
      <c r="E513" s="176">
        <f t="shared" si="9"/>
        <v>29582.637941186935</v>
      </c>
      <c r="F513" s="173" t="s">
        <v>415</v>
      </c>
      <c r="G513" s="177" t="s">
        <v>296</v>
      </c>
      <c r="H513" s="176">
        <v>35203.339150012449</v>
      </c>
      <c r="I513" s="177" t="s">
        <v>273</v>
      </c>
    </row>
    <row r="514" spans="2:9" ht="12.75" customHeight="1">
      <c r="B514" s="173" t="s">
        <v>442</v>
      </c>
      <c r="C514" s="174" t="s">
        <v>270</v>
      </c>
      <c r="D514" s="177" t="s">
        <v>443</v>
      </c>
      <c r="E514" s="176">
        <f t="shared" si="9"/>
        <v>33653.643162451182</v>
      </c>
      <c r="F514" s="173" t="s">
        <v>415</v>
      </c>
      <c r="G514" s="177" t="s">
        <v>296</v>
      </c>
      <c r="H514" s="176">
        <v>40047.835363316903</v>
      </c>
      <c r="I514" s="177" t="s">
        <v>273</v>
      </c>
    </row>
    <row r="515" spans="2:9" ht="12.75" customHeight="1">
      <c r="B515" s="173" t="s">
        <v>444</v>
      </c>
      <c r="C515" s="174" t="s">
        <v>270</v>
      </c>
      <c r="D515" s="177" t="s">
        <v>445</v>
      </c>
      <c r="E515" s="176">
        <f t="shared" si="9"/>
        <v>94963.149559950383</v>
      </c>
      <c r="F515" s="173" t="s">
        <v>415</v>
      </c>
      <c r="G515" s="177" t="s">
        <v>296</v>
      </c>
      <c r="H515" s="176">
        <v>113006.14797634094</v>
      </c>
      <c r="I515" s="177" t="s">
        <v>273</v>
      </c>
    </row>
    <row r="516" spans="2:9" ht="12.75" customHeight="1">
      <c r="B516" s="173" t="s">
        <v>446</v>
      </c>
      <c r="C516" s="174" t="s">
        <v>270</v>
      </c>
      <c r="D516" s="177" t="s">
        <v>447</v>
      </c>
      <c r="E516" s="176">
        <f t="shared" si="9"/>
        <v>113083.47836845154</v>
      </c>
      <c r="F516" s="173" t="s">
        <v>415</v>
      </c>
      <c r="G516" s="177" t="s">
        <v>296</v>
      </c>
      <c r="H516" s="176">
        <v>134569.33925845733</v>
      </c>
      <c r="I516" s="177" t="s">
        <v>273</v>
      </c>
    </row>
    <row r="517" spans="2:9" ht="12.75" customHeight="1">
      <c r="B517" s="173" t="s">
        <v>448</v>
      </c>
      <c r="C517" s="174" t="s">
        <v>270</v>
      </c>
      <c r="D517" s="177" t="s">
        <v>449</v>
      </c>
      <c r="E517" s="176">
        <f t="shared" si="9"/>
        <v>135700.17404214185</v>
      </c>
      <c r="F517" s="173" t="s">
        <v>415</v>
      </c>
      <c r="G517" s="177" t="s">
        <v>296</v>
      </c>
      <c r="H517" s="176">
        <v>161483.2071101488</v>
      </c>
      <c r="I517" s="177" t="s">
        <v>273</v>
      </c>
    </row>
    <row r="518" spans="2:9" ht="12.75" customHeight="1">
      <c r="B518" s="173" t="s">
        <v>450</v>
      </c>
      <c r="C518" s="174" t="s">
        <v>270</v>
      </c>
      <c r="D518" s="177" t="s">
        <v>451</v>
      </c>
      <c r="E518" s="176">
        <f t="shared" si="9"/>
        <v>26054.43341609124</v>
      </c>
      <c r="F518" s="173" t="s">
        <v>415</v>
      </c>
      <c r="G518" s="177" t="s">
        <v>296</v>
      </c>
      <c r="H518" s="176">
        <v>31004.775765148574</v>
      </c>
      <c r="I518" s="177" t="s">
        <v>273</v>
      </c>
    </row>
    <row r="519" spans="2:9" ht="12.75" customHeight="1">
      <c r="B519" s="173" t="s">
        <v>452</v>
      </c>
      <c r="C519" s="174" t="s">
        <v>270</v>
      </c>
      <c r="D519" s="177" t="s">
        <v>453</v>
      </c>
      <c r="E519" s="176">
        <f t="shared" si="9"/>
        <v>6937.0036642135783</v>
      </c>
      <c r="F519" s="173" t="s">
        <v>454</v>
      </c>
      <c r="G519" s="177" t="s">
        <v>296</v>
      </c>
      <c r="H519" s="176">
        <v>8255.0343604141581</v>
      </c>
      <c r="I519" s="177" t="s">
        <v>273</v>
      </c>
    </row>
    <row r="520" spans="2:9" ht="12.75" customHeight="1">
      <c r="B520" s="173" t="s">
        <v>455</v>
      </c>
      <c r="C520" s="174" t="s">
        <v>270</v>
      </c>
      <c r="D520" s="177" t="s">
        <v>456</v>
      </c>
      <c r="E520" s="176">
        <f t="shared" si="9"/>
        <v>7339.9977802915218</v>
      </c>
      <c r="F520" s="173" t="s">
        <v>415</v>
      </c>
      <c r="G520" s="177" t="s">
        <v>296</v>
      </c>
      <c r="H520" s="176">
        <v>8734.597358546911</v>
      </c>
      <c r="I520" s="177" t="s">
        <v>273</v>
      </c>
    </row>
    <row r="521" spans="2:9" ht="12.75" customHeight="1">
      <c r="B521" s="173" t="s">
        <v>457</v>
      </c>
      <c r="C521" s="174" t="s">
        <v>270</v>
      </c>
      <c r="D521" s="177" t="s">
        <v>458</v>
      </c>
      <c r="E521" s="176">
        <f t="shared" si="9"/>
        <v>118421.01854744247</v>
      </c>
      <c r="F521" s="173" t="s">
        <v>415</v>
      </c>
      <c r="G521" s="177" t="s">
        <v>296</v>
      </c>
      <c r="H521" s="176">
        <v>140921.01207145653</v>
      </c>
      <c r="I521" s="177" t="s">
        <v>273</v>
      </c>
    </row>
    <row r="522" spans="2:9" ht="12.75" customHeight="1">
      <c r="B522" s="173" t="s">
        <v>459</v>
      </c>
      <c r="C522" s="174" t="s">
        <v>270</v>
      </c>
      <c r="D522" s="177" t="s">
        <v>460</v>
      </c>
      <c r="E522" s="176">
        <f t="shared" si="9"/>
        <v>129186.56568811904</v>
      </c>
      <c r="F522" s="173" t="s">
        <v>415</v>
      </c>
      <c r="G522" s="177" t="s">
        <v>296</v>
      </c>
      <c r="H522" s="176">
        <v>153732.01316886165</v>
      </c>
      <c r="I522" s="177" t="s">
        <v>273</v>
      </c>
    </row>
    <row r="523" spans="2:9" ht="12.75" customHeight="1">
      <c r="B523" s="173" t="s">
        <v>461</v>
      </c>
      <c r="C523" s="174" t="s">
        <v>270</v>
      </c>
      <c r="D523" s="177" t="s">
        <v>462</v>
      </c>
      <c r="E523" s="176">
        <f t="shared" si="9"/>
        <v>38991.183341442098</v>
      </c>
      <c r="F523" s="173" t="s">
        <v>415</v>
      </c>
      <c r="G523" s="177" t="s">
        <v>296</v>
      </c>
      <c r="H523" s="176">
        <v>46399.508176316092</v>
      </c>
      <c r="I523" s="177" t="s">
        <v>273</v>
      </c>
    </row>
    <row r="524" spans="2:9" ht="12.75" customHeight="1">
      <c r="B524" s="173" t="s">
        <v>463</v>
      </c>
      <c r="C524" s="174" t="s">
        <v>270</v>
      </c>
      <c r="D524" s="177" t="s">
        <v>464</v>
      </c>
      <c r="E524" s="176">
        <f t="shared" si="9"/>
        <v>80705.571637552945</v>
      </c>
      <c r="F524" s="173" t="s">
        <v>415</v>
      </c>
      <c r="G524" s="177" t="s">
        <v>296</v>
      </c>
      <c r="H524" s="176">
        <v>96039.630248688001</v>
      </c>
      <c r="I524" s="177" t="s">
        <v>273</v>
      </c>
    </row>
    <row r="525" spans="2:9" ht="12.75" customHeight="1">
      <c r="B525" s="173" t="s">
        <v>465</v>
      </c>
      <c r="C525" s="174" t="s">
        <v>270</v>
      </c>
      <c r="D525" s="177" t="s">
        <v>466</v>
      </c>
      <c r="E525" s="176">
        <f t="shared" si="9"/>
        <v>1809.3356538952248</v>
      </c>
      <c r="F525" s="173" t="s">
        <v>415</v>
      </c>
      <c r="G525" s="177" t="s">
        <v>296</v>
      </c>
      <c r="H525" s="176">
        <v>2153.1094281353176</v>
      </c>
      <c r="I525" s="177" t="s">
        <v>273</v>
      </c>
    </row>
    <row r="526" spans="2:9" ht="12.75" customHeight="1">
      <c r="B526" s="173" t="s">
        <v>467</v>
      </c>
      <c r="C526" s="174" t="s">
        <v>270</v>
      </c>
      <c r="D526" s="177" t="s">
        <v>468</v>
      </c>
      <c r="E526" s="176">
        <f t="shared" si="9"/>
        <v>102272.6978364276</v>
      </c>
      <c r="F526" s="173" t="s">
        <v>415</v>
      </c>
      <c r="G526" s="177" t="s">
        <v>296</v>
      </c>
      <c r="H526" s="176">
        <v>121704.51042534884</v>
      </c>
      <c r="I526" s="177" t="s">
        <v>273</v>
      </c>
    </row>
    <row r="527" spans="2:9" ht="12.75" customHeight="1">
      <c r="B527" s="173" t="s">
        <v>469</v>
      </c>
      <c r="C527" s="174" t="s">
        <v>270</v>
      </c>
      <c r="D527" s="177" t="s">
        <v>470</v>
      </c>
      <c r="E527" s="176">
        <f t="shared" si="9"/>
        <v>96889.924266089307</v>
      </c>
      <c r="F527" s="173" t="s">
        <v>415</v>
      </c>
      <c r="G527" s="177" t="s">
        <v>296</v>
      </c>
      <c r="H527" s="176">
        <v>115299.00987664626</v>
      </c>
      <c r="I527" s="177" t="s">
        <v>273</v>
      </c>
    </row>
    <row r="528" spans="2:9" ht="12.75" customHeight="1">
      <c r="B528" s="173" t="s">
        <v>471</v>
      </c>
      <c r="C528" s="174" t="s">
        <v>270</v>
      </c>
      <c r="D528" s="177" t="s">
        <v>472</v>
      </c>
      <c r="E528" s="176">
        <f t="shared" si="9"/>
        <v>7757.1428571428578</v>
      </c>
      <c r="F528" s="173" t="s">
        <v>415</v>
      </c>
      <c r="G528" s="177" t="s">
        <v>296</v>
      </c>
      <c r="H528" s="176">
        <v>9231</v>
      </c>
      <c r="I528" s="177" t="s">
        <v>273</v>
      </c>
    </row>
    <row r="529" spans="2:9" ht="12.75" customHeight="1">
      <c r="B529" s="173" t="s">
        <v>473</v>
      </c>
      <c r="C529" s="174" t="s">
        <v>270</v>
      </c>
      <c r="D529" s="177" t="s">
        <v>474</v>
      </c>
      <c r="E529" s="176">
        <f t="shared" si="9"/>
        <v>7757.5266160757747</v>
      </c>
      <c r="F529" s="173" t="s">
        <v>415</v>
      </c>
      <c r="G529" s="177" t="s">
        <v>296</v>
      </c>
      <c r="H529" s="176">
        <v>9231.4566731301711</v>
      </c>
      <c r="I529" s="177" t="s">
        <v>273</v>
      </c>
    </row>
    <row r="530" spans="2:9" ht="12.75" customHeight="1">
      <c r="B530" s="173" t="s">
        <v>475</v>
      </c>
      <c r="C530" s="174" t="s">
        <v>270</v>
      </c>
      <c r="D530" s="177" t="s">
        <v>476</v>
      </c>
      <c r="E530" s="176">
        <f t="shared" si="9"/>
        <v>20574.47603457173</v>
      </c>
      <c r="F530" s="173" t="s">
        <v>415</v>
      </c>
      <c r="G530" s="177" t="s">
        <v>296</v>
      </c>
      <c r="H530" s="176">
        <v>24483.626481140356</v>
      </c>
      <c r="I530" s="177" t="s">
        <v>273</v>
      </c>
    </row>
    <row r="531" spans="2:9" ht="12.75" customHeight="1">
      <c r="B531" s="173" t="s">
        <v>477</v>
      </c>
      <c r="C531" s="174" t="s">
        <v>270</v>
      </c>
      <c r="D531" s="177" t="s">
        <v>478</v>
      </c>
      <c r="E531" s="176">
        <f t="shared" si="9"/>
        <v>7757.5266160757747</v>
      </c>
      <c r="F531" s="173" t="s">
        <v>415</v>
      </c>
      <c r="G531" s="177" t="s">
        <v>296</v>
      </c>
      <c r="H531" s="176">
        <v>9231.4566731301711</v>
      </c>
      <c r="I531" s="177" t="s">
        <v>273</v>
      </c>
    </row>
    <row r="532" spans="2:9" ht="12.75" customHeight="1">
      <c r="B532" s="173" t="s">
        <v>479</v>
      </c>
      <c r="C532" s="174" t="s">
        <v>270</v>
      </c>
      <c r="D532" s="177" t="s">
        <v>480</v>
      </c>
      <c r="E532" s="176">
        <f t="shared" si="9"/>
        <v>5722.024005443649</v>
      </c>
      <c r="F532" s="173" t="s">
        <v>415</v>
      </c>
      <c r="G532" s="177" t="s">
        <v>296</v>
      </c>
      <c r="H532" s="176">
        <v>6809.2085664779424</v>
      </c>
      <c r="I532" s="177" t="s">
        <v>273</v>
      </c>
    </row>
    <row r="533" spans="2:9" ht="12.75" customHeight="1">
      <c r="B533" s="173" t="s">
        <v>481</v>
      </c>
      <c r="C533" s="174" t="s">
        <v>270</v>
      </c>
      <c r="D533" s="177" t="s">
        <v>482</v>
      </c>
      <c r="E533" s="176">
        <f t="shared" si="9"/>
        <v>96889.924266089307</v>
      </c>
      <c r="F533" s="173" t="s">
        <v>415</v>
      </c>
      <c r="G533" s="177" t="s">
        <v>296</v>
      </c>
      <c r="H533" s="176">
        <v>115299.00987664626</v>
      </c>
      <c r="I533" s="177" t="s">
        <v>273</v>
      </c>
    </row>
    <row r="534" spans="2:9" ht="12.75" customHeight="1">
      <c r="B534" s="173" t="s">
        <v>483</v>
      </c>
      <c r="C534" s="174" t="s">
        <v>270</v>
      </c>
      <c r="D534" s="177" t="s">
        <v>484</v>
      </c>
      <c r="E534" s="176">
        <f t="shared" si="9"/>
        <v>75358.829984736105</v>
      </c>
      <c r="F534" s="173" t="s">
        <v>415</v>
      </c>
      <c r="G534" s="177" t="s">
        <v>296</v>
      </c>
      <c r="H534" s="176">
        <v>89677.007681835967</v>
      </c>
      <c r="I534" s="177" t="s">
        <v>273</v>
      </c>
    </row>
    <row r="535" spans="2:9" ht="12.75" customHeight="1">
      <c r="B535" s="173" t="s">
        <v>485</v>
      </c>
      <c r="C535" s="174" t="s">
        <v>270</v>
      </c>
      <c r="D535" s="177" t="s">
        <v>369</v>
      </c>
      <c r="E535" s="176">
        <f t="shared" si="9"/>
        <v>62400.287876634517</v>
      </c>
      <c r="F535" s="173" t="s">
        <v>415</v>
      </c>
      <c r="G535" s="177" t="s">
        <v>296</v>
      </c>
      <c r="H535" s="176">
        <v>74256.34257319507</v>
      </c>
      <c r="I535" s="177" t="s">
        <v>273</v>
      </c>
    </row>
    <row r="536" spans="2:9" ht="12.75" customHeight="1">
      <c r="B536" s="173" t="s">
        <v>486</v>
      </c>
      <c r="C536" s="174" t="s">
        <v>270</v>
      </c>
      <c r="D536" s="177" t="s">
        <v>487</v>
      </c>
      <c r="E536" s="176">
        <f t="shared" si="9"/>
        <v>53827.735703382932</v>
      </c>
      <c r="F536" s="173" t="s">
        <v>415</v>
      </c>
      <c r="G536" s="177" t="s">
        <v>296</v>
      </c>
      <c r="H536" s="176">
        <v>64055.005487025686</v>
      </c>
      <c r="I536" s="177" t="s">
        <v>273</v>
      </c>
    </row>
    <row r="537" spans="2:9" ht="12.75" customHeight="1">
      <c r="B537" s="173" t="s">
        <v>488</v>
      </c>
      <c r="C537" s="174" t="s">
        <v>270</v>
      </c>
      <c r="D537" s="177" t="s">
        <v>489</v>
      </c>
      <c r="E537" s="176">
        <f t="shared" si="9"/>
        <v>70564.090501913772</v>
      </c>
      <c r="F537" s="173" t="s">
        <v>415</v>
      </c>
      <c r="G537" s="177" t="s">
        <v>296</v>
      </c>
      <c r="H537" s="176">
        <v>83971.267697277377</v>
      </c>
      <c r="I537" s="177" t="s">
        <v>273</v>
      </c>
    </row>
    <row r="538" spans="2:9" ht="12.75" customHeight="1">
      <c r="B538" s="173" t="s">
        <v>490</v>
      </c>
      <c r="C538" s="174" t="s">
        <v>270</v>
      </c>
      <c r="D538" s="177" t="s">
        <v>491</v>
      </c>
      <c r="E538" s="176">
        <f t="shared" si="9"/>
        <v>80196.732251662732</v>
      </c>
      <c r="F538" s="173" t="s">
        <v>415</v>
      </c>
      <c r="G538" s="177" t="s">
        <v>296</v>
      </c>
      <c r="H538" s="176">
        <v>95434.111379478651</v>
      </c>
      <c r="I538" s="177" t="s">
        <v>273</v>
      </c>
    </row>
    <row r="539" spans="2:9" ht="12.75" customHeight="1">
      <c r="B539" s="173" t="s">
        <v>492</v>
      </c>
      <c r="C539" s="174" t="s">
        <v>270</v>
      </c>
      <c r="D539" s="177" t="s">
        <v>493</v>
      </c>
      <c r="E539" s="176">
        <f t="shared" si="9"/>
        <v>5752.2312885803576</v>
      </c>
      <c r="F539" s="173" t="s">
        <v>415</v>
      </c>
      <c r="G539" s="177" t="s">
        <v>296</v>
      </c>
      <c r="H539" s="176">
        <v>6845.1552334106254</v>
      </c>
      <c r="I539" s="177" t="s">
        <v>273</v>
      </c>
    </row>
    <row r="540" spans="2:9" ht="12.75" customHeight="1">
      <c r="B540" s="173" t="s">
        <v>494</v>
      </c>
      <c r="C540" s="174" t="s">
        <v>270</v>
      </c>
      <c r="D540" s="177" t="s">
        <v>495</v>
      </c>
      <c r="E540" s="176">
        <f t="shared" si="9"/>
        <v>10837.599046628562</v>
      </c>
      <c r="F540" s="173" t="s">
        <v>415</v>
      </c>
      <c r="G540" s="177" t="s">
        <v>296</v>
      </c>
      <c r="H540" s="176">
        <v>12896.742865487988</v>
      </c>
      <c r="I540" s="177" t="s">
        <v>273</v>
      </c>
    </row>
    <row r="541" spans="2:9" ht="12.75" customHeight="1">
      <c r="B541" s="173" t="s">
        <v>496</v>
      </c>
      <c r="C541" s="174" t="s">
        <v>270</v>
      </c>
      <c r="D541" s="177" t="s">
        <v>497</v>
      </c>
      <c r="E541" s="176">
        <f t="shared" si="9"/>
        <v>2772.1232660525193</v>
      </c>
      <c r="F541" s="173" t="s">
        <v>415</v>
      </c>
      <c r="G541" s="177" t="s">
        <v>296</v>
      </c>
      <c r="H541" s="176">
        <v>3298.8266866024978</v>
      </c>
      <c r="I541" s="177" t="s">
        <v>273</v>
      </c>
    </row>
    <row r="542" spans="2:9" ht="12.75" customHeight="1">
      <c r="B542" s="173" t="s">
        <v>498</v>
      </c>
      <c r="C542" s="174" t="s">
        <v>270</v>
      </c>
      <c r="D542" s="177" t="s">
        <v>499</v>
      </c>
      <c r="E542" s="176">
        <f t="shared" si="9"/>
        <v>2260.7648995420832</v>
      </c>
      <c r="F542" s="173" t="s">
        <v>415</v>
      </c>
      <c r="G542" s="177" t="s">
        <v>296</v>
      </c>
      <c r="H542" s="176">
        <v>2690.3102304550789</v>
      </c>
      <c r="I542" s="177" t="s">
        <v>273</v>
      </c>
    </row>
    <row r="543" spans="2:9" ht="12.75" customHeight="1">
      <c r="B543" s="173" t="s">
        <v>500</v>
      </c>
      <c r="C543" s="174" t="s">
        <v>270</v>
      </c>
      <c r="D543" s="177" t="s">
        <v>501</v>
      </c>
      <c r="E543" s="176">
        <f t="shared" si="9"/>
        <v>2583.731313762381</v>
      </c>
      <c r="F543" s="173" t="s">
        <v>415</v>
      </c>
      <c r="G543" s="177" t="s">
        <v>296</v>
      </c>
      <c r="H543" s="176">
        <v>3074.6402633772332</v>
      </c>
      <c r="I543" s="177" t="s">
        <v>273</v>
      </c>
    </row>
    <row r="544" spans="2:9" ht="12.75" customHeight="1">
      <c r="B544" s="173" t="s">
        <v>502</v>
      </c>
      <c r="C544" s="174" t="s">
        <v>270</v>
      </c>
      <c r="D544" s="177" t="s">
        <v>503</v>
      </c>
      <c r="E544" s="176">
        <f t="shared" si="9"/>
        <v>97283.249817180011</v>
      </c>
      <c r="F544" s="173" t="s">
        <v>415</v>
      </c>
      <c r="G544" s="177" t="s">
        <v>296</v>
      </c>
      <c r="H544" s="176">
        <v>115767.06728244422</v>
      </c>
      <c r="I544" s="177" t="s">
        <v>273</v>
      </c>
    </row>
    <row r="545" spans="2:9" ht="12.75" customHeight="1">
      <c r="B545" s="173" t="s">
        <v>504</v>
      </c>
      <c r="C545" s="174" t="s">
        <v>270</v>
      </c>
      <c r="D545" s="177" t="s">
        <v>331</v>
      </c>
      <c r="E545" s="176">
        <f t="shared" si="9"/>
        <v>40748.048261374359</v>
      </c>
      <c r="F545" s="173" t="s">
        <v>415</v>
      </c>
      <c r="G545" s="177" t="s">
        <v>296</v>
      </c>
      <c r="H545" s="176">
        <v>48490.177431035489</v>
      </c>
      <c r="I545" s="177" t="s">
        <v>273</v>
      </c>
    </row>
    <row r="546" spans="2:9" ht="12.75" customHeight="1">
      <c r="B546" s="173" t="s">
        <v>505</v>
      </c>
      <c r="C546" s="174" t="s">
        <v>270</v>
      </c>
      <c r="D546" s="177" t="s">
        <v>506</v>
      </c>
      <c r="E546" s="176">
        <f t="shared" si="9"/>
        <v>108560.1392337135</v>
      </c>
      <c r="F546" s="173" t="s">
        <v>415</v>
      </c>
      <c r="G546" s="177" t="s">
        <v>296</v>
      </c>
      <c r="H546" s="176">
        <v>129186.56568811907</v>
      </c>
      <c r="I546" s="177" t="s">
        <v>273</v>
      </c>
    </row>
    <row r="547" spans="2:9" ht="12.75" customHeight="1">
      <c r="B547" s="173" t="s">
        <v>507</v>
      </c>
      <c r="C547" s="174" t="s">
        <v>270</v>
      </c>
      <c r="D547" s="177" t="s">
        <v>508</v>
      </c>
      <c r="E547" s="176">
        <f t="shared" si="9"/>
        <v>127244.56876184451</v>
      </c>
      <c r="F547" s="173" t="s">
        <v>412</v>
      </c>
      <c r="G547" s="177" t="s">
        <v>296</v>
      </c>
      <c r="H547" s="176">
        <v>151421.03682659497</v>
      </c>
      <c r="I547" s="177" t="s">
        <v>273</v>
      </c>
    </row>
    <row r="548" spans="2:9" ht="12.75" customHeight="1">
      <c r="B548" s="173" t="s">
        <v>509</v>
      </c>
      <c r="C548" s="174" t="s">
        <v>270</v>
      </c>
      <c r="D548" s="177" t="s">
        <v>510</v>
      </c>
      <c r="E548" s="176">
        <f t="shared" si="9"/>
        <v>18093.356538952248</v>
      </c>
      <c r="F548" s="173" t="s">
        <v>415</v>
      </c>
      <c r="G548" s="177" t="s">
        <v>296</v>
      </c>
      <c r="H548" s="176">
        <v>21531.094281353173</v>
      </c>
      <c r="I548" s="177" t="s">
        <v>273</v>
      </c>
    </row>
    <row r="549" spans="2:9" ht="12.75" customHeight="1">
      <c r="B549" s="173" t="s">
        <v>511</v>
      </c>
      <c r="C549" s="174" t="s">
        <v>270</v>
      </c>
      <c r="D549" s="177" t="s">
        <v>512</v>
      </c>
      <c r="E549" s="176">
        <f t="shared" si="9"/>
        <v>158184.52740443411</v>
      </c>
      <c r="F549" s="173" t="s">
        <v>415</v>
      </c>
      <c r="G549" s="177" t="s">
        <v>296</v>
      </c>
      <c r="H549" s="176">
        <v>188239.58761127657</v>
      </c>
      <c r="I549" s="177" t="s">
        <v>273</v>
      </c>
    </row>
    <row r="550" spans="2:9" ht="12.75" customHeight="1">
      <c r="B550" s="173" t="s">
        <v>513</v>
      </c>
      <c r="C550" s="174" t="s">
        <v>270</v>
      </c>
      <c r="D550" s="177" t="s">
        <v>514</v>
      </c>
      <c r="E550" s="176">
        <f t="shared" si="9"/>
        <v>6728.9192968363413</v>
      </c>
      <c r="F550" s="173" t="s">
        <v>415</v>
      </c>
      <c r="G550" s="177" t="s">
        <v>296</v>
      </c>
      <c r="H550" s="176">
        <v>8007.4139632352462</v>
      </c>
      <c r="I550" s="177" t="s">
        <v>273</v>
      </c>
    </row>
    <row r="551" spans="2:9" ht="12.75" customHeight="1">
      <c r="B551" s="173" t="s">
        <v>515</v>
      </c>
      <c r="C551" s="174" t="s">
        <v>270</v>
      </c>
      <c r="D551" s="177" t="s">
        <v>516</v>
      </c>
      <c r="E551" s="176">
        <f t="shared" si="9"/>
        <v>89738.380390161285</v>
      </c>
      <c r="F551" s="173" t="s">
        <v>415</v>
      </c>
      <c r="G551" s="177" t="s">
        <v>296</v>
      </c>
      <c r="H551" s="176">
        <v>106788.67266429192</v>
      </c>
      <c r="I551" s="177" t="s">
        <v>273</v>
      </c>
    </row>
    <row r="552" spans="2:9" ht="12.75" customHeight="1">
      <c r="B552" s="173" t="s">
        <v>517</v>
      </c>
      <c r="C552" s="174" t="s">
        <v>270</v>
      </c>
      <c r="D552" s="177" t="s">
        <v>518</v>
      </c>
      <c r="E552" s="176">
        <f t="shared" si="9"/>
        <v>34861.9163591451</v>
      </c>
      <c r="F552" s="173" t="s">
        <v>415</v>
      </c>
      <c r="G552" s="177" t="s">
        <v>296</v>
      </c>
      <c r="H552" s="176">
        <v>41485.68046738267</v>
      </c>
      <c r="I552" s="177" t="s">
        <v>273</v>
      </c>
    </row>
    <row r="553" spans="2:9" ht="12.75" customHeight="1">
      <c r="B553" s="173" t="s">
        <v>519</v>
      </c>
      <c r="C553" s="174" t="s">
        <v>270</v>
      </c>
      <c r="D553" s="177" t="s">
        <v>520</v>
      </c>
      <c r="E553" s="176">
        <f t="shared" si="9"/>
        <v>10991.239533768125</v>
      </c>
      <c r="F553" s="173" t="s">
        <v>415</v>
      </c>
      <c r="G553" s="177" t="s">
        <v>296</v>
      </c>
      <c r="H553" s="176">
        <v>13079.575045184069</v>
      </c>
      <c r="I553" s="177" t="s">
        <v>273</v>
      </c>
    </row>
    <row r="554" spans="2:9" ht="12.75" customHeight="1">
      <c r="B554" s="173" t="s">
        <v>521</v>
      </c>
      <c r="C554" s="174" t="s">
        <v>270</v>
      </c>
      <c r="D554" s="177" t="s">
        <v>522</v>
      </c>
      <c r="E554" s="176">
        <f t="shared" si="9"/>
        <v>18093.356538952248</v>
      </c>
      <c r="F554" s="173" t="s">
        <v>415</v>
      </c>
      <c r="G554" s="177" t="s">
        <v>296</v>
      </c>
      <c r="H554" s="176">
        <v>21531.094281353173</v>
      </c>
      <c r="I554" s="177" t="s">
        <v>273</v>
      </c>
    </row>
    <row r="555" spans="2:9" ht="12.75" customHeight="1">
      <c r="B555" s="173" t="s">
        <v>523</v>
      </c>
      <c r="C555" s="174" t="s">
        <v>270</v>
      </c>
      <c r="D555" s="177" t="s">
        <v>524</v>
      </c>
      <c r="E555" s="176">
        <f t="shared" si="9"/>
        <v>27140.034808428376</v>
      </c>
      <c r="F555" s="173" t="s">
        <v>415</v>
      </c>
      <c r="G555" s="177" t="s">
        <v>296</v>
      </c>
      <c r="H555" s="176">
        <v>32296.641422029767</v>
      </c>
      <c r="I555" s="177" t="s">
        <v>273</v>
      </c>
    </row>
    <row r="556" spans="2:9" ht="12.75" customHeight="1">
      <c r="B556" s="173" t="s">
        <v>525</v>
      </c>
      <c r="C556" s="174" t="s">
        <v>270</v>
      </c>
      <c r="D556" s="177" t="s">
        <v>526</v>
      </c>
      <c r="E556" s="176">
        <f t="shared" si="9"/>
        <v>11728.091786641933</v>
      </c>
      <c r="F556" s="173" t="s">
        <v>415</v>
      </c>
      <c r="G556" s="177" t="s">
        <v>296</v>
      </c>
      <c r="H556" s="176">
        <v>13956.429226103901</v>
      </c>
      <c r="I556" s="177" t="s">
        <v>273</v>
      </c>
    </row>
    <row r="557" spans="2:9" ht="12.75" customHeight="1">
      <c r="B557" s="173" t="s">
        <v>527</v>
      </c>
      <c r="C557" s="174" t="s">
        <v>270</v>
      </c>
      <c r="D557" s="177" t="s">
        <v>528</v>
      </c>
      <c r="E557" s="176">
        <f t="shared" si="9"/>
        <v>78235.808263169951</v>
      </c>
      <c r="F557" s="173" t="s">
        <v>415</v>
      </c>
      <c r="G557" s="177" t="s">
        <v>296</v>
      </c>
      <c r="H557" s="176">
        <v>93100.611833172239</v>
      </c>
      <c r="I557" s="177" t="s">
        <v>273</v>
      </c>
    </row>
    <row r="558" spans="2:9" ht="12.75" customHeight="1">
      <c r="B558" s="173" t="s">
        <v>529</v>
      </c>
      <c r="C558" s="174" t="s">
        <v>270</v>
      </c>
      <c r="D558" s="177" t="s">
        <v>530</v>
      </c>
      <c r="E558" s="176">
        <f t="shared" si="9"/>
        <v>15115.391753923661</v>
      </c>
      <c r="F558" s="173" t="s">
        <v>415</v>
      </c>
      <c r="G558" s="177" t="s">
        <v>296</v>
      </c>
      <c r="H558" s="176">
        <v>17987.316187169155</v>
      </c>
      <c r="I558" s="177" t="s">
        <v>273</v>
      </c>
    </row>
    <row r="559" spans="2:9" ht="12.75" customHeight="1">
      <c r="B559" s="173" t="s">
        <v>531</v>
      </c>
      <c r="C559" s="174" t="s">
        <v>270</v>
      </c>
      <c r="D559" s="177" t="s">
        <v>532</v>
      </c>
      <c r="E559" s="176">
        <f t="shared" si="9"/>
        <v>1172.998574823534</v>
      </c>
      <c r="F559" s="173" t="s">
        <v>415</v>
      </c>
      <c r="G559" s="177" t="s">
        <v>296</v>
      </c>
      <c r="H559" s="176">
        <v>1395.8683040400053</v>
      </c>
      <c r="I559" s="177" t="s">
        <v>273</v>
      </c>
    </row>
    <row r="560" spans="2:9" ht="12.75" customHeight="1">
      <c r="B560" s="173" t="s">
        <v>533</v>
      </c>
      <c r="C560" s="174" t="s">
        <v>270</v>
      </c>
      <c r="D560" s="177" t="s">
        <v>534</v>
      </c>
      <c r="E560" s="176">
        <f t="shared" si="9"/>
        <v>706.74631110358894</v>
      </c>
      <c r="F560" s="173" t="s">
        <v>415</v>
      </c>
      <c r="G560" s="177" t="s">
        <v>296</v>
      </c>
      <c r="H560" s="176">
        <v>841.02811021327079</v>
      </c>
      <c r="I560" s="177" t="s">
        <v>273</v>
      </c>
    </row>
    <row r="561" spans="2:9" ht="12.75" customHeight="1">
      <c r="B561" s="173" t="s">
        <v>535</v>
      </c>
      <c r="C561" s="174" t="s">
        <v>270</v>
      </c>
      <c r="D561" s="177" t="s">
        <v>536</v>
      </c>
      <c r="E561" s="176">
        <f t="shared" si="9"/>
        <v>1269.7162738339216</v>
      </c>
      <c r="F561" s="173" t="s">
        <v>415</v>
      </c>
      <c r="G561" s="177" t="s">
        <v>296</v>
      </c>
      <c r="H561" s="176">
        <v>1510.9623658623666</v>
      </c>
      <c r="I561" s="177" t="s">
        <v>273</v>
      </c>
    </row>
    <row r="562" spans="2:9" ht="12.75" customHeight="1">
      <c r="B562" s="173" t="s">
        <v>537</v>
      </c>
      <c r="C562" s="174" t="s">
        <v>270</v>
      </c>
      <c r="D562" s="177" t="s">
        <v>538</v>
      </c>
      <c r="E562" s="176">
        <f t="shared" si="9"/>
        <v>1232.6116609167598</v>
      </c>
      <c r="F562" s="173" t="s">
        <v>415</v>
      </c>
      <c r="G562" s="177" t="s">
        <v>296</v>
      </c>
      <c r="H562" s="176">
        <v>1466.8078764909442</v>
      </c>
      <c r="I562" s="177" t="s">
        <v>273</v>
      </c>
    </row>
    <row r="563" spans="2:9" ht="12.75" customHeight="1">
      <c r="B563" s="173" t="s">
        <v>539</v>
      </c>
      <c r="C563" s="174" t="s">
        <v>270</v>
      </c>
      <c r="D563" s="177" t="s">
        <v>540</v>
      </c>
      <c r="E563" s="176">
        <f t="shared" si="9"/>
        <v>796.77793814568111</v>
      </c>
      <c r="F563" s="173" t="s">
        <v>415</v>
      </c>
      <c r="G563" s="177" t="s">
        <v>296</v>
      </c>
      <c r="H563" s="176">
        <v>948.16574639336045</v>
      </c>
      <c r="I563" s="177" t="s">
        <v>273</v>
      </c>
    </row>
    <row r="564" spans="2:9" ht="12.75" customHeight="1">
      <c r="B564" s="173" t="s">
        <v>541</v>
      </c>
      <c r="C564" s="174" t="s">
        <v>270</v>
      </c>
      <c r="D564" s="177" t="s">
        <v>542</v>
      </c>
      <c r="E564" s="176">
        <f t="shared" si="9"/>
        <v>2021.8460848741504</v>
      </c>
      <c r="F564" s="173" t="s">
        <v>415</v>
      </c>
      <c r="G564" s="177" t="s">
        <v>296</v>
      </c>
      <c r="H564" s="176">
        <v>2405.9968410002389</v>
      </c>
      <c r="I564" s="177" t="s">
        <v>273</v>
      </c>
    </row>
    <row r="565" spans="2:9" ht="12.75" customHeight="1">
      <c r="B565" s="173" t="s">
        <v>543</v>
      </c>
      <c r="C565" s="174" t="s">
        <v>270</v>
      </c>
      <c r="D565" s="177" t="s">
        <v>544</v>
      </c>
      <c r="E565" s="176">
        <f t="shared" si="9"/>
        <v>861.24377125412707</v>
      </c>
      <c r="F565" s="173" t="s">
        <v>415</v>
      </c>
      <c r="G565" s="177" t="s">
        <v>296</v>
      </c>
      <c r="H565" s="176">
        <v>1024.8800877924111</v>
      </c>
      <c r="I565" s="177" t="s">
        <v>273</v>
      </c>
    </row>
    <row r="566" spans="2:9" ht="12.75" customHeight="1">
      <c r="B566" s="173" t="s">
        <v>545</v>
      </c>
      <c r="C566" s="174" t="s">
        <v>270</v>
      </c>
      <c r="D566" s="177" t="s">
        <v>546</v>
      </c>
      <c r="E566" s="176">
        <f t="shared" si="9"/>
        <v>4166.6344204221332</v>
      </c>
      <c r="F566" s="173" t="s">
        <v>547</v>
      </c>
      <c r="G566" s="177" t="s">
        <v>296</v>
      </c>
      <c r="H566" s="176">
        <v>4958.294960302338</v>
      </c>
      <c r="I566" s="177" t="s">
        <v>273</v>
      </c>
    </row>
    <row r="567" spans="2:9" ht="12.75" customHeight="1">
      <c r="B567" s="173" t="s">
        <v>548</v>
      </c>
      <c r="C567" s="174" t="s">
        <v>270</v>
      </c>
      <c r="D567" s="177" t="s">
        <v>549</v>
      </c>
      <c r="E567" s="176">
        <f t="shared" si="9"/>
        <v>565.41739184225776</v>
      </c>
      <c r="F567" s="173" t="s">
        <v>550</v>
      </c>
      <c r="G567" s="177" t="s">
        <v>296</v>
      </c>
      <c r="H567" s="176">
        <v>672.84669629228665</v>
      </c>
      <c r="I567" s="177" t="s">
        <v>273</v>
      </c>
    </row>
    <row r="568" spans="2:9" ht="12.75" customHeight="1">
      <c r="B568" s="173" t="s">
        <v>551</v>
      </c>
      <c r="C568" s="174" t="s">
        <v>270</v>
      </c>
      <c r="D568" s="177" t="s">
        <v>552</v>
      </c>
      <c r="E568" s="176">
        <f t="shared" si="9"/>
        <v>340460.85337390198</v>
      </c>
      <c r="F568" s="173" t="s">
        <v>415</v>
      </c>
      <c r="G568" s="177" t="s">
        <v>296</v>
      </c>
      <c r="H568" s="176">
        <v>405148.41551494336</v>
      </c>
      <c r="I568" s="177" t="s">
        <v>273</v>
      </c>
    </row>
    <row r="569" spans="2:9" ht="12.75" customHeight="1">
      <c r="B569" s="173" t="s">
        <v>553</v>
      </c>
      <c r="C569" s="174" t="s">
        <v>270</v>
      </c>
      <c r="D569" s="177" t="s">
        <v>554</v>
      </c>
      <c r="E569" s="176">
        <f t="shared" si="9"/>
        <v>214539.72953123428</v>
      </c>
      <c r="F569" s="173" t="s">
        <v>415</v>
      </c>
      <c r="G569" s="177" t="s">
        <v>296</v>
      </c>
      <c r="H569" s="176">
        <v>255302.27814216877</v>
      </c>
      <c r="I569" s="177" t="s">
        <v>273</v>
      </c>
    </row>
    <row r="570" spans="2:9" ht="12.75" customHeight="1">
      <c r="B570" s="173" t="s">
        <v>555</v>
      </c>
      <c r="C570" s="174" t="s">
        <v>270</v>
      </c>
      <c r="D570" s="177" t="s">
        <v>556</v>
      </c>
      <c r="E570" s="176">
        <f t="shared" si="9"/>
        <v>336958.05487204844</v>
      </c>
      <c r="F570" s="173" t="s">
        <v>415</v>
      </c>
      <c r="G570" s="177" t="s">
        <v>296</v>
      </c>
      <c r="H570" s="176">
        <v>400980.08529773762</v>
      </c>
      <c r="I570" s="177" t="s">
        <v>273</v>
      </c>
    </row>
    <row r="571" spans="2:9" ht="12.75" customHeight="1">
      <c r="B571" s="173" t="s">
        <v>557</v>
      </c>
      <c r="C571" s="174" t="s">
        <v>270</v>
      </c>
      <c r="D571" s="177" t="s">
        <v>558</v>
      </c>
      <c r="E571" s="176">
        <f t="shared" si="9"/>
        <v>149121.4431528702</v>
      </c>
      <c r="F571" s="173" t="s">
        <v>415</v>
      </c>
      <c r="G571" s="177" t="s">
        <v>296</v>
      </c>
      <c r="H571" s="176">
        <v>177454.51735191554</v>
      </c>
      <c r="I571" s="177" t="s">
        <v>273</v>
      </c>
    </row>
    <row r="572" spans="2:9" ht="12.75" customHeight="1">
      <c r="B572" s="173" t="s">
        <v>559</v>
      </c>
      <c r="C572" s="174" t="s">
        <v>270</v>
      </c>
      <c r="D572" s="177" t="s">
        <v>560</v>
      </c>
      <c r="E572" s="176">
        <f t="shared" si="9"/>
        <v>90466.782694761219</v>
      </c>
      <c r="F572" s="173" t="s">
        <v>415</v>
      </c>
      <c r="G572" s="177" t="s">
        <v>296</v>
      </c>
      <c r="H572" s="176">
        <v>107655.47140676585</v>
      </c>
      <c r="I572" s="177" t="s">
        <v>273</v>
      </c>
    </row>
    <row r="573" spans="2:9" ht="12.75" customHeight="1">
      <c r="B573" s="173" t="s">
        <v>561</v>
      </c>
      <c r="C573" s="174" t="s">
        <v>270</v>
      </c>
      <c r="D573" s="177" t="s">
        <v>562</v>
      </c>
      <c r="E573" s="176">
        <f t="shared" si="9"/>
        <v>135700.17404214185</v>
      </c>
      <c r="F573" s="173" t="s">
        <v>415</v>
      </c>
      <c r="G573" s="177" t="s">
        <v>296</v>
      </c>
      <c r="H573" s="176">
        <v>161483.2071101488</v>
      </c>
      <c r="I573" s="177" t="s">
        <v>273</v>
      </c>
    </row>
    <row r="574" spans="2:9" ht="12.75" customHeight="1">
      <c r="B574" s="173" t="s">
        <v>563</v>
      </c>
      <c r="C574" s="174" t="s">
        <v>270</v>
      </c>
      <c r="D574" s="177" t="s">
        <v>564</v>
      </c>
      <c r="E574" s="176">
        <f t="shared" si="9"/>
        <v>294017.043757974</v>
      </c>
      <c r="F574" s="173" t="s">
        <v>415</v>
      </c>
      <c r="G574" s="177" t="s">
        <v>296</v>
      </c>
      <c r="H574" s="176">
        <v>349880.28207198903</v>
      </c>
      <c r="I574" s="177" t="s">
        <v>273</v>
      </c>
    </row>
    <row r="575" spans="2:9" ht="12.75" customHeight="1">
      <c r="B575" s="173" t="s">
        <v>565</v>
      </c>
      <c r="C575" s="174" t="s">
        <v>270</v>
      </c>
      <c r="D575" s="177" t="s">
        <v>308</v>
      </c>
      <c r="E575" s="176">
        <f t="shared" si="9"/>
        <v>134491.65613661887</v>
      </c>
      <c r="F575" s="173" t="s">
        <v>415</v>
      </c>
      <c r="G575" s="177" t="s">
        <v>296</v>
      </c>
      <c r="H575" s="176">
        <v>160045.07080257643</v>
      </c>
      <c r="I575" s="177" t="s">
        <v>273</v>
      </c>
    </row>
    <row r="576" spans="2:9" ht="12.75" customHeight="1">
      <c r="B576" s="173" t="s">
        <v>566</v>
      </c>
      <c r="C576" s="174" t="s">
        <v>270</v>
      </c>
      <c r="D576" s="177" t="s">
        <v>567</v>
      </c>
      <c r="E576" s="176">
        <f t="shared" si="9"/>
        <v>4523.3391347380621</v>
      </c>
      <c r="F576" s="173" t="s">
        <v>415</v>
      </c>
      <c r="G576" s="177" t="s">
        <v>296</v>
      </c>
      <c r="H576" s="176">
        <v>5382.7735703382932</v>
      </c>
      <c r="I576" s="177" t="s">
        <v>273</v>
      </c>
    </row>
    <row r="577" spans="2:9" ht="12.75" customHeight="1">
      <c r="B577" s="173" t="s">
        <v>568</v>
      </c>
      <c r="C577" s="174" t="s">
        <v>270</v>
      </c>
      <c r="D577" s="177" t="s">
        <v>569</v>
      </c>
      <c r="E577" s="176">
        <f t="shared" si="9"/>
        <v>55267.19463330102</v>
      </c>
      <c r="F577" s="173" t="s">
        <v>415</v>
      </c>
      <c r="G577" s="177" t="s">
        <v>296</v>
      </c>
      <c r="H577" s="176">
        <v>65767.961613628213</v>
      </c>
      <c r="I577" s="177" t="s">
        <v>273</v>
      </c>
    </row>
    <row r="578" spans="2:9" ht="12.75" customHeight="1">
      <c r="B578" s="173" t="s">
        <v>570</v>
      </c>
      <c r="C578" s="174" t="s">
        <v>270</v>
      </c>
      <c r="D578" s="177" t="s">
        <v>571</v>
      </c>
      <c r="E578" s="176">
        <f t="shared" si="9"/>
        <v>1289731.6899857237</v>
      </c>
      <c r="F578" s="173" t="s">
        <v>415</v>
      </c>
      <c r="G578" s="177" t="s">
        <v>296</v>
      </c>
      <c r="H578" s="176">
        <v>1534780.7110830112</v>
      </c>
      <c r="I578" s="177" t="s">
        <v>273</v>
      </c>
    </row>
    <row r="579" spans="2:9" ht="12.75" customHeight="1">
      <c r="B579" s="173" t="s">
        <v>572</v>
      </c>
      <c r="C579" s="174" t="s">
        <v>270</v>
      </c>
      <c r="D579" s="177" t="s">
        <v>573</v>
      </c>
      <c r="E579" s="176">
        <f t="shared" si="9"/>
        <v>196933.51700850978</v>
      </c>
      <c r="F579" s="173" t="s">
        <v>415</v>
      </c>
      <c r="G579" s="177" t="s">
        <v>296</v>
      </c>
      <c r="H579" s="176">
        <v>234350.88524012663</v>
      </c>
      <c r="I579" s="177" t="s">
        <v>273</v>
      </c>
    </row>
    <row r="580" spans="2:9" ht="12.75" customHeight="1">
      <c r="B580" s="173" t="s">
        <v>574</v>
      </c>
      <c r="C580" s="174" t="s">
        <v>270</v>
      </c>
      <c r="D580" s="177" t="s">
        <v>575</v>
      </c>
      <c r="E580" s="176">
        <f t="shared" si="9"/>
        <v>35365.357232999966</v>
      </c>
      <c r="F580" s="173" t="s">
        <v>415</v>
      </c>
      <c r="G580" s="177" t="s">
        <v>296</v>
      </c>
      <c r="H580" s="176">
        <v>42084.775107269954</v>
      </c>
      <c r="I580" s="177" t="s">
        <v>273</v>
      </c>
    </row>
    <row r="581" spans="2:9" ht="12.75" customHeight="1">
      <c r="B581" s="173" t="s">
        <v>576</v>
      </c>
      <c r="C581" s="174" t="s">
        <v>270</v>
      </c>
      <c r="D581" s="177" t="s">
        <v>577</v>
      </c>
      <c r="E581" s="176">
        <f t="shared" si="9"/>
        <v>35011.8688356149</v>
      </c>
      <c r="F581" s="173" t="s">
        <v>415</v>
      </c>
      <c r="G581" s="177" t="s">
        <v>296</v>
      </c>
      <c r="H581" s="176">
        <v>41664.123914381729</v>
      </c>
      <c r="I581" s="177" t="s">
        <v>273</v>
      </c>
    </row>
    <row r="582" spans="2:9" ht="12.75" customHeight="1">
      <c r="B582" s="173" t="s">
        <v>578</v>
      </c>
      <c r="C582" s="174" t="s">
        <v>270</v>
      </c>
      <c r="D582" s="177" t="s">
        <v>579</v>
      </c>
      <c r="E582" s="176">
        <f t="shared" si="9"/>
        <v>7056.4090501913788</v>
      </c>
      <c r="F582" s="173" t="s">
        <v>415</v>
      </c>
      <c r="G582" s="177" t="s">
        <v>296</v>
      </c>
      <c r="H582" s="176">
        <v>8397.1267697277399</v>
      </c>
      <c r="I582" s="177" t="s">
        <v>273</v>
      </c>
    </row>
    <row r="583" spans="2:9" ht="12.75" customHeight="1">
      <c r="B583" s="173" t="s">
        <v>580</v>
      </c>
      <c r="C583" s="174" t="s">
        <v>270</v>
      </c>
      <c r="D583" s="177" t="s">
        <v>581</v>
      </c>
      <c r="E583" s="176">
        <f t="shared" si="9"/>
        <v>90466.782694761219</v>
      </c>
      <c r="F583" s="173" t="s">
        <v>415</v>
      </c>
      <c r="G583" s="177" t="s">
        <v>296</v>
      </c>
      <c r="H583" s="176">
        <v>107655.47140676585</v>
      </c>
      <c r="I583" s="177" t="s">
        <v>273</v>
      </c>
    </row>
    <row r="584" spans="2:9" ht="12.75" customHeight="1">
      <c r="B584" s="173" t="s">
        <v>582</v>
      </c>
      <c r="C584" s="174" t="s">
        <v>270</v>
      </c>
      <c r="D584" s="177" t="s">
        <v>583</v>
      </c>
      <c r="E584" s="176">
        <f t="shared" si="9"/>
        <v>72373.426155808993</v>
      </c>
      <c r="F584" s="173" t="s">
        <v>415</v>
      </c>
      <c r="G584" s="177" t="s">
        <v>296</v>
      </c>
      <c r="H584" s="176">
        <v>86124.377125412691</v>
      </c>
      <c r="I584" s="177" t="s">
        <v>273</v>
      </c>
    </row>
    <row r="585" spans="2:9" ht="12.75" customHeight="1">
      <c r="B585" s="173" t="s">
        <v>584</v>
      </c>
      <c r="C585" s="174" t="s">
        <v>270</v>
      </c>
      <c r="D585" s="177" t="s">
        <v>585</v>
      </c>
      <c r="E585" s="176">
        <f t="shared" si="9"/>
        <v>5020.9064395592486</v>
      </c>
      <c r="F585" s="173" t="s">
        <v>415</v>
      </c>
      <c r="G585" s="177" t="s">
        <v>296</v>
      </c>
      <c r="H585" s="176">
        <v>5974.8786630755058</v>
      </c>
      <c r="I585" s="177" t="s">
        <v>273</v>
      </c>
    </row>
    <row r="586" spans="2:9" ht="12.75" customHeight="1">
      <c r="B586" s="173" t="s">
        <v>586</v>
      </c>
      <c r="C586" s="174" t="s">
        <v>270</v>
      </c>
      <c r="D586" s="177" t="s">
        <v>587</v>
      </c>
      <c r="E586" s="176">
        <f t="shared" si="9"/>
        <v>8021.6993485167095</v>
      </c>
      <c r="F586" s="173" t="s">
        <v>415</v>
      </c>
      <c r="G586" s="177" t="s">
        <v>296</v>
      </c>
      <c r="H586" s="176">
        <v>9545.822224734884</v>
      </c>
      <c r="I586" s="177" t="s">
        <v>273</v>
      </c>
    </row>
    <row r="587" spans="2:9" ht="12.75" customHeight="1">
      <c r="B587" s="173" t="s">
        <v>588</v>
      </c>
      <c r="C587" s="174" t="s">
        <v>270</v>
      </c>
      <c r="D587" s="177" t="s">
        <v>589</v>
      </c>
      <c r="E587" s="176">
        <f t="shared" si="9"/>
        <v>18093.356538952248</v>
      </c>
      <c r="F587" s="173" t="s">
        <v>415</v>
      </c>
      <c r="G587" s="177" t="s">
        <v>296</v>
      </c>
      <c r="H587" s="176">
        <v>21531.094281353173</v>
      </c>
      <c r="I587" s="177" t="s">
        <v>273</v>
      </c>
    </row>
    <row r="588" spans="2:9" ht="12.75" customHeight="1">
      <c r="B588" s="173" t="s">
        <v>590</v>
      </c>
      <c r="C588" s="174" t="s">
        <v>270</v>
      </c>
      <c r="D588" s="177" t="s">
        <v>591</v>
      </c>
      <c r="E588" s="176">
        <f t="shared" si="9"/>
        <v>149270.19144635607</v>
      </c>
      <c r="F588" s="173" t="s">
        <v>415</v>
      </c>
      <c r="G588" s="177" t="s">
        <v>296</v>
      </c>
      <c r="H588" s="176">
        <v>177631.52782116371</v>
      </c>
      <c r="I588" s="177" t="s">
        <v>273</v>
      </c>
    </row>
    <row r="589" spans="2:9" ht="12.75" customHeight="1">
      <c r="B589" s="173" t="s">
        <v>592</v>
      </c>
      <c r="C589" s="174" t="s">
        <v>270</v>
      </c>
      <c r="D589" s="177" t="s">
        <v>593</v>
      </c>
      <c r="E589" s="176">
        <f t="shared" si="9"/>
        <v>150717.65996947221</v>
      </c>
      <c r="F589" s="173" t="s">
        <v>415</v>
      </c>
      <c r="G589" s="177" t="s">
        <v>296</v>
      </c>
      <c r="H589" s="176">
        <v>179354.01536367193</v>
      </c>
      <c r="I589" s="177" t="s">
        <v>273</v>
      </c>
    </row>
    <row r="590" spans="2:9" ht="12.75" customHeight="1">
      <c r="B590" s="173" t="s">
        <v>594</v>
      </c>
      <c r="C590" s="174" t="s">
        <v>270</v>
      </c>
      <c r="D590" s="177" t="s">
        <v>595</v>
      </c>
      <c r="E590" s="176">
        <f t="shared" si="9"/>
        <v>4523.3391347380621</v>
      </c>
      <c r="F590" s="173" t="s">
        <v>415</v>
      </c>
      <c r="G590" s="177" t="s">
        <v>296</v>
      </c>
      <c r="H590" s="176">
        <v>5382.7735703382932</v>
      </c>
      <c r="I590" s="177" t="s">
        <v>273</v>
      </c>
    </row>
    <row r="591" spans="2:9" ht="12.75" customHeight="1">
      <c r="B591" s="173" t="s">
        <v>596</v>
      </c>
      <c r="C591" s="174" t="s">
        <v>270</v>
      </c>
      <c r="D591" s="177" t="s">
        <v>597</v>
      </c>
      <c r="E591" s="176">
        <f t="shared" si="9"/>
        <v>22616.695673690308</v>
      </c>
      <c r="F591" s="173" t="s">
        <v>415</v>
      </c>
      <c r="G591" s="177" t="s">
        <v>296</v>
      </c>
      <c r="H591" s="176">
        <v>26913.867851691466</v>
      </c>
      <c r="I591" s="177" t="s">
        <v>273</v>
      </c>
    </row>
    <row r="592" spans="2:9" ht="12.75" customHeight="1">
      <c r="B592" s="173" t="s">
        <v>598</v>
      </c>
      <c r="C592" s="174" t="s">
        <v>270</v>
      </c>
      <c r="D592" s="177" t="s">
        <v>599</v>
      </c>
      <c r="E592" s="176">
        <f t="shared" si="9"/>
        <v>233991.85768357551</v>
      </c>
      <c r="F592" s="173" t="s">
        <v>415</v>
      </c>
      <c r="G592" s="177" t="s">
        <v>296</v>
      </c>
      <c r="H592" s="176">
        <v>278450.31064345484</v>
      </c>
      <c r="I592" s="177" t="s">
        <v>273</v>
      </c>
    </row>
    <row r="593" spans="2:9" ht="12.75" customHeight="1">
      <c r="B593" s="173" t="s">
        <v>600</v>
      </c>
      <c r="C593" s="174" t="s">
        <v>270</v>
      </c>
      <c r="D593" s="177" t="s">
        <v>601</v>
      </c>
      <c r="E593" s="176">
        <f t="shared" si="9"/>
        <v>236276.56130417448</v>
      </c>
      <c r="F593" s="173" t="s">
        <v>415</v>
      </c>
      <c r="G593" s="177" t="s">
        <v>296</v>
      </c>
      <c r="H593" s="176">
        <v>281169.10795196763</v>
      </c>
      <c r="I593" s="177" t="s">
        <v>273</v>
      </c>
    </row>
    <row r="594" spans="2:9" ht="12.75" customHeight="1">
      <c r="B594" s="173" t="s">
        <v>602</v>
      </c>
      <c r="C594" s="174" t="s">
        <v>270</v>
      </c>
      <c r="D594" s="177" t="s">
        <v>603</v>
      </c>
      <c r="E594" s="176">
        <f t="shared" si="9"/>
        <v>87.378059266220703</v>
      </c>
      <c r="F594" s="173" t="s">
        <v>415</v>
      </c>
      <c r="G594" s="177" t="s">
        <v>296</v>
      </c>
      <c r="H594" s="176">
        <v>103.97989052680263</v>
      </c>
      <c r="I594" s="177" t="s">
        <v>273</v>
      </c>
    </row>
    <row r="595" spans="2:9" ht="12.75" customHeight="1">
      <c r="B595" s="173" t="s">
        <v>604</v>
      </c>
      <c r="C595" s="174" t="s">
        <v>270</v>
      </c>
      <c r="D595" s="177" t="s">
        <v>605</v>
      </c>
      <c r="E595" s="176">
        <f t="shared" si="9"/>
        <v>519300.56933652115</v>
      </c>
      <c r="F595" s="173" t="s">
        <v>415</v>
      </c>
      <c r="G595" s="177" t="s">
        <v>296</v>
      </c>
      <c r="H595" s="176">
        <v>617967.67751046014</v>
      </c>
      <c r="I595" s="177" t="s">
        <v>273</v>
      </c>
    </row>
    <row r="596" spans="2:9" ht="12.75" customHeight="1">
      <c r="B596" s="173" t="s">
        <v>606</v>
      </c>
      <c r="C596" s="174" t="s">
        <v>270</v>
      </c>
      <c r="D596" s="177" t="s">
        <v>607</v>
      </c>
      <c r="E596" s="176">
        <f t="shared" si="9"/>
        <v>510955.63301772717</v>
      </c>
      <c r="F596" s="173" t="s">
        <v>415</v>
      </c>
      <c r="G596" s="177" t="s">
        <v>296</v>
      </c>
      <c r="H596" s="176">
        <v>608037.20329109533</v>
      </c>
      <c r="I596" s="177" t="s">
        <v>273</v>
      </c>
    </row>
    <row r="597" spans="2:9" ht="12.75" customHeight="1">
      <c r="B597" s="173" t="s">
        <v>608</v>
      </c>
      <c r="C597" s="174" t="s">
        <v>270</v>
      </c>
      <c r="D597" s="177" t="s">
        <v>609</v>
      </c>
      <c r="E597" s="176">
        <f t="shared" si="9"/>
        <v>498840.16980222915</v>
      </c>
      <c r="F597" s="173" t="s">
        <v>415</v>
      </c>
      <c r="G597" s="177" t="s">
        <v>296</v>
      </c>
      <c r="H597" s="176">
        <v>593619.80206465267</v>
      </c>
      <c r="I597" s="177" t="s">
        <v>273</v>
      </c>
    </row>
    <row r="598" spans="2:9" ht="12.75" customHeight="1">
      <c r="B598" s="173" t="s">
        <v>610</v>
      </c>
      <c r="C598" s="174" t="s">
        <v>270</v>
      </c>
      <c r="D598" s="177" t="s">
        <v>611</v>
      </c>
      <c r="E598" s="176">
        <f t="shared" si="9"/>
        <v>264738.90954721504</v>
      </c>
      <c r="F598" s="173" t="s">
        <v>415</v>
      </c>
      <c r="G598" s="177" t="s">
        <v>296</v>
      </c>
      <c r="H598" s="176">
        <v>315039.3023611859</v>
      </c>
      <c r="I598" s="177" t="s">
        <v>273</v>
      </c>
    </row>
    <row r="599" spans="2:9" ht="12.75" customHeight="1">
      <c r="B599" s="173" t="s">
        <v>612</v>
      </c>
      <c r="C599" s="174" t="s">
        <v>270</v>
      </c>
      <c r="D599" s="177" t="s">
        <v>334</v>
      </c>
      <c r="E599" s="176">
        <f t="shared" si="9"/>
        <v>121070.52326954769</v>
      </c>
      <c r="F599" s="173" t="s">
        <v>415</v>
      </c>
      <c r="G599" s="177" t="s">
        <v>296</v>
      </c>
      <c r="H599" s="176">
        <v>144073.92269076174</v>
      </c>
      <c r="I599" s="177" t="s">
        <v>273</v>
      </c>
    </row>
    <row r="600" spans="2:9" ht="12.75" customHeight="1">
      <c r="B600" s="173" t="s">
        <v>613</v>
      </c>
      <c r="C600" s="174" t="s">
        <v>270</v>
      </c>
      <c r="D600" s="177" t="s">
        <v>614</v>
      </c>
      <c r="E600" s="176">
        <f t="shared" si="9"/>
        <v>9407.090934433003</v>
      </c>
      <c r="F600" s="173" t="s">
        <v>415</v>
      </c>
      <c r="G600" s="177" t="s">
        <v>296</v>
      </c>
      <c r="H600" s="176">
        <v>11194.438211975274</v>
      </c>
      <c r="I600" s="177" t="s">
        <v>273</v>
      </c>
    </row>
    <row r="601" spans="2:9" ht="12.75" customHeight="1">
      <c r="B601" s="173" t="s">
        <v>615</v>
      </c>
      <c r="C601" s="174" t="s">
        <v>270</v>
      </c>
      <c r="D601" s="177" t="s">
        <v>616</v>
      </c>
      <c r="E601" s="176">
        <v>452333.91347380617</v>
      </c>
      <c r="F601" s="173" t="s">
        <v>415</v>
      </c>
      <c r="G601" s="177" t="s">
        <v>296</v>
      </c>
      <c r="H601" s="176">
        <v>400626.58480607899</v>
      </c>
      <c r="I601" s="177" t="s">
        <v>273</v>
      </c>
    </row>
    <row r="602" spans="2:9" ht="12.75" customHeight="1">
      <c r="B602" s="173" t="s">
        <v>617</v>
      </c>
      <c r="C602" s="174" t="s">
        <v>270</v>
      </c>
      <c r="D602" s="177" t="s">
        <v>618</v>
      </c>
      <c r="E602" s="176">
        <v>209578.06279416481</v>
      </c>
      <c r="F602" s="173" t="s">
        <v>415</v>
      </c>
      <c r="G602" s="177" t="s">
        <v>296</v>
      </c>
      <c r="H602" s="176">
        <v>528452.8629894167</v>
      </c>
      <c r="I602" s="177" t="s">
        <v>273</v>
      </c>
    </row>
    <row r="603" spans="2:9" ht="12.75" customHeight="1">
      <c r="B603" s="173" t="s">
        <v>619</v>
      </c>
      <c r="C603" s="174" t="s">
        <v>270</v>
      </c>
      <c r="D603" s="177" t="s">
        <v>620</v>
      </c>
      <c r="E603" s="176">
        <v>3957.921742895805</v>
      </c>
      <c r="F603" s="173" t="s">
        <v>415</v>
      </c>
      <c r="G603" s="177" t="s">
        <v>296</v>
      </c>
      <c r="H603" s="176">
        <v>273995.88272644352</v>
      </c>
      <c r="I603" s="177" t="s">
        <v>273</v>
      </c>
    </row>
    <row r="604" spans="2:9" ht="12.75" customHeight="1">
      <c r="B604" s="173" t="s">
        <v>621</v>
      </c>
      <c r="C604" s="174" t="s">
        <v>270</v>
      </c>
      <c r="D604" s="177" t="s">
        <v>622</v>
      </c>
      <c r="E604" s="176">
        <v>137116.74068333744</v>
      </c>
      <c r="F604" s="173" t="s">
        <v>415</v>
      </c>
      <c r="G604" s="177" t="s">
        <v>296</v>
      </c>
      <c r="H604" s="176">
        <v>3942.8694313661258</v>
      </c>
      <c r="I604" s="177" t="s">
        <v>273</v>
      </c>
    </row>
    <row r="605" spans="2:9" ht="12.75" customHeight="1">
      <c r="B605" s="173" t="s">
        <v>623</v>
      </c>
      <c r="C605" s="174" t="s">
        <v>270</v>
      </c>
      <c r="D605" s="177" t="s">
        <v>624</v>
      </c>
      <c r="E605" s="176">
        <v>420967.60572107526</v>
      </c>
      <c r="F605" s="173" t="s">
        <v>415</v>
      </c>
      <c r="G605" s="177" t="s">
        <v>296</v>
      </c>
      <c r="H605" s="176">
        <v>163168.92141317154</v>
      </c>
      <c r="I605" s="177" t="s">
        <v>273</v>
      </c>
    </row>
    <row r="606" spans="2:9" ht="12.75" customHeight="1">
      <c r="B606" s="173" t="s">
        <v>625</v>
      </c>
      <c r="C606" s="174" t="s">
        <v>270</v>
      </c>
      <c r="D606" s="177" t="s">
        <v>626</v>
      </c>
      <c r="E606" s="176">
        <v>12840.855135694412</v>
      </c>
      <c r="F606" s="173" t="s">
        <v>415</v>
      </c>
      <c r="G606" s="177" t="s">
        <v>296</v>
      </c>
      <c r="H606" s="176">
        <v>500951.45080807956</v>
      </c>
      <c r="I606" s="177" t="s">
        <v>273</v>
      </c>
    </row>
    <row r="607" spans="2:9" ht="12.75" customHeight="1">
      <c r="B607" s="173" t="s">
        <v>627</v>
      </c>
      <c r="C607" s="174" t="s">
        <v>270</v>
      </c>
      <c r="D607" s="177" t="s">
        <v>628</v>
      </c>
      <c r="E607" s="176">
        <v>108560.1392337135</v>
      </c>
      <c r="F607" s="173" t="s">
        <v>415</v>
      </c>
      <c r="G607" s="177" t="s">
        <v>296</v>
      </c>
      <c r="H607" s="176">
        <v>8822.5059836508826</v>
      </c>
      <c r="I607" s="177" t="s">
        <v>273</v>
      </c>
    </row>
    <row r="608" spans="2:9" ht="12.75" customHeight="1">
      <c r="B608" s="173" t="s">
        <v>629</v>
      </c>
      <c r="C608" s="174" t="s">
        <v>270</v>
      </c>
      <c r="D608" s="177" t="s">
        <v>630</v>
      </c>
      <c r="E608" s="176">
        <v>108560.1392337135</v>
      </c>
      <c r="F608" s="173" t="s">
        <v>415</v>
      </c>
      <c r="G608" s="177" t="s">
        <v>296</v>
      </c>
      <c r="H608" s="176">
        <v>108893.50932794367</v>
      </c>
      <c r="I608" s="177" t="s">
        <v>273</v>
      </c>
    </row>
    <row r="609" spans="2:9" ht="12.75" customHeight="1">
      <c r="B609" s="173" t="s">
        <v>631</v>
      </c>
      <c r="C609" s="174" t="s">
        <v>270</v>
      </c>
      <c r="D609" s="177" t="s">
        <v>632</v>
      </c>
      <c r="E609" s="176">
        <v>108560.1392337135</v>
      </c>
      <c r="F609" s="173" t="s">
        <v>415</v>
      </c>
      <c r="G609" s="177" t="s">
        <v>296</v>
      </c>
      <c r="H609" s="176">
        <v>129186.56568811907</v>
      </c>
      <c r="I609" s="177" t="s">
        <v>273</v>
      </c>
    </row>
    <row r="610" spans="2:9" ht="12.75" customHeight="1">
      <c r="B610" s="173" t="s">
        <v>633</v>
      </c>
      <c r="C610" s="174" t="s">
        <v>270</v>
      </c>
      <c r="D610" s="177" t="s">
        <v>634</v>
      </c>
      <c r="E610" s="176">
        <v>108560.1392337135</v>
      </c>
      <c r="F610" s="173" t="s">
        <v>415</v>
      </c>
      <c r="G610" s="177" t="s">
        <v>296</v>
      </c>
      <c r="H610" s="176">
        <v>108893.50932794367</v>
      </c>
      <c r="I610" s="177" t="s">
        <v>273</v>
      </c>
    </row>
    <row r="611" spans="2:9" ht="12.75" customHeight="1">
      <c r="B611" s="173" t="s">
        <v>635</v>
      </c>
      <c r="C611" s="174" t="s">
        <v>270</v>
      </c>
      <c r="D611" s="177" t="s">
        <v>636</v>
      </c>
      <c r="E611" s="176">
        <v>171886.88712004636</v>
      </c>
      <c r="F611" s="173" t="s">
        <v>415</v>
      </c>
      <c r="G611" s="177" t="s">
        <v>296</v>
      </c>
      <c r="H611" s="176">
        <v>179354.01536367193</v>
      </c>
      <c r="I611" s="177" t="s">
        <v>273</v>
      </c>
    </row>
    <row r="612" spans="2:9" ht="12.75" customHeight="1">
      <c r="B612" s="173" t="s">
        <v>637</v>
      </c>
      <c r="C612" s="174" t="s">
        <v>270</v>
      </c>
      <c r="D612" s="177" t="s">
        <v>638</v>
      </c>
      <c r="E612" s="176">
        <v>126653.49577266576</v>
      </c>
      <c r="F612" s="173" t="s">
        <v>415</v>
      </c>
      <c r="G612" s="177" t="s">
        <v>296</v>
      </c>
      <c r="H612" s="176">
        <v>198570.51700977964</v>
      </c>
      <c r="I612" s="177" t="s">
        <v>273</v>
      </c>
    </row>
    <row r="613" spans="2:9" ht="12.75" customHeight="1">
      <c r="B613" s="173" t="s">
        <v>639</v>
      </c>
      <c r="C613" s="174" t="s">
        <v>270</v>
      </c>
      <c r="D613" s="177" t="s">
        <v>640</v>
      </c>
      <c r="E613" s="176">
        <v>122942.54834652664</v>
      </c>
      <c r="F613" s="173" t="s">
        <v>415</v>
      </c>
      <c r="G613" s="177" t="s">
        <v>296</v>
      </c>
      <c r="H613" s="176">
        <v>150717.65996947224</v>
      </c>
      <c r="I613" s="177" t="s">
        <v>273</v>
      </c>
    </row>
    <row r="614" spans="2:9" ht="12.75" customHeight="1">
      <c r="B614" s="173" t="s">
        <v>641</v>
      </c>
      <c r="C614" s="174" t="s">
        <v>270</v>
      </c>
      <c r="D614" s="177" t="s">
        <v>642</v>
      </c>
      <c r="E614" s="176">
        <v>4649.3156855505204</v>
      </c>
      <c r="F614" s="173" t="s">
        <v>415</v>
      </c>
      <c r="G614" s="177" t="s">
        <v>296</v>
      </c>
      <c r="H614" s="176">
        <v>115299.00987664626</v>
      </c>
      <c r="I614" s="177" t="s">
        <v>273</v>
      </c>
    </row>
    <row r="615" spans="2:9" ht="12.75" customHeight="1">
      <c r="B615" s="173" t="s">
        <v>643</v>
      </c>
      <c r="C615" s="174" t="s">
        <v>270</v>
      </c>
      <c r="D615" s="177" t="s">
        <v>644</v>
      </c>
      <c r="E615" s="176">
        <v>81420.104425285128</v>
      </c>
      <c r="F615" s="173" t="s">
        <v>415</v>
      </c>
      <c r="G615" s="177" t="s">
        <v>296</v>
      </c>
      <c r="H615" s="176">
        <v>5532.6856658051192</v>
      </c>
      <c r="I615" s="177" t="s">
        <v>273</v>
      </c>
    </row>
    <row r="616" spans="2:9" ht="12.75" customHeight="1">
      <c r="B616" s="173" t="s">
        <v>645</v>
      </c>
      <c r="C616" s="174" t="s">
        <v>270</v>
      </c>
      <c r="D616" s="177" t="s">
        <v>646</v>
      </c>
      <c r="E616" s="176">
        <v>24124.478400829088</v>
      </c>
      <c r="F616" s="173" t="s">
        <v>415</v>
      </c>
      <c r="G616" s="177" t="s">
        <v>296</v>
      </c>
      <c r="H616" s="176">
        <v>110628.62811813118</v>
      </c>
      <c r="I616" s="177" t="s">
        <v>273</v>
      </c>
    </row>
    <row r="617" spans="2:9" ht="12.75" customHeight="1">
      <c r="B617" s="173" t="s">
        <v>647</v>
      </c>
      <c r="C617" s="174" t="s">
        <v>270</v>
      </c>
      <c r="D617" s="177" t="s">
        <v>648</v>
      </c>
      <c r="E617" s="176">
        <v>31326.005521467701</v>
      </c>
      <c r="F617" s="173" t="s">
        <v>415</v>
      </c>
      <c r="G617" s="177" t="s">
        <v>296</v>
      </c>
      <c r="H617" s="176">
        <v>28708.129296986615</v>
      </c>
      <c r="I617" s="177" t="s">
        <v>273</v>
      </c>
    </row>
    <row r="618" spans="2:9" ht="12.75" customHeight="1">
      <c r="B618" s="173" t="s">
        <v>649</v>
      </c>
      <c r="C618" s="174" t="s">
        <v>270</v>
      </c>
      <c r="D618" s="177" t="s">
        <v>650</v>
      </c>
      <c r="E618" s="176">
        <v>2649.9313936985345</v>
      </c>
      <c r="F618" s="173" t="s">
        <v>415</v>
      </c>
      <c r="G618" s="177" t="s">
        <v>296</v>
      </c>
      <c r="H618" s="176">
        <v>37277.946570546563</v>
      </c>
      <c r="I618" s="177" t="s">
        <v>273</v>
      </c>
    </row>
    <row r="619" spans="2:9" ht="12.75" customHeight="1">
      <c r="B619" s="173" t="s">
        <v>651</v>
      </c>
      <c r="C619" s="174" t="s">
        <v>270</v>
      </c>
      <c r="D619" s="177" t="s">
        <v>652</v>
      </c>
      <c r="E619" s="176">
        <v>6779.1640768375446</v>
      </c>
      <c r="F619" s="173" t="s">
        <v>415</v>
      </c>
      <c r="G619" s="177" t="s">
        <v>296</v>
      </c>
      <c r="H619" s="176">
        <v>5974.8786630755058</v>
      </c>
      <c r="I619" s="177" t="s">
        <v>273</v>
      </c>
    </row>
    <row r="620" spans="2:9" ht="12.75" customHeight="1">
      <c r="B620" s="173" t="s">
        <v>653</v>
      </c>
      <c r="C620" s="174" t="s">
        <v>270</v>
      </c>
      <c r="D620" s="177" t="s">
        <v>654</v>
      </c>
      <c r="E620" s="176">
        <v>181327.4935934715</v>
      </c>
      <c r="F620" s="173" t="s">
        <v>415</v>
      </c>
      <c r="G620" s="177" t="s">
        <v>296</v>
      </c>
      <c r="H620" s="176">
        <v>5383.5203546457669</v>
      </c>
      <c r="I620" s="177" t="s">
        <v>273</v>
      </c>
    </row>
    <row r="621" spans="2:9" ht="12.75" customHeight="1">
      <c r="B621" s="173" t="s">
        <v>655</v>
      </c>
      <c r="C621" s="174" t="s">
        <v>270</v>
      </c>
      <c r="D621" s="177" t="s">
        <v>656</v>
      </c>
      <c r="E621" s="176">
        <v>122130.15663792766</v>
      </c>
      <c r="F621" s="173" t="s">
        <v>412</v>
      </c>
      <c r="G621" s="177" t="s">
        <v>296</v>
      </c>
      <c r="H621" s="176">
        <v>215779.71737623107</v>
      </c>
      <c r="I621" s="177" t="s">
        <v>273</v>
      </c>
    </row>
    <row r="622" spans="2:9" ht="12.75" customHeight="1">
      <c r="B622" s="173" t="s">
        <v>657</v>
      </c>
      <c r="C622" s="174" t="s">
        <v>270</v>
      </c>
      <c r="D622" s="177" t="s">
        <v>658</v>
      </c>
      <c r="E622" s="176">
        <v>122130.15663792766</v>
      </c>
      <c r="F622" s="173" t="s">
        <v>415</v>
      </c>
      <c r="G622" s="177" t="s">
        <v>296</v>
      </c>
      <c r="H622" s="176">
        <v>275436.52359421062</v>
      </c>
      <c r="I622" s="177" t="s">
        <v>273</v>
      </c>
    </row>
    <row r="623" spans="2:9" ht="12.75" customHeight="1">
      <c r="B623" s="173" t="s">
        <v>659</v>
      </c>
      <c r="C623" s="174" t="s">
        <v>270</v>
      </c>
      <c r="D623" s="177" t="s">
        <v>660</v>
      </c>
      <c r="E623" s="176">
        <v>136604.84186908949</v>
      </c>
      <c r="F623" s="173" t="s">
        <v>415</v>
      </c>
      <c r="G623" s="177" t="s">
        <v>296</v>
      </c>
      <c r="H623" s="176">
        <v>275436.52359421062</v>
      </c>
      <c r="I623" s="177" t="s">
        <v>273</v>
      </c>
    </row>
    <row r="624" spans="2:9" ht="12.75" customHeight="1">
      <c r="B624" s="173" t="s">
        <v>661</v>
      </c>
      <c r="C624" s="174" t="s">
        <v>270</v>
      </c>
      <c r="D624" s="177" t="s">
        <v>662</v>
      </c>
      <c r="E624" s="176">
        <v>4048.3885255905652</v>
      </c>
      <c r="F624" s="173" t="s">
        <v>415</v>
      </c>
      <c r="G624" s="177" t="s">
        <v>296</v>
      </c>
      <c r="H624" s="176">
        <v>107655.47140676585</v>
      </c>
      <c r="I624" s="177" t="s">
        <v>273</v>
      </c>
    </row>
    <row r="625" spans="2:9" ht="12.75" customHeight="1">
      <c r="B625" s="173" t="s">
        <v>663</v>
      </c>
      <c r="C625" s="174" t="s">
        <v>270</v>
      </c>
      <c r="D625" s="177" t="s">
        <v>664</v>
      </c>
      <c r="E625" s="176">
        <v>123803.79211778079</v>
      </c>
      <c r="F625" s="173" t="s">
        <v>415</v>
      </c>
      <c r="G625" s="177" t="s">
        <v>296</v>
      </c>
      <c r="H625" s="176">
        <v>5974.8786630755058</v>
      </c>
      <c r="I625" s="177" t="s">
        <v>273</v>
      </c>
    </row>
    <row r="626" spans="2:9" ht="12.75" customHeight="1">
      <c r="B626" s="173" t="s">
        <v>665</v>
      </c>
      <c r="C626" s="174" t="s">
        <v>270</v>
      </c>
      <c r="D626" s="177" t="s">
        <v>666</v>
      </c>
      <c r="E626" s="176">
        <v>45080.502484626486</v>
      </c>
      <c r="F626" s="173" t="s">
        <v>415</v>
      </c>
      <c r="G626" s="177" t="s">
        <v>296</v>
      </c>
      <c r="H626" s="176">
        <v>86124.377125412691</v>
      </c>
      <c r="I626" s="177" t="s">
        <v>273</v>
      </c>
    </row>
    <row r="627" spans="2:9" ht="12.75" customHeight="1">
      <c r="B627" s="173" t="s">
        <v>667</v>
      </c>
      <c r="C627" s="174" t="s">
        <v>270</v>
      </c>
      <c r="D627" s="177" t="s">
        <v>668</v>
      </c>
      <c r="E627" s="176">
        <v>101775.1305316064</v>
      </c>
      <c r="F627" s="173" t="s">
        <v>415</v>
      </c>
      <c r="G627" s="177" t="s">
        <v>296</v>
      </c>
      <c r="H627" s="176">
        <v>51846.80749404095</v>
      </c>
      <c r="I627" s="177" t="s">
        <v>273</v>
      </c>
    </row>
    <row r="628" spans="2:9" ht="12.75" customHeight="1">
      <c r="B628" s="173" t="s">
        <v>669</v>
      </c>
      <c r="C628" s="174" t="s">
        <v>270</v>
      </c>
      <c r="D628" s="177" t="s">
        <v>670</v>
      </c>
      <c r="E628" s="176">
        <v>63326.74788633288</v>
      </c>
      <c r="F628" s="173" t="s">
        <v>415</v>
      </c>
      <c r="G628" s="177" t="s">
        <v>296</v>
      </c>
      <c r="H628" s="176">
        <v>136184.17132955883</v>
      </c>
      <c r="I628" s="177" t="s">
        <v>273</v>
      </c>
    </row>
    <row r="629" spans="2:9" ht="12.75" customHeight="1">
      <c r="B629" s="173" t="s">
        <v>671</v>
      </c>
      <c r="C629" s="174" t="s">
        <v>270</v>
      </c>
      <c r="D629" s="177" t="s">
        <v>672</v>
      </c>
      <c r="E629" s="176">
        <v>63326.74788633288</v>
      </c>
      <c r="F629" s="173" t="s">
        <v>415</v>
      </c>
      <c r="G629" s="177" t="s">
        <v>296</v>
      </c>
      <c r="H629" s="176">
        <v>64055.005487025686</v>
      </c>
      <c r="I629" s="177" t="s">
        <v>273</v>
      </c>
    </row>
    <row r="630" spans="2:9" ht="12.75" customHeight="1">
      <c r="B630" s="173"/>
      <c r="C630" s="174"/>
      <c r="D630" s="177"/>
      <c r="E630" s="176"/>
      <c r="F630" s="173"/>
      <c r="G630" s="177"/>
      <c r="H630" s="176"/>
      <c r="I630" s="161"/>
    </row>
    <row r="631" spans="2:9" ht="12.75" customHeight="1">
      <c r="B631" s="173"/>
      <c r="C631" s="174"/>
      <c r="D631" s="177"/>
      <c r="E631" s="176"/>
      <c r="F631" s="173"/>
      <c r="G631" s="177"/>
      <c r="H631" s="176"/>
      <c r="I631" s="161"/>
    </row>
    <row r="632" spans="2:9" ht="12.75" customHeight="1">
      <c r="B632" s="173"/>
      <c r="C632" s="174"/>
      <c r="D632" s="177"/>
      <c r="E632" s="176"/>
      <c r="F632" s="173"/>
      <c r="G632" s="177"/>
      <c r="H632" s="176"/>
      <c r="I632" s="161"/>
    </row>
    <row r="633" spans="2:9" ht="12.75" customHeight="1">
      <c r="B633" s="173"/>
      <c r="C633" s="174"/>
      <c r="D633" s="177"/>
      <c r="E633" s="176"/>
      <c r="F633" s="173"/>
      <c r="G633" s="177"/>
      <c r="H633" s="176"/>
      <c r="I633" s="177" t="s">
        <v>679</v>
      </c>
    </row>
    <row r="634" spans="2:9" ht="12.75" customHeight="1">
      <c r="B634" s="173"/>
      <c r="C634" s="174"/>
      <c r="D634" s="177"/>
      <c r="E634" s="176"/>
      <c r="F634" s="173"/>
      <c r="G634" s="177"/>
      <c r="H634" s="176"/>
      <c r="I634" s="177" t="s">
        <v>679</v>
      </c>
    </row>
    <row r="635" spans="2:9" ht="12.75" customHeight="1">
      <c r="B635" s="173"/>
      <c r="C635" s="174"/>
      <c r="D635" s="177"/>
      <c r="E635" s="176"/>
      <c r="F635" s="173"/>
      <c r="G635" s="177"/>
      <c r="H635" s="176"/>
      <c r="I635" s="177" t="s">
        <v>679</v>
      </c>
    </row>
    <row r="636" spans="2:9" ht="12.75" customHeight="1">
      <c r="B636" s="173"/>
      <c r="C636" s="174"/>
      <c r="D636" s="177"/>
      <c r="E636" s="176"/>
      <c r="F636" s="173"/>
      <c r="G636" s="177"/>
      <c r="H636" s="176"/>
      <c r="I636" s="177" t="s">
        <v>679</v>
      </c>
    </row>
    <row r="637" spans="2:9" ht="12.75" customHeight="1">
      <c r="B637" s="173"/>
      <c r="C637" s="174"/>
      <c r="D637" s="177"/>
      <c r="E637" s="176"/>
      <c r="F637" s="173"/>
      <c r="G637" s="177"/>
      <c r="H637" s="176"/>
      <c r="I637" s="177" t="s">
        <v>679</v>
      </c>
    </row>
    <row r="638" spans="2:9" ht="12.75" customHeight="1">
      <c r="B638" s="173"/>
      <c r="C638" s="174"/>
      <c r="D638" s="177"/>
      <c r="E638" s="176"/>
      <c r="F638" s="173"/>
      <c r="G638" s="177"/>
      <c r="H638" s="176"/>
      <c r="I638" s="177" t="s">
        <v>679</v>
      </c>
    </row>
    <row r="639" spans="2:9" ht="12.75" customHeight="1">
      <c r="B639" s="173"/>
      <c r="C639" s="174"/>
      <c r="D639" s="177"/>
      <c r="E639" s="176"/>
      <c r="F639" s="173"/>
      <c r="G639" s="177"/>
      <c r="H639" s="176"/>
      <c r="I639" s="177" t="s">
        <v>679</v>
      </c>
    </row>
    <row r="640" spans="2:9" ht="12.75" customHeight="1">
      <c r="B640" s="173"/>
      <c r="C640" s="174"/>
      <c r="D640" s="177"/>
      <c r="E640" s="176"/>
      <c r="F640" s="173"/>
      <c r="G640" s="177"/>
      <c r="H640" s="176"/>
      <c r="I640" s="177" t="s">
        <v>679</v>
      </c>
    </row>
    <row r="641" spans="2:9" ht="12.75" customHeight="1">
      <c r="B641" s="173"/>
      <c r="C641" s="174"/>
      <c r="D641" s="177"/>
      <c r="E641" s="176"/>
      <c r="F641" s="173"/>
      <c r="G641" s="177"/>
      <c r="H641" s="176"/>
      <c r="I641" s="177" t="s">
        <v>679</v>
      </c>
    </row>
    <row r="642" spans="2:9" ht="12.75" customHeight="1">
      <c r="B642" s="173"/>
      <c r="C642" s="174"/>
      <c r="D642" s="177"/>
      <c r="E642" s="176"/>
      <c r="F642" s="173"/>
      <c r="G642" s="177"/>
      <c r="H642" s="176"/>
      <c r="I642" s="177" t="s">
        <v>679</v>
      </c>
    </row>
    <row r="643" spans="2:9" ht="12.75" customHeight="1">
      <c r="B643" s="173"/>
      <c r="C643" s="174"/>
      <c r="D643" s="177"/>
      <c r="E643" s="176"/>
      <c r="F643" s="173"/>
      <c r="G643" s="177"/>
      <c r="H643" s="176"/>
      <c r="I643" s="177" t="s">
        <v>679</v>
      </c>
    </row>
    <row r="644" spans="2:9" ht="12.75" customHeight="1">
      <c r="B644" s="173"/>
      <c r="C644" s="174"/>
      <c r="D644" s="177"/>
      <c r="E644" s="176"/>
      <c r="F644" s="173"/>
      <c r="G644" s="177"/>
      <c r="H644" s="176"/>
      <c r="I644" s="177" t="s">
        <v>679</v>
      </c>
    </row>
    <row r="645" spans="2:9" ht="12.75" customHeight="1">
      <c r="B645" s="173"/>
      <c r="C645" s="174"/>
      <c r="D645" s="177"/>
      <c r="E645" s="176"/>
      <c r="F645" s="173"/>
      <c r="G645" s="177"/>
      <c r="H645" s="176"/>
      <c r="I645" s="177" t="s">
        <v>679</v>
      </c>
    </row>
    <row r="646" spans="2:9" ht="15.75" customHeight="1"/>
    <row r="647" spans="2:9" ht="15.75" customHeight="1"/>
    <row r="648" spans="2:9" ht="15.75" customHeight="1"/>
    <row r="649" spans="2:9" ht="15.75" customHeight="1"/>
    <row r="650" spans="2:9" ht="15.75" customHeight="1"/>
    <row r="651" spans="2:9" ht="15.75" customHeight="1"/>
    <row r="652" spans="2:9" ht="15.75" customHeight="1"/>
    <row r="653" spans="2:9" ht="15.75" customHeight="1"/>
    <row r="654" spans="2:9" ht="15.75" customHeight="1"/>
    <row r="655" spans="2:9" ht="15.75" customHeight="1"/>
    <row r="656" spans="2:9"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C8"/>
    <mergeCell ref="D2:E3"/>
    <mergeCell ref="F2:G3"/>
    <mergeCell ref="H2:H3"/>
    <mergeCell ref="D4:E6"/>
    <mergeCell ref="F4:H4"/>
    <mergeCell ref="F6:H6"/>
    <mergeCell ref="D7:E8"/>
  </mergeCells>
  <conditionalFormatting sqref="K13:K216">
    <cfRule type="containsText" dxfId="98" priority="1" operator="containsText" text="verdadero">
      <formula>NOT(ISERROR(SEARCH(("verdadero"),(K13))))</formula>
    </cfRule>
  </conditionalFormatting>
  <pageMargins left="0.25" right="0.25" top="0.75" bottom="0.75" header="0" footer="0"/>
  <pageSetup fitToHeight="0"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2CB"/>
    <pageSetUpPr fitToPage="1"/>
  </sheetPr>
  <dimension ref="B2:AA1000"/>
  <sheetViews>
    <sheetView topLeftCell="E19" workbookViewId="0">
      <selection activeCell="H43" sqref="H43"/>
    </sheetView>
  </sheetViews>
  <sheetFormatPr baseColWidth="10" defaultColWidth="14.42578125" defaultRowHeight="15" customHeight="1"/>
  <cols>
    <col min="1" max="1" width="5.28515625" customWidth="1"/>
    <col min="2" max="2" width="15.5703125" customWidth="1"/>
    <col min="3" max="3" width="14.5703125" customWidth="1"/>
    <col min="4" max="4" width="89.5703125" customWidth="1"/>
    <col min="5" max="6" width="14.140625" customWidth="1"/>
    <col min="7" max="7" width="13.5703125" customWidth="1"/>
    <col min="8" max="8" width="16.42578125" customWidth="1"/>
    <col min="9" max="9" width="11.42578125" customWidth="1"/>
    <col min="10" max="10" width="47.42578125" customWidth="1"/>
    <col min="11" max="11" width="11.42578125" customWidth="1"/>
    <col min="12" max="27" width="10.5703125" customWidth="1"/>
  </cols>
  <sheetData>
    <row r="2" spans="2:27" ht="12.75" customHeight="1">
      <c r="B2" s="1065"/>
      <c r="C2" s="927"/>
      <c r="D2" s="998" t="str">
        <f>+Datos!$C$9</f>
        <v>CONSEJO SUPERIOR  DE  JUDICATURA– DIRECCIÓN  EJECUTIVA  SECCIONAL  DE ADMINISTRACIÓN JUDICIAL DE BUCARAMANGA</v>
      </c>
      <c r="E2" s="926"/>
      <c r="F2" s="1067" t="s">
        <v>1</v>
      </c>
      <c r="G2" s="931"/>
      <c r="H2" s="1068">
        <f>Datos!B3</f>
        <v>0</v>
      </c>
      <c r="I2" s="161"/>
      <c r="J2" s="180"/>
      <c r="K2" s="161"/>
      <c r="L2" s="161"/>
      <c r="M2" s="161"/>
      <c r="N2" s="161"/>
      <c r="O2" s="161"/>
      <c r="P2" s="161"/>
      <c r="Q2" s="161"/>
      <c r="R2" s="161"/>
      <c r="S2" s="161"/>
      <c r="T2" s="161"/>
      <c r="U2" s="161"/>
      <c r="V2" s="161"/>
      <c r="W2" s="161"/>
      <c r="X2" s="161"/>
      <c r="Y2" s="161"/>
      <c r="Z2" s="161"/>
      <c r="AA2" s="161"/>
    </row>
    <row r="3" spans="2:27" ht="12.75" customHeight="1">
      <c r="B3" s="920"/>
      <c r="C3" s="924"/>
      <c r="D3" s="920"/>
      <c r="E3" s="922"/>
      <c r="F3" s="1003"/>
      <c r="G3" s="950"/>
      <c r="H3" s="1010"/>
      <c r="I3" s="161"/>
      <c r="J3" s="180"/>
      <c r="K3" s="161"/>
      <c r="L3" s="161"/>
      <c r="M3" s="161"/>
      <c r="N3" s="161"/>
      <c r="O3" s="161"/>
      <c r="P3" s="161"/>
      <c r="Q3" s="161"/>
      <c r="R3" s="161"/>
      <c r="S3" s="161"/>
      <c r="T3" s="161"/>
      <c r="U3" s="161"/>
      <c r="V3" s="161"/>
      <c r="W3" s="161"/>
      <c r="X3" s="161"/>
      <c r="Y3" s="161"/>
      <c r="Z3" s="161"/>
      <c r="AA3" s="161"/>
    </row>
    <row r="4" spans="2:27" ht="18.75" customHeight="1">
      <c r="B4" s="920"/>
      <c r="C4" s="924"/>
      <c r="D4" s="1002"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E4" s="922"/>
      <c r="F4" s="1001" t="s">
        <v>29</v>
      </c>
      <c r="G4" s="940"/>
      <c r="H4" s="973"/>
      <c r="I4" s="161"/>
      <c r="J4" s="180"/>
      <c r="K4" s="161"/>
      <c r="L4" s="161"/>
      <c r="M4" s="161"/>
      <c r="N4" s="161"/>
      <c r="O4" s="161"/>
      <c r="P4" s="161"/>
      <c r="Q4" s="161"/>
      <c r="R4" s="161"/>
      <c r="S4" s="161"/>
      <c r="T4" s="161"/>
      <c r="U4" s="161"/>
      <c r="V4" s="161"/>
      <c r="W4" s="161"/>
      <c r="X4" s="161"/>
      <c r="Y4" s="161"/>
      <c r="Z4" s="161"/>
      <c r="AA4" s="161"/>
    </row>
    <row r="5" spans="2:27" ht="18.75" customHeight="1">
      <c r="B5" s="920"/>
      <c r="C5" s="924"/>
      <c r="D5" s="920"/>
      <c r="E5" s="922"/>
      <c r="F5" s="162">
        <v>1</v>
      </c>
      <c r="G5" s="163" t="s">
        <v>30</v>
      </c>
      <c r="H5" s="164">
        <v>1</v>
      </c>
      <c r="I5" s="161"/>
      <c r="O5" s="161"/>
      <c r="P5" s="161"/>
      <c r="Q5" s="161"/>
      <c r="R5" s="161"/>
      <c r="S5" s="161"/>
      <c r="T5" s="161"/>
      <c r="U5" s="161"/>
      <c r="V5" s="161"/>
      <c r="W5" s="161"/>
      <c r="X5" s="161"/>
      <c r="Y5" s="161"/>
      <c r="Z5" s="161"/>
      <c r="AA5" s="161"/>
    </row>
    <row r="6" spans="2:27" ht="18.75" customHeight="1">
      <c r="B6" s="920"/>
      <c r="C6" s="924"/>
      <c r="D6" s="920"/>
      <c r="E6" s="922"/>
      <c r="F6" s="1001" t="s">
        <v>2</v>
      </c>
      <c r="G6" s="940"/>
      <c r="H6" s="973"/>
      <c r="I6" s="161"/>
      <c r="O6" s="161"/>
      <c r="P6" s="161"/>
      <c r="Q6" s="161"/>
      <c r="R6" s="161"/>
      <c r="S6" s="161"/>
      <c r="T6" s="161"/>
      <c r="U6" s="161"/>
      <c r="V6" s="161"/>
      <c r="W6" s="161"/>
      <c r="X6" s="161"/>
      <c r="Y6" s="161"/>
      <c r="Z6" s="161"/>
      <c r="AA6" s="161"/>
    </row>
    <row r="7" spans="2:27" ht="18.75" customHeight="1">
      <c r="B7" s="920"/>
      <c r="C7" s="924"/>
      <c r="D7" s="1005" t="s">
        <v>817</v>
      </c>
      <c r="E7" s="1006"/>
      <c r="F7" s="162" t="s">
        <v>3</v>
      </c>
      <c r="G7" s="163" t="s">
        <v>4</v>
      </c>
      <c r="H7" s="164" t="s">
        <v>5</v>
      </c>
      <c r="I7" s="161"/>
      <c r="O7" s="161"/>
      <c r="P7" s="161"/>
      <c r="Q7" s="161"/>
      <c r="R7" s="161"/>
      <c r="S7" s="161"/>
      <c r="T7" s="161"/>
      <c r="U7" s="161"/>
      <c r="V7" s="161"/>
      <c r="W7" s="161"/>
      <c r="X7" s="161"/>
      <c r="Y7" s="161"/>
      <c r="Z7" s="161"/>
      <c r="AA7" s="161"/>
    </row>
    <row r="8" spans="2:27" ht="18.75" customHeight="1">
      <c r="B8" s="929"/>
      <c r="C8" s="938"/>
      <c r="D8" s="929"/>
      <c r="E8" s="938"/>
      <c r="F8" s="165">
        <f>+Datos!$C$7</f>
        <v>19</v>
      </c>
      <c r="G8" s="166">
        <f>+Datos!$D$7</f>
        <v>6</v>
      </c>
      <c r="H8" s="167">
        <f>+Datos!$E$7</f>
        <v>2026</v>
      </c>
      <c r="I8" s="161"/>
      <c r="O8" s="161"/>
      <c r="P8" s="161"/>
      <c r="Q8" s="161"/>
      <c r="R8" s="161"/>
      <c r="S8" s="161"/>
      <c r="T8" s="161"/>
      <c r="U8" s="161"/>
      <c r="V8" s="161"/>
      <c r="W8" s="161"/>
      <c r="X8" s="161"/>
      <c r="Y8" s="161"/>
      <c r="Z8" s="161"/>
      <c r="AA8" s="161"/>
    </row>
    <row r="9" spans="2:27" ht="12.75" customHeight="1">
      <c r="B9" s="168"/>
      <c r="C9" s="169"/>
      <c r="D9" s="161"/>
      <c r="E9" s="38"/>
      <c r="F9" s="39"/>
      <c r="G9" s="39"/>
      <c r="H9" s="39"/>
      <c r="I9" s="161"/>
      <c r="O9" s="161"/>
      <c r="P9" s="161"/>
      <c r="Q9" s="161"/>
      <c r="R9" s="161"/>
      <c r="S9" s="161"/>
      <c r="T9" s="161"/>
      <c r="U9" s="161"/>
      <c r="V9" s="161"/>
      <c r="W9" s="161"/>
      <c r="X9" s="161"/>
      <c r="Y9" s="161"/>
      <c r="Z9" s="161"/>
      <c r="AA9" s="161"/>
    </row>
    <row r="10" spans="2:27" ht="12.75" customHeight="1">
      <c r="B10" s="181" t="s">
        <v>818</v>
      </c>
      <c r="C10" s="181"/>
      <c r="D10" s="181"/>
      <c r="E10" s="181"/>
      <c r="F10" s="181"/>
      <c r="G10" s="181"/>
      <c r="H10" s="181"/>
      <c r="I10" s="161"/>
      <c r="O10" s="161"/>
      <c r="P10" s="161"/>
      <c r="Q10" s="161"/>
      <c r="R10" s="161"/>
      <c r="S10" s="161"/>
      <c r="T10" s="161"/>
      <c r="U10" s="161"/>
      <c r="V10" s="161"/>
      <c r="W10" s="161"/>
      <c r="X10" s="161"/>
      <c r="Y10" s="161"/>
      <c r="Z10" s="161"/>
      <c r="AA10" s="161"/>
    </row>
    <row r="11" spans="2:27" ht="12.75" customHeight="1">
      <c r="B11" s="181">
        <v>1</v>
      </c>
      <c r="C11" s="181">
        <v>2</v>
      </c>
      <c r="D11" s="181">
        <v>3</v>
      </c>
      <c r="E11" s="181">
        <v>4</v>
      </c>
      <c r="F11" s="181">
        <v>5</v>
      </c>
      <c r="G11" s="181">
        <v>6</v>
      </c>
      <c r="H11" s="181">
        <v>7</v>
      </c>
      <c r="I11" s="161"/>
      <c r="O11" s="161"/>
      <c r="P11" s="161"/>
      <c r="Q11" s="161"/>
      <c r="R11" s="161"/>
      <c r="S11" s="161"/>
      <c r="T11" s="161"/>
      <c r="U11" s="161"/>
      <c r="V11" s="161"/>
      <c r="W11" s="161"/>
      <c r="X11" s="161"/>
      <c r="Y11" s="161"/>
      <c r="Z11" s="161"/>
      <c r="AA11" s="161"/>
    </row>
    <row r="12" spans="2:27" ht="32.25" customHeight="1">
      <c r="B12" s="172" t="s">
        <v>260</v>
      </c>
      <c r="C12" s="172" t="s">
        <v>819</v>
      </c>
      <c r="D12" s="172" t="s">
        <v>262</v>
      </c>
      <c r="E12" s="172" t="s">
        <v>266</v>
      </c>
      <c r="F12" s="172" t="s">
        <v>264</v>
      </c>
      <c r="G12" s="172" t="s">
        <v>820</v>
      </c>
      <c r="H12" s="172" t="s">
        <v>821</v>
      </c>
      <c r="I12" s="161"/>
      <c r="O12" s="161"/>
      <c r="P12" s="161"/>
      <c r="Z12" s="161"/>
      <c r="AA12" s="161"/>
    </row>
    <row r="13" spans="2:27" ht="12.75" customHeight="1">
      <c r="B13" s="173" t="s">
        <v>822</v>
      </c>
      <c r="C13" s="174" t="s">
        <v>270</v>
      </c>
      <c r="D13" s="177" t="s">
        <v>823</v>
      </c>
      <c r="E13" s="182">
        <v>118600</v>
      </c>
      <c r="F13" s="173" t="s">
        <v>824</v>
      </c>
      <c r="G13" s="183">
        <f t="shared" ref="G13:G14" si="0">AVERAGE($K$14,$K$39)</f>
        <v>50.849999999999994</v>
      </c>
      <c r="H13" s="176">
        <f>+E13/G13</f>
        <v>2332.3500491642089</v>
      </c>
      <c r="I13" s="161"/>
      <c r="K13" s="161"/>
      <c r="L13" s="161"/>
      <c r="M13" s="161"/>
      <c r="N13" s="161"/>
      <c r="O13" s="161"/>
      <c r="P13" s="161"/>
      <c r="Q13" s="161"/>
      <c r="R13" s="161"/>
      <c r="Z13" s="161"/>
      <c r="AA13" s="161"/>
    </row>
    <row r="14" spans="2:27" ht="12.75" customHeight="1">
      <c r="B14" s="173" t="s">
        <v>825</v>
      </c>
      <c r="C14" s="174"/>
      <c r="D14" s="177" t="s">
        <v>826</v>
      </c>
      <c r="E14" s="182">
        <v>118600</v>
      </c>
      <c r="F14" s="173" t="s">
        <v>824</v>
      </c>
      <c r="G14" s="183">
        <f t="shared" si="0"/>
        <v>50.849999999999994</v>
      </c>
      <c r="H14" s="176">
        <f t="shared" ref="H14:H23" si="1">IFERROR(E14/G14,)</f>
        <v>2332.3500491642089</v>
      </c>
      <c r="I14" s="161"/>
      <c r="J14" s="184" t="s">
        <v>827</v>
      </c>
      <c r="K14" s="161">
        <v>59.3</v>
      </c>
      <c r="L14" s="161" t="s">
        <v>828</v>
      </c>
      <c r="M14" s="161"/>
      <c r="N14" s="161"/>
      <c r="O14" s="161"/>
      <c r="P14" s="161"/>
      <c r="Q14" s="161"/>
      <c r="R14" s="161"/>
      <c r="Z14" s="161"/>
      <c r="AA14" s="161"/>
    </row>
    <row r="15" spans="2:27" ht="12.75" customHeight="1">
      <c r="B15" s="173" t="s">
        <v>829</v>
      </c>
      <c r="C15" s="174"/>
      <c r="D15" s="177" t="s">
        <v>830</v>
      </c>
      <c r="E15" s="182">
        <v>10000</v>
      </c>
      <c r="F15" s="173" t="s">
        <v>270</v>
      </c>
      <c r="G15" s="183">
        <f>MAX($K$60,$K$81)</f>
        <v>46.8</v>
      </c>
      <c r="H15" s="176">
        <f t="shared" si="1"/>
        <v>213.67521367521368</v>
      </c>
      <c r="I15" s="161"/>
      <c r="J15" s="161"/>
      <c r="K15" s="161"/>
      <c r="L15" s="161"/>
      <c r="M15" s="161"/>
      <c r="N15" s="161"/>
      <c r="O15" s="161"/>
      <c r="P15" s="161"/>
      <c r="Q15" s="161"/>
      <c r="R15" s="161"/>
      <c r="Z15" s="161"/>
      <c r="AA15" s="161"/>
    </row>
    <row r="16" spans="2:27" ht="12.75" customHeight="1">
      <c r="B16" s="173" t="s">
        <v>831</v>
      </c>
      <c r="C16" s="174"/>
      <c r="D16" s="177" t="s">
        <v>832</v>
      </c>
      <c r="E16" s="182">
        <v>2965</v>
      </c>
      <c r="F16" s="173" t="s">
        <v>833</v>
      </c>
      <c r="G16" s="183">
        <f>AVERAGE($K$14,$K$39)</f>
        <v>50.849999999999994</v>
      </c>
      <c r="H16" s="176">
        <f t="shared" si="1"/>
        <v>58.308751229105219</v>
      </c>
      <c r="I16" s="161"/>
      <c r="J16" s="161"/>
      <c r="K16" s="161"/>
      <c r="L16" s="161"/>
      <c r="M16" s="161"/>
      <c r="N16" s="161"/>
      <c r="O16" s="161"/>
      <c r="P16" s="161"/>
      <c r="Q16" s="161"/>
      <c r="R16" s="161"/>
      <c r="Z16" s="161"/>
      <c r="AA16" s="161"/>
    </row>
    <row r="17" spans="2:10" ht="12.75" customHeight="1">
      <c r="B17" s="173" t="s">
        <v>834</v>
      </c>
      <c r="C17" s="174"/>
      <c r="D17" s="177" t="s">
        <v>835</v>
      </c>
      <c r="E17" s="182">
        <v>8100</v>
      </c>
      <c r="F17" s="173" t="s">
        <v>741</v>
      </c>
      <c r="G17" s="183">
        <v>1</v>
      </c>
      <c r="H17" s="176">
        <f t="shared" si="1"/>
        <v>8100</v>
      </c>
      <c r="I17" s="161"/>
      <c r="J17" s="161"/>
    </row>
    <row r="18" spans="2:10" ht="12.75" customHeight="1">
      <c r="B18" s="173" t="s">
        <v>836</v>
      </c>
      <c r="C18" s="174"/>
      <c r="D18" s="177" t="s">
        <v>837</v>
      </c>
      <c r="E18" s="182">
        <v>15000</v>
      </c>
      <c r="F18" s="173" t="s">
        <v>838</v>
      </c>
      <c r="G18" s="183">
        <v>100</v>
      </c>
      <c r="H18" s="176">
        <f t="shared" si="1"/>
        <v>150</v>
      </c>
      <c r="I18" s="161"/>
      <c r="J18" s="161"/>
    </row>
    <row r="19" spans="2:10" ht="12.75" customHeight="1">
      <c r="B19" s="173" t="s">
        <v>839</v>
      </c>
      <c r="C19" s="174"/>
      <c r="D19" s="177" t="s">
        <v>826</v>
      </c>
      <c r="E19" s="182">
        <v>2965</v>
      </c>
      <c r="F19" s="173" t="s">
        <v>833</v>
      </c>
      <c r="G19" s="183">
        <f>AVERAGE($K$14,$K$39)</f>
        <v>50.849999999999994</v>
      </c>
      <c r="H19" s="176">
        <f t="shared" si="1"/>
        <v>58.308751229105219</v>
      </c>
      <c r="I19" s="161"/>
      <c r="J19" s="161"/>
    </row>
    <row r="20" spans="2:10" ht="12.75" customHeight="1">
      <c r="B20" s="173" t="s">
        <v>840</v>
      </c>
      <c r="C20" s="174"/>
      <c r="D20" s="177" t="s">
        <v>841</v>
      </c>
      <c r="E20" s="182"/>
      <c r="F20" s="173" t="s">
        <v>842</v>
      </c>
      <c r="G20" s="183"/>
      <c r="H20" s="176">
        <f t="shared" si="1"/>
        <v>0</v>
      </c>
      <c r="I20" s="161"/>
      <c r="J20" s="161"/>
    </row>
    <row r="21" spans="2:10" ht="12.75" customHeight="1">
      <c r="B21" s="173" t="s">
        <v>843</v>
      </c>
      <c r="C21" s="174"/>
      <c r="D21" s="177" t="s">
        <v>844</v>
      </c>
      <c r="E21" s="182"/>
      <c r="F21" s="173" t="s">
        <v>845</v>
      </c>
      <c r="G21" s="183"/>
      <c r="H21" s="176">
        <f t="shared" si="1"/>
        <v>0</v>
      </c>
      <c r="I21" s="161"/>
      <c r="J21" s="180"/>
    </row>
    <row r="22" spans="2:10" ht="12.75" customHeight="1">
      <c r="B22" s="173" t="s">
        <v>846</v>
      </c>
      <c r="C22" s="185"/>
      <c r="D22" s="186" t="s">
        <v>847</v>
      </c>
      <c r="E22" s="187">
        <v>2000</v>
      </c>
      <c r="F22" s="173" t="s">
        <v>824</v>
      </c>
      <c r="G22" s="188">
        <v>1</v>
      </c>
      <c r="H22" s="189">
        <f t="shared" si="1"/>
        <v>2000</v>
      </c>
      <c r="I22" s="161"/>
      <c r="J22" s="180"/>
    </row>
    <row r="23" spans="2:10" ht="12.75" customHeight="1">
      <c r="B23" s="173" t="s">
        <v>848</v>
      </c>
      <c r="C23" s="174"/>
      <c r="D23" s="177" t="s">
        <v>849</v>
      </c>
      <c r="E23" s="182"/>
      <c r="F23" s="173" t="s">
        <v>850</v>
      </c>
      <c r="G23" s="183"/>
      <c r="H23" s="176">
        <f t="shared" si="1"/>
        <v>0</v>
      </c>
      <c r="I23" s="161"/>
      <c r="J23" s="180" t="s">
        <v>851</v>
      </c>
    </row>
    <row r="24" spans="2:10" ht="12.75" customHeight="1">
      <c r="I24" s="161"/>
      <c r="J24" s="180"/>
    </row>
    <row r="25" spans="2:10" ht="12.75" customHeight="1">
      <c r="B25" s="169" t="s">
        <v>852</v>
      </c>
      <c r="C25" s="170">
        <v>45078</v>
      </c>
      <c r="D25" s="161"/>
      <c r="E25" s="161"/>
      <c r="F25" s="168"/>
      <c r="G25" s="161"/>
      <c r="H25" s="161"/>
      <c r="I25" s="161"/>
      <c r="J25" s="180"/>
    </row>
    <row r="26" spans="2:10" ht="12.75" customHeight="1">
      <c r="B26" s="171">
        <v>1</v>
      </c>
      <c r="C26" s="171">
        <v>2</v>
      </c>
      <c r="D26" s="171">
        <v>3</v>
      </c>
      <c r="E26" s="171">
        <v>4</v>
      </c>
      <c r="F26" s="171">
        <v>5</v>
      </c>
      <c r="G26" s="171">
        <v>6</v>
      </c>
      <c r="H26" s="171">
        <v>7</v>
      </c>
      <c r="I26" s="171"/>
      <c r="J26" s="180"/>
    </row>
    <row r="27" spans="2:10" ht="32.25" customHeight="1">
      <c r="B27" s="190" t="s">
        <v>260</v>
      </c>
      <c r="C27" s="190" t="s">
        <v>819</v>
      </c>
      <c r="D27" s="190" t="s">
        <v>262</v>
      </c>
      <c r="E27" s="190" t="s">
        <v>263</v>
      </c>
      <c r="F27" s="190" t="s">
        <v>264</v>
      </c>
      <c r="G27" s="190" t="s">
        <v>820</v>
      </c>
      <c r="H27" s="190" t="s">
        <v>266</v>
      </c>
      <c r="I27" s="161"/>
      <c r="J27" s="180"/>
    </row>
    <row r="28" spans="2:10" ht="15.75" customHeight="1">
      <c r="B28" s="172"/>
      <c r="C28" s="172"/>
      <c r="D28" s="172"/>
      <c r="E28" s="172"/>
      <c r="F28" s="172"/>
      <c r="G28" s="172"/>
      <c r="H28" s="172"/>
      <c r="I28" s="161"/>
      <c r="J28" s="180"/>
    </row>
    <row r="29" spans="2:10" ht="18.75" customHeight="1">
      <c r="B29" s="191"/>
      <c r="C29" s="192"/>
      <c r="D29" s="193" t="s">
        <v>853</v>
      </c>
      <c r="E29" s="194"/>
      <c r="F29" s="191"/>
      <c r="G29" s="193"/>
      <c r="H29" s="194"/>
      <c r="I29" s="161"/>
      <c r="J29" s="180"/>
    </row>
    <row r="30" spans="2:10" ht="12.75" customHeight="1">
      <c r="B30" s="173" t="s">
        <v>854</v>
      </c>
      <c r="C30" s="174" t="s">
        <v>270</v>
      </c>
      <c r="D30" s="177" t="s">
        <v>855</v>
      </c>
      <c r="E30" s="176" t="s">
        <v>270</v>
      </c>
      <c r="F30" s="173" t="s">
        <v>833</v>
      </c>
      <c r="G30" s="195">
        <f t="shared" ref="G30:H30" si="2">+G16</f>
        <v>50.849999999999994</v>
      </c>
      <c r="H30" s="176">
        <f t="shared" si="2"/>
        <v>58.308751229105219</v>
      </c>
      <c r="I30" s="161"/>
      <c r="J30" s="180"/>
    </row>
    <row r="31" spans="2:10" ht="12.75" customHeight="1">
      <c r="B31" s="173" t="s">
        <v>856</v>
      </c>
      <c r="C31" s="174"/>
      <c r="D31" s="177" t="s">
        <v>857</v>
      </c>
      <c r="E31" s="176" t="s">
        <v>270</v>
      </c>
      <c r="F31" s="173" t="s">
        <v>824</v>
      </c>
      <c r="G31" s="195">
        <f t="shared" ref="G31:H31" si="3">+G14</f>
        <v>50.849999999999994</v>
      </c>
      <c r="H31" s="176">
        <f t="shared" si="3"/>
        <v>2332.3500491642089</v>
      </c>
      <c r="I31" s="161"/>
      <c r="J31" s="180"/>
    </row>
    <row r="32" spans="2:10" ht="12.75" customHeight="1">
      <c r="B32" s="173" t="s">
        <v>858</v>
      </c>
      <c r="C32" s="174" t="s">
        <v>270</v>
      </c>
      <c r="D32" s="177" t="s">
        <v>859</v>
      </c>
      <c r="E32" s="176" t="s">
        <v>270</v>
      </c>
      <c r="F32" s="173" t="s">
        <v>824</v>
      </c>
      <c r="G32" s="195">
        <f t="shared" ref="G32:H32" si="4">+G13</f>
        <v>50.849999999999994</v>
      </c>
      <c r="H32" s="176">
        <f t="shared" si="4"/>
        <v>2332.3500491642089</v>
      </c>
      <c r="I32" s="161"/>
      <c r="J32" s="180"/>
    </row>
    <row r="33" spans="2:12" ht="12.75" customHeight="1">
      <c r="B33" s="173" t="s">
        <v>860</v>
      </c>
      <c r="C33" s="174"/>
      <c r="D33" s="177" t="s">
        <v>861</v>
      </c>
      <c r="E33" s="176" t="s">
        <v>270</v>
      </c>
      <c r="F33" s="173" t="s">
        <v>824</v>
      </c>
      <c r="G33" s="195">
        <f t="shared" ref="G33:H33" si="5">+G15</f>
        <v>46.8</v>
      </c>
      <c r="H33" s="176">
        <f t="shared" si="5"/>
        <v>213.67521367521368</v>
      </c>
      <c r="I33" s="196"/>
      <c r="J33" s="180"/>
      <c r="K33" s="161"/>
      <c r="L33" s="161"/>
    </row>
    <row r="34" spans="2:12" ht="12.75" customHeight="1">
      <c r="B34" s="173" t="s">
        <v>862</v>
      </c>
      <c r="C34" s="174" t="s">
        <v>270</v>
      </c>
      <c r="D34" s="177" t="s">
        <v>863</v>
      </c>
      <c r="E34" s="176" t="s">
        <v>270</v>
      </c>
      <c r="F34" s="173" t="s">
        <v>741</v>
      </c>
      <c r="G34" s="195">
        <f t="shared" ref="G34:H34" si="6">+G17</f>
        <v>1</v>
      </c>
      <c r="H34" s="176">
        <f t="shared" si="6"/>
        <v>8100</v>
      </c>
      <c r="I34" s="161"/>
      <c r="J34" s="180"/>
      <c r="K34" s="161"/>
      <c r="L34" s="161"/>
    </row>
    <row r="35" spans="2:12" ht="12.75" customHeight="1">
      <c r="B35" s="173" t="s">
        <v>864</v>
      </c>
      <c r="C35" s="174" t="s">
        <v>270</v>
      </c>
      <c r="D35" s="177" t="s">
        <v>865</v>
      </c>
      <c r="E35" s="176" t="s">
        <v>270</v>
      </c>
      <c r="F35" s="173" t="s">
        <v>833</v>
      </c>
      <c r="G35" s="195">
        <f>+G22</f>
        <v>1</v>
      </c>
      <c r="H35" s="176">
        <f>+H19</f>
        <v>58.308751229105219</v>
      </c>
      <c r="I35" s="161"/>
      <c r="J35" s="180"/>
      <c r="K35" s="161"/>
      <c r="L35" s="161"/>
    </row>
    <row r="36" spans="2:12" ht="12.75" customHeight="1">
      <c r="B36" s="173" t="s">
        <v>866</v>
      </c>
      <c r="C36" s="174" t="s">
        <v>270</v>
      </c>
      <c r="D36" s="177" t="s">
        <v>867</v>
      </c>
      <c r="E36" s="176" t="s">
        <v>270</v>
      </c>
      <c r="F36" s="173" t="s">
        <v>833</v>
      </c>
      <c r="G36" s="195">
        <f t="shared" ref="G36:H36" si="7">+G22</f>
        <v>1</v>
      </c>
      <c r="H36" s="176">
        <f t="shared" si="7"/>
        <v>2000</v>
      </c>
      <c r="I36" s="161"/>
      <c r="J36" s="197"/>
      <c r="K36" s="171"/>
      <c r="L36" s="171"/>
    </row>
    <row r="37" spans="2:12" ht="12.75" customHeight="1">
      <c r="B37" s="173" t="s">
        <v>868</v>
      </c>
      <c r="C37" s="174" t="s">
        <v>270</v>
      </c>
      <c r="D37" s="177" t="s">
        <v>837</v>
      </c>
      <c r="E37" s="176" t="s">
        <v>270</v>
      </c>
      <c r="F37" s="173" t="s">
        <v>838</v>
      </c>
      <c r="G37" s="195">
        <f t="shared" ref="G37:H37" si="8">+G18</f>
        <v>100</v>
      </c>
      <c r="H37" s="176">
        <f t="shared" si="8"/>
        <v>150</v>
      </c>
      <c r="I37" s="161"/>
      <c r="J37" s="161"/>
      <c r="K37" s="161"/>
      <c r="L37" s="161"/>
    </row>
    <row r="38" spans="2:12" ht="12.75" customHeight="1">
      <c r="B38" s="173" t="s">
        <v>869</v>
      </c>
      <c r="C38" s="174" t="s">
        <v>270</v>
      </c>
      <c r="D38" s="177" t="s">
        <v>870</v>
      </c>
      <c r="E38" s="176" t="s">
        <v>270</v>
      </c>
      <c r="F38" s="173" t="s">
        <v>871</v>
      </c>
      <c r="G38" s="195">
        <f>+G18</f>
        <v>100</v>
      </c>
      <c r="H38" s="176">
        <f>+H19</f>
        <v>58.308751229105219</v>
      </c>
      <c r="I38" s="161"/>
      <c r="J38" s="161"/>
      <c r="K38" s="161"/>
      <c r="L38" s="161"/>
    </row>
    <row r="39" spans="2:12" ht="12.75" customHeight="1">
      <c r="B39" s="173" t="s">
        <v>872</v>
      </c>
      <c r="C39" s="174" t="s">
        <v>270</v>
      </c>
      <c r="D39" s="177" t="s">
        <v>873</v>
      </c>
      <c r="E39" s="176" t="s">
        <v>270</v>
      </c>
      <c r="F39" s="173" t="s">
        <v>874</v>
      </c>
      <c r="G39" s="177">
        <v>59.3</v>
      </c>
      <c r="H39" s="176">
        <v>120000</v>
      </c>
      <c r="I39" s="161"/>
      <c r="J39" s="184" t="s">
        <v>875</v>
      </c>
      <c r="K39" s="161">
        <v>42.4</v>
      </c>
      <c r="L39" s="161" t="s">
        <v>876</v>
      </c>
    </row>
    <row r="40" spans="2:12" ht="12.75" customHeight="1">
      <c r="B40" s="173" t="s">
        <v>877</v>
      </c>
      <c r="C40" s="174"/>
      <c r="D40" s="177" t="s">
        <v>878</v>
      </c>
      <c r="E40" s="176" t="s">
        <v>270</v>
      </c>
      <c r="F40" s="173" t="s">
        <v>824</v>
      </c>
      <c r="G40" s="195">
        <f t="shared" ref="G40:H40" si="9">+G22</f>
        <v>1</v>
      </c>
      <c r="H40" s="176">
        <f t="shared" si="9"/>
        <v>2000</v>
      </c>
      <c r="I40" s="161"/>
      <c r="J40" s="180"/>
      <c r="K40" s="161"/>
      <c r="L40" s="161"/>
    </row>
    <row r="41" spans="2:12" ht="12.75" customHeight="1">
      <c r="B41" s="173" t="s">
        <v>879</v>
      </c>
      <c r="C41" s="174" t="s">
        <v>270</v>
      </c>
      <c r="D41" s="177" t="s">
        <v>880</v>
      </c>
      <c r="E41" s="176" t="s">
        <v>270</v>
      </c>
      <c r="F41" s="173" t="s">
        <v>845</v>
      </c>
      <c r="G41" s="177" t="s">
        <v>270</v>
      </c>
      <c r="H41" s="176">
        <f>+H28</f>
        <v>0</v>
      </c>
      <c r="I41" s="161"/>
      <c r="J41" s="198"/>
      <c r="K41" s="199"/>
      <c r="L41" s="161"/>
    </row>
    <row r="42" spans="2:12" ht="12.75" customHeight="1">
      <c r="B42" s="173" t="s">
        <v>881</v>
      </c>
      <c r="C42" s="174"/>
      <c r="D42" s="177" t="s">
        <v>2588</v>
      </c>
      <c r="E42" s="176"/>
      <c r="F42" s="173" t="s">
        <v>306</v>
      </c>
      <c r="G42" s="177"/>
      <c r="H42" s="176">
        <v>450000</v>
      </c>
      <c r="I42" s="161"/>
      <c r="J42" s="180"/>
      <c r="K42" s="161"/>
      <c r="L42" s="161"/>
    </row>
    <row r="43" spans="2:12" ht="12.75" customHeight="1">
      <c r="B43" s="200"/>
      <c r="C43" s="201"/>
      <c r="D43" s="202" t="s">
        <v>679</v>
      </c>
      <c r="E43" s="203"/>
      <c r="F43" s="200"/>
      <c r="G43" s="204"/>
      <c r="H43" s="203"/>
      <c r="I43" s="161"/>
      <c r="J43" s="180"/>
      <c r="K43" s="161"/>
      <c r="L43" s="161"/>
    </row>
    <row r="44" spans="2:12" ht="12.75" customHeight="1">
      <c r="B44" s="173" t="s">
        <v>881</v>
      </c>
      <c r="C44" s="174"/>
      <c r="D44" s="177" t="s">
        <v>882</v>
      </c>
      <c r="E44" s="176"/>
      <c r="F44" s="173" t="s">
        <v>850</v>
      </c>
      <c r="G44" s="177">
        <v>117</v>
      </c>
      <c r="H44" s="176">
        <v>45</v>
      </c>
      <c r="I44" s="161"/>
      <c r="J44" s="180"/>
      <c r="K44" s="161"/>
      <c r="L44" s="161"/>
    </row>
    <row r="45" spans="2:12" ht="12.75" customHeight="1">
      <c r="B45" s="173" t="s">
        <v>883</v>
      </c>
      <c r="C45" s="174"/>
      <c r="D45" s="177" t="s">
        <v>884</v>
      </c>
      <c r="E45" s="176"/>
      <c r="F45" s="173" t="s">
        <v>850</v>
      </c>
      <c r="G45" s="177">
        <v>177</v>
      </c>
      <c r="H45" s="176">
        <v>10</v>
      </c>
      <c r="I45" s="161"/>
      <c r="J45" s="180"/>
      <c r="K45" s="161"/>
      <c r="L45" s="161"/>
    </row>
    <row r="46" spans="2:12" ht="12.75" customHeight="1">
      <c r="B46" s="173" t="s">
        <v>885</v>
      </c>
      <c r="C46" s="174"/>
      <c r="D46" s="177" t="s">
        <v>886</v>
      </c>
      <c r="E46" s="176"/>
      <c r="F46" s="173" t="s">
        <v>850</v>
      </c>
      <c r="G46" s="177">
        <v>117</v>
      </c>
      <c r="H46" s="176">
        <v>5</v>
      </c>
      <c r="I46" s="161"/>
      <c r="J46" s="180"/>
      <c r="K46" s="161"/>
      <c r="L46" s="161"/>
    </row>
    <row r="47" spans="2:12" ht="12.75" customHeight="1">
      <c r="B47" s="173" t="s">
        <v>887</v>
      </c>
      <c r="C47" s="174"/>
      <c r="D47" s="177" t="s">
        <v>888</v>
      </c>
      <c r="E47" s="176"/>
      <c r="F47" s="173" t="s">
        <v>850</v>
      </c>
      <c r="G47" s="177">
        <v>117</v>
      </c>
      <c r="H47" s="176">
        <v>2800</v>
      </c>
      <c r="I47" s="161"/>
      <c r="J47" s="180"/>
      <c r="K47" s="161"/>
      <c r="L47" s="161"/>
    </row>
    <row r="48" spans="2:12" ht="12.75" customHeight="1">
      <c r="B48" s="173" t="s">
        <v>889</v>
      </c>
      <c r="C48" s="174"/>
      <c r="D48" s="177" t="s">
        <v>890</v>
      </c>
      <c r="E48" s="176"/>
      <c r="F48" s="173" t="s">
        <v>850</v>
      </c>
      <c r="G48" s="177">
        <v>117</v>
      </c>
      <c r="H48" s="176">
        <v>283</v>
      </c>
      <c r="I48" s="161"/>
      <c r="J48" s="180"/>
      <c r="K48" s="161"/>
      <c r="L48" s="161"/>
    </row>
    <row r="49" spans="2:12" ht="12.75" customHeight="1">
      <c r="B49" s="173" t="s">
        <v>891</v>
      </c>
      <c r="C49" s="174"/>
      <c r="D49" s="177" t="s">
        <v>892</v>
      </c>
      <c r="E49" s="176"/>
      <c r="F49" s="173" t="s">
        <v>850</v>
      </c>
      <c r="G49" s="177">
        <v>117</v>
      </c>
      <c r="H49" s="176">
        <v>10</v>
      </c>
      <c r="I49" s="161"/>
      <c r="J49" s="180"/>
      <c r="K49" s="161"/>
      <c r="L49" s="161"/>
    </row>
    <row r="50" spans="2:12" ht="12.75" customHeight="1">
      <c r="B50" s="173"/>
      <c r="C50" s="174"/>
      <c r="D50" s="177"/>
      <c r="E50" s="176"/>
      <c r="F50" s="173"/>
      <c r="G50" s="177"/>
      <c r="H50" s="176"/>
      <c r="I50" s="161"/>
      <c r="J50" s="180"/>
      <c r="K50" s="161"/>
      <c r="L50" s="161"/>
    </row>
    <row r="51" spans="2:12" ht="12.75" customHeight="1">
      <c r="B51" s="173"/>
      <c r="C51" s="174"/>
      <c r="D51" s="177"/>
      <c r="E51" s="176"/>
      <c r="F51" s="173"/>
      <c r="G51" s="177"/>
      <c r="H51" s="176"/>
      <c r="I51" s="161"/>
      <c r="J51" s="180"/>
      <c r="K51" s="161"/>
      <c r="L51" s="161"/>
    </row>
    <row r="52" spans="2:12" ht="12.75" customHeight="1">
      <c r="B52" s="173"/>
      <c r="C52" s="174"/>
      <c r="D52" s="177"/>
      <c r="E52" s="176"/>
      <c r="F52" s="173"/>
      <c r="G52" s="177"/>
      <c r="H52" s="176"/>
      <c r="I52" s="161"/>
      <c r="J52" s="180"/>
      <c r="K52" s="161"/>
      <c r="L52" s="161"/>
    </row>
    <row r="53" spans="2:12" ht="12.75" customHeight="1">
      <c r="B53" s="173"/>
      <c r="C53" s="174"/>
      <c r="D53" s="177"/>
      <c r="E53" s="176"/>
      <c r="F53" s="173"/>
      <c r="G53" s="177"/>
      <c r="H53" s="176"/>
      <c r="I53" s="161"/>
      <c r="J53" s="180"/>
      <c r="K53" s="161"/>
      <c r="L53" s="161"/>
    </row>
    <row r="54" spans="2:12" ht="12.75" customHeight="1">
      <c r="B54" s="173"/>
      <c r="C54" s="174"/>
      <c r="D54" s="177"/>
      <c r="E54" s="176"/>
      <c r="F54" s="173"/>
      <c r="G54" s="177"/>
      <c r="H54" s="176"/>
      <c r="I54" s="161"/>
    </row>
    <row r="55" spans="2:12" ht="12.75" customHeight="1">
      <c r="B55" s="173"/>
      <c r="C55" s="174"/>
      <c r="D55" s="177"/>
      <c r="E55" s="176"/>
      <c r="F55" s="173"/>
      <c r="G55" s="177"/>
      <c r="H55" s="176"/>
      <c r="I55" s="161"/>
    </row>
    <row r="56" spans="2:12" ht="12.75" customHeight="1">
      <c r="B56" s="173"/>
      <c r="C56" s="174"/>
      <c r="D56" s="177"/>
      <c r="E56" s="176"/>
      <c r="F56" s="173"/>
      <c r="G56" s="177"/>
      <c r="H56" s="176"/>
      <c r="I56" s="161"/>
    </row>
    <row r="57" spans="2:12" ht="12.75" customHeight="1">
      <c r="B57" s="173"/>
      <c r="C57" s="174"/>
      <c r="D57" s="177"/>
      <c r="E57" s="176"/>
      <c r="F57" s="173"/>
      <c r="G57" s="177"/>
      <c r="H57" s="176"/>
      <c r="I57" s="161"/>
    </row>
    <row r="58" spans="2:12" ht="12.75" customHeight="1">
      <c r="B58" s="173"/>
      <c r="C58" s="174"/>
      <c r="D58" s="177"/>
      <c r="E58" s="176"/>
      <c r="F58" s="173"/>
      <c r="G58" s="177"/>
      <c r="H58" s="176"/>
      <c r="I58" s="161"/>
    </row>
    <row r="59" spans="2:12" ht="12.75" customHeight="1">
      <c r="B59" s="173"/>
      <c r="C59" s="174"/>
      <c r="D59" s="177"/>
      <c r="E59" s="176"/>
      <c r="F59" s="173"/>
      <c r="G59" s="177"/>
      <c r="H59" s="176"/>
      <c r="I59" s="161"/>
      <c r="J59" s="205" t="s">
        <v>893</v>
      </c>
    </row>
    <row r="60" spans="2:12" ht="12.75" customHeight="1">
      <c r="B60" s="173"/>
      <c r="C60" s="174"/>
      <c r="D60" s="177"/>
      <c r="E60" s="176"/>
      <c r="F60" s="173"/>
      <c r="G60" s="177"/>
      <c r="H60" s="176"/>
      <c r="I60" s="161"/>
      <c r="J60" s="161" t="s">
        <v>894</v>
      </c>
      <c r="K60" s="161">
        <v>46.8</v>
      </c>
      <c r="L60" s="161" t="s">
        <v>828</v>
      </c>
    </row>
    <row r="61" spans="2:12" ht="12.75" customHeight="1">
      <c r="B61" s="173"/>
      <c r="C61" s="174"/>
      <c r="D61" s="177"/>
      <c r="E61" s="176"/>
      <c r="F61" s="173"/>
      <c r="G61" s="177"/>
      <c r="H61" s="176"/>
      <c r="I61" s="161"/>
      <c r="J61" s="180"/>
      <c r="K61" s="161"/>
      <c r="L61" s="161"/>
    </row>
    <row r="62" spans="2:12" ht="12.75" customHeight="1">
      <c r="B62" s="173"/>
      <c r="C62" s="174"/>
      <c r="D62" s="177"/>
      <c r="E62" s="176"/>
      <c r="F62" s="173"/>
      <c r="G62" s="177"/>
      <c r="H62" s="176"/>
      <c r="I62" s="161"/>
      <c r="J62" s="180"/>
      <c r="K62" s="161"/>
      <c r="L62" s="161"/>
    </row>
    <row r="63" spans="2:12" ht="12.75" customHeight="1">
      <c r="B63" s="173"/>
      <c r="C63" s="174"/>
      <c r="D63" s="177"/>
      <c r="E63" s="176"/>
      <c r="F63" s="173"/>
      <c r="G63" s="177"/>
      <c r="H63" s="176"/>
      <c r="I63" s="161"/>
      <c r="J63" s="180"/>
      <c r="K63" s="161"/>
      <c r="L63" s="161"/>
    </row>
    <row r="64" spans="2:12" ht="12.75" customHeight="1">
      <c r="B64" s="173"/>
      <c r="C64" s="174"/>
      <c r="D64" s="177"/>
      <c r="E64" s="176"/>
      <c r="F64" s="173"/>
      <c r="G64" s="177"/>
      <c r="H64" s="176"/>
      <c r="I64" s="161"/>
      <c r="J64" s="180"/>
      <c r="K64" s="161"/>
      <c r="L64" s="161"/>
    </row>
    <row r="65" spans="2:12" ht="12.75" customHeight="1">
      <c r="B65" s="173"/>
      <c r="C65" s="174"/>
      <c r="D65" s="177"/>
      <c r="E65" s="176"/>
      <c r="F65" s="173"/>
      <c r="G65" s="177"/>
      <c r="H65" s="176"/>
      <c r="I65" s="161"/>
      <c r="J65" s="180"/>
      <c r="K65" s="161"/>
      <c r="L65" s="161"/>
    </row>
    <row r="66" spans="2:12" ht="12.75" customHeight="1">
      <c r="B66" s="173"/>
      <c r="C66" s="174"/>
      <c r="D66" s="177"/>
      <c r="E66" s="176"/>
      <c r="F66" s="173"/>
      <c r="G66" s="177"/>
      <c r="H66" s="176"/>
      <c r="I66" s="161"/>
      <c r="J66" s="180"/>
      <c r="K66" s="161"/>
      <c r="L66" s="161"/>
    </row>
    <row r="67" spans="2:12" ht="12.75" customHeight="1">
      <c r="B67" s="173"/>
      <c r="C67" s="174"/>
      <c r="D67" s="177"/>
      <c r="E67" s="176"/>
      <c r="F67" s="173"/>
      <c r="G67" s="177"/>
      <c r="H67" s="176"/>
      <c r="I67" s="161"/>
      <c r="J67" s="206"/>
      <c r="K67" s="161"/>
      <c r="L67" s="161"/>
    </row>
    <row r="68" spans="2:12" ht="12.75" customHeight="1">
      <c r="B68" s="173"/>
      <c r="C68" s="174"/>
      <c r="D68" s="177"/>
      <c r="E68" s="176"/>
      <c r="F68" s="173"/>
      <c r="G68" s="177"/>
      <c r="H68" s="176"/>
      <c r="I68" s="161"/>
      <c r="J68" s="180"/>
      <c r="K68" s="161"/>
      <c r="L68" s="161"/>
    </row>
    <row r="69" spans="2:12" ht="12.75" customHeight="1">
      <c r="B69" s="173"/>
      <c r="C69" s="174"/>
      <c r="D69" s="177"/>
      <c r="E69" s="176"/>
      <c r="F69" s="173"/>
      <c r="G69" s="177"/>
      <c r="H69" s="176"/>
      <c r="I69" s="161"/>
      <c r="J69" s="180"/>
      <c r="K69" s="161"/>
      <c r="L69" s="161"/>
    </row>
    <row r="70" spans="2:12" ht="12.75" customHeight="1">
      <c r="B70" s="173"/>
      <c r="C70" s="174"/>
      <c r="D70" s="177"/>
      <c r="E70" s="176"/>
      <c r="F70" s="173"/>
      <c r="G70" s="177"/>
      <c r="H70" s="176"/>
      <c r="I70" s="161"/>
      <c r="J70" s="180"/>
      <c r="K70" s="161"/>
      <c r="L70" s="161"/>
    </row>
    <row r="71" spans="2:12" ht="12.75" customHeight="1">
      <c r="B71" s="173"/>
      <c r="C71" s="174"/>
      <c r="D71" s="177"/>
      <c r="E71" s="176"/>
      <c r="F71" s="173"/>
      <c r="G71" s="177"/>
      <c r="H71" s="176"/>
      <c r="I71" s="161"/>
      <c r="J71" s="180"/>
      <c r="K71" s="161"/>
      <c r="L71" s="161"/>
    </row>
    <row r="72" spans="2:12" ht="12.75" customHeight="1">
      <c r="B72" s="173"/>
      <c r="C72" s="174"/>
      <c r="D72" s="177"/>
      <c r="E72" s="176"/>
      <c r="F72" s="173"/>
      <c r="G72" s="177"/>
      <c r="H72" s="176"/>
      <c r="I72" s="161"/>
      <c r="J72" s="180"/>
      <c r="K72" s="161"/>
      <c r="L72" s="161"/>
    </row>
    <row r="73" spans="2:12" ht="12.75" customHeight="1">
      <c r="B73" s="173"/>
      <c r="C73" s="174"/>
      <c r="D73" s="177"/>
      <c r="E73" s="176"/>
      <c r="F73" s="173"/>
      <c r="G73" s="177"/>
      <c r="H73" s="176"/>
      <c r="I73" s="161"/>
      <c r="J73" s="180"/>
      <c r="K73" s="161"/>
      <c r="L73" s="161"/>
    </row>
    <row r="74" spans="2:12" ht="12.75" customHeight="1">
      <c r="B74" s="173"/>
      <c r="C74" s="174"/>
      <c r="D74" s="177"/>
      <c r="E74" s="176"/>
      <c r="F74" s="173"/>
      <c r="G74" s="177"/>
      <c r="H74" s="176"/>
      <c r="I74" s="161"/>
      <c r="J74" s="206"/>
      <c r="K74" s="161"/>
      <c r="L74" s="161"/>
    </row>
    <row r="75" spans="2:12" ht="12.75" customHeight="1">
      <c r="B75" s="173"/>
      <c r="C75" s="174"/>
      <c r="D75" s="177"/>
      <c r="E75" s="176"/>
      <c r="F75" s="173"/>
      <c r="G75" s="177"/>
      <c r="H75" s="176"/>
      <c r="I75" s="161"/>
      <c r="J75" s="180"/>
      <c r="K75" s="161"/>
      <c r="L75" s="161"/>
    </row>
    <row r="76" spans="2:12" ht="12.75" customHeight="1">
      <c r="B76" s="173"/>
      <c r="C76" s="174"/>
      <c r="D76" s="177"/>
      <c r="E76" s="176"/>
      <c r="F76" s="173"/>
      <c r="G76" s="177"/>
      <c r="H76" s="176"/>
      <c r="I76" s="161"/>
      <c r="J76" s="180"/>
      <c r="K76" s="161"/>
      <c r="L76" s="161"/>
    </row>
    <row r="77" spans="2:12" ht="12.75" customHeight="1">
      <c r="B77" s="173"/>
      <c r="C77" s="174"/>
      <c r="D77" s="177"/>
      <c r="E77" s="176"/>
      <c r="F77" s="173"/>
      <c r="G77" s="177"/>
      <c r="H77" s="176"/>
      <c r="I77" s="161"/>
      <c r="J77" s="180"/>
      <c r="K77" s="161"/>
      <c r="L77" s="161"/>
    </row>
    <row r="78" spans="2:12" ht="12.75" customHeight="1">
      <c r="B78" s="173"/>
      <c r="C78" s="174"/>
      <c r="D78" s="177"/>
      <c r="E78" s="176"/>
      <c r="F78" s="173"/>
      <c r="G78" s="177"/>
      <c r="H78" s="176"/>
      <c r="I78" s="161"/>
      <c r="J78" s="180"/>
      <c r="K78" s="161"/>
      <c r="L78" s="161"/>
    </row>
    <row r="79" spans="2:12" ht="12.75" customHeight="1">
      <c r="B79" s="173"/>
      <c r="C79" s="174"/>
      <c r="D79" s="177"/>
      <c r="E79" s="176"/>
      <c r="F79" s="173"/>
      <c r="G79" s="177"/>
      <c r="H79" s="176"/>
      <c r="I79" s="161"/>
      <c r="K79" s="161"/>
      <c r="L79" s="161"/>
    </row>
    <row r="80" spans="2:12" ht="12.75" customHeight="1">
      <c r="B80" s="173"/>
      <c r="C80" s="174"/>
      <c r="D80" s="177"/>
      <c r="E80" s="176"/>
      <c r="F80" s="173"/>
      <c r="G80" s="177"/>
      <c r="H80" s="176"/>
      <c r="I80" s="161"/>
      <c r="J80" s="205" t="s">
        <v>895</v>
      </c>
      <c r="K80" s="161"/>
      <c r="L80" s="161"/>
    </row>
    <row r="81" spans="2:12" ht="12.75" customHeight="1">
      <c r="B81" s="173"/>
      <c r="C81" s="174"/>
      <c r="D81" s="177"/>
      <c r="E81" s="176"/>
      <c r="F81" s="173"/>
      <c r="G81" s="177"/>
      <c r="H81" s="176"/>
      <c r="I81" s="161"/>
      <c r="J81" s="180" t="s">
        <v>896</v>
      </c>
      <c r="K81" s="161">
        <v>5</v>
      </c>
      <c r="L81" s="161" t="s">
        <v>828</v>
      </c>
    </row>
    <row r="82" spans="2:12" ht="12.75" customHeight="1">
      <c r="B82" s="173"/>
      <c r="C82" s="174"/>
      <c r="D82" s="177"/>
      <c r="E82" s="176"/>
      <c r="F82" s="173"/>
      <c r="G82" s="177"/>
      <c r="H82" s="176"/>
      <c r="I82" s="161"/>
      <c r="J82" s="180"/>
      <c r="K82" s="161"/>
      <c r="L82" s="161"/>
    </row>
    <row r="83" spans="2:12" ht="12.75" customHeight="1">
      <c r="B83" s="173"/>
      <c r="C83" s="174"/>
      <c r="D83" s="177"/>
      <c r="E83" s="176"/>
      <c r="F83" s="173"/>
      <c r="G83" s="177"/>
      <c r="H83" s="176"/>
      <c r="I83" s="161"/>
      <c r="J83" s="180"/>
      <c r="K83" s="161"/>
      <c r="L83" s="161"/>
    </row>
    <row r="84" spans="2:12" ht="12.75" customHeight="1">
      <c r="B84" s="173"/>
      <c r="C84" s="174"/>
      <c r="D84" s="177"/>
      <c r="E84" s="176"/>
      <c r="F84" s="173"/>
      <c r="G84" s="177"/>
      <c r="H84" s="176"/>
      <c r="I84" s="161"/>
      <c r="J84" s="180"/>
      <c r="K84" s="161"/>
      <c r="L84" s="161"/>
    </row>
    <row r="85" spans="2:12" ht="12.75" customHeight="1">
      <c r="B85" s="173"/>
      <c r="C85" s="174"/>
      <c r="D85" s="177"/>
      <c r="E85" s="176"/>
      <c r="F85" s="173"/>
      <c r="G85" s="177"/>
      <c r="H85" s="176"/>
      <c r="I85" s="161"/>
      <c r="J85" s="180"/>
      <c r="K85" s="161"/>
      <c r="L85" s="161"/>
    </row>
    <row r="86" spans="2:12" ht="12.75" customHeight="1">
      <c r="B86" s="173"/>
      <c r="C86" s="174"/>
      <c r="D86" s="177"/>
      <c r="E86" s="176"/>
      <c r="F86" s="173"/>
      <c r="G86" s="177"/>
      <c r="H86" s="176"/>
      <c r="I86" s="161"/>
      <c r="J86" s="180"/>
      <c r="K86" s="161"/>
      <c r="L86" s="161"/>
    </row>
    <row r="87" spans="2:12" ht="12.75" customHeight="1">
      <c r="B87" s="173"/>
      <c r="C87" s="174"/>
      <c r="D87" s="177"/>
      <c r="E87" s="176"/>
      <c r="F87" s="173"/>
      <c r="G87" s="177"/>
      <c r="H87" s="176"/>
      <c r="I87" s="161"/>
      <c r="J87" s="206"/>
      <c r="K87" s="161"/>
      <c r="L87" s="161"/>
    </row>
    <row r="88" spans="2:12" ht="12.75" customHeight="1">
      <c r="B88" s="173"/>
      <c r="C88" s="174"/>
      <c r="D88" s="177"/>
      <c r="E88" s="176"/>
      <c r="F88" s="173"/>
      <c r="G88" s="177"/>
      <c r="H88" s="176"/>
      <c r="I88" s="161"/>
      <c r="J88" s="180"/>
      <c r="K88" s="161"/>
      <c r="L88" s="161"/>
    </row>
    <row r="89" spans="2:12" ht="12.75" customHeight="1">
      <c r="B89" s="173"/>
      <c r="C89" s="174"/>
      <c r="D89" s="177"/>
      <c r="E89" s="176"/>
      <c r="F89" s="173"/>
      <c r="G89" s="177"/>
      <c r="H89" s="176"/>
      <c r="I89" s="161"/>
      <c r="J89" s="180"/>
      <c r="K89" s="161"/>
      <c r="L89" s="161"/>
    </row>
    <row r="90" spans="2:12" ht="12.75" customHeight="1">
      <c r="B90" s="173"/>
      <c r="C90" s="174"/>
      <c r="D90" s="177"/>
      <c r="E90" s="176"/>
      <c r="F90" s="173"/>
      <c r="G90" s="177"/>
      <c r="H90" s="176"/>
      <c r="I90" s="161"/>
      <c r="J90" s="198"/>
      <c r="K90" s="161"/>
      <c r="L90" s="161"/>
    </row>
    <row r="91" spans="2:12" ht="12.75" customHeight="1">
      <c r="B91" s="173"/>
      <c r="C91" s="174"/>
      <c r="D91" s="177"/>
      <c r="E91" s="176"/>
      <c r="F91" s="173"/>
      <c r="G91" s="177"/>
      <c r="H91" s="176"/>
      <c r="I91" s="161"/>
      <c r="J91" s="180"/>
      <c r="K91" s="161"/>
      <c r="L91" s="161"/>
    </row>
    <row r="92" spans="2:12" ht="12.75" customHeight="1">
      <c r="B92" s="173"/>
      <c r="C92" s="174"/>
      <c r="D92" s="177"/>
      <c r="E92" s="176"/>
      <c r="F92" s="173"/>
      <c r="G92" s="177"/>
      <c r="H92" s="176"/>
      <c r="I92" s="161"/>
      <c r="J92" s="180"/>
      <c r="K92" s="161"/>
      <c r="L92" s="161"/>
    </row>
    <row r="93" spans="2:12" ht="12.75" customHeight="1">
      <c r="B93" s="173"/>
      <c r="C93" s="174"/>
      <c r="D93" s="177"/>
      <c r="E93" s="176"/>
      <c r="F93" s="173"/>
      <c r="G93" s="177"/>
      <c r="H93" s="176"/>
      <c r="I93" s="161"/>
      <c r="J93" s="180"/>
      <c r="K93" s="161"/>
      <c r="L93" s="161"/>
    </row>
    <row r="94" spans="2:12" ht="15.75" customHeight="1">
      <c r="B94" s="173"/>
      <c r="C94" s="174"/>
      <c r="D94" s="177"/>
      <c r="E94" s="176"/>
      <c r="F94" s="173"/>
      <c r="G94" s="177"/>
      <c r="H94" s="176"/>
      <c r="I94" s="161"/>
      <c r="J94" s="180"/>
      <c r="K94" s="161"/>
      <c r="L94" s="161"/>
    </row>
    <row r="95" spans="2:12" ht="12.75" customHeight="1">
      <c r="B95" s="173"/>
      <c r="C95" s="174"/>
      <c r="D95" s="177"/>
      <c r="E95" s="176"/>
      <c r="F95" s="173"/>
      <c r="G95" s="177"/>
      <c r="H95" s="176"/>
      <c r="I95" s="161"/>
      <c r="J95" s="180"/>
      <c r="K95" s="161"/>
      <c r="L95" s="161"/>
    </row>
    <row r="96" spans="2:12" ht="12.75" customHeight="1">
      <c r="B96" s="173"/>
      <c r="C96" s="174"/>
      <c r="D96" s="177"/>
      <c r="E96" s="176"/>
      <c r="F96" s="173"/>
      <c r="G96" s="177"/>
      <c r="H96" s="176"/>
      <c r="I96" s="161"/>
      <c r="J96" s="180"/>
      <c r="K96" s="161"/>
      <c r="L96" s="161"/>
    </row>
    <row r="97" spans="2:8" ht="12.75" customHeight="1">
      <c r="B97" s="207"/>
      <c r="C97" s="208"/>
      <c r="D97" s="209"/>
      <c r="E97" s="210"/>
      <c r="F97" s="207"/>
      <c r="G97" s="211"/>
      <c r="H97" s="210"/>
    </row>
    <row r="98" spans="2:8" ht="12.75" customHeight="1">
      <c r="B98" s="207"/>
      <c r="C98" s="208"/>
      <c r="D98" s="209"/>
      <c r="E98" s="210"/>
      <c r="F98" s="207"/>
      <c r="G98" s="211"/>
      <c r="H98" s="210"/>
    </row>
    <row r="99" spans="2:8" ht="12.75" customHeight="1">
      <c r="B99" s="207"/>
      <c r="C99" s="208"/>
      <c r="D99" s="209"/>
      <c r="E99" s="210"/>
      <c r="F99" s="207"/>
      <c r="G99" s="211"/>
      <c r="H99" s="210"/>
    </row>
    <row r="100" spans="2:8" ht="12.75" customHeight="1">
      <c r="B100" s="207"/>
      <c r="C100" s="208"/>
      <c r="D100" s="209"/>
      <c r="E100" s="210"/>
      <c r="F100" s="207"/>
      <c r="G100" s="211"/>
      <c r="H100" s="210"/>
    </row>
    <row r="101" spans="2:8" ht="12.75" customHeight="1">
      <c r="B101" s="207"/>
      <c r="C101" s="208"/>
      <c r="D101" s="209"/>
      <c r="E101" s="210"/>
      <c r="F101" s="207"/>
      <c r="G101" s="211"/>
      <c r="H101" s="210"/>
    </row>
    <row r="102" spans="2:8" ht="12.75" customHeight="1">
      <c r="B102" s="207"/>
      <c r="C102" s="208"/>
      <c r="D102" s="209"/>
      <c r="E102" s="210"/>
      <c r="F102" s="207"/>
      <c r="G102" s="211"/>
      <c r="H102" s="210"/>
    </row>
    <row r="103" spans="2:8" ht="12.75" customHeight="1">
      <c r="B103" s="207"/>
      <c r="C103" s="208"/>
      <c r="D103" s="209"/>
      <c r="E103" s="210"/>
      <c r="F103" s="207"/>
      <c r="G103" s="211"/>
      <c r="H103" s="210"/>
    </row>
    <row r="104" spans="2:8" ht="12.75" customHeight="1">
      <c r="B104" s="207"/>
      <c r="C104" s="208"/>
      <c r="D104" s="209"/>
      <c r="E104" s="210"/>
      <c r="F104" s="207"/>
      <c r="G104" s="209"/>
      <c r="H104" s="210"/>
    </row>
    <row r="105" spans="2:8" ht="12.75" customHeight="1">
      <c r="B105" s="207"/>
      <c r="C105" s="208"/>
      <c r="D105" s="209"/>
      <c r="E105" s="210"/>
      <c r="F105" s="207"/>
      <c r="G105" s="209"/>
      <c r="H105" s="210"/>
    </row>
    <row r="106" spans="2:8" ht="12.75" customHeight="1">
      <c r="B106" s="207"/>
      <c r="C106" s="208"/>
      <c r="D106" s="209"/>
      <c r="E106" s="210"/>
      <c r="F106" s="207"/>
      <c r="G106" s="211"/>
      <c r="H106" s="210"/>
    </row>
    <row r="107" spans="2:8" ht="12.75" customHeight="1">
      <c r="B107" s="207"/>
      <c r="C107" s="208"/>
      <c r="D107" s="209"/>
      <c r="E107" s="210"/>
      <c r="F107" s="207"/>
      <c r="G107" s="211"/>
      <c r="H107" s="210"/>
    </row>
    <row r="108" spans="2:8" ht="12.75" customHeight="1">
      <c r="B108" s="207"/>
      <c r="C108" s="208"/>
      <c r="D108" s="209"/>
      <c r="E108" s="210"/>
      <c r="F108" s="207"/>
      <c r="G108" s="211"/>
      <c r="H108" s="210"/>
    </row>
    <row r="109" spans="2:8" ht="12.75" customHeight="1">
      <c r="B109" s="207"/>
      <c r="C109" s="208"/>
      <c r="D109" s="209"/>
      <c r="E109" s="210"/>
      <c r="F109" s="207"/>
      <c r="G109" s="211"/>
      <c r="H109" s="210"/>
    </row>
    <row r="110" spans="2:8" ht="12.75" customHeight="1">
      <c r="B110" s="207"/>
      <c r="C110" s="208"/>
      <c r="D110" s="209"/>
      <c r="E110" s="210"/>
      <c r="F110" s="207"/>
      <c r="G110" s="211"/>
      <c r="H110" s="210"/>
    </row>
    <row r="111" spans="2:8" ht="12.75" customHeight="1">
      <c r="B111" s="207"/>
      <c r="C111" s="208"/>
      <c r="D111" s="209"/>
      <c r="E111" s="210"/>
      <c r="F111" s="207"/>
      <c r="G111" s="211"/>
      <c r="H111" s="210"/>
    </row>
    <row r="112" spans="2:8" ht="12.75" customHeight="1">
      <c r="B112" s="207"/>
      <c r="C112" s="208"/>
      <c r="D112" s="209"/>
      <c r="E112" s="210"/>
      <c r="F112" s="207"/>
      <c r="G112" s="211"/>
      <c r="H112" s="210"/>
    </row>
    <row r="113" spans="2:8" ht="12.75" customHeight="1">
      <c r="B113" s="207"/>
      <c r="C113" s="208"/>
      <c r="D113" s="209"/>
      <c r="E113" s="210"/>
      <c r="F113" s="207"/>
      <c r="G113" s="211"/>
      <c r="H113" s="210"/>
    </row>
    <row r="114" spans="2:8" ht="12.75" customHeight="1">
      <c r="B114" s="207"/>
      <c r="C114" s="208"/>
      <c r="D114" s="209"/>
      <c r="E114" s="208"/>
      <c r="F114" s="207"/>
      <c r="G114" s="211"/>
      <c r="H114" s="210"/>
    </row>
    <row r="115" spans="2:8" ht="12.75" customHeight="1">
      <c r="B115" s="207"/>
      <c r="C115" s="208"/>
      <c r="D115" s="209"/>
      <c r="E115" s="208"/>
      <c r="F115" s="207"/>
      <c r="G115" s="211"/>
      <c r="H115" s="210"/>
    </row>
    <row r="116" spans="2:8" ht="12.75" customHeight="1">
      <c r="B116" s="207"/>
      <c r="C116" s="208"/>
      <c r="D116" s="209"/>
      <c r="E116" s="208"/>
      <c r="F116" s="207"/>
      <c r="G116" s="211"/>
      <c r="H116" s="210"/>
    </row>
    <row r="117" spans="2:8" ht="12.75" customHeight="1">
      <c r="B117" s="207"/>
      <c r="C117" s="208"/>
      <c r="D117" s="209"/>
      <c r="E117" s="210"/>
      <c r="F117" s="207"/>
      <c r="G117" s="209"/>
      <c r="H117" s="210"/>
    </row>
    <row r="118" spans="2:8" ht="12.75" customHeight="1">
      <c r="B118" s="207"/>
      <c r="C118" s="208"/>
      <c r="D118" s="209"/>
      <c r="E118" s="210"/>
      <c r="F118" s="207"/>
      <c r="G118" s="209"/>
      <c r="H118" s="210"/>
    </row>
    <row r="119" spans="2:8" ht="12.75" customHeight="1">
      <c r="B119" s="207"/>
      <c r="C119" s="208"/>
      <c r="D119" s="209"/>
      <c r="E119" s="210"/>
      <c r="F119" s="207"/>
      <c r="G119" s="209"/>
      <c r="H119" s="210"/>
    </row>
    <row r="120" spans="2:8" ht="12.75" customHeight="1">
      <c r="B120" s="207"/>
      <c r="C120" s="208"/>
      <c r="D120" s="209"/>
      <c r="E120" s="210"/>
      <c r="F120" s="207"/>
      <c r="G120" s="209"/>
      <c r="H120" s="210"/>
    </row>
    <row r="121" spans="2:8" ht="12.75" customHeight="1">
      <c r="B121" s="207"/>
      <c r="C121" s="208"/>
      <c r="D121" s="209"/>
      <c r="E121" s="210"/>
      <c r="F121" s="207"/>
      <c r="G121" s="211"/>
      <c r="H121" s="210"/>
    </row>
    <row r="122" spans="2:8" ht="12.75" customHeight="1">
      <c r="B122" s="207"/>
      <c r="C122" s="208"/>
      <c r="D122" s="209"/>
      <c r="E122" s="210"/>
      <c r="F122" s="207"/>
      <c r="G122" s="211"/>
      <c r="H122" s="210"/>
    </row>
    <row r="123" spans="2:8" ht="12.75" customHeight="1">
      <c r="B123" s="207"/>
      <c r="C123" s="208"/>
      <c r="D123" s="209"/>
      <c r="E123" s="210"/>
      <c r="F123" s="207"/>
      <c r="G123" s="211"/>
      <c r="H123" s="210"/>
    </row>
    <row r="124" spans="2:8" ht="12.75" customHeight="1">
      <c r="B124" s="207"/>
      <c r="C124" s="208"/>
      <c r="D124" s="209"/>
      <c r="E124" s="210"/>
      <c r="F124" s="207"/>
      <c r="G124" s="211"/>
      <c r="H124" s="210"/>
    </row>
    <row r="125" spans="2:8" ht="12.75" customHeight="1">
      <c r="B125" s="207"/>
      <c r="C125" s="208"/>
      <c r="D125" s="209"/>
      <c r="E125" s="210"/>
      <c r="F125" s="207"/>
      <c r="G125" s="211"/>
      <c r="H125" s="210"/>
    </row>
    <row r="126" spans="2:8" ht="12.75" customHeight="1">
      <c r="B126" s="207"/>
      <c r="C126" s="208"/>
      <c r="D126" s="209"/>
      <c r="E126" s="210"/>
      <c r="F126" s="207"/>
      <c r="G126" s="211"/>
      <c r="H126" s="210"/>
    </row>
    <row r="127" spans="2:8" ht="12.75" customHeight="1">
      <c r="B127" s="207"/>
      <c r="C127" s="208"/>
      <c r="D127" s="209"/>
      <c r="E127" s="210"/>
      <c r="F127" s="207"/>
      <c r="G127" s="211"/>
      <c r="H127" s="210"/>
    </row>
    <row r="128" spans="2:8" ht="12.75" customHeight="1">
      <c r="B128" s="207"/>
      <c r="C128" s="208"/>
      <c r="D128" s="209"/>
      <c r="E128" s="210"/>
      <c r="F128" s="207"/>
      <c r="G128" s="211"/>
      <c r="H128" s="210"/>
    </row>
    <row r="129" spans="2:8" ht="12.75" customHeight="1">
      <c r="B129" s="207"/>
      <c r="C129" s="208"/>
      <c r="D129" s="209"/>
      <c r="E129" s="210"/>
      <c r="F129" s="207"/>
      <c r="G129" s="211"/>
      <c r="H129" s="210"/>
    </row>
    <row r="130" spans="2:8" ht="12.75" customHeight="1">
      <c r="B130" s="207"/>
      <c r="C130" s="208"/>
      <c r="D130" s="209"/>
      <c r="E130" s="210"/>
      <c r="F130" s="207"/>
      <c r="G130" s="211"/>
      <c r="H130" s="210"/>
    </row>
    <row r="131" spans="2:8" ht="12.75" customHeight="1">
      <c r="B131" s="207"/>
      <c r="C131" s="208"/>
      <c r="D131" s="209"/>
      <c r="E131" s="210"/>
      <c r="F131" s="207"/>
      <c r="G131" s="211"/>
      <c r="H131" s="210"/>
    </row>
    <row r="132" spans="2:8" ht="12.75" customHeight="1">
      <c r="B132" s="207"/>
      <c r="C132" s="208"/>
      <c r="D132" s="209"/>
      <c r="E132" s="210"/>
      <c r="F132" s="207"/>
      <c r="G132" s="209"/>
      <c r="H132" s="210"/>
    </row>
    <row r="133" spans="2:8" ht="12.75" customHeight="1">
      <c r="B133" s="207"/>
      <c r="C133" s="208"/>
      <c r="D133" s="209"/>
      <c r="E133" s="210"/>
      <c r="F133" s="207"/>
      <c r="G133" s="211"/>
      <c r="H133" s="210"/>
    </row>
    <row r="134" spans="2:8" ht="12.75" customHeight="1">
      <c r="B134" s="207"/>
      <c r="C134" s="208"/>
      <c r="D134" s="209"/>
      <c r="E134" s="210"/>
      <c r="F134" s="207"/>
      <c r="G134" s="209"/>
      <c r="H134" s="210"/>
    </row>
    <row r="135" spans="2:8" ht="12.75" customHeight="1">
      <c r="B135" s="207"/>
      <c r="C135" s="208"/>
      <c r="D135" s="209"/>
      <c r="E135" s="210"/>
      <c r="F135" s="207"/>
      <c r="G135" s="209"/>
      <c r="H135" s="210"/>
    </row>
    <row r="136" spans="2:8" ht="12.75" customHeight="1">
      <c r="B136" s="173"/>
      <c r="C136" s="174"/>
      <c r="D136" s="177" t="s">
        <v>804</v>
      </c>
      <c r="E136" s="176"/>
      <c r="F136" s="173"/>
      <c r="G136" s="177"/>
      <c r="H136" s="176"/>
    </row>
    <row r="137" spans="2:8" ht="12.75" customHeight="1">
      <c r="B137" s="173"/>
      <c r="C137" s="174"/>
      <c r="D137" s="177" t="s">
        <v>804</v>
      </c>
      <c r="E137" s="176"/>
      <c r="F137" s="173"/>
      <c r="G137" s="177"/>
      <c r="H137" s="176"/>
    </row>
    <row r="138" spans="2:8" ht="12.75" customHeight="1">
      <c r="B138" s="173"/>
      <c r="C138" s="174"/>
      <c r="D138" s="177" t="s">
        <v>804</v>
      </c>
      <c r="E138" s="176"/>
      <c r="F138" s="173"/>
      <c r="G138" s="177"/>
      <c r="H138" s="176"/>
    </row>
    <row r="139" spans="2:8" ht="12.75" customHeight="1">
      <c r="B139" s="173" t="s">
        <v>804</v>
      </c>
      <c r="C139" s="174"/>
      <c r="D139" s="177"/>
      <c r="E139" s="176"/>
      <c r="F139" s="173"/>
      <c r="G139" s="177"/>
      <c r="H139" s="176"/>
    </row>
    <row r="140" spans="2:8" ht="12.75" customHeight="1">
      <c r="B140" s="173"/>
      <c r="C140" s="174"/>
      <c r="D140" s="177"/>
      <c r="E140" s="176"/>
      <c r="F140" s="173"/>
      <c r="G140" s="177"/>
      <c r="H140" s="176"/>
    </row>
    <row r="141" spans="2:8" ht="12.75" customHeight="1">
      <c r="B141" s="173"/>
      <c r="C141" s="174"/>
      <c r="D141" s="177"/>
      <c r="E141" s="176"/>
      <c r="F141" s="173"/>
      <c r="G141" s="177"/>
      <c r="H141" s="176"/>
    </row>
    <row r="142" spans="2:8" ht="12.75" customHeight="1">
      <c r="B142" s="173"/>
      <c r="C142" s="174"/>
      <c r="D142" s="177"/>
      <c r="E142" s="176"/>
      <c r="F142" s="173"/>
      <c r="G142" s="177"/>
      <c r="H142" s="176"/>
    </row>
    <row r="143" spans="2:8" ht="12.75" customHeight="1">
      <c r="B143" s="173"/>
      <c r="C143" s="174"/>
      <c r="D143" s="177"/>
      <c r="E143" s="176"/>
      <c r="F143" s="173"/>
      <c r="G143" s="177"/>
      <c r="H143" s="176"/>
    </row>
    <row r="144" spans="2:8" ht="12.75" customHeight="1">
      <c r="B144" s="173"/>
      <c r="C144" s="174"/>
      <c r="D144" s="177"/>
      <c r="E144" s="176"/>
      <c r="F144" s="173"/>
      <c r="G144" s="177"/>
      <c r="H144" s="176"/>
    </row>
    <row r="145" spans="2:17" ht="12.75" customHeight="1">
      <c r="B145" s="173"/>
      <c r="C145" s="174"/>
      <c r="D145" s="177"/>
      <c r="E145" s="176"/>
      <c r="F145" s="173"/>
      <c r="G145" s="177"/>
      <c r="H145" s="176"/>
      <c r="I145" s="161"/>
      <c r="O145" s="161"/>
      <c r="P145" s="161"/>
      <c r="Q145" s="180"/>
    </row>
    <row r="146" spans="2:17" ht="12.75" customHeight="1">
      <c r="B146" s="173"/>
      <c r="C146" s="174"/>
      <c r="D146" s="177"/>
      <c r="E146" s="176"/>
      <c r="F146" s="173"/>
      <c r="G146" s="177"/>
      <c r="H146" s="176"/>
      <c r="I146" s="161"/>
      <c r="O146" s="161"/>
      <c r="P146" s="161"/>
      <c r="Q146" s="180" t="str">
        <f>UPPER(B139)</f>
        <v/>
      </c>
    </row>
    <row r="147" spans="2:17" ht="12.75" customHeight="1">
      <c r="B147" s="173"/>
      <c r="C147" s="174"/>
      <c r="D147" s="177"/>
      <c r="E147" s="176"/>
      <c r="F147" s="173"/>
      <c r="G147" s="177"/>
      <c r="H147" s="176"/>
      <c r="I147" s="161"/>
      <c r="O147" s="161"/>
      <c r="P147" s="161"/>
      <c r="Q147" s="180"/>
    </row>
    <row r="148" spans="2:17" ht="12.75" customHeight="1">
      <c r="B148" s="173"/>
      <c r="C148" s="174"/>
      <c r="D148" s="177"/>
      <c r="E148" s="176"/>
      <c r="F148" s="173"/>
      <c r="G148" s="177"/>
      <c r="H148" s="176"/>
      <c r="I148" s="161"/>
      <c r="O148" s="161"/>
      <c r="P148" s="161"/>
      <c r="Q148" s="180"/>
    </row>
    <row r="149" spans="2:17" ht="12.75" customHeight="1">
      <c r="B149" s="173"/>
      <c r="C149" s="174"/>
      <c r="D149" s="177"/>
      <c r="E149" s="176"/>
      <c r="F149" s="173"/>
      <c r="G149" s="177"/>
      <c r="H149" s="176"/>
      <c r="I149" s="161"/>
      <c r="O149" s="161"/>
      <c r="P149" s="161"/>
      <c r="Q149" s="180"/>
    </row>
    <row r="150" spans="2:17" ht="12.75" customHeight="1">
      <c r="B150" s="173"/>
      <c r="C150" s="174"/>
      <c r="D150" s="177"/>
      <c r="E150" s="176"/>
      <c r="F150" s="173"/>
      <c r="G150" s="177"/>
      <c r="H150" s="176"/>
      <c r="I150" s="161"/>
      <c r="O150" s="161"/>
      <c r="P150" s="161"/>
      <c r="Q150" s="180"/>
    </row>
    <row r="151" spans="2:17" ht="12.75" customHeight="1">
      <c r="B151" s="173"/>
      <c r="C151" s="174"/>
      <c r="D151" s="177"/>
      <c r="E151" s="176"/>
      <c r="F151" s="173"/>
      <c r="G151" s="177"/>
      <c r="H151" s="176"/>
      <c r="I151" s="161"/>
      <c r="O151" s="161"/>
      <c r="P151" s="161"/>
      <c r="Q151" s="180"/>
    </row>
    <row r="152" spans="2:17" ht="12.75" customHeight="1">
      <c r="B152" s="173"/>
      <c r="C152" s="174"/>
      <c r="D152" s="177"/>
      <c r="E152" s="176"/>
      <c r="F152" s="173"/>
      <c r="G152" s="177"/>
      <c r="H152" s="176"/>
      <c r="I152" s="161"/>
      <c r="O152" s="161"/>
      <c r="P152" s="161"/>
      <c r="Q152" s="180"/>
    </row>
    <row r="153" spans="2:17" ht="12.75" customHeight="1">
      <c r="B153" s="173"/>
      <c r="C153" s="174"/>
      <c r="D153" s="177"/>
      <c r="E153" s="176"/>
      <c r="F153" s="173"/>
      <c r="G153" s="177"/>
      <c r="H153" s="176"/>
      <c r="I153" s="161"/>
      <c r="O153" s="161"/>
      <c r="P153" s="161"/>
      <c r="Q153" s="180"/>
    </row>
    <row r="154" spans="2:17" ht="12.75" customHeight="1">
      <c r="B154" s="173"/>
      <c r="C154" s="174"/>
      <c r="D154" s="177"/>
      <c r="E154" s="176"/>
      <c r="F154" s="173"/>
      <c r="G154" s="177"/>
      <c r="H154" s="176"/>
      <c r="I154" s="161"/>
      <c r="O154" s="161"/>
      <c r="P154" s="161"/>
      <c r="Q154" s="180"/>
    </row>
    <row r="155" spans="2:17" ht="12.75" customHeight="1">
      <c r="B155" s="173"/>
      <c r="C155" s="174"/>
      <c r="D155" s="177"/>
      <c r="E155" s="176"/>
      <c r="F155" s="173"/>
      <c r="G155" s="177"/>
      <c r="H155" s="176"/>
      <c r="I155" s="161"/>
      <c r="O155" s="161"/>
      <c r="P155" s="161"/>
      <c r="Q155" s="180"/>
    </row>
    <row r="156" spans="2:17" ht="12.75" customHeight="1">
      <c r="B156" s="173"/>
      <c r="C156" s="174"/>
      <c r="D156" s="177"/>
      <c r="E156" s="176"/>
      <c r="F156" s="173"/>
      <c r="G156" s="177"/>
      <c r="H156" s="176"/>
      <c r="I156" s="161"/>
      <c r="O156" s="161"/>
      <c r="P156" s="161"/>
      <c r="Q156" s="180"/>
    </row>
    <row r="157" spans="2:17" ht="12.75" customHeight="1">
      <c r="B157" s="173"/>
      <c r="C157" s="174"/>
      <c r="D157" s="177"/>
      <c r="E157" s="176"/>
      <c r="F157" s="173"/>
      <c r="G157" s="177"/>
      <c r="H157" s="176"/>
      <c r="I157" s="161"/>
      <c r="O157" s="161"/>
      <c r="P157" s="161"/>
      <c r="Q157" s="180"/>
    </row>
    <row r="158" spans="2:17" ht="12.75" customHeight="1">
      <c r="B158" s="173"/>
      <c r="C158" s="174"/>
      <c r="D158" s="177"/>
      <c r="E158" s="176"/>
      <c r="F158" s="173"/>
      <c r="G158" s="177"/>
      <c r="H158" s="176"/>
      <c r="I158" s="161"/>
      <c r="O158" s="161"/>
      <c r="P158" s="161"/>
      <c r="Q158" s="180"/>
    </row>
    <row r="159" spans="2:17" ht="12.75" customHeight="1">
      <c r="B159" s="173"/>
      <c r="C159" s="174"/>
      <c r="D159" s="177"/>
      <c r="E159" s="176"/>
      <c r="F159" s="173"/>
      <c r="G159" s="177"/>
      <c r="H159" s="176"/>
      <c r="I159" s="161"/>
      <c r="O159" s="161"/>
      <c r="P159" s="161"/>
      <c r="Q159" s="180"/>
    </row>
    <row r="160" spans="2:17" ht="12.75" customHeight="1">
      <c r="B160" s="173"/>
      <c r="C160" s="174"/>
      <c r="D160" s="177"/>
      <c r="E160" s="176"/>
      <c r="F160" s="173"/>
      <c r="G160" s="177"/>
      <c r="H160" s="176"/>
      <c r="I160" s="161"/>
      <c r="O160" s="161"/>
      <c r="P160" s="161"/>
      <c r="Q160" s="180"/>
    </row>
    <row r="161" spans="2:8" ht="12.75" customHeight="1">
      <c r="B161" s="173"/>
      <c r="C161" s="174"/>
      <c r="D161" s="177"/>
      <c r="E161" s="176"/>
      <c r="F161" s="173"/>
      <c r="G161" s="177"/>
      <c r="H161" s="176"/>
    </row>
    <row r="162" spans="2:8" ht="12.75" customHeight="1">
      <c r="B162" s="173"/>
      <c r="C162" s="174"/>
      <c r="D162" s="177"/>
      <c r="E162" s="176"/>
      <c r="F162" s="173"/>
      <c r="G162" s="177"/>
      <c r="H162" s="176"/>
    </row>
    <row r="163" spans="2:8" ht="12.75" customHeight="1">
      <c r="B163" s="173"/>
      <c r="C163" s="174"/>
      <c r="D163" s="177"/>
      <c r="E163" s="176"/>
      <c r="F163" s="173"/>
      <c r="G163" s="177"/>
      <c r="H163" s="176"/>
    </row>
    <row r="164" spans="2:8" ht="12.75" customHeight="1">
      <c r="B164" s="173"/>
      <c r="C164" s="174"/>
      <c r="D164" s="177"/>
      <c r="E164" s="176"/>
      <c r="F164" s="173"/>
      <c r="G164" s="177"/>
      <c r="H164" s="176"/>
    </row>
    <row r="165" spans="2:8" ht="12.75" customHeight="1">
      <c r="B165" s="173"/>
      <c r="C165" s="174"/>
      <c r="D165" s="177"/>
      <c r="E165" s="176"/>
      <c r="F165" s="173"/>
      <c r="G165" s="177"/>
      <c r="H165" s="176"/>
    </row>
    <row r="166" spans="2:8" ht="12.75" customHeight="1">
      <c r="B166" s="173"/>
      <c r="C166" s="174"/>
      <c r="D166" s="177"/>
      <c r="E166" s="176"/>
      <c r="F166" s="173"/>
      <c r="G166" s="177"/>
      <c r="H166" s="176"/>
    </row>
    <row r="167" spans="2:8" ht="12.75" customHeight="1">
      <c r="B167" s="173"/>
      <c r="C167" s="174"/>
      <c r="D167" s="177"/>
      <c r="E167" s="176"/>
      <c r="F167" s="173"/>
      <c r="G167" s="177"/>
      <c r="H167" s="176"/>
    </row>
    <row r="168" spans="2:8" ht="12.75" customHeight="1">
      <c r="B168" s="173"/>
      <c r="C168" s="174"/>
      <c r="D168" s="177"/>
      <c r="E168" s="176"/>
      <c r="F168" s="173"/>
      <c r="G168" s="177"/>
      <c r="H168" s="176"/>
    </row>
    <row r="169" spans="2:8" ht="12.75" customHeight="1">
      <c r="B169" s="173"/>
      <c r="C169" s="174"/>
      <c r="D169" s="177"/>
      <c r="E169" s="176"/>
      <c r="F169" s="173"/>
      <c r="G169" s="177"/>
      <c r="H169" s="176"/>
    </row>
    <row r="170" spans="2:8" ht="12.75" customHeight="1">
      <c r="B170" s="173"/>
      <c r="C170" s="174"/>
      <c r="D170" s="177"/>
      <c r="E170" s="176"/>
      <c r="F170" s="173"/>
      <c r="G170" s="177"/>
      <c r="H170" s="176"/>
    </row>
    <row r="171" spans="2:8" ht="12.75" customHeight="1">
      <c r="B171" s="173"/>
      <c r="C171" s="174"/>
      <c r="D171" s="177"/>
      <c r="E171" s="176"/>
      <c r="F171" s="173"/>
      <c r="G171" s="177"/>
      <c r="H171" s="176"/>
    </row>
    <row r="172" spans="2:8" ht="12.75" customHeight="1">
      <c r="B172" s="173"/>
      <c r="C172" s="174"/>
      <c r="D172" s="177"/>
      <c r="E172" s="176"/>
      <c r="F172" s="173"/>
      <c r="G172" s="177"/>
      <c r="H172" s="176"/>
    </row>
    <row r="173" spans="2:8" ht="12.75" customHeight="1">
      <c r="B173" s="173"/>
      <c r="C173" s="174"/>
      <c r="D173" s="177"/>
      <c r="E173" s="176"/>
      <c r="F173" s="173"/>
      <c r="G173" s="177"/>
      <c r="H173" s="176"/>
    </row>
    <row r="174" spans="2:8" ht="12.75" customHeight="1">
      <c r="B174" s="173"/>
      <c r="C174" s="174"/>
      <c r="D174" s="177"/>
      <c r="E174" s="176"/>
      <c r="F174" s="173"/>
      <c r="G174" s="177"/>
      <c r="H174" s="176"/>
    </row>
    <row r="175" spans="2:8" ht="12.75" customHeight="1">
      <c r="B175" s="173"/>
      <c r="C175" s="174"/>
      <c r="D175" s="177"/>
      <c r="E175" s="176"/>
      <c r="F175" s="173"/>
      <c r="G175" s="177"/>
      <c r="H175" s="176"/>
    </row>
    <row r="176" spans="2:8" ht="12.75" customHeight="1">
      <c r="B176" s="173"/>
      <c r="C176" s="174"/>
      <c r="D176" s="177"/>
      <c r="E176" s="176"/>
      <c r="F176" s="173"/>
      <c r="G176" s="177"/>
      <c r="H176" s="176"/>
    </row>
    <row r="177" spans="2:8" ht="12.75" customHeight="1">
      <c r="B177" s="173"/>
      <c r="C177" s="174"/>
      <c r="D177" s="177"/>
      <c r="E177" s="176"/>
      <c r="F177" s="173"/>
      <c r="G177" s="177"/>
      <c r="H177" s="176"/>
    </row>
    <row r="178" spans="2:8" ht="12.75" customHeight="1">
      <c r="B178" s="173"/>
      <c r="C178" s="174"/>
      <c r="D178" s="177"/>
      <c r="E178" s="176"/>
      <c r="F178" s="173"/>
      <c r="G178" s="177"/>
      <c r="H178" s="176"/>
    </row>
    <row r="179" spans="2:8" ht="12.75" customHeight="1">
      <c r="B179" s="173"/>
      <c r="C179" s="174"/>
      <c r="D179" s="177"/>
      <c r="E179" s="176"/>
      <c r="F179" s="173"/>
      <c r="G179" s="177"/>
      <c r="H179" s="176"/>
    </row>
    <row r="180" spans="2:8" ht="12.75" customHeight="1">
      <c r="B180" s="173"/>
      <c r="C180" s="174"/>
      <c r="D180" s="177"/>
      <c r="E180" s="176"/>
      <c r="F180" s="173"/>
      <c r="G180" s="177"/>
      <c r="H180" s="176"/>
    </row>
    <row r="181" spans="2:8" ht="12.75" customHeight="1">
      <c r="B181" s="173"/>
      <c r="C181" s="174"/>
      <c r="D181" s="177"/>
      <c r="E181" s="176"/>
      <c r="F181" s="173"/>
      <c r="G181" s="177"/>
      <c r="H181" s="176"/>
    </row>
    <row r="182" spans="2:8" ht="12.75" customHeight="1">
      <c r="B182" s="173"/>
      <c r="C182" s="174"/>
      <c r="D182" s="177"/>
      <c r="E182" s="176"/>
      <c r="F182" s="173"/>
      <c r="G182" s="177"/>
      <c r="H182" s="176"/>
    </row>
    <row r="183" spans="2:8" ht="12.75" customHeight="1">
      <c r="B183" s="173"/>
      <c r="C183" s="174"/>
      <c r="D183" s="177"/>
      <c r="E183" s="176"/>
      <c r="F183" s="173"/>
      <c r="G183" s="177"/>
      <c r="H183" s="176"/>
    </row>
    <row r="184" spans="2:8" ht="12.75" customHeight="1">
      <c r="B184" s="173"/>
      <c r="C184" s="174"/>
      <c r="D184" s="177"/>
      <c r="E184" s="176"/>
      <c r="F184" s="173"/>
      <c r="G184" s="177"/>
      <c r="H184" s="176"/>
    </row>
    <row r="185" spans="2:8" ht="12.75" customHeight="1">
      <c r="B185" s="173"/>
      <c r="C185" s="174"/>
      <c r="D185" s="177"/>
      <c r="E185" s="176"/>
      <c r="F185" s="173"/>
      <c r="G185" s="177"/>
      <c r="H185" s="176"/>
    </row>
    <row r="186" spans="2:8" ht="12.75" customHeight="1">
      <c r="B186" s="173"/>
      <c r="C186" s="174"/>
      <c r="D186" s="177"/>
      <c r="E186" s="176"/>
      <c r="F186" s="173"/>
      <c r="G186" s="177"/>
      <c r="H186" s="176"/>
    </row>
    <row r="187" spans="2:8" ht="12.75" customHeight="1">
      <c r="B187" s="173"/>
      <c r="C187" s="174"/>
      <c r="D187" s="177"/>
      <c r="E187" s="176"/>
      <c r="F187" s="173"/>
      <c r="G187" s="177"/>
      <c r="H187" s="176"/>
    </row>
    <row r="188" spans="2:8" ht="12.75" customHeight="1">
      <c r="B188" s="173"/>
      <c r="C188" s="174"/>
      <c r="D188" s="177"/>
      <c r="E188" s="176"/>
      <c r="F188" s="173"/>
      <c r="G188" s="177"/>
      <c r="H188" s="176"/>
    </row>
    <row r="189" spans="2:8" ht="12.75" customHeight="1">
      <c r="B189" s="173"/>
      <c r="C189" s="174"/>
      <c r="D189" s="177"/>
      <c r="E189" s="176"/>
      <c r="F189" s="173"/>
      <c r="G189" s="177"/>
      <c r="H189" s="176"/>
    </row>
    <row r="190" spans="2:8" ht="12.75" customHeight="1">
      <c r="B190" s="173"/>
      <c r="C190" s="174"/>
      <c r="D190" s="177"/>
      <c r="E190" s="176"/>
      <c r="F190" s="173"/>
      <c r="G190" s="177"/>
      <c r="H190" s="176"/>
    </row>
    <row r="191" spans="2:8" ht="12.75" customHeight="1">
      <c r="B191" s="173"/>
      <c r="C191" s="174"/>
      <c r="D191" s="177"/>
      <c r="E191" s="176"/>
      <c r="F191" s="173"/>
      <c r="G191" s="177"/>
      <c r="H191" s="176"/>
    </row>
    <row r="192" spans="2:8" ht="12.75" customHeight="1">
      <c r="B192" s="173"/>
      <c r="C192" s="174"/>
      <c r="D192" s="177"/>
      <c r="E192" s="176"/>
      <c r="F192" s="173"/>
      <c r="G192" s="177"/>
      <c r="H192" s="176"/>
    </row>
    <row r="193" spans="2:8" ht="12.75" customHeight="1">
      <c r="B193" s="173"/>
      <c r="C193" s="174"/>
      <c r="D193" s="177"/>
      <c r="E193" s="176"/>
      <c r="F193" s="173"/>
      <c r="G193" s="177"/>
      <c r="H193" s="176"/>
    </row>
    <row r="194" spans="2:8" ht="12.75" customHeight="1">
      <c r="B194" s="173"/>
      <c r="C194" s="174"/>
      <c r="D194" s="177"/>
      <c r="E194" s="176"/>
      <c r="F194" s="173"/>
      <c r="G194" s="177"/>
      <c r="H194" s="176"/>
    </row>
    <row r="195" spans="2:8" ht="12.75" customHeight="1">
      <c r="B195" s="173"/>
      <c r="C195" s="174"/>
      <c r="D195" s="177"/>
      <c r="E195" s="176"/>
      <c r="F195" s="173"/>
      <c r="G195" s="177"/>
      <c r="H195" s="176"/>
    </row>
    <row r="196" spans="2:8" ht="12.75" customHeight="1">
      <c r="B196" s="173"/>
      <c r="C196" s="174"/>
      <c r="D196" s="177"/>
      <c r="E196" s="176"/>
      <c r="F196" s="173"/>
      <c r="G196" s="177"/>
      <c r="H196" s="176"/>
    </row>
    <row r="197" spans="2:8" ht="12.75" customHeight="1">
      <c r="B197" s="173"/>
      <c r="C197" s="174"/>
      <c r="D197" s="177"/>
      <c r="E197" s="176"/>
      <c r="F197" s="173"/>
      <c r="G197" s="177"/>
      <c r="H197" s="176"/>
    </row>
    <row r="198" spans="2:8" ht="12.75" customHeight="1">
      <c r="B198" s="173"/>
      <c r="C198" s="174"/>
      <c r="D198" s="177"/>
      <c r="E198" s="176"/>
      <c r="F198" s="173"/>
      <c r="G198" s="177"/>
      <c r="H198" s="176"/>
    </row>
    <row r="199" spans="2:8" ht="12.75" customHeight="1">
      <c r="B199" s="173"/>
      <c r="C199" s="174"/>
      <c r="D199" s="177"/>
      <c r="E199" s="176"/>
      <c r="F199" s="173"/>
      <c r="G199" s="177"/>
      <c r="H199" s="176"/>
    </row>
    <row r="200" spans="2:8" ht="12.75" customHeight="1">
      <c r="B200" s="173"/>
      <c r="C200" s="174"/>
      <c r="D200" s="177"/>
      <c r="E200" s="176"/>
      <c r="F200" s="173"/>
      <c r="G200" s="177"/>
      <c r="H200" s="176"/>
    </row>
    <row r="201" spans="2:8" ht="12.75" customHeight="1">
      <c r="B201" s="173"/>
      <c r="C201" s="174"/>
      <c r="D201" s="177"/>
      <c r="E201" s="176"/>
      <c r="F201" s="173"/>
      <c r="G201" s="177"/>
      <c r="H201" s="176"/>
    </row>
    <row r="202" spans="2:8" ht="12.75" customHeight="1">
      <c r="B202" s="173"/>
      <c r="C202" s="174"/>
      <c r="D202" s="177"/>
      <c r="E202" s="176"/>
      <c r="F202" s="173"/>
      <c r="G202" s="177"/>
      <c r="H202" s="176"/>
    </row>
    <row r="203" spans="2:8" ht="12.75" customHeight="1">
      <c r="B203" s="173"/>
      <c r="C203" s="174"/>
      <c r="D203" s="177"/>
      <c r="E203" s="176"/>
      <c r="F203" s="173"/>
      <c r="G203" s="177"/>
      <c r="H203" s="176"/>
    </row>
    <row r="204" spans="2:8" ht="12.75" customHeight="1">
      <c r="B204" s="173"/>
      <c r="C204" s="174"/>
      <c r="D204" s="177"/>
      <c r="E204" s="176"/>
      <c r="F204" s="173"/>
      <c r="G204" s="177"/>
      <c r="H204" s="176"/>
    </row>
    <row r="205" spans="2:8" ht="12.75" customHeight="1">
      <c r="B205" s="173"/>
      <c r="C205" s="174"/>
      <c r="D205" s="177"/>
      <c r="E205" s="176"/>
      <c r="F205" s="173"/>
      <c r="G205" s="177"/>
      <c r="H205" s="176"/>
    </row>
    <row r="206" spans="2:8" ht="12.75" customHeight="1">
      <c r="B206" s="173"/>
      <c r="C206" s="174"/>
      <c r="D206" s="177"/>
      <c r="E206" s="176"/>
      <c r="F206" s="173"/>
      <c r="G206" s="177"/>
      <c r="H206" s="176"/>
    </row>
    <row r="207" spans="2:8" ht="12.75" customHeight="1">
      <c r="B207" s="173"/>
      <c r="C207" s="174"/>
      <c r="D207" s="177"/>
      <c r="E207" s="176"/>
      <c r="F207" s="173"/>
      <c r="G207" s="177"/>
      <c r="H207" s="176"/>
    </row>
    <row r="208" spans="2:8" ht="12.75" customHeight="1">
      <c r="B208" s="173"/>
      <c r="C208" s="174"/>
      <c r="D208" s="177"/>
      <c r="E208" s="176"/>
      <c r="F208" s="173"/>
      <c r="G208" s="177"/>
      <c r="H208" s="176"/>
    </row>
    <row r="209" spans="2:8" ht="12.75" customHeight="1">
      <c r="B209" s="173"/>
      <c r="C209" s="174"/>
      <c r="D209" s="177"/>
      <c r="E209" s="176"/>
      <c r="F209" s="173"/>
      <c r="G209" s="177"/>
      <c r="H209" s="176"/>
    </row>
    <row r="210" spans="2:8" ht="12.75" customHeight="1">
      <c r="B210" s="173"/>
      <c r="C210" s="174"/>
      <c r="D210" s="177"/>
      <c r="E210" s="176"/>
      <c r="F210" s="173"/>
      <c r="G210" s="177"/>
      <c r="H210" s="176"/>
    </row>
    <row r="211" spans="2:8" ht="12.75" customHeight="1">
      <c r="B211" s="173"/>
      <c r="C211" s="174"/>
      <c r="D211" s="177"/>
      <c r="E211" s="176"/>
      <c r="F211" s="173"/>
      <c r="G211" s="177"/>
      <c r="H211" s="176"/>
    </row>
    <row r="212" spans="2:8" ht="12.75" customHeight="1">
      <c r="B212" s="173"/>
      <c r="C212" s="174"/>
      <c r="D212" s="177"/>
      <c r="E212" s="176"/>
      <c r="F212" s="173"/>
      <c r="G212" s="177"/>
      <c r="H212" s="176"/>
    </row>
    <row r="213" spans="2:8" ht="12.75" customHeight="1">
      <c r="B213" s="173"/>
      <c r="C213" s="174"/>
      <c r="D213" s="177"/>
      <c r="E213" s="176"/>
      <c r="F213" s="173"/>
      <c r="G213" s="177"/>
      <c r="H213" s="176"/>
    </row>
    <row r="214" spans="2:8" ht="12.75" customHeight="1">
      <c r="B214" s="173"/>
      <c r="C214" s="174"/>
      <c r="D214" s="177"/>
      <c r="E214" s="176"/>
      <c r="F214" s="173"/>
      <c r="G214" s="177"/>
      <c r="H214" s="176"/>
    </row>
    <row r="215" spans="2:8" ht="12.75" customHeight="1">
      <c r="B215" s="173"/>
      <c r="C215" s="174"/>
      <c r="D215" s="177"/>
      <c r="E215" s="176"/>
      <c r="F215" s="173"/>
      <c r="G215" s="177"/>
      <c r="H215" s="176"/>
    </row>
    <row r="216" spans="2:8" ht="12.75" customHeight="1">
      <c r="B216" s="173"/>
      <c r="C216" s="174"/>
      <c r="D216" s="177"/>
      <c r="E216" s="176"/>
      <c r="F216" s="173"/>
      <c r="G216" s="177"/>
      <c r="H216" s="176"/>
    </row>
    <row r="217" spans="2:8" ht="12.75" customHeight="1">
      <c r="B217" s="173"/>
      <c r="C217" s="174"/>
      <c r="D217" s="177"/>
      <c r="E217" s="176"/>
      <c r="F217" s="173"/>
      <c r="G217" s="177"/>
      <c r="H217" s="176"/>
    </row>
    <row r="218" spans="2:8" ht="12.75" customHeight="1">
      <c r="B218" s="173"/>
      <c r="C218" s="174"/>
      <c r="D218" s="177"/>
      <c r="E218" s="176"/>
      <c r="F218" s="173"/>
      <c r="G218" s="177"/>
      <c r="H218" s="176"/>
    </row>
    <row r="219" spans="2:8" ht="12.75" customHeight="1">
      <c r="B219" s="173"/>
      <c r="C219" s="174"/>
      <c r="D219" s="177"/>
      <c r="E219" s="176"/>
      <c r="F219" s="173"/>
      <c r="G219" s="177"/>
      <c r="H219" s="176"/>
    </row>
    <row r="220" spans="2:8" ht="12.75" customHeight="1">
      <c r="B220" s="173"/>
      <c r="C220" s="174"/>
      <c r="D220" s="177"/>
      <c r="E220" s="176"/>
      <c r="F220" s="173"/>
      <c r="G220" s="177"/>
      <c r="H220" s="176"/>
    </row>
    <row r="221" spans="2:8" ht="12.75" customHeight="1">
      <c r="B221" s="173"/>
      <c r="C221" s="174"/>
      <c r="D221" s="177"/>
      <c r="E221" s="176"/>
      <c r="F221" s="173"/>
      <c r="G221" s="177"/>
      <c r="H221" s="176"/>
    </row>
    <row r="222" spans="2:8" ht="12.75" customHeight="1">
      <c r="B222" s="173"/>
      <c r="C222" s="174"/>
      <c r="D222" s="177"/>
      <c r="E222" s="176"/>
      <c r="F222" s="173"/>
      <c r="G222" s="177"/>
      <c r="H222" s="176"/>
    </row>
    <row r="223" spans="2:8" ht="12.75" customHeight="1">
      <c r="B223" s="173"/>
      <c r="C223" s="174"/>
      <c r="D223" s="177"/>
      <c r="E223" s="176"/>
      <c r="F223" s="173"/>
      <c r="G223" s="177"/>
      <c r="H223" s="176"/>
    </row>
    <row r="224" spans="2:8" ht="12.75" customHeight="1">
      <c r="B224" s="173"/>
      <c r="C224" s="174"/>
      <c r="D224" s="177"/>
      <c r="E224" s="176"/>
      <c r="F224" s="173"/>
      <c r="G224" s="177"/>
      <c r="H224" s="176"/>
    </row>
    <row r="225" spans="2:8" ht="12.75" customHeight="1">
      <c r="B225" s="173"/>
      <c r="C225" s="174"/>
      <c r="D225" s="177"/>
      <c r="E225" s="176"/>
      <c r="F225" s="173"/>
      <c r="G225" s="177"/>
      <c r="H225" s="176"/>
    </row>
    <row r="226" spans="2:8" ht="12.75" customHeight="1">
      <c r="B226" s="173"/>
      <c r="C226" s="174"/>
      <c r="D226" s="177"/>
      <c r="E226" s="176"/>
      <c r="F226" s="173"/>
      <c r="G226" s="177"/>
      <c r="H226" s="176"/>
    </row>
    <row r="227" spans="2:8" ht="12.75" customHeight="1">
      <c r="B227" s="173"/>
      <c r="C227" s="174"/>
      <c r="D227" s="177"/>
      <c r="E227" s="176"/>
      <c r="F227" s="173"/>
      <c r="G227" s="177"/>
      <c r="H227" s="176"/>
    </row>
    <row r="228" spans="2:8" ht="12.75" customHeight="1">
      <c r="B228" s="173"/>
      <c r="C228" s="174"/>
      <c r="D228" s="177"/>
      <c r="E228" s="176"/>
      <c r="F228" s="173"/>
      <c r="G228" s="177"/>
      <c r="H228" s="176"/>
    </row>
    <row r="229" spans="2:8" ht="12.75" customHeight="1">
      <c r="B229" s="173"/>
      <c r="C229" s="174"/>
      <c r="D229" s="177"/>
      <c r="E229" s="176"/>
      <c r="F229" s="173"/>
      <c r="G229" s="177"/>
      <c r="H229" s="176"/>
    </row>
    <row r="230" spans="2:8" ht="12.75" customHeight="1">
      <c r="B230" s="173"/>
      <c r="C230" s="174"/>
      <c r="D230" s="177"/>
      <c r="E230" s="176"/>
      <c r="F230" s="173"/>
      <c r="G230" s="177"/>
      <c r="H230" s="176"/>
    </row>
    <row r="231" spans="2:8" ht="12.75" customHeight="1">
      <c r="B231" s="173"/>
      <c r="C231" s="174"/>
      <c r="D231" s="177"/>
      <c r="E231" s="176"/>
      <c r="F231" s="173"/>
      <c r="G231" s="177"/>
      <c r="H231" s="176"/>
    </row>
    <row r="232" spans="2:8" ht="12.75" customHeight="1">
      <c r="B232" s="173"/>
      <c r="C232" s="174"/>
      <c r="D232" s="177"/>
      <c r="E232" s="176"/>
      <c r="F232" s="173"/>
      <c r="G232" s="177"/>
      <c r="H232" s="176"/>
    </row>
    <row r="233" spans="2:8" ht="12.75" customHeight="1">
      <c r="B233" s="173"/>
      <c r="C233" s="174"/>
      <c r="D233" s="177"/>
      <c r="E233" s="176"/>
      <c r="F233" s="173"/>
      <c r="G233" s="177"/>
      <c r="H233" s="176"/>
    </row>
    <row r="234" spans="2:8" ht="12.75" customHeight="1">
      <c r="B234" s="173"/>
      <c r="C234" s="174"/>
      <c r="D234" s="177"/>
      <c r="E234" s="176"/>
      <c r="F234" s="173"/>
      <c r="G234" s="177"/>
      <c r="H234" s="176"/>
    </row>
    <row r="235" spans="2:8" ht="12.75" customHeight="1">
      <c r="B235" s="173"/>
      <c r="C235" s="174"/>
      <c r="D235" s="177"/>
      <c r="E235" s="176"/>
      <c r="F235" s="173"/>
      <c r="G235" s="177"/>
      <c r="H235" s="176"/>
    </row>
    <row r="236" spans="2:8" ht="12.75" customHeight="1">
      <c r="B236" s="173"/>
      <c r="C236" s="174"/>
      <c r="D236" s="177"/>
      <c r="E236" s="176"/>
      <c r="F236" s="173"/>
      <c r="G236" s="177"/>
      <c r="H236" s="176"/>
    </row>
    <row r="237" spans="2:8" ht="15.75" customHeight="1"/>
    <row r="238" spans="2:8" ht="15.75" customHeight="1"/>
    <row r="239" spans="2:8" ht="15.75" customHeight="1"/>
    <row r="240" spans="2: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C8"/>
    <mergeCell ref="D2:E3"/>
    <mergeCell ref="F2:G3"/>
    <mergeCell ref="H2:H3"/>
    <mergeCell ref="D4:E6"/>
    <mergeCell ref="F4:H4"/>
    <mergeCell ref="F6:H6"/>
    <mergeCell ref="D7:E8"/>
  </mergeCells>
  <phoneticPr fontId="71" type="noConversion"/>
  <pageMargins left="0.70866141732283472" right="0.70866141732283472" top="0.74803149606299213" bottom="0.74803149606299213" header="0" footer="0"/>
  <pageSetup fitToHeight="0"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2E75B5"/>
    <pageSetUpPr fitToPage="1"/>
  </sheetPr>
  <dimension ref="B2:J1000"/>
  <sheetViews>
    <sheetView topLeftCell="A20" workbookViewId="0"/>
  </sheetViews>
  <sheetFormatPr baseColWidth="10" defaultColWidth="14.42578125" defaultRowHeight="15" customHeight="1"/>
  <cols>
    <col min="1" max="1" width="5.5703125" customWidth="1"/>
    <col min="2" max="3" width="16.5703125" customWidth="1"/>
    <col min="4" max="4" width="87.42578125" customWidth="1"/>
    <col min="5" max="5" width="12.85546875" customWidth="1"/>
    <col min="6" max="6" width="17.7109375" customWidth="1"/>
    <col min="7" max="7" width="25.85546875" customWidth="1"/>
    <col min="8" max="8" width="18" customWidth="1"/>
    <col min="9" max="26" width="13.85546875" customWidth="1"/>
  </cols>
  <sheetData>
    <row r="2" spans="2:10" ht="17.25" customHeight="1">
      <c r="B2" s="1065"/>
      <c r="C2" s="927"/>
      <c r="D2" s="1066" t="str">
        <f>+Datos!$C$9</f>
        <v>CONSEJO SUPERIOR  DE  JUDICATURA– DIRECCIÓN  EJECUTIVA  SECCIONAL  DE ADMINISTRACIÓN JUDICIAL DE BUCARAMANGA</v>
      </c>
      <c r="E2" s="927"/>
      <c r="F2" s="1067" t="s">
        <v>1</v>
      </c>
      <c r="G2" s="931"/>
      <c r="H2" s="1068">
        <f>Datos!B3</f>
        <v>0</v>
      </c>
      <c r="I2" s="161"/>
      <c r="J2" s="161"/>
    </row>
    <row r="3" spans="2:10" ht="58.5" customHeight="1">
      <c r="B3" s="920"/>
      <c r="C3" s="924"/>
      <c r="D3" s="920"/>
      <c r="E3" s="924"/>
      <c r="F3" s="1003"/>
      <c r="G3" s="950"/>
      <c r="H3" s="1010"/>
      <c r="I3" s="161"/>
      <c r="J3" s="161"/>
    </row>
    <row r="4" spans="2:10" ht="17.25" customHeight="1">
      <c r="B4" s="920"/>
      <c r="C4" s="924"/>
      <c r="D4" s="97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E4" s="924"/>
      <c r="F4" s="1001" t="s">
        <v>29</v>
      </c>
      <c r="G4" s="940"/>
      <c r="H4" s="973"/>
      <c r="I4" s="161"/>
      <c r="J4" s="161"/>
    </row>
    <row r="5" spans="2:10" ht="17.25" customHeight="1">
      <c r="B5" s="920"/>
      <c r="C5" s="924"/>
      <c r="D5" s="920"/>
      <c r="E5" s="924"/>
      <c r="F5" s="162">
        <v>1</v>
      </c>
      <c r="G5" s="163" t="s">
        <v>30</v>
      </c>
      <c r="H5" s="164">
        <v>1</v>
      </c>
      <c r="I5" s="161"/>
      <c r="J5" s="161"/>
    </row>
    <row r="6" spans="2:10" ht="69.75" customHeight="1">
      <c r="B6" s="920"/>
      <c r="C6" s="924"/>
      <c r="D6" s="1003"/>
      <c r="E6" s="1004"/>
      <c r="F6" s="1001" t="s">
        <v>2</v>
      </c>
      <c r="G6" s="940"/>
      <c r="H6" s="973"/>
      <c r="I6" s="161"/>
      <c r="J6" s="161"/>
    </row>
    <row r="7" spans="2:10" ht="36.75" customHeight="1">
      <c r="B7" s="920"/>
      <c r="C7" s="924"/>
      <c r="D7" s="1005" t="s">
        <v>897</v>
      </c>
      <c r="E7" s="1006"/>
      <c r="F7" s="162" t="s">
        <v>3</v>
      </c>
      <c r="G7" s="163" t="s">
        <v>4</v>
      </c>
      <c r="H7" s="164" t="s">
        <v>5</v>
      </c>
      <c r="I7" s="161"/>
      <c r="J7" s="161"/>
    </row>
    <row r="8" spans="2:10" ht="17.25" customHeight="1">
      <c r="B8" s="929"/>
      <c r="C8" s="938"/>
      <c r="D8" s="929"/>
      <c r="E8" s="938"/>
      <c r="F8" s="165">
        <f>+Datos!$C$7</f>
        <v>19</v>
      </c>
      <c r="G8" s="166">
        <f>+Datos!$D$7</f>
        <v>6</v>
      </c>
      <c r="H8" s="167">
        <f>+Datos!$E$7</f>
        <v>2026</v>
      </c>
      <c r="I8" s="161"/>
      <c r="J8" s="161"/>
    </row>
    <row r="9" spans="2:10" ht="12.75" customHeight="1">
      <c r="B9" s="168"/>
      <c r="C9" s="169"/>
      <c r="D9" s="161"/>
      <c r="E9" s="38"/>
      <c r="F9" s="39"/>
      <c r="G9" s="39"/>
      <c r="H9" s="40"/>
      <c r="I9" s="161"/>
      <c r="J9" s="161"/>
    </row>
    <row r="10" spans="2:10" ht="12.75" customHeight="1">
      <c r="B10" s="169"/>
      <c r="C10" s="170"/>
      <c r="D10" s="161"/>
      <c r="E10" s="161"/>
      <c r="F10" s="168"/>
      <c r="G10" s="161"/>
      <c r="H10" s="161"/>
      <c r="I10" s="161"/>
      <c r="J10" s="161"/>
    </row>
    <row r="11" spans="2:10" ht="12.75" customHeight="1">
      <c r="B11" s="171">
        <v>1</v>
      </c>
      <c r="C11" s="171">
        <v>2</v>
      </c>
      <c r="D11" s="171">
        <v>3</v>
      </c>
      <c r="E11" s="171">
        <v>4</v>
      </c>
      <c r="F11" s="171">
        <v>5</v>
      </c>
      <c r="G11" s="171">
        <v>6</v>
      </c>
      <c r="H11" s="171">
        <v>7</v>
      </c>
      <c r="I11" s="171"/>
      <c r="J11" s="171"/>
    </row>
    <row r="12" spans="2:10" ht="33" customHeight="1">
      <c r="B12" s="172" t="s">
        <v>898</v>
      </c>
      <c r="C12" s="172" t="s">
        <v>899</v>
      </c>
      <c r="D12" s="172" t="s">
        <v>17</v>
      </c>
      <c r="E12" s="172" t="s">
        <v>900</v>
      </c>
      <c r="F12" s="172" t="s">
        <v>901</v>
      </c>
      <c r="G12" s="172" t="s">
        <v>902</v>
      </c>
      <c r="H12" s="172" t="s">
        <v>903</v>
      </c>
      <c r="I12" s="161"/>
      <c r="J12" s="161">
        <v>1</v>
      </c>
    </row>
    <row r="13" spans="2:10" ht="12.75" customHeight="1">
      <c r="B13" s="212">
        <v>1</v>
      </c>
      <c r="C13" s="213"/>
      <c r="D13" s="214" t="s">
        <v>904</v>
      </c>
      <c r="E13" s="213"/>
      <c r="F13" s="213"/>
      <c r="G13" s="213"/>
      <c r="H13" s="215">
        <f>+SUM(H14:H17)</f>
        <v>51750000</v>
      </c>
      <c r="I13" s="216"/>
      <c r="J13" s="217">
        <f t="shared" ref="J13:J34" si="0">+H13/$J$12</f>
        <v>51750000</v>
      </c>
    </row>
    <row r="14" spans="2:10" ht="12.75" customHeight="1">
      <c r="B14" s="218">
        <v>1.1000000000000001</v>
      </c>
      <c r="C14" s="219">
        <v>1</v>
      </c>
      <c r="D14" s="220" t="s">
        <v>905</v>
      </c>
      <c r="E14" s="221">
        <v>0.5</v>
      </c>
      <c r="F14" s="222">
        <v>10000000</v>
      </c>
      <c r="G14" s="223">
        <v>3</v>
      </c>
      <c r="H14" s="224">
        <f t="shared" ref="H14:H17" si="1">+C14*E14*F14*G14</f>
        <v>15000000</v>
      </c>
      <c r="I14" s="216"/>
      <c r="J14" s="225">
        <f t="shared" si="0"/>
        <v>15000000</v>
      </c>
    </row>
    <row r="15" spans="2:10" ht="12.75" customHeight="1">
      <c r="B15" s="226">
        <v>1.2</v>
      </c>
      <c r="C15" s="227">
        <v>1</v>
      </c>
      <c r="D15" s="177" t="s">
        <v>906</v>
      </c>
      <c r="E15" s="228">
        <v>1</v>
      </c>
      <c r="F15" s="229">
        <v>5000000</v>
      </c>
      <c r="G15" s="230">
        <f t="shared" ref="G15:G16" si="2">G14</f>
        <v>3</v>
      </c>
      <c r="H15" s="231">
        <f t="shared" si="1"/>
        <v>15000000</v>
      </c>
      <c r="I15" s="216"/>
      <c r="J15" s="225">
        <f t="shared" si="0"/>
        <v>15000000</v>
      </c>
    </row>
    <row r="16" spans="2:10" ht="12.75" customHeight="1">
      <c r="B16" s="226">
        <v>1.3</v>
      </c>
      <c r="C16" s="227">
        <v>1</v>
      </c>
      <c r="D16" s="177" t="s">
        <v>907</v>
      </c>
      <c r="E16" s="228">
        <v>0.5</v>
      </c>
      <c r="F16" s="229">
        <v>8000000</v>
      </c>
      <c r="G16" s="230">
        <f t="shared" si="2"/>
        <v>3</v>
      </c>
      <c r="H16" s="231">
        <f t="shared" si="1"/>
        <v>12000000</v>
      </c>
      <c r="I16" s="216"/>
      <c r="J16" s="225">
        <f t="shared" si="0"/>
        <v>12000000</v>
      </c>
    </row>
    <row r="17" spans="2:10" ht="12.75" customHeight="1">
      <c r="B17" s="226">
        <v>1.6</v>
      </c>
      <c r="C17" s="227">
        <v>1</v>
      </c>
      <c r="D17" s="177" t="s">
        <v>908</v>
      </c>
      <c r="E17" s="228">
        <v>0.5</v>
      </c>
      <c r="F17" s="229">
        <v>6500000</v>
      </c>
      <c r="G17" s="230">
        <f>G14</f>
        <v>3</v>
      </c>
      <c r="H17" s="231">
        <f t="shared" si="1"/>
        <v>9750000</v>
      </c>
      <c r="I17" s="216"/>
      <c r="J17" s="225">
        <f t="shared" si="0"/>
        <v>9750000</v>
      </c>
    </row>
    <row r="18" spans="2:10" ht="12.75" customHeight="1">
      <c r="B18" s="212">
        <v>2</v>
      </c>
      <c r="C18" s="213"/>
      <c r="D18" s="214" t="s">
        <v>909</v>
      </c>
      <c r="E18" s="213"/>
      <c r="F18" s="232"/>
      <c r="G18" s="213"/>
      <c r="H18" s="215">
        <f>+SUM(H19:H21)</f>
        <v>17400000</v>
      </c>
      <c r="I18" s="216"/>
      <c r="J18" s="217">
        <f t="shared" si="0"/>
        <v>17400000</v>
      </c>
    </row>
    <row r="19" spans="2:10" ht="12.75" customHeight="1">
      <c r="B19" s="226">
        <v>2.1</v>
      </c>
      <c r="C19" s="227">
        <v>1</v>
      </c>
      <c r="D19" s="177" t="s">
        <v>910</v>
      </c>
      <c r="E19" s="228">
        <v>0.5</v>
      </c>
      <c r="F19" s="229">
        <v>3000000</v>
      </c>
      <c r="G19" s="230">
        <f>G17</f>
        <v>3</v>
      </c>
      <c r="H19" s="231">
        <f t="shared" ref="H19:H21" si="3">+C19*E19*F19*G19</f>
        <v>4500000</v>
      </c>
      <c r="I19" s="216"/>
      <c r="J19" s="225">
        <f t="shared" si="0"/>
        <v>4500000</v>
      </c>
    </row>
    <row r="20" spans="2:10" ht="12.75" customHeight="1">
      <c r="B20" s="226">
        <v>2.2000000000000002</v>
      </c>
      <c r="C20" s="227">
        <v>1</v>
      </c>
      <c r="D20" s="177" t="s">
        <v>911</v>
      </c>
      <c r="E20" s="228">
        <v>1</v>
      </c>
      <c r="F20" s="229">
        <v>3000000</v>
      </c>
      <c r="G20" s="230">
        <f>G19</f>
        <v>3</v>
      </c>
      <c r="H20" s="231">
        <f t="shared" si="3"/>
        <v>9000000</v>
      </c>
      <c r="I20" s="216"/>
      <c r="J20" s="225">
        <f t="shared" si="0"/>
        <v>9000000</v>
      </c>
    </row>
    <row r="21" spans="2:10" ht="12.75" customHeight="1">
      <c r="B21" s="226">
        <v>2.4</v>
      </c>
      <c r="C21" s="227">
        <v>1</v>
      </c>
      <c r="D21" s="177" t="s">
        <v>912</v>
      </c>
      <c r="E21" s="228">
        <v>1</v>
      </c>
      <c r="F21" s="229">
        <v>1300000</v>
      </c>
      <c r="G21" s="230">
        <f>G14</f>
        <v>3</v>
      </c>
      <c r="H21" s="231">
        <f t="shared" si="3"/>
        <v>3900000</v>
      </c>
      <c r="I21" s="216"/>
      <c r="J21" s="225">
        <f t="shared" si="0"/>
        <v>3900000</v>
      </c>
    </row>
    <row r="22" spans="2:10" ht="12.75" customHeight="1">
      <c r="B22" s="212">
        <v>4</v>
      </c>
      <c r="C22" s="213"/>
      <c r="D22" s="214" t="s">
        <v>913</v>
      </c>
      <c r="E22" s="213"/>
      <c r="F22" s="232"/>
      <c r="G22" s="213"/>
      <c r="H22" s="215">
        <f>+SUM(H23:H24)</f>
        <v>5600000</v>
      </c>
      <c r="I22" s="216"/>
      <c r="J22" s="217">
        <f t="shared" si="0"/>
        <v>5600000</v>
      </c>
    </row>
    <row r="23" spans="2:10" ht="12.75" customHeight="1">
      <c r="B23" s="226">
        <v>4.0999999999999996</v>
      </c>
      <c r="C23" s="227">
        <v>1</v>
      </c>
      <c r="D23" s="177" t="s">
        <v>914</v>
      </c>
      <c r="E23" s="228" t="s">
        <v>270</v>
      </c>
      <c r="F23" s="229">
        <v>1500000</v>
      </c>
      <c r="G23" s="230">
        <f>G14</f>
        <v>3</v>
      </c>
      <c r="H23" s="231">
        <f>+C23*F23*G23</f>
        <v>4500000</v>
      </c>
      <c r="I23" s="216"/>
      <c r="J23" s="225">
        <f t="shared" si="0"/>
        <v>4500000</v>
      </c>
    </row>
    <row r="24" spans="2:10" ht="12.75" customHeight="1">
      <c r="B24" s="226">
        <v>4.2</v>
      </c>
      <c r="C24" s="227">
        <v>1</v>
      </c>
      <c r="D24" s="177" t="s">
        <v>915</v>
      </c>
      <c r="E24" s="228" t="s">
        <v>270</v>
      </c>
      <c r="F24" s="229">
        <v>1100000</v>
      </c>
      <c r="G24" s="227">
        <v>1</v>
      </c>
      <c r="H24" s="231">
        <f>+C24*F24</f>
        <v>1100000</v>
      </c>
      <c r="I24" s="216"/>
      <c r="J24" s="225">
        <f t="shared" si="0"/>
        <v>1100000</v>
      </c>
    </row>
    <row r="25" spans="2:10" ht="12.75" customHeight="1">
      <c r="B25" s="212">
        <v>5</v>
      </c>
      <c r="C25" s="213"/>
      <c r="D25" s="214" t="s">
        <v>916</v>
      </c>
      <c r="E25" s="213"/>
      <c r="F25" s="213"/>
      <c r="G25" s="213"/>
      <c r="H25" s="215">
        <f>+SUM(H26:H27)</f>
        <v>4500000</v>
      </c>
      <c r="I25" s="216"/>
      <c r="J25" s="217">
        <f t="shared" si="0"/>
        <v>4500000</v>
      </c>
    </row>
    <row r="26" spans="2:10" ht="12.75" customHeight="1">
      <c r="B26" s="233">
        <v>5.0999999999999996</v>
      </c>
      <c r="C26" s="234">
        <v>1</v>
      </c>
      <c r="D26" s="186" t="s">
        <v>917</v>
      </c>
      <c r="E26" s="235" t="s">
        <v>270</v>
      </c>
      <c r="F26" s="236">
        <v>800000</v>
      </c>
      <c r="G26" s="230">
        <f>G14</f>
        <v>3</v>
      </c>
      <c r="H26" s="231">
        <f t="shared" ref="H26:H27" si="4">+C26*F26*G26</f>
        <v>2400000</v>
      </c>
      <c r="I26" s="216"/>
      <c r="J26" s="225">
        <f t="shared" si="0"/>
        <v>2400000</v>
      </c>
    </row>
    <row r="27" spans="2:10" ht="12.75" customHeight="1">
      <c r="B27" s="226">
        <v>5.2</v>
      </c>
      <c r="C27" s="237">
        <v>1</v>
      </c>
      <c r="D27" s="177" t="s">
        <v>918</v>
      </c>
      <c r="E27" s="228" t="s">
        <v>270</v>
      </c>
      <c r="F27" s="229">
        <v>700000</v>
      </c>
      <c r="G27" s="230">
        <f>G14</f>
        <v>3</v>
      </c>
      <c r="H27" s="231">
        <f t="shared" si="4"/>
        <v>2100000</v>
      </c>
      <c r="I27" s="216"/>
      <c r="J27" s="225">
        <f t="shared" si="0"/>
        <v>2100000</v>
      </c>
    </row>
    <row r="28" spans="2:10" ht="12.75" customHeight="1">
      <c r="B28" s="238"/>
      <c r="C28" s="239"/>
      <c r="D28" s="240"/>
      <c r="E28" s="241"/>
      <c r="F28" s="242"/>
      <c r="G28" s="243"/>
      <c r="H28" s="244"/>
      <c r="I28" s="216"/>
      <c r="J28" s="225">
        <f t="shared" si="0"/>
        <v>0</v>
      </c>
    </row>
    <row r="29" spans="2:10" ht="12.75" customHeight="1">
      <c r="B29" s="212">
        <v>6</v>
      </c>
      <c r="C29" s="245" t="s">
        <v>919</v>
      </c>
      <c r="D29" s="214" t="s">
        <v>920</v>
      </c>
      <c r="E29" s="245" t="s">
        <v>921</v>
      </c>
      <c r="F29" s="245" t="s">
        <v>922</v>
      </c>
      <c r="G29" s="245" t="s">
        <v>923</v>
      </c>
      <c r="H29" s="246">
        <f>SUM(H35,H36,H37)</f>
        <v>53282396.003583208</v>
      </c>
      <c r="I29" s="216"/>
      <c r="J29" s="217">
        <f t="shared" si="0"/>
        <v>53282396.003583208</v>
      </c>
    </row>
    <row r="30" spans="2:10" ht="12.75" customHeight="1">
      <c r="B30" s="233">
        <v>6.1</v>
      </c>
      <c r="C30" s="247">
        <v>3.0000000000000001E-3</v>
      </c>
      <c r="D30" s="186" t="s">
        <v>924</v>
      </c>
      <c r="E30" s="248">
        <v>0.1</v>
      </c>
      <c r="F30" s="236">
        <v>510218922.61889106</v>
      </c>
      <c r="G30" s="230">
        <v>17.329999999999998</v>
      </c>
      <c r="H30" s="249">
        <f t="shared" ref="H30:H34" si="5">+C30*E30*F30*G30</f>
        <v>2652628.1786956149</v>
      </c>
      <c r="I30" s="216"/>
      <c r="J30" s="225">
        <f t="shared" si="0"/>
        <v>2652628.1786956149</v>
      </c>
    </row>
    <row r="31" spans="2:10" ht="12.75" customHeight="1">
      <c r="B31" s="233">
        <v>6.2</v>
      </c>
      <c r="C31" s="247">
        <v>2.7499999999999998E-3</v>
      </c>
      <c r="D31" s="186" t="s">
        <v>925</v>
      </c>
      <c r="E31" s="248">
        <v>0.05</v>
      </c>
      <c r="F31" s="236">
        <f t="shared" ref="F31:F34" si="6">F30</f>
        <v>510218922.61889106</v>
      </c>
      <c r="G31" s="230">
        <v>41.832999999999998</v>
      </c>
      <c r="H31" s="249">
        <f t="shared" si="5"/>
        <v>2934798.3761134595</v>
      </c>
      <c r="I31" s="216"/>
      <c r="J31" s="225">
        <f t="shared" si="0"/>
        <v>2934798.3761134595</v>
      </c>
    </row>
    <row r="32" spans="2:10" ht="12.75" customHeight="1">
      <c r="B32" s="233">
        <v>6.3</v>
      </c>
      <c r="C32" s="247">
        <v>3.0000000000000001E-3</v>
      </c>
      <c r="D32" s="186" t="s">
        <v>926</v>
      </c>
      <c r="E32" s="248">
        <v>0.3</v>
      </c>
      <c r="F32" s="236">
        <f t="shared" si="6"/>
        <v>510218922.61889106</v>
      </c>
      <c r="G32" s="230">
        <v>41.832999999999998</v>
      </c>
      <c r="H32" s="249">
        <f t="shared" si="5"/>
        <v>19209589.370924462</v>
      </c>
      <c r="I32" s="216"/>
      <c r="J32" s="225">
        <f t="shared" si="0"/>
        <v>19209589.370924462</v>
      </c>
    </row>
    <row r="33" spans="2:10" ht="12.75" customHeight="1">
      <c r="B33" s="233">
        <v>6.4</v>
      </c>
      <c r="C33" s="247">
        <v>3.0000000000000001E-3</v>
      </c>
      <c r="D33" s="186" t="s">
        <v>927</v>
      </c>
      <c r="E33" s="248">
        <v>0.3</v>
      </c>
      <c r="F33" s="236">
        <f t="shared" si="6"/>
        <v>510218922.61889106</v>
      </c>
      <c r="G33" s="230">
        <v>41.833300000000001</v>
      </c>
      <c r="H33" s="249">
        <f t="shared" si="5"/>
        <v>19209727.130033571</v>
      </c>
      <c r="I33" s="216"/>
      <c r="J33" s="225">
        <f t="shared" si="0"/>
        <v>19209727.130033571</v>
      </c>
    </row>
    <row r="34" spans="2:10" ht="12.75" customHeight="1">
      <c r="B34" s="226">
        <v>6.5</v>
      </c>
      <c r="C34" s="250">
        <v>3.5000000000000001E-3</v>
      </c>
      <c r="D34" s="177" t="s">
        <v>928</v>
      </c>
      <c r="E34" s="251">
        <v>7.91075050709939E-2</v>
      </c>
      <c r="F34" s="229">
        <f t="shared" si="6"/>
        <v>510218922.61889106</v>
      </c>
      <c r="G34" s="230">
        <v>5.3330000000000002</v>
      </c>
      <c r="H34" s="231">
        <f t="shared" si="5"/>
        <v>753379.63631962182</v>
      </c>
      <c r="I34" s="216"/>
      <c r="J34" s="225">
        <f t="shared" si="0"/>
        <v>753379.63631962182</v>
      </c>
    </row>
    <row r="35" spans="2:10" ht="12.75" customHeight="1">
      <c r="B35" s="1069"/>
      <c r="C35" s="945"/>
      <c r="D35" s="945"/>
      <c r="E35" s="945"/>
      <c r="F35" s="946"/>
      <c r="G35" s="252" t="s">
        <v>929</v>
      </c>
      <c r="H35" s="253">
        <f>SUM(H30:H34)</f>
        <v>44760122.692086726</v>
      </c>
      <c r="I35" s="216"/>
      <c r="J35" s="225"/>
    </row>
    <row r="36" spans="2:10" ht="12.75" customHeight="1">
      <c r="B36" s="920"/>
      <c r="C36" s="922"/>
      <c r="D36" s="922"/>
      <c r="E36" s="922"/>
      <c r="F36" s="932"/>
      <c r="G36" s="254" t="s">
        <v>930</v>
      </c>
      <c r="H36" s="255">
        <v>15000</v>
      </c>
      <c r="I36" s="216"/>
      <c r="J36" s="225"/>
    </row>
    <row r="37" spans="2:10" ht="12.75" customHeight="1">
      <c r="B37" s="929"/>
      <c r="C37" s="936"/>
      <c r="D37" s="936"/>
      <c r="E37" s="936"/>
      <c r="F37" s="1070"/>
      <c r="G37" s="254" t="s">
        <v>931</v>
      </c>
      <c r="H37" s="255">
        <f>(SUM(H35:H36)*0.19)</f>
        <v>8507273.3114964776</v>
      </c>
      <c r="I37" s="216"/>
      <c r="J37" s="225"/>
    </row>
    <row r="38" spans="2:10" ht="12.75" customHeight="1">
      <c r="B38" s="212">
        <v>8</v>
      </c>
      <c r="C38" s="256" t="s">
        <v>919</v>
      </c>
      <c r="D38" s="257" t="s">
        <v>932</v>
      </c>
      <c r="E38" s="256"/>
      <c r="F38" s="245" t="s">
        <v>922</v>
      </c>
      <c r="G38" s="256"/>
      <c r="H38" s="215">
        <f>+SUM(H39:H41)</f>
        <v>38266419.196416833</v>
      </c>
      <c r="I38" s="216"/>
      <c r="J38" s="217">
        <f t="shared" ref="J38:J42" si="7">+H38/$J$12</f>
        <v>38266419.196416833</v>
      </c>
    </row>
    <row r="39" spans="2:10" ht="12.75" customHeight="1">
      <c r="B39" s="258">
        <v>8.1999999999999993</v>
      </c>
      <c r="C39" s="251">
        <v>0.04</v>
      </c>
      <c r="D39" s="177" t="s">
        <v>933</v>
      </c>
      <c r="E39" s="259" t="s">
        <v>270</v>
      </c>
      <c r="F39" s="236">
        <f>F34</f>
        <v>510218922.61889106</v>
      </c>
      <c r="G39" s="260" t="s">
        <v>270</v>
      </c>
      <c r="H39" s="261">
        <f t="shared" ref="H39:H41" si="8">C39*F39</f>
        <v>20408756.904755645</v>
      </c>
      <c r="I39" s="216"/>
      <c r="J39" s="225">
        <f t="shared" si="7"/>
        <v>20408756.904755645</v>
      </c>
    </row>
    <row r="40" spans="2:10" ht="12.75" customHeight="1">
      <c r="B40" s="262">
        <v>8.3000000000000007</v>
      </c>
      <c r="C40" s="251">
        <v>0.02</v>
      </c>
      <c r="D40" s="263" t="s">
        <v>934</v>
      </c>
      <c r="E40" s="251" t="s">
        <v>270</v>
      </c>
      <c r="F40" s="236">
        <f t="shared" ref="F40:F41" si="9">F39</f>
        <v>510218922.61889106</v>
      </c>
      <c r="G40" s="260" t="s">
        <v>270</v>
      </c>
      <c r="H40" s="261">
        <f t="shared" si="8"/>
        <v>10204378.452377822</v>
      </c>
      <c r="I40" s="216"/>
      <c r="J40" s="225">
        <f t="shared" si="7"/>
        <v>10204378.452377822</v>
      </c>
    </row>
    <row r="41" spans="2:10" ht="12.75" customHeight="1">
      <c r="B41" s="258">
        <v>8.4</v>
      </c>
      <c r="C41" s="251">
        <v>1.4999999999999999E-2</v>
      </c>
      <c r="D41" s="263" t="s">
        <v>935</v>
      </c>
      <c r="E41" s="251" t="s">
        <v>270</v>
      </c>
      <c r="F41" s="236">
        <f t="shared" si="9"/>
        <v>510218922.61889106</v>
      </c>
      <c r="G41" s="260" t="s">
        <v>270</v>
      </c>
      <c r="H41" s="261">
        <f t="shared" si="8"/>
        <v>7653283.8392833658</v>
      </c>
      <c r="I41" s="216"/>
      <c r="J41" s="225">
        <f t="shared" si="7"/>
        <v>7653283.8392833658</v>
      </c>
    </row>
    <row r="42" spans="2:10" ht="15.75" customHeight="1">
      <c r="B42" s="212"/>
      <c r="C42" s="213"/>
      <c r="D42" s="214"/>
      <c r="E42" s="213"/>
      <c r="F42" s="213"/>
      <c r="G42" s="264" t="s">
        <v>936</v>
      </c>
      <c r="H42" s="215">
        <f>H38+H29+H25+H22+H18+H13</f>
        <v>170798815.20000005</v>
      </c>
      <c r="I42" s="216"/>
      <c r="J42" s="217">
        <f t="shared" si="7"/>
        <v>170798815.20000005</v>
      </c>
    </row>
    <row r="43" spans="2:10" ht="15.75" customHeight="1">
      <c r="B43" s="265"/>
      <c r="C43" s="265"/>
      <c r="D43" s="265"/>
      <c r="E43" s="265"/>
      <c r="F43" s="265"/>
      <c r="G43" s="265"/>
      <c r="H43" s="265"/>
      <c r="I43" s="265"/>
      <c r="J43" s="265"/>
    </row>
    <row r="44" spans="2:10" ht="15.75" customHeight="1">
      <c r="B44" s="265"/>
      <c r="C44" s="265"/>
      <c r="D44" s="266"/>
      <c r="E44" s="267"/>
      <c r="F44" s="267"/>
      <c r="G44" s="267" t="s">
        <v>937</v>
      </c>
      <c r="H44" s="268">
        <v>0</v>
      </c>
      <c r="I44" s="265"/>
      <c r="J44" s="265"/>
    </row>
    <row r="45" spans="2:10" ht="15.75" customHeight="1">
      <c r="B45" s="265"/>
      <c r="C45" s="265"/>
      <c r="D45" s="269"/>
      <c r="E45" s="270" t="s">
        <v>19</v>
      </c>
      <c r="F45" s="271"/>
      <c r="G45" s="271" t="e">
        <f>H42/(Presupuesto!#REF!)</f>
        <v>#REF!</v>
      </c>
      <c r="H45" s="272">
        <f>ROUND(H42,0)</f>
        <v>170798815</v>
      </c>
      <c r="I45" s="273">
        <v>0.31</v>
      </c>
      <c r="J45" s="265"/>
    </row>
    <row r="46" spans="2:10" ht="15.75" customHeight="1">
      <c r="B46" s="265"/>
      <c r="C46" s="265"/>
      <c r="D46" s="269"/>
      <c r="E46" s="270" t="s">
        <v>938</v>
      </c>
      <c r="F46" s="271"/>
      <c r="G46" s="271">
        <v>0.01</v>
      </c>
      <c r="H46" s="272">
        <f t="shared" ref="H46:H47" si="10">ROUND(G46*$I$41,0)</f>
        <v>0</v>
      </c>
      <c r="I46" s="265"/>
      <c r="J46" s="265"/>
    </row>
    <row r="47" spans="2:10" ht="15.75" customHeight="1">
      <c r="B47" s="265"/>
      <c r="C47" s="265"/>
      <c r="D47" s="269"/>
      <c r="E47" s="270" t="s">
        <v>939</v>
      </c>
      <c r="F47" s="271"/>
      <c r="G47" s="271">
        <v>0.05</v>
      </c>
      <c r="H47" s="272">
        <f t="shared" si="10"/>
        <v>0</v>
      </c>
      <c r="I47" s="265"/>
      <c r="J47" s="265"/>
    </row>
    <row r="48" spans="2:10" ht="15" customHeight="1">
      <c r="D48" s="274"/>
      <c r="E48" s="275" t="s">
        <v>940</v>
      </c>
      <c r="F48" s="276"/>
      <c r="G48" s="276" t="e">
        <f t="shared" ref="G48:H48" si="11">SUM(G45:G47)</f>
        <v>#REF!</v>
      </c>
      <c r="H48" s="277">
        <f t="shared" si="11"/>
        <v>170798815</v>
      </c>
    </row>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B35:F37"/>
    <mergeCell ref="B2:C8"/>
    <mergeCell ref="D2:E3"/>
    <mergeCell ref="F2:G3"/>
    <mergeCell ref="H2:H3"/>
    <mergeCell ref="D4:E6"/>
    <mergeCell ref="F4:H4"/>
    <mergeCell ref="F6:H6"/>
    <mergeCell ref="D7:E8"/>
  </mergeCells>
  <pageMargins left="0.25" right="0.25" top="0.75" bottom="0.75" header="0" footer="0"/>
  <pageSetup fitToHeight="0"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1E4E79"/>
  </sheetPr>
  <dimension ref="A1:Z1037"/>
  <sheetViews>
    <sheetView topLeftCell="A105" zoomScale="85" zoomScaleNormal="85" workbookViewId="0"/>
  </sheetViews>
  <sheetFormatPr baseColWidth="10" defaultColWidth="14.42578125" defaultRowHeight="15" customHeight="1" outlineLevelRow="1"/>
  <cols>
    <col min="1" max="1" width="11.42578125" customWidth="1"/>
    <col min="2" max="2" width="5.28515625" customWidth="1"/>
    <col min="3" max="3" width="11.42578125" customWidth="1"/>
    <col min="4" max="4" width="15.28515625" customWidth="1"/>
    <col min="5" max="6" width="1.85546875" hidden="1" customWidth="1"/>
    <col min="7" max="7" width="84.5703125" customWidth="1"/>
    <col min="8" max="8" width="11.42578125" customWidth="1"/>
    <col min="9" max="9" width="28.140625" customWidth="1"/>
    <col min="10" max="10" width="20.42578125" customWidth="1"/>
    <col min="11" max="11" width="25.28515625" bestFit="1" customWidth="1"/>
    <col min="12" max="12" width="5.28515625" customWidth="1"/>
    <col min="13" max="13" width="18" customWidth="1"/>
    <col min="14" max="14" width="17.42578125" customWidth="1"/>
    <col min="15" max="15" width="18.5703125" customWidth="1"/>
    <col min="16" max="26" width="11.42578125" customWidth="1"/>
  </cols>
  <sheetData>
    <row r="1" spans="1:26" ht="14.25" customHeight="1">
      <c r="A1" s="1"/>
      <c r="B1" s="1"/>
      <c r="C1" s="1"/>
      <c r="D1" s="1"/>
      <c r="E1" s="1"/>
      <c r="F1" s="1"/>
      <c r="G1" s="1"/>
      <c r="H1" s="1"/>
      <c r="I1" s="1"/>
      <c r="J1" s="1"/>
      <c r="K1" s="1"/>
      <c r="L1" s="1"/>
      <c r="M1" s="1"/>
      <c r="N1" s="1"/>
      <c r="O1" s="1"/>
      <c r="P1" s="1"/>
      <c r="Q1" s="1"/>
      <c r="R1" s="1"/>
      <c r="S1" s="1"/>
      <c r="T1" s="1"/>
      <c r="U1" s="1"/>
      <c r="V1" s="1"/>
      <c r="W1" s="1"/>
      <c r="X1" s="1"/>
      <c r="Y1" s="1"/>
      <c r="Z1" s="1"/>
    </row>
    <row r="2" spans="1:26" ht="14.25" customHeight="1">
      <c r="A2" s="278" t="s">
        <v>941</v>
      </c>
      <c r="B2" s="279"/>
      <c r="C2" s="280"/>
      <c r="D2" s="281"/>
      <c r="E2" s="282"/>
      <c r="F2" s="281"/>
      <c r="G2" s="280"/>
      <c r="H2" s="281"/>
      <c r="I2" s="281"/>
      <c r="J2" s="281"/>
      <c r="K2" s="281"/>
      <c r="L2" s="283"/>
      <c r="M2" s="1"/>
      <c r="N2" s="1"/>
      <c r="O2" s="1"/>
      <c r="P2" s="1"/>
      <c r="Q2" s="1"/>
      <c r="R2" s="1"/>
      <c r="S2" s="1"/>
      <c r="T2" s="1"/>
      <c r="U2" s="1"/>
      <c r="V2" s="1"/>
      <c r="W2" s="1"/>
      <c r="X2" s="1"/>
      <c r="Y2" s="1"/>
      <c r="Z2" s="1"/>
    </row>
    <row r="3" spans="1:26" ht="14.25" customHeight="1" thickBot="1">
      <c r="A3" s="278"/>
      <c r="B3" s="284"/>
      <c r="C3" s="1078"/>
      <c r="D3" s="1079"/>
      <c r="E3" s="1079"/>
      <c r="F3" s="1080"/>
      <c r="G3" s="285"/>
      <c r="H3" s="286"/>
      <c r="I3" s="286"/>
      <c r="J3" s="286"/>
      <c r="K3" s="286"/>
      <c r="L3" s="287"/>
      <c r="M3" s="1"/>
      <c r="N3" s="1"/>
      <c r="O3" s="1"/>
      <c r="P3" s="1"/>
      <c r="Q3" s="1"/>
      <c r="R3" s="1"/>
      <c r="S3" s="1"/>
      <c r="T3" s="1"/>
      <c r="U3" s="1"/>
      <c r="V3" s="1"/>
      <c r="W3" s="1"/>
      <c r="X3" s="1"/>
      <c r="Y3" s="1"/>
      <c r="Z3" s="1"/>
    </row>
    <row r="4" spans="1:26" ht="14.25" hidden="1" customHeight="1">
      <c r="A4" s="278"/>
      <c r="B4" s="284"/>
      <c r="C4" s="288" t="s">
        <v>942</v>
      </c>
      <c r="D4" s="289" t="s">
        <v>943</v>
      </c>
      <c r="E4" s="288" t="s">
        <v>944</v>
      </c>
      <c r="F4" s="289">
        <v>1</v>
      </c>
      <c r="G4" s="285"/>
      <c r="H4" s="286"/>
      <c r="I4" s="286"/>
      <c r="J4" s="286"/>
      <c r="K4" s="286"/>
      <c r="L4" s="287"/>
      <c r="M4" s="1"/>
      <c r="N4" s="1"/>
      <c r="O4" s="1"/>
      <c r="P4" s="1"/>
      <c r="Q4" s="1"/>
      <c r="R4" s="1"/>
      <c r="S4" s="1"/>
      <c r="T4" s="1"/>
      <c r="U4" s="1"/>
      <c r="V4" s="1"/>
      <c r="W4" s="1"/>
      <c r="X4" s="1"/>
      <c r="Y4" s="1"/>
      <c r="Z4" s="1"/>
    </row>
    <row r="5" spans="1:26" ht="14.25" customHeight="1">
      <c r="A5" s="290"/>
      <c r="B5" s="291"/>
      <c r="C5" s="1081"/>
      <c r="D5" s="926"/>
      <c r="E5" s="926"/>
      <c r="F5" s="926"/>
      <c r="G5" s="926"/>
      <c r="H5" s="926"/>
      <c r="I5" s="926"/>
      <c r="J5" s="926"/>
      <c r="K5" s="927"/>
      <c r="L5" s="292"/>
      <c r="M5" s="1"/>
      <c r="N5" s="1"/>
      <c r="O5" s="1"/>
      <c r="P5" s="1"/>
      <c r="Q5" s="1"/>
      <c r="R5" s="1"/>
      <c r="S5" s="1"/>
      <c r="T5" s="1"/>
      <c r="U5" s="1"/>
      <c r="V5" s="1"/>
      <c r="W5" s="1"/>
      <c r="X5" s="1"/>
      <c r="Y5" s="1"/>
      <c r="Z5" s="1"/>
    </row>
    <row r="6" spans="1:26" ht="14.25" customHeight="1">
      <c r="A6" s="290"/>
      <c r="B6" s="291"/>
      <c r="C6" s="1082" t="s">
        <v>945</v>
      </c>
      <c r="D6" s="922"/>
      <c r="E6" s="922"/>
      <c r="F6" s="922"/>
      <c r="G6" s="922"/>
      <c r="H6" s="922"/>
      <c r="I6" s="922"/>
      <c r="J6" s="922"/>
      <c r="K6" s="924"/>
      <c r="L6" s="292"/>
      <c r="M6" s="1"/>
      <c r="N6" s="1"/>
      <c r="O6" s="1"/>
      <c r="P6" s="1"/>
      <c r="Q6" s="1"/>
      <c r="R6" s="1"/>
      <c r="S6" s="1"/>
      <c r="T6" s="1"/>
      <c r="U6" s="1"/>
      <c r="V6" s="1"/>
      <c r="W6" s="1"/>
      <c r="X6" s="1"/>
      <c r="Y6" s="1"/>
      <c r="Z6" s="1"/>
    </row>
    <row r="7" spans="1:26" ht="26.25" customHeight="1">
      <c r="A7" s="293"/>
      <c r="B7" s="294"/>
      <c r="C7" s="108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D7" s="945"/>
      <c r="E7" s="945"/>
      <c r="F7" s="945"/>
      <c r="G7" s="945"/>
      <c r="H7" s="945"/>
      <c r="I7" s="945"/>
      <c r="J7" s="945"/>
      <c r="K7" s="1006"/>
      <c r="L7" s="295"/>
      <c r="M7" s="1"/>
      <c r="N7" s="1"/>
      <c r="O7" s="1"/>
      <c r="P7" s="1"/>
      <c r="Q7" s="1"/>
      <c r="R7" s="1"/>
      <c r="S7" s="1"/>
      <c r="T7" s="1"/>
      <c r="U7" s="1"/>
      <c r="V7" s="1"/>
      <c r="W7" s="1"/>
      <c r="X7" s="1"/>
      <c r="Y7" s="1"/>
      <c r="Z7" s="1"/>
    </row>
    <row r="8" spans="1:26" ht="56.65" customHeight="1">
      <c r="A8" s="278"/>
      <c r="B8" s="284"/>
      <c r="C8" s="929"/>
      <c r="D8" s="936"/>
      <c r="E8" s="936"/>
      <c r="F8" s="936"/>
      <c r="G8" s="936"/>
      <c r="H8" s="936"/>
      <c r="I8" s="936"/>
      <c r="J8" s="936"/>
      <c r="K8" s="938"/>
      <c r="L8" s="287"/>
      <c r="M8" s="1"/>
      <c r="N8" s="1"/>
      <c r="O8" s="1"/>
      <c r="P8" s="1"/>
      <c r="Q8" s="1"/>
      <c r="R8" s="1"/>
      <c r="S8" s="1"/>
      <c r="T8" s="1"/>
      <c r="U8" s="1"/>
      <c r="V8" s="1"/>
      <c r="W8" s="1"/>
      <c r="X8" s="1"/>
      <c r="Y8" s="1"/>
      <c r="Z8" s="1"/>
    </row>
    <row r="9" spans="1:26" ht="14.25" customHeight="1">
      <c r="A9" s="278"/>
      <c r="B9" s="284"/>
      <c r="C9" s="1076" t="s">
        <v>946</v>
      </c>
      <c r="D9" s="1077" t="s">
        <v>947</v>
      </c>
      <c r="E9" s="1084" t="s">
        <v>948</v>
      </c>
      <c r="F9" s="1000"/>
      <c r="G9" s="1076" t="s">
        <v>17</v>
      </c>
      <c r="H9" s="1077" t="s">
        <v>949</v>
      </c>
      <c r="I9" s="1077" t="s">
        <v>950</v>
      </c>
      <c r="J9" s="1086" t="s">
        <v>951</v>
      </c>
      <c r="K9" s="1085" t="s">
        <v>952</v>
      </c>
      <c r="L9" s="287"/>
      <c r="M9" s="1"/>
      <c r="N9" s="1"/>
      <c r="O9" s="1"/>
      <c r="P9" s="1"/>
      <c r="Q9" s="1"/>
      <c r="R9" s="1"/>
      <c r="S9" s="1"/>
      <c r="T9" s="1"/>
      <c r="U9" s="1"/>
      <c r="V9" s="1"/>
      <c r="W9" s="1"/>
      <c r="X9" s="1"/>
      <c r="Y9" s="1"/>
      <c r="Z9" s="1"/>
    </row>
    <row r="10" spans="1:26" ht="31.5" customHeight="1">
      <c r="A10" s="278"/>
      <c r="B10" s="284"/>
      <c r="C10" s="1022"/>
      <c r="D10" s="1013"/>
      <c r="E10" s="296" t="s">
        <v>953</v>
      </c>
      <c r="F10" s="296" t="s">
        <v>954</v>
      </c>
      <c r="G10" s="1022"/>
      <c r="H10" s="1013"/>
      <c r="I10" s="1013"/>
      <c r="J10" s="1013"/>
      <c r="K10" s="1016"/>
      <c r="L10" s="287"/>
      <c r="M10" s="1"/>
      <c r="N10" s="1"/>
      <c r="O10" s="1"/>
      <c r="P10" s="1"/>
      <c r="Q10" s="1"/>
      <c r="R10" s="1"/>
      <c r="S10" s="1"/>
      <c r="T10" s="1"/>
      <c r="U10" s="1"/>
      <c r="V10" s="1"/>
      <c r="W10" s="1"/>
      <c r="X10" s="1"/>
      <c r="Y10" s="1"/>
      <c r="Z10" s="1"/>
    </row>
    <row r="11" spans="1:26" ht="25.5" customHeight="1">
      <c r="A11" s="297"/>
      <c r="B11" s="298"/>
      <c r="C11" s="299"/>
      <c r="D11" s="785" t="s">
        <v>972</v>
      </c>
      <c r="E11" s="300"/>
      <c r="F11" s="300"/>
      <c r="G11" s="301"/>
      <c r="H11" s="300"/>
      <c r="I11" s="300"/>
      <c r="J11" s="302"/>
      <c r="K11" s="303">
        <f>K102</f>
        <v>198500117</v>
      </c>
      <c r="L11" s="304"/>
      <c r="M11" s="305"/>
      <c r="N11" s="305"/>
      <c r="O11" s="1"/>
      <c r="P11" s="1"/>
      <c r="Q11" s="1"/>
      <c r="R11" s="1"/>
      <c r="S11" s="1"/>
      <c r="T11" s="1"/>
      <c r="U11" s="1"/>
      <c r="V11" s="1"/>
      <c r="W11" s="1"/>
      <c r="X11" s="1"/>
      <c r="Y11" s="1"/>
      <c r="Z11" s="1"/>
    </row>
    <row r="12" spans="1:26" ht="14.25" customHeight="1" outlineLevel="1">
      <c r="A12" s="297"/>
      <c r="B12" s="298"/>
      <c r="C12" s="786" t="s">
        <v>975</v>
      </c>
      <c r="D12" s="306" t="str">
        <f>IF(C12="","",VLOOKUP(C12,ListaAct,4,FALSE))</f>
        <v>PRELIMINARES</v>
      </c>
      <c r="E12" s="307"/>
      <c r="F12" s="307"/>
      <c r="G12" s="308"/>
      <c r="H12" s="307"/>
      <c r="I12" s="309"/>
      <c r="J12" s="310"/>
      <c r="K12" s="311"/>
      <c r="L12" s="304"/>
      <c r="M12" s="1"/>
      <c r="N12" s="1"/>
      <c r="O12" s="1"/>
      <c r="P12" s="1"/>
      <c r="Q12" s="1"/>
      <c r="R12" s="1"/>
      <c r="S12" s="1"/>
      <c r="T12" s="1"/>
      <c r="U12" s="1"/>
      <c r="V12" s="1"/>
      <c r="W12" s="1"/>
      <c r="X12" s="1"/>
      <c r="Y12" s="1"/>
      <c r="Z12" s="1"/>
    </row>
    <row r="13" spans="1:26" ht="14.25" customHeight="1" outlineLevel="1">
      <c r="A13" s="1"/>
      <c r="B13" s="284"/>
      <c r="C13" s="312"/>
      <c r="D13" s="313" t="s">
        <v>976</v>
      </c>
      <c r="E13" s="219"/>
      <c r="F13" s="219"/>
      <c r="G13" s="314" t="str">
        <f>IF(D13="","",VLOOKUP(D13,ListaAct,4,FALSE))</f>
        <v>Localizacion y replanteo</v>
      </c>
      <c r="H13" s="219" t="str">
        <f>IF(D13="","",VLOOKUP(D13,ListaAct,5,FALSE))</f>
        <v>m2</v>
      </c>
      <c r="I13" s="315">
        <f>IF(D13="","",VLOOKUP(D13,ListaAct,6,FALSE))</f>
        <v>130</v>
      </c>
      <c r="J13" s="316">
        <f>IF(D13="","",VLOOKUP(D13,ListaAct,7,FALSE))</f>
        <v>6608</v>
      </c>
      <c r="K13" s="317">
        <f t="shared" ref="K13:K14" si="0">IF(D13="","",ROUND(J13*I13,0))</f>
        <v>859040</v>
      </c>
      <c r="L13" s="287"/>
      <c r="M13" s="318"/>
      <c r="N13" s="1"/>
      <c r="O13" s="1"/>
      <c r="P13" s="1"/>
      <c r="Q13" s="1"/>
      <c r="R13" s="1"/>
      <c r="S13" s="1"/>
      <c r="T13" s="1"/>
      <c r="U13" s="1"/>
      <c r="V13" s="1"/>
      <c r="W13" s="1"/>
      <c r="X13" s="1"/>
      <c r="Y13" s="1"/>
      <c r="Z13" s="1"/>
    </row>
    <row r="14" spans="1:26" ht="14.25" customHeight="1" outlineLevel="1">
      <c r="A14" s="1"/>
      <c r="B14" s="298"/>
      <c r="C14" s="319"/>
      <c r="D14" s="320" t="s">
        <v>980</v>
      </c>
      <c r="E14" s="321"/>
      <c r="F14" s="321"/>
      <c r="G14" s="322" t="str">
        <f>IF(D14="","",VLOOKUP(D14,ListaAct,4,FALSE))</f>
        <v xml:space="preserve"> Instalacion de plastico negro para proteger construcción </v>
      </c>
      <c r="H14" s="321" t="str">
        <f>IF(D14="","",VLOOKUP(D14,ListaAct,5,FALSE))</f>
        <v>m2</v>
      </c>
      <c r="I14" s="323">
        <f>IF(D14="","",VLOOKUP(D14,ListaAct,6,FALSE))</f>
        <v>60</v>
      </c>
      <c r="J14" s="324">
        <f>IF(D14="","",VLOOKUP(D14,ListaAct,7,FALSE))</f>
        <v>10496</v>
      </c>
      <c r="K14" s="325">
        <f t="shared" si="0"/>
        <v>629760</v>
      </c>
      <c r="L14" s="287"/>
      <c r="M14" s="318"/>
      <c r="N14" s="1"/>
      <c r="O14" s="1"/>
      <c r="P14" s="1"/>
      <c r="Q14" s="1"/>
      <c r="R14" s="1"/>
      <c r="S14" s="1"/>
      <c r="T14" s="1"/>
      <c r="U14" s="1"/>
      <c r="V14" s="1"/>
      <c r="W14" s="1"/>
      <c r="X14" s="1"/>
      <c r="Y14" s="1"/>
      <c r="Z14" s="1"/>
    </row>
    <row r="15" spans="1:26" ht="44.25" customHeight="1" outlineLevel="1">
      <c r="A15" s="1"/>
      <c r="B15" s="803"/>
      <c r="C15" s="319"/>
      <c r="D15" s="320" t="s">
        <v>983</v>
      </c>
      <c r="E15" s="321"/>
      <c r="F15" s="321"/>
      <c r="G15" s="322" t="str">
        <f>IF(D15="","",VLOOKUP(D15,ListaAct,4,FALSE))</f>
        <v xml:space="preserve"> Instalación durante la obra de cerramiento en polisombra sostenido con madera resistente apoyada en recipiente pesado no anclado al piso a una altura de 3.0 mts alrededor del juzgado separada 1,50 mts de las fachadas. </v>
      </c>
      <c r="H15" s="321" t="str">
        <f>IF(D15="","",VLOOKUP(D15,ListaAct,5,FALSE))</f>
        <v>ml</v>
      </c>
      <c r="I15" s="323">
        <f>IF(D15="","",VLOOKUP(D15,ListaAct,6,FALSE))</f>
        <v>39.5</v>
      </c>
      <c r="J15" s="324">
        <f>IF(D15="","",VLOOKUP(D15,ListaAct,7,FALSE))</f>
        <v>79834</v>
      </c>
      <c r="K15" s="325">
        <f t="shared" ref="K15" si="1">IF(D15="","",ROUND(J15*I15,0))</f>
        <v>3153443</v>
      </c>
      <c r="L15" s="806"/>
      <c r="M15" s="318"/>
      <c r="N15" s="1"/>
      <c r="O15" s="1"/>
      <c r="P15" s="1"/>
      <c r="Q15" s="1"/>
      <c r="R15" s="1"/>
      <c r="S15" s="1"/>
      <c r="T15" s="1"/>
      <c r="U15" s="1"/>
      <c r="V15" s="1"/>
      <c r="W15" s="1"/>
      <c r="X15" s="1"/>
      <c r="Y15" s="1"/>
      <c r="Z15" s="1"/>
    </row>
    <row r="16" spans="1:26" ht="14.25" customHeight="1" outlineLevel="1">
      <c r="A16" s="1"/>
      <c r="B16" s="298"/>
      <c r="C16" s="326" t="s">
        <v>67</v>
      </c>
      <c r="D16" s="327"/>
      <c r="E16" s="327"/>
      <c r="F16" s="327"/>
      <c r="G16" s="328"/>
      <c r="H16" s="327"/>
      <c r="I16" s="329"/>
      <c r="J16" s="330"/>
      <c r="K16" s="331">
        <f>+SUM(K13:K15)</f>
        <v>4642243</v>
      </c>
      <c r="L16" s="287"/>
      <c r="M16" s="318"/>
      <c r="N16" s="1"/>
      <c r="O16" s="1"/>
      <c r="P16" s="1"/>
      <c r="Q16" s="1"/>
      <c r="R16" s="1"/>
      <c r="S16" s="1"/>
      <c r="T16" s="1"/>
      <c r="U16" s="1"/>
      <c r="V16" s="1"/>
      <c r="W16" s="1"/>
      <c r="X16" s="1"/>
      <c r="Y16" s="1"/>
      <c r="Z16" s="1"/>
    </row>
    <row r="17" spans="1:26" ht="14.25" customHeight="1" outlineLevel="1">
      <c r="A17" s="1"/>
      <c r="B17" s="298"/>
      <c r="C17" s="788" t="s">
        <v>979</v>
      </c>
      <c r="D17" s="332" t="str">
        <f>IF(C17="","",VLOOKUP(C17,ListaAct,4,FALSE))</f>
        <v>DEMOLICIONES, DESCAPOTES Y RETIROS</v>
      </c>
      <c r="E17" s="333"/>
      <c r="F17" s="333"/>
      <c r="G17" s="334"/>
      <c r="H17" s="333"/>
      <c r="I17" s="335"/>
      <c r="J17" s="336"/>
      <c r="K17" s="337"/>
      <c r="L17" s="287"/>
      <c r="M17" s="318"/>
      <c r="N17" s="1"/>
      <c r="O17" s="1"/>
      <c r="P17" s="1"/>
      <c r="Q17" s="1"/>
      <c r="R17" s="1"/>
      <c r="S17" s="1"/>
      <c r="T17" s="1"/>
      <c r="U17" s="1"/>
      <c r="V17" s="1"/>
      <c r="W17" s="1"/>
      <c r="X17" s="1"/>
      <c r="Y17" s="1"/>
      <c r="Z17" s="1"/>
    </row>
    <row r="18" spans="1:26" outlineLevel="1">
      <c r="A18" s="1"/>
      <c r="B18" s="298"/>
      <c r="C18" s="338"/>
      <c r="D18" s="320" t="s">
        <v>989</v>
      </c>
      <c r="E18" s="321"/>
      <c r="F18" s="321"/>
      <c r="G18" s="322" t="str">
        <f t="shared" ref="G18:G22" si="2">IF(D18="","",VLOOKUP(D18,ListaAct,4,FALSE))</f>
        <v xml:space="preserve"> Demolición de placa de concreto e=0,10 mts zona norte. </v>
      </c>
      <c r="H18" s="321" t="str">
        <f t="shared" ref="H18:H24" si="3">IF(D18="","",VLOOKUP(D18,ListaAct,5,FALSE))</f>
        <v>m2</v>
      </c>
      <c r="I18" s="323">
        <f t="shared" ref="I18:I24" si="4">IF(D18="","",VLOOKUP(D18,ListaAct,6,FALSE))</f>
        <v>4.51</v>
      </c>
      <c r="J18" s="324">
        <f t="shared" ref="J18:J24" si="5">IF(D18="","",VLOOKUP(D18,ListaAct,7,FALSE))</f>
        <v>60382</v>
      </c>
      <c r="K18" s="325">
        <f t="shared" ref="K18:K19" si="6">IF(D18="","",ROUND(J18*I18,0))</f>
        <v>272323</v>
      </c>
      <c r="L18" s="287"/>
      <c r="M18" s="318"/>
      <c r="N18" s="1"/>
      <c r="O18" s="1"/>
      <c r="P18" s="1"/>
      <c r="Q18" s="1"/>
      <c r="R18" s="1"/>
      <c r="S18" s="1"/>
      <c r="T18" s="1"/>
      <c r="U18" s="1"/>
      <c r="V18" s="1"/>
      <c r="W18" s="1"/>
      <c r="X18" s="1"/>
      <c r="Y18" s="1"/>
      <c r="Z18" s="1"/>
    </row>
    <row r="19" spans="1:26" ht="28.5" outlineLevel="1">
      <c r="A19" s="1"/>
      <c r="B19" s="298"/>
      <c r="C19" s="338"/>
      <c r="D19" s="320" t="s">
        <v>992</v>
      </c>
      <c r="E19" s="321"/>
      <c r="F19" s="321"/>
      <c r="G19" s="322" t="str">
        <f t="shared" si="2"/>
        <v xml:space="preserve"> Demolición de pañete en mortero comun muros norte, sur y occidente en bahareque y tapia pisada interno y externo. </v>
      </c>
      <c r="H19" s="321" t="str">
        <f t="shared" si="3"/>
        <v>m2</v>
      </c>
      <c r="I19" s="323">
        <f t="shared" si="4"/>
        <v>161.35</v>
      </c>
      <c r="J19" s="324">
        <f t="shared" si="5"/>
        <v>36403</v>
      </c>
      <c r="K19" s="325">
        <f t="shared" si="6"/>
        <v>5873624</v>
      </c>
      <c r="L19" s="287"/>
      <c r="M19" s="318"/>
      <c r="N19" s="1"/>
      <c r="O19" s="1"/>
      <c r="P19" s="1"/>
      <c r="Q19" s="1"/>
      <c r="R19" s="1"/>
      <c r="S19" s="1"/>
      <c r="T19" s="1"/>
      <c r="U19" s="1"/>
      <c r="V19" s="1"/>
      <c r="W19" s="1"/>
      <c r="X19" s="1"/>
      <c r="Y19" s="1"/>
      <c r="Z19" s="1"/>
    </row>
    <row r="20" spans="1:26" outlineLevel="1">
      <c r="A20" s="1"/>
      <c r="B20" s="298"/>
      <c r="C20" s="338"/>
      <c r="D20" s="320" t="s">
        <v>995</v>
      </c>
      <c r="E20" s="321"/>
      <c r="F20" s="321"/>
      <c r="G20" s="322" t="str">
        <f t="shared" si="2"/>
        <v xml:space="preserve"> Retiro de maleza en la zona norte del juzgado. </v>
      </c>
      <c r="H20" s="321" t="str">
        <f t="shared" si="3"/>
        <v>m2</v>
      </c>
      <c r="I20" s="323">
        <f t="shared" si="4"/>
        <v>8.5</v>
      </c>
      <c r="J20" s="324">
        <f t="shared" si="5"/>
        <v>33746</v>
      </c>
      <c r="K20" s="325">
        <f>IF(D20="","",ROUND(J20*I20,0))</f>
        <v>286841</v>
      </c>
      <c r="L20" s="287"/>
      <c r="M20" s="19"/>
      <c r="N20" s="1"/>
      <c r="O20" s="1"/>
      <c r="P20" s="1"/>
      <c r="Q20" s="1"/>
      <c r="R20" s="1"/>
      <c r="S20" s="1"/>
      <c r="T20" s="1"/>
      <c r="U20" s="1"/>
      <c r="V20" s="1"/>
      <c r="W20" s="1"/>
      <c r="X20" s="1"/>
      <c r="Y20" s="1"/>
      <c r="Z20" s="1"/>
    </row>
    <row r="21" spans="1:26" ht="28.5" outlineLevel="1">
      <c r="A21" s="1"/>
      <c r="B21" s="298"/>
      <c r="C21" s="338"/>
      <c r="D21" s="320" t="s">
        <v>998</v>
      </c>
      <c r="E21" s="321"/>
      <c r="F21" s="321"/>
      <c r="G21" s="322" t="str">
        <f t="shared" si="2"/>
        <v xml:space="preserve"> Desmonte de voladizo fachadas sur . Conservar teja de arcilla en lugar seguro para su reutilización </v>
      </c>
      <c r="H21" s="321" t="str">
        <f t="shared" si="3"/>
        <v>ml</v>
      </c>
      <c r="I21" s="323">
        <f t="shared" si="4"/>
        <v>11.66</v>
      </c>
      <c r="J21" s="324">
        <f t="shared" si="5"/>
        <v>44582</v>
      </c>
      <c r="K21" s="325">
        <f t="shared" ref="K21:K22" si="7">IF(D21="","",ROUND(J21*I21,0))</f>
        <v>519826</v>
      </c>
      <c r="L21" s="287"/>
      <c r="M21" s="318"/>
      <c r="N21" s="1"/>
      <c r="O21" s="305"/>
      <c r="P21" s="1"/>
      <c r="Q21" s="1"/>
      <c r="R21" s="1"/>
      <c r="S21" s="1"/>
      <c r="T21" s="1"/>
      <c r="U21" s="1"/>
      <c r="V21" s="1"/>
      <c r="W21" s="1"/>
      <c r="X21" s="1"/>
      <c r="Y21" s="1"/>
      <c r="Z21" s="1"/>
    </row>
    <row r="22" spans="1:26" ht="28.5" outlineLevel="1">
      <c r="A22" s="1"/>
      <c r="B22" s="298"/>
      <c r="C22" s="338"/>
      <c r="D22" s="320" t="s">
        <v>1001</v>
      </c>
      <c r="E22" s="321"/>
      <c r="F22" s="321"/>
      <c r="G22" s="322" t="str">
        <f t="shared" si="2"/>
        <v xml:space="preserve"> Regata sobre muro desnudo tipo cajuela de 30 mm conservando los bordes y vertices, incluye superficie en lechada de cal apagada. </v>
      </c>
      <c r="H22" s="321" t="str">
        <f t="shared" si="3"/>
        <v>ml</v>
      </c>
      <c r="I22" s="323">
        <f t="shared" si="4"/>
        <v>247.9</v>
      </c>
      <c r="J22" s="324">
        <f t="shared" si="5"/>
        <v>19524</v>
      </c>
      <c r="K22" s="325">
        <f t="shared" si="7"/>
        <v>4840000</v>
      </c>
      <c r="L22" s="287"/>
      <c r="M22" s="318"/>
      <c r="N22" s="1"/>
      <c r="O22" s="339"/>
      <c r="P22" s="1"/>
      <c r="Q22" s="1"/>
      <c r="R22" s="1"/>
      <c r="S22" s="1"/>
      <c r="T22" s="1"/>
      <c r="U22" s="1"/>
      <c r="V22" s="1"/>
      <c r="W22" s="1"/>
      <c r="X22" s="1"/>
      <c r="Y22" s="1"/>
      <c r="Z22" s="1"/>
    </row>
    <row r="23" spans="1:26" ht="28.5" outlineLevel="1">
      <c r="A23" s="1"/>
      <c r="B23" s="803"/>
      <c r="C23" s="807"/>
      <c r="D23" s="320" t="s">
        <v>1004</v>
      </c>
      <c r="E23" s="321"/>
      <c r="F23" s="321"/>
      <c r="G23" s="322" t="str">
        <f t="shared" ref="G23:G24" si="8">IF(D23="","",VLOOKUP(D23,ListaAct,4,FALSE))</f>
        <v xml:space="preserve"> Retiro de pintura deteriorada de puertas, ventanas y capiteles en madera ambas caras hasta dejar superficie original. </v>
      </c>
      <c r="H23" s="321" t="str">
        <f t="shared" si="3"/>
        <v>m2</v>
      </c>
      <c r="I23" s="323">
        <f t="shared" si="4"/>
        <v>5.46</v>
      </c>
      <c r="J23" s="324">
        <f t="shared" si="5"/>
        <v>14540</v>
      </c>
      <c r="K23" s="325">
        <f t="shared" ref="K23:K24" si="9">IF(D23="","",ROUND(J23*I23,0))</f>
        <v>79388</v>
      </c>
      <c r="L23" s="806"/>
      <c r="M23" s="318"/>
      <c r="N23" s="1"/>
      <c r="O23" s="339"/>
      <c r="P23" s="1"/>
      <c r="Q23" s="1"/>
      <c r="R23" s="1"/>
      <c r="S23" s="1"/>
      <c r="T23" s="1"/>
      <c r="U23" s="1"/>
      <c r="V23" s="1"/>
      <c r="W23" s="1"/>
      <c r="X23" s="1"/>
      <c r="Y23" s="1"/>
      <c r="Z23" s="1"/>
    </row>
    <row r="24" spans="1:26" outlineLevel="1">
      <c r="A24" s="1"/>
      <c r="B24" s="803"/>
      <c r="C24" s="807"/>
      <c r="D24" s="320" t="s">
        <v>1007</v>
      </c>
      <c r="E24" s="321"/>
      <c r="F24" s="321"/>
      <c r="G24" s="322" t="str">
        <f t="shared" si="8"/>
        <v xml:space="preserve"> Retiro de pañete en mal estado zonas no tradionales  </v>
      </c>
      <c r="H24" s="321" t="str">
        <f t="shared" si="3"/>
        <v>m2</v>
      </c>
      <c r="I24" s="323">
        <f t="shared" si="4"/>
        <v>3</v>
      </c>
      <c r="J24" s="324">
        <f t="shared" si="5"/>
        <v>24269</v>
      </c>
      <c r="K24" s="325">
        <f t="shared" si="9"/>
        <v>72807</v>
      </c>
      <c r="L24" s="806"/>
      <c r="M24" s="318"/>
      <c r="N24" s="1"/>
      <c r="O24" s="339"/>
      <c r="P24" s="1"/>
      <c r="Q24" s="1"/>
      <c r="R24" s="1"/>
      <c r="S24" s="1"/>
      <c r="T24" s="1"/>
      <c r="U24" s="1"/>
      <c r="V24" s="1"/>
      <c r="W24" s="1"/>
      <c r="X24" s="1"/>
      <c r="Y24" s="1"/>
      <c r="Z24" s="1"/>
    </row>
    <row r="25" spans="1:26" ht="14.25" customHeight="1" outlineLevel="1">
      <c r="A25" s="1"/>
      <c r="B25" s="298"/>
      <c r="C25" s="326" t="s">
        <v>67</v>
      </c>
      <c r="D25" s="327"/>
      <c r="E25" s="327"/>
      <c r="F25" s="327"/>
      <c r="G25" s="328"/>
      <c r="H25" s="327"/>
      <c r="I25" s="329"/>
      <c r="J25" s="330"/>
      <c r="K25" s="331">
        <f>+SUM(K18:K24)</f>
        <v>11944809</v>
      </c>
      <c r="L25" s="287"/>
      <c r="M25" s="318"/>
      <c r="N25" s="1"/>
      <c r="O25" s="1"/>
      <c r="P25" s="1"/>
      <c r="Q25" s="1"/>
      <c r="R25" s="1"/>
      <c r="S25" s="1"/>
      <c r="T25" s="1"/>
      <c r="U25" s="1"/>
      <c r="V25" s="1"/>
      <c r="W25" s="1"/>
      <c r="X25" s="1"/>
      <c r="Y25" s="1"/>
      <c r="Z25" s="1"/>
    </row>
    <row r="26" spans="1:26" ht="14.25" customHeight="1" outlineLevel="1">
      <c r="A26" s="1"/>
      <c r="B26" s="298"/>
      <c r="C26" s="788" t="s">
        <v>982</v>
      </c>
      <c r="D26" s="332" t="str">
        <f>IF(C26="","",VLOOKUP(C26,ListaAct,4,FALSE))</f>
        <v>EXCAVACIONES</v>
      </c>
      <c r="E26" s="333"/>
      <c r="F26" s="333"/>
      <c r="G26" s="334"/>
      <c r="H26" s="333"/>
      <c r="I26" s="335"/>
      <c r="J26" s="336"/>
      <c r="K26" s="337"/>
      <c r="L26" s="287"/>
      <c r="M26" s="318"/>
      <c r="N26" s="1"/>
      <c r="O26" s="1"/>
      <c r="P26" s="1"/>
      <c r="Q26" s="1"/>
      <c r="R26" s="1"/>
      <c r="S26" s="1"/>
      <c r="T26" s="1"/>
      <c r="U26" s="1"/>
      <c r="V26" s="1"/>
      <c r="W26" s="1"/>
      <c r="X26" s="1"/>
      <c r="Y26" s="1"/>
      <c r="Z26" s="1"/>
    </row>
    <row r="27" spans="1:26" ht="14.25" customHeight="1" outlineLevel="1">
      <c r="A27" s="1"/>
      <c r="B27" s="298"/>
      <c r="C27" s="338"/>
      <c r="D27" s="320" t="s">
        <v>1011</v>
      </c>
      <c r="E27" s="321"/>
      <c r="F27" s="321"/>
      <c r="G27" s="322" t="str">
        <f t="shared" ref="G27:G28" si="10">IF(D27="","",VLOOKUP(D27,ListaAct,4,FALSE))</f>
        <v xml:space="preserve"> Excavación en material comun con retiro a lugar seguro de suelo costado norte  </v>
      </c>
      <c r="H27" s="321" t="str">
        <f t="shared" ref="H27:H28" si="11">IF(D27="","",VLOOKUP(D27,ListaAct,5,FALSE))</f>
        <v>m3</v>
      </c>
      <c r="I27" s="323">
        <f t="shared" ref="I27:I28" si="12">IF(D27="","",VLOOKUP(D27,ListaAct,6,FALSE))</f>
        <v>10.85</v>
      </c>
      <c r="J27" s="324">
        <f>IF(D27="","",VLOOKUP(D27,ListaAct,7,FALSE))</f>
        <v>72806</v>
      </c>
      <c r="K27" s="325">
        <f t="shared" ref="K27" si="13">IF(D27="","",ROUND(J27*I27,0))</f>
        <v>789945</v>
      </c>
      <c r="L27" s="287"/>
      <c r="M27" s="318"/>
      <c r="N27" s="1"/>
      <c r="O27" s="1"/>
      <c r="P27" s="1"/>
      <c r="Q27" s="1"/>
      <c r="R27" s="1"/>
      <c r="S27" s="1"/>
      <c r="T27" s="1"/>
      <c r="U27" s="1"/>
      <c r="V27" s="1"/>
      <c r="W27" s="1"/>
      <c r="X27" s="1"/>
      <c r="Y27" s="1"/>
      <c r="Z27" s="1"/>
    </row>
    <row r="28" spans="1:26" ht="14.25" customHeight="1" outlineLevel="1">
      <c r="A28" s="1"/>
      <c r="B28" s="298"/>
      <c r="C28" s="326" t="s">
        <v>67</v>
      </c>
      <c r="D28" s="327"/>
      <c r="E28" s="327"/>
      <c r="F28" s="327"/>
      <c r="G28" s="322" t="str">
        <f t="shared" si="10"/>
        <v/>
      </c>
      <c r="H28" s="321" t="str">
        <f t="shared" si="11"/>
        <v/>
      </c>
      <c r="I28" s="323" t="str">
        <f t="shared" si="12"/>
        <v/>
      </c>
      <c r="J28" s="324" t="str">
        <f t="shared" ref="J28" si="14">IF(D28="","",VLOOKUP(D28,ListaAct,8,FALSE))</f>
        <v/>
      </c>
      <c r="K28" s="331">
        <f>+SUM(K27:K27)</f>
        <v>789945</v>
      </c>
      <c r="L28" s="287"/>
      <c r="M28" s="318"/>
      <c r="N28" s="1"/>
      <c r="O28" s="1"/>
      <c r="P28" s="1"/>
      <c r="Q28" s="1"/>
      <c r="R28" s="1"/>
      <c r="S28" s="1"/>
      <c r="T28" s="1"/>
      <c r="U28" s="1"/>
      <c r="V28" s="1"/>
      <c r="W28" s="1"/>
      <c r="X28" s="1"/>
      <c r="Y28" s="1"/>
      <c r="Z28" s="1"/>
    </row>
    <row r="29" spans="1:26" ht="14.25" customHeight="1" outlineLevel="1">
      <c r="A29" s="1"/>
      <c r="B29" s="298"/>
      <c r="C29" s="786" t="s">
        <v>988</v>
      </c>
      <c r="D29" s="306" t="str">
        <f>IF(C29="","",VLOOKUP(C29,ListaAct,4,FALSE))</f>
        <v>PERFORACIONES</v>
      </c>
      <c r="E29" s="307"/>
      <c r="F29" s="307"/>
      <c r="G29" s="308"/>
      <c r="H29" s="307"/>
      <c r="I29" s="309"/>
      <c r="J29" s="310"/>
      <c r="K29" s="311"/>
      <c r="L29" s="287"/>
      <c r="M29" s="318"/>
      <c r="N29" s="1"/>
      <c r="O29" s="1"/>
      <c r="P29" s="1"/>
      <c r="Q29" s="1"/>
      <c r="R29" s="1"/>
      <c r="S29" s="1"/>
      <c r="T29" s="1"/>
      <c r="U29" s="1"/>
      <c r="V29" s="1"/>
      <c r="W29" s="1"/>
      <c r="X29" s="1"/>
      <c r="Y29" s="1"/>
      <c r="Z29" s="1"/>
    </row>
    <row r="30" spans="1:26" ht="28.5" outlineLevel="1">
      <c r="A30" s="1"/>
      <c r="B30" s="298"/>
      <c r="C30" s="338"/>
      <c r="D30" s="320" t="s">
        <v>1015</v>
      </c>
      <c r="E30" s="321"/>
      <c r="F30" s="321"/>
      <c r="G30" s="322" t="str">
        <f>IF(D30="","",VLOOKUP(D30,ListaAct,4,FALSE))</f>
        <v xml:space="preserve"> Perforaciones en muro de contención de 1" según plano con instalación de geodren NT 2000 o similar. </v>
      </c>
      <c r="H30" s="321" t="str">
        <f>IF(D30="","",VLOOKUP(D30,ListaAct,5,FALSE))</f>
        <v>m2</v>
      </c>
      <c r="I30" s="323">
        <f>IF(D30="","",VLOOKUP(D30,ListaAct,6,FALSE))</f>
        <v>6.41</v>
      </c>
      <c r="J30" s="324">
        <f>IF(D30="","",VLOOKUP(D30,ListaAct,7,FALSE))</f>
        <v>115410</v>
      </c>
      <c r="K30" s="325">
        <f t="shared" ref="K30:K31" si="15">IF(D30="","",ROUND(J30*I30,0))</f>
        <v>739778</v>
      </c>
      <c r="L30" s="287"/>
      <c r="M30" s="318"/>
      <c r="N30" s="1"/>
      <c r="O30" s="1"/>
      <c r="P30" s="1"/>
      <c r="Q30" s="1"/>
      <c r="R30" s="1"/>
      <c r="S30" s="1"/>
      <c r="T30" s="1"/>
      <c r="U30" s="1"/>
      <c r="V30" s="1"/>
      <c r="W30" s="1"/>
      <c r="X30" s="1"/>
      <c r="Y30" s="1"/>
      <c r="Z30" s="1"/>
    </row>
    <row r="31" spans="1:26" ht="26.65" customHeight="1" outlineLevel="1">
      <c r="A31" s="1"/>
      <c r="B31" s="298"/>
      <c r="C31" s="338"/>
      <c r="D31" s="320" t="s">
        <v>1018</v>
      </c>
      <c r="E31" s="321"/>
      <c r="F31" s="321"/>
      <c r="G31" s="322" t="str">
        <f>IF(D31="","",VLOOKUP(D31,ListaAct,4,FALSE))</f>
        <v xml:space="preserve"> Perforaciones en muros de bahareque y tapia pisada con broca especial y tecnica de protección sin perdida o arrastre del material del muro con inyección de lechada tradicional. </v>
      </c>
      <c r="H31" s="321" t="str">
        <f>IF(D31="","",VLOOKUP(D31,ListaAct,5,FALSE))</f>
        <v>m2</v>
      </c>
      <c r="I31" s="323">
        <f>IF(D31="","",VLOOKUP(D31,ListaAct,6,FALSE))</f>
        <v>152.78</v>
      </c>
      <c r="J31" s="324">
        <f>IF(D31="","",VLOOKUP(D31,ListaAct,7,FALSE))</f>
        <v>72197</v>
      </c>
      <c r="K31" s="325">
        <f t="shared" si="15"/>
        <v>11030258</v>
      </c>
      <c r="L31" s="287"/>
      <c r="M31" s="318"/>
      <c r="N31" s="1"/>
      <c r="O31" s="1"/>
      <c r="P31" s="1"/>
      <c r="Q31" s="1"/>
      <c r="R31" s="1"/>
      <c r="S31" s="1"/>
      <c r="T31" s="1"/>
      <c r="U31" s="1"/>
      <c r="V31" s="1"/>
      <c r="W31" s="1"/>
      <c r="X31" s="1"/>
      <c r="Y31" s="1"/>
      <c r="Z31" s="1"/>
    </row>
    <row r="32" spans="1:26" ht="14.25" customHeight="1" outlineLevel="1" thickBot="1">
      <c r="A32" s="1"/>
      <c r="B32" s="298"/>
      <c r="C32" s="326" t="s">
        <v>67</v>
      </c>
      <c r="D32" s="327"/>
      <c r="E32" s="327"/>
      <c r="F32" s="327"/>
      <c r="G32" s="328"/>
      <c r="H32" s="327"/>
      <c r="I32" s="329"/>
      <c r="J32" s="330"/>
      <c r="K32" s="331">
        <f>+SUM(K30:K31)</f>
        <v>11770036</v>
      </c>
      <c r="L32" s="287"/>
      <c r="M32" s="318"/>
      <c r="N32" s="1"/>
      <c r="O32" s="1"/>
      <c r="P32" s="1"/>
      <c r="Q32" s="1"/>
      <c r="R32" s="1"/>
      <c r="S32" s="1"/>
      <c r="T32" s="1"/>
      <c r="U32" s="1"/>
      <c r="V32" s="1"/>
      <c r="W32" s="1"/>
      <c r="X32" s="1"/>
      <c r="Y32" s="1"/>
      <c r="Z32" s="1"/>
    </row>
    <row r="33" spans="1:26" ht="14.25" customHeight="1" outlineLevel="1">
      <c r="A33" s="1"/>
      <c r="B33" s="298"/>
      <c r="C33" s="789" t="s">
        <v>991</v>
      </c>
      <c r="D33" s="341" t="str">
        <f>IF(C33="","",VLOOKUP(C33,ListaAct,4,FALSE))</f>
        <v>RELLENOS</v>
      </c>
      <c r="E33" s="342"/>
      <c r="F33" s="342"/>
      <c r="G33" s="343"/>
      <c r="H33" s="342"/>
      <c r="I33" s="344"/>
      <c r="J33" s="345"/>
      <c r="K33" s="346"/>
      <c r="L33" s="287"/>
      <c r="M33" s="318"/>
      <c r="N33" s="1"/>
      <c r="O33" s="1"/>
      <c r="P33" s="1"/>
      <c r="Q33" s="1"/>
      <c r="R33" s="1"/>
      <c r="S33" s="1"/>
      <c r="T33" s="1"/>
      <c r="U33" s="1"/>
      <c r="V33" s="1"/>
      <c r="W33" s="1"/>
      <c r="X33" s="1"/>
      <c r="Y33" s="1"/>
      <c r="Z33" s="1"/>
    </row>
    <row r="34" spans="1:26" ht="14.25" customHeight="1" outlineLevel="1">
      <c r="A34" s="1"/>
      <c r="B34" s="298"/>
      <c r="C34" s="340"/>
      <c r="D34" s="313" t="s">
        <v>1022</v>
      </c>
      <c r="E34" s="219"/>
      <c r="F34" s="219"/>
      <c r="G34" s="314" t="str">
        <f>IF(D34="","",VLOOKUP(D34,ListaAct,4,FALSE))</f>
        <v xml:space="preserve"> Relleno con material seleccionado y compactado  </v>
      </c>
      <c r="H34" s="219" t="str">
        <f>IF(D34="","",VLOOKUP(D34,ListaAct,5,FALSE))</f>
        <v>m3</v>
      </c>
      <c r="I34" s="315">
        <f>IF(D34="","",VLOOKUP(D34,ListaAct,6,FALSE))</f>
        <v>12.52</v>
      </c>
      <c r="J34" s="324">
        <f>IF(D34="","",VLOOKUP(D34,ListaAct,7,FALSE))</f>
        <v>150054</v>
      </c>
      <c r="K34" s="317">
        <f t="shared" ref="K34" si="16">IF(D34="","",ROUND(J34*I34,0))</f>
        <v>1878676</v>
      </c>
      <c r="L34" s="287"/>
      <c r="M34" s="318"/>
      <c r="N34" s="1"/>
      <c r="O34" s="1"/>
      <c r="P34" s="1"/>
      <c r="Q34" s="1"/>
      <c r="R34" s="1"/>
      <c r="S34" s="1"/>
      <c r="T34" s="1"/>
      <c r="U34" s="1"/>
      <c r="V34" s="1"/>
      <c r="W34" s="1"/>
      <c r="X34" s="1"/>
      <c r="Y34" s="1"/>
      <c r="Z34" s="1"/>
    </row>
    <row r="35" spans="1:26" ht="14.25" customHeight="1" outlineLevel="1" thickBot="1">
      <c r="A35" s="1"/>
      <c r="B35" s="298"/>
      <c r="C35" s="352" t="s">
        <v>67</v>
      </c>
      <c r="D35" s="353"/>
      <c r="E35" s="353"/>
      <c r="F35" s="353"/>
      <c r="G35" s="354"/>
      <c r="H35" s="353"/>
      <c r="I35" s="355"/>
      <c r="J35" s="356"/>
      <c r="K35" s="357">
        <f>+SUM(K34:K34)</f>
        <v>1878676</v>
      </c>
      <c r="L35" s="287"/>
      <c r="M35" s="318"/>
      <c r="N35" s="1"/>
      <c r="O35" s="1"/>
      <c r="P35" s="1"/>
      <c r="Q35" s="1"/>
      <c r="R35" s="1"/>
      <c r="S35" s="1"/>
      <c r="T35" s="1"/>
      <c r="U35" s="1"/>
      <c r="V35" s="1"/>
      <c r="W35" s="1"/>
      <c r="X35" s="1"/>
      <c r="Y35" s="1"/>
      <c r="Z35" s="1"/>
    </row>
    <row r="36" spans="1:26" ht="13.5" customHeight="1" outlineLevel="1" thickBot="1">
      <c r="A36" s="1"/>
      <c r="B36" s="298"/>
      <c r="C36" s="790" t="s">
        <v>994</v>
      </c>
      <c r="D36" s="332" t="str">
        <f>IF(C36="","",VLOOKUP(C36,ListaAct,4,FALSE))</f>
        <v>REFORZAMIENTO ESTRUCTURAL</v>
      </c>
      <c r="E36" s="332"/>
      <c r="F36" s="332"/>
      <c r="G36" s="332"/>
      <c r="H36" s="332"/>
      <c r="I36" s="332"/>
      <c r="J36" s="332"/>
      <c r="K36" s="358"/>
      <c r="L36" s="287"/>
      <c r="M36" s="318"/>
      <c r="N36" s="1"/>
      <c r="O36" s="1"/>
      <c r="P36" s="1"/>
      <c r="Q36" s="1"/>
      <c r="R36" s="1"/>
      <c r="S36" s="1"/>
      <c r="T36" s="1"/>
      <c r="U36" s="1"/>
      <c r="V36" s="1"/>
      <c r="W36" s="1"/>
      <c r="X36" s="1"/>
      <c r="Y36" s="1"/>
      <c r="Z36" s="1"/>
    </row>
    <row r="37" spans="1:26" ht="41.65" customHeight="1" outlineLevel="1">
      <c r="A37" s="1"/>
      <c r="B37" s="298"/>
      <c r="C37" s="340"/>
      <c r="D37" s="313" t="s">
        <v>1026</v>
      </c>
      <c r="E37" s="219"/>
      <c r="F37" s="219"/>
      <c r="G37" s="314" t="str">
        <f>IF(D37="","",VLOOKUP(D37,ListaAct,4,FALSE))</f>
        <v>Suministro e instalación de tabla en madera 20 x 2 cms en sapan o similar inmunizado y protegido con Profilan o simialr según diseño. Incluye cajas de traslapo, muescas de borde, avellanados y terminaciones</v>
      </c>
      <c r="H37" s="219" t="str">
        <f>IF(D37="","",VLOOKUP(D37,ListaAct,5,FALSE))</f>
        <v>ml</v>
      </c>
      <c r="I37" s="315">
        <f>IF(D37="","",VLOOKUP(D37,ListaAct,6,FALSE))</f>
        <v>247.9</v>
      </c>
      <c r="J37" s="316">
        <f>IF(D37="","",VLOOKUP(D37,ListaAct,7,FALSE))</f>
        <v>150635</v>
      </c>
      <c r="K37" s="317">
        <f>IF(D37="","",ROUND(J37*I37,0))</f>
        <v>37342417</v>
      </c>
      <c r="L37" s="287"/>
      <c r="M37" s="318"/>
      <c r="N37" s="1"/>
      <c r="O37" s="1"/>
      <c r="P37" s="1"/>
      <c r="Q37" s="1"/>
      <c r="R37" s="1"/>
      <c r="S37" s="1"/>
      <c r="T37" s="1"/>
      <c r="U37" s="1"/>
      <c r="V37" s="1"/>
      <c r="W37" s="1"/>
      <c r="X37" s="1"/>
      <c r="Y37" s="1"/>
      <c r="Z37" s="1"/>
    </row>
    <row r="38" spans="1:26" ht="41.65" customHeight="1" outlineLevel="1">
      <c r="A38" s="1"/>
      <c r="B38" s="803"/>
      <c r="C38" s="347"/>
      <c r="D38" s="348" t="s">
        <v>1029</v>
      </c>
      <c r="E38" s="227"/>
      <c r="F38" s="227"/>
      <c r="G38" s="349" t="str">
        <f>IF(D38="","",VLOOKUP(D38,ListaAct,4,FALSE))</f>
        <v>Suministro e instalación de tornillo roscado de 1/2" con arandelas y tuercas, según diseño, para junta de confinamiento, incluye lechada tradicional de cal y arena o ladrillo con cuña de madera en los extremos.</v>
      </c>
      <c r="H38" s="227" t="str">
        <f>IF(D38="","",VLOOKUP(D38,ListaAct,5,FALSE))</f>
        <v>m2</v>
      </c>
      <c r="I38" s="350">
        <f>IF(D38="","",VLOOKUP(D38,ListaAct,6,FALSE))</f>
        <v>155</v>
      </c>
      <c r="J38" s="324">
        <f>IF(D38="","",VLOOKUP(D38,ListaAct,7,FALSE))</f>
        <v>62695</v>
      </c>
      <c r="K38" s="351">
        <f t="shared" ref="K38:K40" si="17">IF(D38="","",ROUND(J38*I38,0))</f>
        <v>9717725</v>
      </c>
      <c r="L38" s="806"/>
      <c r="M38" s="318"/>
      <c r="N38" s="1"/>
      <c r="O38" s="1"/>
      <c r="P38" s="1"/>
      <c r="Q38" s="1"/>
      <c r="R38" s="1"/>
      <c r="S38" s="1"/>
      <c r="T38" s="1"/>
      <c r="U38" s="1"/>
      <c r="V38" s="1"/>
      <c r="W38" s="1"/>
      <c r="X38" s="1"/>
      <c r="Y38" s="1"/>
      <c r="Z38" s="1"/>
    </row>
    <row r="39" spans="1:26" ht="41.65" customHeight="1" outlineLevel="1">
      <c r="A39" s="1"/>
      <c r="B39" s="803"/>
      <c r="C39" s="347"/>
      <c r="D39" s="348" t="s">
        <v>1032</v>
      </c>
      <c r="E39" s="227"/>
      <c r="F39" s="227"/>
      <c r="G39" s="349" t="str">
        <f>IF(D39="","",VLOOKUP(D39,ListaAct,4,FALSE))</f>
        <v xml:space="preserve">Platina metalica de 1/8" para vanos, según especificaciones. Incluye tornillos </v>
      </c>
      <c r="H39" s="227" t="str">
        <f>IF(D39="","",VLOOKUP(D39,ListaAct,5,FALSE))</f>
        <v>und</v>
      </c>
      <c r="I39" s="350">
        <f>IF(D39="","",VLOOKUP(D39,ListaAct,6,FALSE))</f>
        <v>22</v>
      </c>
      <c r="J39" s="324">
        <f>IF(D39="","",VLOOKUP(D39,ListaAct,7,FALSE))</f>
        <v>130795</v>
      </c>
      <c r="K39" s="351">
        <f t="shared" si="17"/>
        <v>2877490</v>
      </c>
      <c r="L39" s="806"/>
      <c r="M39" s="318"/>
      <c r="N39" s="1"/>
      <c r="O39" s="1"/>
      <c r="P39" s="1"/>
      <c r="Q39" s="1"/>
      <c r="R39" s="1"/>
      <c r="S39" s="1"/>
      <c r="T39" s="1"/>
      <c r="U39" s="1"/>
      <c r="V39" s="1"/>
      <c r="W39" s="1"/>
      <c r="X39" s="1"/>
      <c r="Y39" s="1"/>
      <c r="Z39" s="1"/>
    </row>
    <row r="40" spans="1:26" ht="41.65" customHeight="1" outlineLevel="1">
      <c r="A40" s="1"/>
      <c r="B40" s="803"/>
      <c r="C40" s="347"/>
      <c r="D40" s="348" t="s">
        <v>1036</v>
      </c>
      <c r="E40" s="227"/>
      <c r="F40" s="227"/>
      <c r="G40" s="349" t="str">
        <f>IF(D40="","",VLOOKUP(D40,ListaAct,4,FALSE))</f>
        <v>Platina metalica de 3/16" para esquinero, según especificaciones. Incluye tornillos.</v>
      </c>
      <c r="H40" s="227" t="str">
        <f>IF(D40="","",VLOOKUP(D40,ListaAct,5,FALSE))</f>
        <v>und</v>
      </c>
      <c r="I40" s="350">
        <f>IF(D40="","",VLOOKUP(D40,ListaAct,6,FALSE))</f>
        <v>6</v>
      </c>
      <c r="J40" s="324">
        <f>IF(D40="","",VLOOKUP(D40,ListaAct,7,FALSE))</f>
        <v>136558</v>
      </c>
      <c r="K40" s="351">
        <f t="shared" si="17"/>
        <v>819348</v>
      </c>
      <c r="L40" s="806"/>
      <c r="M40" s="318"/>
      <c r="N40" s="1"/>
      <c r="O40" s="1"/>
      <c r="P40" s="1"/>
      <c r="Q40" s="1"/>
      <c r="R40" s="1"/>
      <c r="S40" s="1"/>
      <c r="T40" s="1"/>
      <c r="U40" s="1"/>
      <c r="V40" s="1"/>
      <c r="W40" s="1"/>
      <c r="X40" s="1"/>
      <c r="Y40" s="1"/>
      <c r="Z40" s="1"/>
    </row>
    <row r="41" spans="1:26" ht="14.25" customHeight="1" outlineLevel="1" thickBot="1">
      <c r="A41" s="1"/>
      <c r="B41" s="298"/>
      <c r="C41" s="352" t="s">
        <v>67</v>
      </c>
      <c r="D41" s="353"/>
      <c r="E41" s="353"/>
      <c r="F41" s="353"/>
      <c r="G41" s="354"/>
      <c r="H41" s="353"/>
      <c r="I41" s="355"/>
      <c r="J41" s="356"/>
      <c r="K41" s="357">
        <f>+SUM(K37:K40)</f>
        <v>50756980</v>
      </c>
      <c r="L41" s="287"/>
      <c r="M41" s="318"/>
      <c r="N41" s="1"/>
      <c r="O41" s="1"/>
      <c r="P41" s="1"/>
      <c r="Q41" s="1"/>
      <c r="R41" s="1"/>
      <c r="S41" s="1"/>
      <c r="T41" s="1"/>
      <c r="U41" s="1"/>
      <c r="V41" s="1"/>
      <c r="W41" s="1"/>
      <c r="X41" s="1"/>
      <c r="Y41" s="1"/>
      <c r="Z41" s="1"/>
    </row>
    <row r="42" spans="1:26" ht="14.25" customHeight="1" outlineLevel="1" thickBot="1">
      <c r="A42" s="1"/>
      <c r="B42" s="803"/>
      <c r="C42" s="790" t="s">
        <v>997</v>
      </c>
      <c r="D42" s="332" t="str">
        <f>IF(C42="","",VLOOKUP(C42,ListaAct,4,FALSE))</f>
        <v>CUBIERTAS</v>
      </c>
      <c r="E42" s="332"/>
      <c r="F42" s="332"/>
      <c r="G42" s="332"/>
      <c r="H42" s="332"/>
      <c r="I42" s="332"/>
      <c r="J42" s="332"/>
      <c r="K42" s="358"/>
      <c r="L42" s="806"/>
      <c r="M42" s="318"/>
      <c r="N42" s="1"/>
      <c r="O42" s="1"/>
      <c r="P42" s="1"/>
      <c r="Q42" s="1"/>
      <c r="R42" s="1"/>
      <c r="S42" s="1"/>
      <c r="T42" s="1"/>
      <c r="U42" s="1"/>
      <c r="V42" s="1"/>
      <c r="W42" s="1"/>
      <c r="X42" s="1"/>
      <c r="Y42" s="1"/>
      <c r="Z42" s="1"/>
    </row>
    <row r="43" spans="1:26" ht="42.75" outlineLevel="1">
      <c r="A43" s="1"/>
      <c r="B43" s="803"/>
      <c r="C43" s="340"/>
      <c r="D43" s="815" t="s">
        <v>1040</v>
      </c>
      <c r="E43" s="219"/>
      <c r="F43" s="219"/>
      <c r="G43" s="314" t="str">
        <f>IF(D43="","",VLOOKUP(D43,ListaAct,4,FALSE))</f>
        <v>Construcción total de voladizo de cubierta costado sur (fachada principal). Incluye durmientes, machimbre, manto asfaltico, mortero de pega, teja, inmunizado de madera, sellado y pintura esmalte</v>
      </c>
      <c r="H43" s="219" t="str">
        <f>IF(D43="","",VLOOKUP(D43,ListaAct,5,FALSE))</f>
        <v>m2</v>
      </c>
      <c r="I43" s="315">
        <f>IF(D43="","",VLOOKUP(D43,ListaAct,6,FALSE))</f>
        <v>9.33</v>
      </c>
      <c r="J43" s="316">
        <f>IF(D43="","",VLOOKUP(D43,ListaAct,7,FALSE))</f>
        <v>392555</v>
      </c>
      <c r="K43" s="317">
        <f>IF(D43="","",ROUND(J43*I43,0))</f>
        <v>3662538</v>
      </c>
      <c r="L43" s="806"/>
      <c r="M43" s="318"/>
      <c r="N43" s="1"/>
      <c r="O43" s="1"/>
      <c r="P43" s="1"/>
      <c r="Q43" s="1"/>
      <c r="R43" s="1"/>
      <c r="S43" s="1"/>
      <c r="T43" s="1"/>
      <c r="U43" s="1"/>
      <c r="V43" s="1"/>
      <c r="W43" s="1"/>
      <c r="X43" s="1"/>
      <c r="Y43" s="1"/>
      <c r="Z43" s="1"/>
    </row>
    <row r="44" spans="1:26" ht="28.5" outlineLevel="1">
      <c r="A44" s="1"/>
      <c r="B44" s="803"/>
      <c r="C44" s="347"/>
      <c r="D44" s="816" t="s">
        <v>1043</v>
      </c>
      <c r="E44" s="227"/>
      <c r="F44" s="227"/>
      <c r="G44" s="349" t="str">
        <f>IF(D44="","",VLOOKUP(D44,ListaAct,4,FALSE))</f>
        <v>Suministro e instalación de flanche metalico calibre 26  muro occidental sobre actual flanche.</v>
      </c>
      <c r="H44" s="227" t="str">
        <f>IF(D44="","",VLOOKUP(D44,ListaAct,5,FALSE))</f>
        <v>m</v>
      </c>
      <c r="I44" s="350">
        <f>IF(D44="","",VLOOKUP(D44,ListaAct,6,FALSE))</f>
        <v>7.21</v>
      </c>
      <c r="J44" s="324">
        <f>IF(D44="","",VLOOKUP(D44,ListaAct,7,FALSE))</f>
        <v>63833</v>
      </c>
      <c r="K44" s="351">
        <f t="shared" ref="K44" si="18">IF(D44="","",ROUND(J44*I44,0))</f>
        <v>460236</v>
      </c>
      <c r="L44" s="806"/>
      <c r="M44" s="318"/>
      <c r="N44" s="1"/>
      <c r="O44" s="1"/>
      <c r="P44" s="1"/>
      <c r="Q44" s="1"/>
      <c r="R44" s="1"/>
      <c r="S44" s="1"/>
      <c r="T44" s="1"/>
      <c r="U44" s="1"/>
      <c r="V44" s="1"/>
      <c r="W44" s="1"/>
      <c r="X44" s="1"/>
      <c r="Y44" s="1"/>
      <c r="Z44" s="1"/>
    </row>
    <row r="45" spans="1:26" ht="14.25" customHeight="1" outlineLevel="1" thickBot="1">
      <c r="A45" s="1"/>
      <c r="B45" s="803"/>
      <c r="C45" s="352" t="s">
        <v>67</v>
      </c>
      <c r="D45" s="353"/>
      <c r="E45" s="353"/>
      <c r="F45" s="353"/>
      <c r="G45" s="354"/>
      <c r="H45" s="353"/>
      <c r="I45" s="355"/>
      <c r="J45" s="356"/>
      <c r="K45" s="357">
        <f>+SUM(K43:K44)</f>
        <v>4122774</v>
      </c>
      <c r="L45" s="806"/>
      <c r="M45" s="318"/>
      <c r="N45" s="1"/>
      <c r="O45" s="1"/>
      <c r="P45" s="1"/>
      <c r="Q45" s="1"/>
      <c r="R45" s="1"/>
      <c r="S45" s="1"/>
      <c r="T45" s="1"/>
      <c r="U45" s="1"/>
      <c r="V45" s="1"/>
      <c r="W45" s="1"/>
      <c r="X45" s="1"/>
      <c r="Y45" s="1"/>
      <c r="Z45" s="1"/>
    </row>
    <row r="46" spans="1:26" ht="14.25" customHeight="1" outlineLevel="1" thickBot="1">
      <c r="A46" s="1"/>
      <c r="B46" s="803"/>
      <c r="C46" s="790" t="s">
        <v>1000</v>
      </c>
      <c r="D46" s="332" t="str">
        <f>IF(C46="","",VLOOKUP(C46,ListaAct,4,FALSE))</f>
        <v>REVOQUE TRADICIONAL</v>
      </c>
      <c r="E46" s="332"/>
      <c r="F46" s="332"/>
      <c r="G46" s="332"/>
      <c r="H46" s="332"/>
      <c r="I46" s="332"/>
      <c r="J46" s="332"/>
      <c r="K46" s="358"/>
      <c r="L46" s="806"/>
      <c r="M46" s="318"/>
      <c r="N46" s="1"/>
      <c r="O46" s="1"/>
      <c r="P46" s="1"/>
      <c r="Q46" s="1"/>
      <c r="R46" s="1"/>
      <c r="S46" s="1"/>
      <c r="T46" s="1"/>
      <c r="U46" s="1"/>
      <c r="V46" s="1"/>
      <c r="W46" s="1"/>
      <c r="X46" s="1"/>
      <c r="Y46" s="1"/>
      <c r="Z46" s="1"/>
    </row>
    <row r="47" spans="1:26" ht="28.5" outlineLevel="1">
      <c r="A47" s="1"/>
      <c r="B47" s="803"/>
      <c r="C47" s="340"/>
      <c r="D47" s="815" t="s">
        <v>1048</v>
      </c>
      <c r="E47" s="219"/>
      <c r="F47" s="219"/>
      <c r="G47" s="314" t="str">
        <f>IF(D47="","",VLOOKUP(D47,ListaAct,4,FALSE))</f>
        <v xml:space="preserve">Suministro e instalación de malla tipo zaranda metalica adosada al muro con tapa metalica de gaseosa cada 50 cm. Ambos sentidos </v>
      </c>
      <c r="H47" s="219" t="str">
        <f>IF(D47="","",VLOOKUP(D47,ListaAct,5,FALSE))</f>
        <v>m2</v>
      </c>
      <c r="I47" s="315">
        <f>IF(D47="","",VLOOKUP(D47,ListaAct,6,FALSE))</f>
        <v>161.35</v>
      </c>
      <c r="J47" s="316">
        <f>IF(D47="","",VLOOKUP(D47,ListaAct,7,FALSE))</f>
        <v>46992</v>
      </c>
      <c r="K47" s="317">
        <f>IF(D47="","",ROUND(J47*I47,0))</f>
        <v>7582159</v>
      </c>
      <c r="L47" s="806"/>
      <c r="M47" s="318"/>
      <c r="N47" s="1"/>
      <c r="O47" s="1"/>
      <c r="P47" s="1"/>
      <c r="Q47" s="1"/>
      <c r="R47" s="1"/>
      <c r="S47" s="1"/>
      <c r="T47" s="1"/>
      <c r="U47" s="1"/>
      <c r="V47" s="1"/>
      <c r="W47" s="1"/>
      <c r="X47" s="1"/>
      <c r="Y47" s="1"/>
      <c r="Z47" s="1"/>
    </row>
    <row r="48" spans="1:26" outlineLevel="1">
      <c r="A48" s="1"/>
      <c r="B48" s="803"/>
      <c r="C48" s="347"/>
      <c r="D48" s="816" t="s">
        <v>1051</v>
      </c>
      <c r="E48" s="227"/>
      <c r="F48" s="227"/>
      <c r="G48" s="349" t="str">
        <f>IF(D48="","",VLOOKUP(D48,ListaAct,4,FALSE))</f>
        <v>Aplicación de revoque tradicional en cal y arenilla según especificación, e=variable</v>
      </c>
      <c r="H48" s="227" t="str">
        <f>IF(D48="","",VLOOKUP(D48,ListaAct,5,FALSE))</f>
        <v>m2</v>
      </c>
      <c r="I48" s="350">
        <f>IF(D48="","",VLOOKUP(D48,ListaAct,6,FALSE))</f>
        <v>161.35</v>
      </c>
      <c r="J48" s="324">
        <f>IF(D48="","",VLOOKUP(D48,ListaAct,7,FALSE))</f>
        <v>102192</v>
      </c>
      <c r="K48" s="351">
        <f t="shared" ref="K48" si="19">IF(D48="","",ROUND(J48*I48,0))</f>
        <v>16488679</v>
      </c>
      <c r="L48" s="806"/>
      <c r="M48" s="318"/>
      <c r="N48" s="1"/>
      <c r="O48" s="1"/>
      <c r="P48" s="1"/>
      <c r="Q48" s="1"/>
      <c r="R48" s="1"/>
      <c r="S48" s="1"/>
      <c r="T48" s="1"/>
      <c r="U48" s="1"/>
      <c r="V48" s="1"/>
      <c r="W48" s="1"/>
      <c r="X48" s="1"/>
      <c r="Y48" s="1"/>
      <c r="Z48" s="1"/>
    </row>
    <row r="49" spans="1:26" ht="14.25" customHeight="1" outlineLevel="1" thickBot="1">
      <c r="A49" s="1"/>
      <c r="B49" s="803"/>
      <c r="C49" s="352" t="s">
        <v>67</v>
      </c>
      <c r="D49" s="353"/>
      <c r="E49" s="353"/>
      <c r="F49" s="353"/>
      <c r="G49" s="354"/>
      <c r="H49" s="353"/>
      <c r="I49" s="355"/>
      <c r="J49" s="356"/>
      <c r="K49" s="357">
        <f>+SUM(K47:K48)</f>
        <v>24070838</v>
      </c>
      <c r="L49" s="806"/>
      <c r="M49" s="318"/>
      <c r="N49" s="1"/>
      <c r="O49" s="1"/>
      <c r="P49" s="1"/>
      <c r="Q49" s="1"/>
      <c r="R49" s="1"/>
      <c r="S49" s="1"/>
      <c r="T49" s="1"/>
      <c r="U49" s="1"/>
      <c r="V49" s="1"/>
      <c r="W49" s="1"/>
      <c r="X49" s="1"/>
      <c r="Y49" s="1"/>
      <c r="Z49" s="1"/>
    </row>
    <row r="50" spans="1:26" ht="14.25" customHeight="1" outlineLevel="1" thickBot="1">
      <c r="A50" s="1"/>
      <c r="B50" s="803"/>
      <c r="C50" s="790" t="s">
        <v>1003</v>
      </c>
      <c r="D50" s="332" t="str">
        <f>IF(C50="","",VLOOKUP(C50,ListaAct,4,FALSE))</f>
        <v>CONCRETO</v>
      </c>
      <c r="E50" s="332"/>
      <c r="F50" s="332"/>
      <c r="G50" s="332"/>
      <c r="H50" s="332"/>
      <c r="I50" s="332"/>
      <c r="J50" s="332"/>
      <c r="K50" s="358"/>
      <c r="L50" s="806"/>
      <c r="M50" s="318"/>
      <c r="N50" s="1"/>
      <c r="O50" s="1"/>
      <c r="P50" s="1"/>
      <c r="Q50" s="1"/>
      <c r="R50" s="1"/>
      <c r="S50" s="1"/>
      <c r="T50" s="1"/>
      <c r="U50" s="1"/>
      <c r="V50" s="1"/>
      <c r="W50" s="1"/>
      <c r="X50" s="1"/>
      <c r="Y50" s="1"/>
      <c r="Z50" s="1"/>
    </row>
    <row r="51" spans="1:26" ht="28.5" outlineLevel="1">
      <c r="A51" s="1"/>
      <c r="B51" s="803"/>
      <c r="C51" s="340"/>
      <c r="D51" s="815" t="s">
        <v>1055</v>
      </c>
      <c r="E51" s="219"/>
      <c r="F51" s="219"/>
      <c r="G51" s="314" t="str">
        <f>IF(D51="","",VLOOKUP(D51,ListaAct,4,FALSE))</f>
        <v xml:space="preserve"> Placa de concreto reforzado e=12 cm costado norte con pendiente del 2%, malla electrosoldad de 8,5 mm. </v>
      </c>
      <c r="H51" s="219" t="str">
        <f>IF(D51="","",VLOOKUP(D51,ListaAct,5,FALSE))</f>
        <v>m2</v>
      </c>
      <c r="I51" s="315">
        <f>IF(D51="","",VLOOKUP(D51,ListaAct,6,FALSE))</f>
        <v>13.42</v>
      </c>
      <c r="J51" s="316">
        <f>IF(D51="","",VLOOKUP(D51,ListaAct,7,FALSE))</f>
        <v>229042</v>
      </c>
      <c r="K51" s="317">
        <f>IF(D51="","",ROUND(J51*I51,0))</f>
        <v>3073744</v>
      </c>
      <c r="L51" s="806"/>
      <c r="M51" s="318"/>
      <c r="N51" s="1"/>
      <c r="O51" s="1"/>
      <c r="P51" s="1"/>
      <c r="Q51" s="1"/>
      <c r="R51" s="1"/>
      <c r="S51" s="1"/>
      <c r="T51" s="1"/>
      <c r="U51" s="1"/>
      <c r="V51" s="1"/>
      <c r="W51" s="1"/>
      <c r="X51" s="1"/>
      <c r="Y51" s="1"/>
      <c r="Z51" s="1"/>
    </row>
    <row r="52" spans="1:26" ht="14.25" customHeight="1" outlineLevel="1" thickBot="1">
      <c r="A52" s="1"/>
      <c r="B52" s="803"/>
      <c r="C52" s="352" t="s">
        <v>67</v>
      </c>
      <c r="D52" s="353"/>
      <c r="E52" s="353"/>
      <c r="F52" s="353"/>
      <c r="G52" s="354"/>
      <c r="H52" s="353"/>
      <c r="I52" s="355"/>
      <c r="J52" s="356"/>
      <c r="K52" s="357">
        <f>+SUM(K51)</f>
        <v>3073744</v>
      </c>
      <c r="L52" s="806"/>
      <c r="M52" s="318"/>
      <c r="N52" s="1"/>
      <c r="O52" s="1"/>
      <c r="P52" s="1"/>
      <c r="Q52" s="1"/>
      <c r="R52" s="1"/>
      <c r="S52" s="1"/>
      <c r="T52" s="1"/>
      <c r="U52" s="1"/>
      <c r="V52" s="1"/>
      <c r="W52" s="1"/>
      <c r="X52" s="1"/>
      <c r="Y52" s="1"/>
      <c r="Z52" s="1"/>
    </row>
    <row r="53" spans="1:26" ht="14.25" customHeight="1" outlineLevel="1" thickBot="1">
      <c r="A53" s="1"/>
      <c r="B53" s="803"/>
      <c r="C53" s="790" t="s">
        <v>1006</v>
      </c>
      <c r="D53" s="332" t="str">
        <f>IF(C53="","",VLOOKUP(C53,ListaAct,4,FALSE))</f>
        <v>DISPOSICION DE AGUAS LLUVIAS</v>
      </c>
      <c r="E53" s="332"/>
      <c r="F53" s="332"/>
      <c r="G53" s="332"/>
      <c r="H53" s="332"/>
      <c r="I53" s="332"/>
      <c r="J53" s="332"/>
      <c r="K53" s="358"/>
      <c r="L53" s="806"/>
      <c r="M53" s="318"/>
      <c r="N53" s="1"/>
      <c r="O53" s="1"/>
      <c r="P53" s="1"/>
      <c r="Q53" s="1"/>
      <c r="R53" s="1"/>
      <c r="S53" s="1"/>
      <c r="T53" s="1"/>
      <c r="U53" s="1"/>
      <c r="V53" s="1"/>
      <c r="W53" s="1"/>
      <c r="X53" s="1"/>
      <c r="Y53" s="1"/>
      <c r="Z53" s="1"/>
    </row>
    <row r="54" spans="1:26" ht="28.5" outlineLevel="1">
      <c r="A54" s="1"/>
      <c r="B54" s="803"/>
      <c r="C54" s="340"/>
      <c r="D54" s="815" t="s">
        <v>1059</v>
      </c>
      <c r="E54" s="219"/>
      <c r="F54" s="219"/>
      <c r="G54" s="314" t="str">
        <f>IF(D54="","",VLOOKUP(D54,ListaAct,4,FALSE))</f>
        <v>Caja aguas lluvias según diseño en base de concreto y muros de ladrillo macizo, pañetada con medias cañas y pendiente.</v>
      </c>
      <c r="H54" s="219" t="str">
        <f>IF(D54="","",VLOOKUP(D54,ListaAct,5,FALSE))</f>
        <v>und</v>
      </c>
      <c r="I54" s="315">
        <f>IF(D54="","",VLOOKUP(D54,ListaAct,6,FALSE))</f>
        <v>1</v>
      </c>
      <c r="J54" s="316">
        <f>IF(D54="","",VLOOKUP(D54,ListaAct,7,FALSE))</f>
        <v>1240945</v>
      </c>
      <c r="K54" s="317">
        <f>IF(D54="","",ROUND(J54*I54,0))</f>
        <v>1240945</v>
      </c>
      <c r="L54" s="806"/>
      <c r="M54" s="318"/>
      <c r="N54" s="1"/>
      <c r="O54" s="1"/>
      <c r="P54" s="1"/>
      <c r="Q54" s="1"/>
      <c r="R54" s="1"/>
      <c r="S54" s="1"/>
      <c r="T54" s="1"/>
      <c r="U54" s="1"/>
      <c r="V54" s="1"/>
      <c r="W54" s="1"/>
      <c r="X54" s="1"/>
      <c r="Y54" s="1"/>
      <c r="Z54" s="1"/>
    </row>
    <row r="55" spans="1:26" outlineLevel="1">
      <c r="A55" s="1"/>
      <c r="B55" s="803"/>
      <c r="C55" s="347"/>
      <c r="D55" s="816" t="s">
        <v>1062</v>
      </c>
      <c r="E55" s="227"/>
      <c r="F55" s="227"/>
      <c r="G55" s="349" t="str">
        <f>IF(D55="","",VLOOKUP(D55,ListaAct,4,FALSE))</f>
        <v xml:space="preserve">Tuberia de 4" aguas lluvias PVC  incluye accesorios de fijacion </v>
      </c>
      <c r="H55" s="227" t="str">
        <f>IF(D55="","",VLOOKUP(D55,ListaAct,5,FALSE))</f>
        <v>ml</v>
      </c>
      <c r="I55" s="350">
        <f>IF(D55="","",VLOOKUP(D55,ListaAct,6,FALSE))</f>
        <v>6.54</v>
      </c>
      <c r="J55" s="324">
        <f>IF(D55="","",VLOOKUP(D55,ListaAct,7,FALSE))</f>
        <v>60296</v>
      </c>
      <c r="K55" s="351">
        <f t="shared" ref="K55:K57" si="20">IF(D55="","",ROUND(J55*I55,0))</f>
        <v>394336</v>
      </c>
      <c r="L55" s="806"/>
      <c r="M55" s="318"/>
      <c r="N55" s="1"/>
      <c r="O55" s="1"/>
      <c r="P55" s="1"/>
      <c r="Q55" s="1"/>
      <c r="R55" s="1"/>
      <c r="S55" s="1"/>
      <c r="T55" s="1"/>
      <c r="U55" s="1"/>
      <c r="V55" s="1"/>
      <c r="W55" s="1"/>
      <c r="X55" s="1"/>
      <c r="Y55" s="1"/>
      <c r="Z55" s="1"/>
    </row>
    <row r="56" spans="1:26" ht="28.5" outlineLevel="1">
      <c r="A56" s="1"/>
      <c r="B56" s="803"/>
      <c r="C56" s="347"/>
      <c r="D56" s="816" t="s">
        <v>1065</v>
      </c>
      <c r="E56" s="227"/>
      <c r="F56" s="227"/>
      <c r="G56" s="349" t="str">
        <f>IF(D56="","",VLOOKUP(D56,ListaAct,4,FALSE))</f>
        <v>Suministro e instalación de canal metalica cal 22 según diseño exterior incluye salida de 4" y fijaciones metalicas cada 50 cm.</v>
      </c>
      <c r="H56" s="227" t="str">
        <f>IF(D56="","",VLOOKUP(D56,ListaAct,5,FALSE))</f>
        <v>ml</v>
      </c>
      <c r="I56" s="350">
        <f>IF(D56="","",VLOOKUP(D56,ListaAct,6,FALSE))</f>
        <v>12.7</v>
      </c>
      <c r="J56" s="324">
        <f>IF(D56="","",VLOOKUP(D56,ListaAct,7,FALSE))</f>
        <v>134117</v>
      </c>
      <c r="K56" s="351">
        <f t="shared" si="20"/>
        <v>1703286</v>
      </c>
      <c r="L56" s="806"/>
      <c r="M56" s="318"/>
      <c r="N56" s="1"/>
      <c r="O56" s="1"/>
      <c r="P56" s="1"/>
      <c r="Q56" s="1"/>
      <c r="R56" s="1"/>
      <c r="S56" s="1"/>
      <c r="T56" s="1"/>
      <c r="U56" s="1"/>
      <c r="V56" s="1"/>
      <c r="W56" s="1"/>
      <c r="X56" s="1"/>
      <c r="Y56" s="1"/>
      <c r="Z56" s="1"/>
    </row>
    <row r="57" spans="1:26" ht="28.5" outlineLevel="1">
      <c r="A57" s="1"/>
      <c r="B57" s="803"/>
      <c r="C57" s="347"/>
      <c r="D57" s="816" t="s">
        <v>1068</v>
      </c>
      <c r="E57" s="227"/>
      <c r="F57" s="227"/>
      <c r="G57" s="349" t="str">
        <f>IF(D57="","",VLOOKUP(D57,ListaAct,4,FALSE))</f>
        <v>Reinstalación de bajantes aguas lluvias 4" PVC incluye regata en muro y piso, accesorios, fijaciones.</v>
      </c>
      <c r="H57" s="227" t="str">
        <f>IF(D57="","",VLOOKUP(D57,ListaAct,5,FALSE))</f>
        <v>ml</v>
      </c>
      <c r="I57" s="350">
        <f>IF(D57="","",VLOOKUP(D57,ListaAct,6,FALSE))</f>
        <v>10.57</v>
      </c>
      <c r="J57" s="324">
        <f>IF(D57="","",VLOOKUP(D57,ListaAct,7,FALSE))</f>
        <v>99487</v>
      </c>
      <c r="K57" s="351">
        <f t="shared" si="20"/>
        <v>1051578</v>
      </c>
      <c r="L57" s="806"/>
      <c r="M57" s="318"/>
      <c r="N57" s="1"/>
      <c r="O57" s="1"/>
      <c r="P57" s="1"/>
      <c r="Q57" s="1"/>
      <c r="R57" s="1"/>
      <c r="S57" s="1"/>
      <c r="T57" s="1"/>
      <c r="U57" s="1"/>
      <c r="V57" s="1"/>
      <c r="W57" s="1"/>
      <c r="X57" s="1"/>
      <c r="Y57" s="1"/>
      <c r="Z57" s="1"/>
    </row>
    <row r="58" spans="1:26" ht="14.25" customHeight="1" outlineLevel="1" thickBot="1">
      <c r="A58" s="1"/>
      <c r="B58" s="803"/>
      <c r="C58" s="352" t="s">
        <v>67</v>
      </c>
      <c r="D58" s="353"/>
      <c r="E58" s="353"/>
      <c r="F58" s="353"/>
      <c r="G58" s="354"/>
      <c r="H58" s="353"/>
      <c r="I58" s="355"/>
      <c r="J58" s="356"/>
      <c r="K58" s="357">
        <f>+SUM(K54:K57)</f>
        <v>4390145</v>
      </c>
      <c r="L58" s="806"/>
      <c r="M58" s="318"/>
      <c r="N58" s="1"/>
      <c r="O58" s="1"/>
      <c r="P58" s="1"/>
      <c r="Q58" s="1"/>
      <c r="R58" s="1"/>
      <c r="S58" s="1"/>
      <c r="T58" s="1"/>
      <c r="U58" s="1"/>
      <c r="V58" s="1"/>
      <c r="W58" s="1"/>
      <c r="X58" s="1"/>
      <c r="Y58" s="1"/>
      <c r="Z58" s="1"/>
    </row>
    <row r="59" spans="1:26" ht="14.25" customHeight="1" outlineLevel="1" thickBot="1">
      <c r="A59" s="1"/>
      <c r="B59" s="803"/>
      <c r="C59" s="790" t="s">
        <v>1010</v>
      </c>
      <c r="D59" s="332" t="str">
        <f>IF(C59="","",VLOOKUP(C59,ListaAct,4,FALSE))</f>
        <v>ACABADOS</v>
      </c>
      <c r="E59" s="332"/>
      <c r="F59" s="332"/>
      <c r="G59" s="332"/>
      <c r="H59" s="332"/>
      <c r="I59" s="332"/>
      <c r="J59" s="332"/>
      <c r="K59" s="358"/>
      <c r="L59" s="806"/>
      <c r="M59" s="318"/>
      <c r="N59" s="1"/>
      <c r="O59" s="1"/>
      <c r="P59" s="1"/>
      <c r="Q59" s="1"/>
      <c r="R59" s="1"/>
      <c r="S59" s="1"/>
      <c r="T59" s="1"/>
      <c r="U59" s="1"/>
      <c r="V59" s="1"/>
      <c r="W59" s="1"/>
      <c r="X59" s="1"/>
      <c r="Y59" s="1"/>
      <c r="Z59" s="1"/>
    </row>
    <row r="60" spans="1:26" outlineLevel="1">
      <c r="A60" s="1"/>
      <c r="B60" s="803"/>
      <c r="C60" s="340"/>
      <c r="D60" s="815" t="s">
        <v>1072</v>
      </c>
      <c r="E60" s="219"/>
      <c r="F60" s="219"/>
      <c r="G60" s="314" t="str">
        <f t="shared" ref="G60:G67" si="21">IF(D60="","",VLOOKUP(D60,ListaAct,4,FALSE))</f>
        <v xml:space="preserve"> Pintura para muros interior y exterior mezcla real apichada de cal y agua, tres manos  </v>
      </c>
      <c r="H60" s="219" t="str">
        <f t="shared" ref="H60:H67" si="22">IF(D60="","",VLOOKUP(D60,ListaAct,5,FALSE))</f>
        <v>m2</v>
      </c>
      <c r="I60" s="315">
        <f t="shared" ref="I60:I67" si="23">IF(D60="","",VLOOKUP(D60,ListaAct,6,FALSE))</f>
        <v>148.94</v>
      </c>
      <c r="J60" s="316">
        <f t="shared" ref="J60:J67" si="24">IF(D60="","",VLOOKUP(D60,ListaAct,7,FALSE))</f>
        <v>46731</v>
      </c>
      <c r="K60" s="317">
        <f>IF(D60="","",ROUND(J60*I60,0))</f>
        <v>6960115</v>
      </c>
      <c r="L60" s="806"/>
      <c r="M60" s="318"/>
      <c r="N60" s="1"/>
      <c r="O60" s="1"/>
      <c r="P60" s="1"/>
      <c r="Q60" s="1"/>
      <c r="R60" s="1"/>
      <c r="S60" s="1"/>
      <c r="T60" s="1"/>
      <c r="U60" s="1"/>
      <c r="V60" s="1"/>
      <c r="W60" s="1"/>
      <c r="X60" s="1"/>
      <c r="Y60" s="1"/>
      <c r="Z60" s="1"/>
    </row>
    <row r="61" spans="1:26" ht="28.5" outlineLevel="1">
      <c r="A61" s="1"/>
      <c r="B61" s="803"/>
      <c r="C61" s="347"/>
      <c r="D61" s="816" t="s">
        <v>1075</v>
      </c>
      <c r="E61" s="227"/>
      <c r="F61" s="227"/>
      <c r="G61" s="349" t="str">
        <f t="shared" si="21"/>
        <v xml:space="preserve"> Pintura para socalo de muros interior mezcla real apichada de cal, mina de color y agua, tres manos  </v>
      </c>
      <c r="H61" s="227" t="str">
        <f t="shared" si="22"/>
        <v>m2</v>
      </c>
      <c r="I61" s="350">
        <f t="shared" si="23"/>
        <v>11.09</v>
      </c>
      <c r="J61" s="324">
        <f t="shared" si="24"/>
        <v>31456</v>
      </c>
      <c r="K61" s="351">
        <f t="shared" ref="K61:K64" si="25">IF(D61="","",ROUND(J61*I61,0))</f>
        <v>348847</v>
      </c>
      <c r="L61" s="806"/>
      <c r="M61" s="318"/>
      <c r="N61" s="1"/>
      <c r="O61" s="1"/>
      <c r="P61" s="1"/>
      <c r="Q61" s="1"/>
      <c r="R61" s="1"/>
      <c r="S61" s="1"/>
      <c r="T61" s="1"/>
      <c r="U61" s="1"/>
      <c r="V61" s="1"/>
      <c r="W61" s="1"/>
      <c r="X61" s="1"/>
      <c r="Y61" s="1"/>
      <c r="Z61" s="1"/>
    </row>
    <row r="62" spans="1:26" outlineLevel="1">
      <c r="A62" s="1"/>
      <c r="B62" s="803"/>
      <c r="C62" s="347"/>
      <c r="D62" s="816" t="s">
        <v>1078</v>
      </c>
      <c r="E62" s="227"/>
      <c r="F62" s="227"/>
      <c r="G62" s="349" t="str">
        <f t="shared" si="21"/>
        <v xml:space="preserve"> Suministro e instalación de fachaleta en muro fachada sur según diseño actual. </v>
      </c>
      <c r="H62" s="227" t="str">
        <f t="shared" si="22"/>
        <v>m2</v>
      </c>
      <c r="I62" s="350">
        <f t="shared" si="23"/>
        <v>5.2</v>
      </c>
      <c r="J62" s="324">
        <f t="shared" si="24"/>
        <v>96886</v>
      </c>
      <c r="K62" s="351">
        <f t="shared" si="25"/>
        <v>503807</v>
      </c>
      <c r="L62" s="806"/>
      <c r="M62" s="318"/>
      <c r="N62" s="1"/>
      <c r="O62" s="1"/>
      <c r="P62" s="1"/>
      <c r="Q62" s="1"/>
      <c r="R62" s="1"/>
      <c r="S62" s="1"/>
      <c r="T62" s="1"/>
      <c r="U62" s="1"/>
      <c r="V62" s="1"/>
      <c r="W62" s="1"/>
      <c r="X62" s="1"/>
      <c r="Y62" s="1"/>
      <c r="Z62" s="1"/>
    </row>
    <row r="63" spans="1:26" ht="28.5" outlineLevel="1">
      <c r="A63" s="1"/>
      <c r="B63" s="803"/>
      <c r="C63" s="347"/>
      <c r="D63" s="816" t="s">
        <v>1081</v>
      </c>
      <c r="E63" s="227"/>
      <c r="F63" s="227"/>
      <c r="G63" s="349" t="str">
        <f t="shared" si="21"/>
        <v xml:space="preserve"> Inmunizado, sellado y pintado de puertas, ventanas y capiteles ambas caras en madera en esmalte color habano o tabaco, incluye varillas de acero.  </v>
      </c>
      <c r="H63" s="227" t="str">
        <f t="shared" si="22"/>
        <v>m2</v>
      </c>
      <c r="I63" s="350">
        <f t="shared" si="23"/>
        <v>9.66</v>
      </c>
      <c r="J63" s="324">
        <f t="shared" si="24"/>
        <v>44971</v>
      </c>
      <c r="K63" s="351">
        <f t="shared" si="25"/>
        <v>434420</v>
      </c>
      <c r="L63" s="806"/>
      <c r="M63" s="318"/>
      <c r="N63" s="1"/>
      <c r="O63" s="1"/>
      <c r="P63" s="1"/>
      <c r="Q63" s="1"/>
      <c r="R63" s="1"/>
      <c r="S63" s="1"/>
      <c r="T63" s="1"/>
      <c r="U63" s="1"/>
      <c r="V63" s="1"/>
      <c r="W63" s="1"/>
      <c r="X63" s="1"/>
      <c r="Y63" s="1"/>
      <c r="Z63" s="1"/>
    </row>
    <row r="64" spans="1:26" ht="14.25" customHeight="1" outlineLevel="1">
      <c r="A64" s="1"/>
      <c r="B64" s="803"/>
      <c r="C64" s="347"/>
      <c r="D64" s="816" t="s">
        <v>1084</v>
      </c>
      <c r="E64" s="227"/>
      <c r="F64" s="227"/>
      <c r="G64" s="349" t="str">
        <f t="shared" si="21"/>
        <v xml:space="preserve"> Pintura vinilo tipo 1 a 3 manos muros no tradicionales </v>
      </c>
      <c r="H64" s="227" t="str">
        <f t="shared" si="22"/>
        <v>m2</v>
      </c>
      <c r="I64" s="350">
        <f t="shared" si="23"/>
        <v>157.57</v>
      </c>
      <c r="J64" s="324">
        <f t="shared" si="24"/>
        <v>20119</v>
      </c>
      <c r="K64" s="351">
        <f t="shared" si="25"/>
        <v>3170151</v>
      </c>
      <c r="L64" s="806"/>
      <c r="M64" s="318"/>
      <c r="N64" s="1"/>
      <c r="O64" s="1"/>
      <c r="P64" s="1"/>
      <c r="Q64" s="1"/>
      <c r="R64" s="1"/>
      <c r="S64" s="1"/>
      <c r="T64" s="1"/>
      <c r="U64" s="1"/>
      <c r="V64" s="1"/>
      <c r="W64" s="1"/>
      <c r="X64" s="1"/>
      <c r="Y64" s="1"/>
      <c r="Z64" s="1"/>
    </row>
    <row r="65" spans="1:26" ht="14.25" customHeight="1" outlineLevel="1">
      <c r="A65" s="1"/>
      <c r="B65" s="803"/>
      <c r="C65" s="347"/>
      <c r="D65" s="816" t="s">
        <v>1087</v>
      </c>
      <c r="E65" s="227"/>
      <c r="F65" s="227"/>
      <c r="G65" s="349" t="str">
        <f t="shared" si="21"/>
        <v xml:space="preserve"> Pintura en esmalte color marrón carpinteria metalica interior. </v>
      </c>
      <c r="H65" s="227" t="str">
        <f t="shared" si="22"/>
        <v>m2</v>
      </c>
      <c r="I65" s="350">
        <f t="shared" si="23"/>
        <v>9.86</v>
      </c>
      <c r="J65" s="324">
        <f t="shared" si="24"/>
        <v>22284</v>
      </c>
      <c r="K65" s="351">
        <f>IF(D65="","",ROUND(J65*I65,0))</f>
        <v>219720</v>
      </c>
      <c r="L65" s="806"/>
      <c r="M65" s="318"/>
      <c r="N65" s="1"/>
      <c r="O65" s="1"/>
      <c r="P65" s="1"/>
      <c r="Q65" s="1"/>
      <c r="R65" s="1"/>
      <c r="S65" s="1"/>
      <c r="T65" s="1"/>
      <c r="U65" s="1"/>
      <c r="V65" s="1"/>
      <c r="W65" s="1"/>
      <c r="X65" s="1"/>
      <c r="Y65" s="1"/>
      <c r="Z65" s="1"/>
    </row>
    <row r="66" spans="1:26" ht="14.25" customHeight="1" outlineLevel="1">
      <c r="A66" s="1"/>
      <c r="B66" s="803"/>
      <c r="C66" s="347"/>
      <c r="D66" s="816" t="s">
        <v>1090</v>
      </c>
      <c r="E66" s="227"/>
      <c r="F66" s="227"/>
      <c r="G66" s="349" t="str">
        <f t="shared" si="21"/>
        <v xml:space="preserve"> Reposición pañetes en mortero no tradicional 1:4  </v>
      </c>
      <c r="H66" s="227" t="str">
        <f t="shared" si="22"/>
        <v>m2</v>
      </c>
      <c r="I66" s="350">
        <f t="shared" si="23"/>
        <v>5.19</v>
      </c>
      <c r="J66" s="324">
        <f t="shared" si="24"/>
        <v>30272</v>
      </c>
      <c r="K66" s="351">
        <f t="shared" ref="K66:K67" si="26">IF(D66="","",ROUND(J66*I66,0))</f>
        <v>157112</v>
      </c>
      <c r="L66" s="806"/>
      <c r="M66" s="318"/>
      <c r="N66" s="1"/>
      <c r="O66" s="1"/>
      <c r="P66" s="1"/>
      <c r="Q66" s="1"/>
      <c r="R66" s="1"/>
      <c r="S66" s="1"/>
      <c r="T66" s="1"/>
      <c r="U66" s="1"/>
      <c r="V66" s="1"/>
      <c r="W66" s="1"/>
      <c r="X66" s="1"/>
      <c r="Y66" s="1"/>
      <c r="Z66" s="1"/>
    </row>
    <row r="67" spans="1:26" ht="14.25" customHeight="1" outlineLevel="1">
      <c r="A67" s="1"/>
      <c r="B67" s="803"/>
      <c r="C67" s="347"/>
      <c r="D67" s="816" t="s">
        <v>1093</v>
      </c>
      <c r="E67" s="227"/>
      <c r="F67" s="227"/>
      <c r="G67" s="349" t="str">
        <f t="shared" si="21"/>
        <v xml:space="preserve"> Reinstalacion de acabado de piso en fachaleta en gres según diseño actual. </v>
      </c>
      <c r="H67" s="227" t="str">
        <f t="shared" si="22"/>
        <v>ml</v>
      </c>
      <c r="I67" s="350">
        <f t="shared" si="23"/>
        <v>2</v>
      </c>
      <c r="J67" s="324">
        <f t="shared" si="24"/>
        <v>44859</v>
      </c>
      <c r="K67" s="351">
        <f t="shared" si="26"/>
        <v>89718</v>
      </c>
      <c r="L67" s="806"/>
      <c r="M67" s="318"/>
      <c r="N67" s="1"/>
      <c r="O67" s="1"/>
      <c r="P67" s="1"/>
      <c r="Q67" s="1"/>
      <c r="R67" s="1"/>
      <c r="S67" s="1"/>
      <c r="T67" s="1"/>
      <c r="U67" s="1"/>
      <c r="V67" s="1"/>
      <c r="W67" s="1"/>
      <c r="X67" s="1"/>
      <c r="Y67" s="1"/>
      <c r="Z67" s="1"/>
    </row>
    <row r="68" spans="1:26" ht="14.25" customHeight="1" outlineLevel="1" thickBot="1">
      <c r="A68" s="1"/>
      <c r="B68" s="803"/>
      <c r="C68" s="352" t="s">
        <v>67</v>
      </c>
      <c r="D68" s="353"/>
      <c r="E68" s="353"/>
      <c r="F68" s="353"/>
      <c r="G68" s="354"/>
      <c r="H68" s="353"/>
      <c r="I68" s="355"/>
      <c r="J68" s="356"/>
      <c r="K68" s="357">
        <f>+SUM(K60:K67)</f>
        <v>11883890</v>
      </c>
      <c r="L68" s="806"/>
      <c r="M68" s="318"/>
      <c r="N68" s="1"/>
      <c r="O68" s="1"/>
      <c r="P68" s="1"/>
      <c r="Q68" s="1"/>
      <c r="R68" s="1"/>
      <c r="S68" s="1"/>
      <c r="T68" s="1"/>
      <c r="U68" s="1"/>
      <c r="V68" s="1"/>
      <c r="W68" s="1"/>
      <c r="X68" s="1"/>
      <c r="Y68" s="1"/>
      <c r="Z68" s="1"/>
    </row>
    <row r="69" spans="1:26" ht="14.25" customHeight="1" outlineLevel="1" thickBot="1">
      <c r="A69" s="1"/>
      <c r="B69" s="803"/>
      <c r="C69" s="790" t="s">
        <v>1021</v>
      </c>
      <c r="D69" s="332" t="str">
        <f>IF(C69="","",VLOOKUP(C69,ListaAct,4,FALSE))</f>
        <v>ACTIVIDADES ELECTRICAS, DATOS Y DEMAS REQUERIDAS</v>
      </c>
      <c r="E69" s="332"/>
      <c r="F69" s="332"/>
      <c r="G69" s="332"/>
      <c r="H69" s="332"/>
      <c r="I69" s="332"/>
      <c r="J69" s="332"/>
      <c r="K69" s="358"/>
      <c r="L69" s="806"/>
      <c r="M69" s="318"/>
      <c r="N69" s="1"/>
      <c r="O69" s="1"/>
      <c r="P69" s="1"/>
      <c r="Q69" s="1"/>
      <c r="R69" s="1"/>
      <c r="S69" s="1"/>
      <c r="T69" s="1"/>
      <c r="U69" s="1"/>
      <c r="V69" s="1"/>
      <c r="W69" s="1"/>
      <c r="X69" s="1"/>
      <c r="Y69" s="1"/>
      <c r="Z69" s="1"/>
    </row>
    <row r="70" spans="1:26" ht="28.5" outlineLevel="1">
      <c r="A70" s="1"/>
      <c r="B70" s="803"/>
      <c r="C70" s="340"/>
      <c r="D70" s="815" t="s">
        <v>1097</v>
      </c>
      <c r="E70" s="219"/>
      <c r="F70" s="219"/>
      <c r="G70" s="314" t="str">
        <f t="shared" ref="G70:G90" si="27">IF(D70="","",VLOOKUP(D70,ListaAct,4,FALSE))</f>
        <v xml:space="preserve"> Desmonte de luminarias y/o bombillos incluye desmonte de cableado, canaletas y accesorios de soporte </v>
      </c>
      <c r="H70" s="219" t="str">
        <f t="shared" ref="H70:H90" si="28">IF(D70="","",VLOOKUP(D70,ListaAct,5,FALSE))</f>
        <v>und</v>
      </c>
      <c r="I70" s="315">
        <f t="shared" ref="I70:I90" si="29">IF(D70="","",VLOOKUP(D70,ListaAct,6,FALSE))</f>
        <v>12</v>
      </c>
      <c r="J70" s="316">
        <f t="shared" ref="J70:J90" si="30">IF(D70="","",VLOOKUP(D70,ListaAct,7,FALSE))</f>
        <v>33921</v>
      </c>
      <c r="K70" s="317">
        <f>IF(D70="","",ROUND(J70*I70,0))</f>
        <v>407052</v>
      </c>
      <c r="L70" s="806"/>
      <c r="M70" s="318"/>
      <c r="N70" s="1"/>
      <c r="O70" s="1"/>
      <c r="P70" s="1"/>
      <c r="Q70" s="1"/>
      <c r="R70" s="1"/>
      <c r="S70" s="1"/>
      <c r="T70" s="1"/>
      <c r="U70" s="1"/>
      <c r="V70" s="1"/>
      <c r="W70" s="1"/>
      <c r="X70" s="1"/>
      <c r="Y70" s="1"/>
      <c r="Z70" s="1"/>
    </row>
    <row r="71" spans="1:26" ht="28.5" outlineLevel="1">
      <c r="A71" s="1"/>
      <c r="B71" s="803"/>
      <c r="C71" s="347"/>
      <c r="D71" s="816" t="s">
        <v>1100</v>
      </c>
      <c r="E71" s="227"/>
      <c r="F71" s="227"/>
      <c r="G71" s="349" t="str">
        <f t="shared" si="27"/>
        <v xml:space="preserve"> Desmonte de puntos electricos incluye desmonto de cableado, canaletas, Tableros y accesorios de soporte </v>
      </c>
      <c r="H71" s="227" t="str">
        <f t="shared" si="28"/>
        <v>und</v>
      </c>
      <c r="I71" s="350">
        <f t="shared" si="29"/>
        <v>8</v>
      </c>
      <c r="J71" s="324">
        <f t="shared" si="30"/>
        <v>62787</v>
      </c>
      <c r="K71" s="351">
        <f t="shared" ref="K71" si="31">IF(D71="","",ROUND(J71*I71,0))</f>
        <v>502296</v>
      </c>
      <c r="L71" s="806"/>
      <c r="M71" s="318"/>
      <c r="N71" s="1"/>
      <c r="O71" s="1"/>
      <c r="P71" s="1"/>
      <c r="Q71" s="1"/>
      <c r="R71" s="1"/>
      <c r="S71" s="1"/>
      <c r="T71" s="1"/>
      <c r="U71" s="1"/>
      <c r="V71" s="1"/>
      <c r="W71" s="1"/>
      <c r="X71" s="1"/>
      <c r="Y71" s="1"/>
      <c r="Z71" s="1"/>
    </row>
    <row r="72" spans="1:26" ht="71.25" outlineLevel="1">
      <c r="A72" s="1"/>
      <c r="B72" s="803"/>
      <c r="C72" s="347"/>
      <c r="D72" s="816" t="s">
        <v>1103</v>
      </c>
      <c r="E72" s="227"/>
      <c r="F72" s="227"/>
      <c r="G72" s="349" t="str">
        <f t="shared" si="27"/>
        <v>Suministro, Transporte E Instalación De Salida Para Iluminación 110 V, Incluye Caja Octogonal, Caja Rectangular, Interruptor Sencillo, Conectores, Cable Cu 3x12 Thwnn Lszh,  Ducto EMT pintado de color segun especificacion Ø 1/2", Clavija Aerea Tipo Hembra 15 A, Clavija Aerea Tipo Macho 15 A, Cable Encauchetado 3x16 Awg Thwn Lszh</v>
      </c>
      <c r="H72" s="227" t="str">
        <f t="shared" si="28"/>
        <v>und</v>
      </c>
      <c r="I72" s="350">
        <f t="shared" si="29"/>
        <v>14</v>
      </c>
      <c r="J72" s="324">
        <f t="shared" si="30"/>
        <v>294603</v>
      </c>
      <c r="K72" s="351">
        <f t="shared" ref="K72:K80" si="32">IF(D72="","",ROUND(J72*I72,0))</f>
        <v>4124442</v>
      </c>
      <c r="L72" s="806"/>
      <c r="M72" s="318"/>
      <c r="N72" s="1"/>
      <c r="O72" s="1"/>
      <c r="P72" s="1"/>
      <c r="Q72" s="1"/>
      <c r="R72" s="1"/>
      <c r="S72" s="1"/>
      <c r="T72" s="1"/>
      <c r="U72" s="1"/>
      <c r="V72" s="1"/>
      <c r="W72" s="1"/>
      <c r="X72" s="1"/>
      <c r="Y72" s="1"/>
      <c r="Z72" s="1"/>
    </row>
    <row r="73" spans="1:26" ht="42.75" outlineLevel="1">
      <c r="A73" s="1"/>
      <c r="B73" s="803"/>
      <c r="C73" s="347"/>
      <c r="D73" s="816" t="s">
        <v>1106</v>
      </c>
      <c r="E73" s="227"/>
      <c r="F73" s="227"/>
      <c r="G73" s="349" t="str">
        <f t="shared" si="27"/>
        <v>Suministro, Transporte E Instalación De Panel Led  120x30 Cm, 45 W, 6500 K, colgante Incluye Marco Soporte, kit de suspension (guayas) Elementos De Sujeción Y Fijación De La Lámpara</v>
      </c>
      <c r="H73" s="227" t="str">
        <f t="shared" si="28"/>
        <v>und</v>
      </c>
      <c r="I73" s="350">
        <f t="shared" si="29"/>
        <v>8</v>
      </c>
      <c r="J73" s="324">
        <f t="shared" si="30"/>
        <v>123571</v>
      </c>
      <c r="K73" s="351">
        <f t="shared" si="32"/>
        <v>988568</v>
      </c>
      <c r="L73" s="806"/>
      <c r="M73" s="318"/>
      <c r="N73" s="1"/>
      <c r="O73" s="1"/>
      <c r="P73" s="1"/>
      <c r="Q73" s="1"/>
      <c r="R73" s="1"/>
      <c r="S73" s="1"/>
      <c r="T73" s="1"/>
      <c r="U73" s="1"/>
      <c r="V73" s="1"/>
      <c r="W73" s="1"/>
      <c r="X73" s="1"/>
      <c r="Y73" s="1"/>
      <c r="Z73" s="1"/>
    </row>
    <row r="74" spans="1:26" ht="42.75" outlineLevel="1">
      <c r="A74" s="1"/>
      <c r="B74" s="803"/>
      <c r="C74" s="347"/>
      <c r="D74" s="816" t="s">
        <v>1109</v>
      </c>
      <c r="E74" s="227"/>
      <c r="F74" s="227"/>
      <c r="G74" s="349" t="str">
        <f t="shared" si="27"/>
        <v>Suministro, Transporte E Instalación De Panel Led Cuadrada 60x60 Cm, 48 W, 6500 K,colgante Incluye Marco Soporte, kit de suspension (guayas), Elementos De Sujeción Y Fijación De La Lámpara</v>
      </c>
      <c r="H74" s="227" t="str">
        <f t="shared" si="28"/>
        <v>und</v>
      </c>
      <c r="I74" s="350">
        <f t="shared" si="29"/>
        <v>2</v>
      </c>
      <c r="J74" s="324">
        <f t="shared" si="30"/>
        <v>116500</v>
      </c>
      <c r="K74" s="351">
        <f t="shared" si="32"/>
        <v>233000</v>
      </c>
      <c r="L74" s="806"/>
      <c r="M74" s="318"/>
      <c r="N74" s="1"/>
      <c r="O74" s="1"/>
      <c r="P74" s="1"/>
      <c r="Q74" s="1"/>
      <c r="R74" s="1"/>
      <c r="S74" s="1"/>
      <c r="T74" s="1"/>
      <c r="U74" s="1"/>
      <c r="V74" s="1"/>
      <c r="W74" s="1"/>
      <c r="X74" s="1"/>
      <c r="Y74" s="1"/>
      <c r="Z74" s="1"/>
    </row>
    <row r="75" spans="1:26" ht="28.5" outlineLevel="1">
      <c r="A75" s="1"/>
      <c r="B75" s="803"/>
      <c r="C75" s="347"/>
      <c r="D75" s="816" t="s">
        <v>1112</v>
      </c>
      <c r="E75" s="227"/>
      <c r="F75" s="227"/>
      <c r="G75" s="349" t="str">
        <f t="shared" si="27"/>
        <v>Suministro, Transporte E Instalación De Bombillo Led (20-40w), Incluye roseta, Elementos De Sujeción Y Fijación De La Lámpara</v>
      </c>
      <c r="H75" s="227" t="str">
        <f t="shared" si="28"/>
        <v>und</v>
      </c>
      <c r="I75" s="350">
        <f t="shared" si="29"/>
        <v>4</v>
      </c>
      <c r="J75" s="324">
        <f t="shared" si="30"/>
        <v>28971</v>
      </c>
      <c r="K75" s="351">
        <f t="shared" si="32"/>
        <v>115884</v>
      </c>
      <c r="L75" s="806"/>
      <c r="M75" s="318"/>
      <c r="N75" s="1"/>
      <c r="O75" s="1"/>
      <c r="P75" s="1"/>
      <c r="Q75" s="1"/>
      <c r="R75" s="1"/>
      <c r="S75" s="1"/>
      <c r="T75" s="1"/>
      <c r="U75" s="1"/>
      <c r="V75" s="1"/>
      <c r="W75" s="1"/>
      <c r="X75" s="1"/>
      <c r="Y75" s="1"/>
      <c r="Z75" s="1"/>
    </row>
    <row r="76" spans="1:26" outlineLevel="1">
      <c r="A76" s="1"/>
      <c r="B76" s="803"/>
      <c r="C76" s="347"/>
      <c r="D76" s="816" t="s">
        <v>1115</v>
      </c>
      <c r="E76" s="227"/>
      <c r="F76" s="227"/>
      <c r="G76" s="349" t="str">
        <f t="shared" si="27"/>
        <v>Desmonte y reubicacion de tablero de circuitos.</v>
      </c>
      <c r="H76" s="227" t="str">
        <f t="shared" si="28"/>
        <v>und</v>
      </c>
      <c r="I76" s="350">
        <f t="shared" si="29"/>
        <v>2</v>
      </c>
      <c r="J76" s="324">
        <f t="shared" si="30"/>
        <v>260618</v>
      </c>
      <c r="K76" s="351">
        <f t="shared" si="32"/>
        <v>521236</v>
      </c>
      <c r="L76" s="806"/>
      <c r="M76" s="318"/>
      <c r="N76" s="1"/>
      <c r="O76" s="1"/>
      <c r="P76" s="1"/>
      <c r="Q76" s="1"/>
      <c r="R76" s="1"/>
      <c r="S76" s="1"/>
      <c r="T76" s="1"/>
      <c r="U76" s="1"/>
      <c r="V76" s="1"/>
      <c r="W76" s="1"/>
      <c r="X76" s="1"/>
      <c r="Y76" s="1"/>
      <c r="Z76" s="1"/>
    </row>
    <row r="77" spans="1:26" ht="28.5" outlineLevel="1">
      <c r="A77" s="1"/>
      <c r="B77" s="803"/>
      <c r="C77" s="347"/>
      <c r="D77" s="816" t="s">
        <v>1118</v>
      </c>
      <c r="E77" s="227"/>
      <c r="F77" s="227"/>
      <c r="G77" s="349" t="str">
        <f t="shared" si="27"/>
        <v>Suministro, Transporte E Instalación De Salida Tomacorriente 110 V, Incluye: Cable Cu 3x12 Awh Thwnn Lszh, Toma Blanca 20 A, caja y tapa.</v>
      </c>
      <c r="H77" s="227" t="str">
        <f t="shared" si="28"/>
        <v>und</v>
      </c>
      <c r="I77" s="350">
        <f t="shared" si="29"/>
        <v>11</v>
      </c>
      <c r="J77" s="324">
        <f t="shared" si="30"/>
        <v>142882</v>
      </c>
      <c r="K77" s="351">
        <f t="shared" si="32"/>
        <v>1571702</v>
      </c>
      <c r="L77" s="806"/>
      <c r="M77" s="318"/>
      <c r="N77" s="1"/>
      <c r="O77" s="1"/>
      <c r="P77" s="1"/>
      <c r="Q77" s="1"/>
      <c r="R77" s="1"/>
      <c r="S77" s="1"/>
      <c r="T77" s="1"/>
      <c r="U77" s="1"/>
      <c r="V77" s="1"/>
      <c r="W77" s="1"/>
      <c r="X77" s="1"/>
      <c r="Y77" s="1"/>
      <c r="Z77" s="1"/>
    </row>
    <row r="78" spans="1:26" ht="28.5" outlineLevel="1">
      <c r="A78" s="1"/>
      <c r="B78" s="803"/>
      <c r="C78" s="347"/>
      <c r="D78" s="816" t="s">
        <v>1121</v>
      </c>
      <c r="E78" s="227"/>
      <c r="F78" s="227"/>
      <c r="G78" s="349" t="str">
        <f t="shared" si="27"/>
        <v>Suministro, Transporte E Instalación De Salida Toma Regulada 110 V, Incluye: Cable Cu 3x12 Awh Thwnn Lszh, Toma Naranja 20 A caja y tapa.</v>
      </c>
      <c r="H78" s="227" t="str">
        <f t="shared" si="28"/>
        <v>und</v>
      </c>
      <c r="I78" s="350">
        <f t="shared" si="29"/>
        <v>4</v>
      </c>
      <c r="J78" s="324">
        <f t="shared" si="30"/>
        <v>159398</v>
      </c>
      <c r="K78" s="351">
        <f t="shared" si="32"/>
        <v>637592</v>
      </c>
      <c r="L78" s="806"/>
      <c r="M78" s="318"/>
      <c r="N78" s="1"/>
      <c r="O78" s="1"/>
      <c r="P78" s="1"/>
      <c r="Q78" s="1"/>
      <c r="R78" s="1"/>
      <c r="S78" s="1"/>
      <c r="T78" s="1"/>
      <c r="U78" s="1"/>
      <c r="V78" s="1"/>
      <c r="W78" s="1"/>
      <c r="X78" s="1"/>
      <c r="Y78" s="1"/>
      <c r="Z78" s="1"/>
    </row>
    <row r="79" spans="1:26" ht="28.5" outlineLevel="1">
      <c r="A79" s="1"/>
      <c r="B79" s="803"/>
      <c r="C79" s="347"/>
      <c r="D79" s="816" t="s">
        <v>1124</v>
      </c>
      <c r="E79" s="227"/>
      <c r="F79" s="227"/>
      <c r="G79" s="349" t="str">
        <f t="shared" si="27"/>
        <v>Suministro, Transporte E Instalación De Salida Voz Y Datos, Incluye: Herrajes, Jack, Face Plate, Cable Utp Categoria 6a , Ponchado Del Cable Y Marcación</v>
      </c>
      <c r="H79" s="227" t="str">
        <f t="shared" si="28"/>
        <v>und</v>
      </c>
      <c r="I79" s="350">
        <f t="shared" si="29"/>
        <v>6</v>
      </c>
      <c r="J79" s="324">
        <f t="shared" si="30"/>
        <v>123989</v>
      </c>
      <c r="K79" s="351">
        <f t="shared" si="32"/>
        <v>743934</v>
      </c>
      <c r="L79" s="806"/>
      <c r="M79" s="318"/>
      <c r="N79" s="1"/>
      <c r="O79" s="1"/>
      <c r="P79" s="1"/>
      <c r="Q79" s="1"/>
      <c r="R79" s="1"/>
      <c r="S79" s="1"/>
      <c r="T79" s="1"/>
      <c r="U79" s="1"/>
      <c r="V79" s="1"/>
      <c r="W79" s="1"/>
      <c r="X79" s="1"/>
      <c r="Y79" s="1"/>
      <c r="Z79" s="1"/>
    </row>
    <row r="80" spans="1:26" ht="28.5" outlineLevel="1">
      <c r="A80" s="1"/>
      <c r="B80" s="803"/>
      <c r="C80" s="347"/>
      <c r="D80" s="816" t="s">
        <v>1127</v>
      </c>
      <c r="E80" s="227"/>
      <c r="F80" s="227"/>
      <c r="G80" s="349" t="str">
        <f t="shared" si="27"/>
        <v>Suministro, Transporte E Instalación De Canaleta Metalica 12x5 Cm, En Pintura Electrostatica Blanca, Con Separador, Incluye: Elementos De Fijación Y Soporte</v>
      </c>
      <c r="H80" s="227" t="str">
        <f t="shared" si="28"/>
        <v>m</v>
      </c>
      <c r="I80" s="350">
        <f t="shared" si="29"/>
        <v>40.36</v>
      </c>
      <c r="J80" s="324">
        <f t="shared" si="30"/>
        <v>56586</v>
      </c>
      <c r="K80" s="351">
        <f t="shared" si="32"/>
        <v>2283811</v>
      </c>
      <c r="L80" s="806"/>
      <c r="M80" s="318"/>
      <c r="N80" s="1"/>
      <c r="O80" s="1"/>
      <c r="P80" s="1"/>
      <c r="Q80" s="1"/>
      <c r="R80" s="1"/>
      <c r="S80" s="1"/>
      <c r="T80" s="1"/>
      <c r="U80" s="1"/>
      <c r="V80" s="1"/>
      <c r="W80" s="1"/>
      <c r="X80" s="1"/>
      <c r="Y80" s="1"/>
      <c r="Z80" s="1"/>
    </row>
    <row r="81" spans="1:26" outlineLevel="1">
      <c r="A81" s="1"/>
      <c r="B81" s="803"/>
      <c r="C81" s="347"/>
      <c r="D81" s="816" t="s">
        <v>1130</v>
      </c>
      <c r="E81" s="227"/>
      <c r="F81" s="227"/>
      <c r="G81" s="349" t="str">
        <f t="shared" si="27"/>
        <v>Suministro E Instalación De Troquel Metálico Piramidal Triple 12 X 5 Blanco</v>
      </c>
      <c r="H81" s="227" t="str">
        <f t="shared" si="28"/>
        <v>und</v>
      </c>
      <c r="I81" s="350">
        <f t="shared" si="29"/>
        <v>5</v>
      </c>
      <c r="J81" s="324">
        <f t="shared" si="30"/>
        <v>60614</v>
      </c>
      <c r="K81" s="351">
        <f t="shared" ref="K81:K89" si="33">IF(D81="","",ROUND(J81*I81,0))</f>
        <v>303070</v>
      </c>
      <c r="L81" s="806"/>
      <c r="M81" s="318"/>
      <c r="N81" s="1"/>
      <c r="O81" s="1"/>
      <c r="P81" s="1"/>
      <c r="Q81" s="1"/>
      <c r="R81" s="1"/>
      <c r="S81" s="1"/>
      <c r="T81" s="1"/>
      <c r="U81" s="1"/>
      <c r="V81" s="1"/>
      <c r="W81" s="1"/>
      <c r="X81" s="1"/>
      <c r="Y81" s="1"/>
      <c r="Z81" s="1"/>
    </row>
    <row r="82" spans="1:26" outlineLevel="1">
      <c r="A82" s="1"/>
      <c r="B82" s="803"/>
      <c r="C82" s="347"/>
      <c r="D82" s="816" t="s">
        <v>1133</v>
      </c>
      <c r="E82" s="227"/>
      <c r="F82" s="227"/>
      <c r="G82" s="349" t="str">
        <f t="shared" si="27"/>
        <v>Suministro E Instalación De Troquel Metálico Piramidal doble 12 X 5 Blanco</v>
      </c>
      <c r="H82" s="227" t="str">
        <f t="shared" si="28"/>
        <v>und</v>
      </c>
      <c r="I82" s="350">
        <f t="shared" si="29"/>
        <v>2</v>
      </c>
      <c r="J82" s="324">
        <f t="shared" si="30"/>
        <v>56961</v>
      </c>
      <c r="K82" s="351">
        <f t="shared" si="33"/>
        <v>113922</v>
      </c>
      <c r="L82" s="806"/>
      <c r="M82" s="318"/>
      <c r="N82" s="1"/>
      <c r="O82" s="1"/>
      <c r="P82" s="1"/>
      <c r="Q82" s="1"/>
      <c r="R82" s="1"/>
      <c r="S82" s="1"/>
      <c r="T82" s="1"/>
      <c r="U82" s="1"/>
      <c r="V82" s="1"/>
      <c r="W82" s="1"/>
      <c r="X82" s="1"/>
      <c r="Y82" s="1"/>
      <c r="Z82" s="1"/>
    </row>
    <row r="83" spans="1:26" outlineLevel="1">
      <c r="A83" s="1"/>
      <c r="B83" s="803"/>
      <c r="C83" s="347"/>
      <c r="D83" s="816" t="s">
        <v>1136</v>
      </c>
      <c r="E83" s="227"/>
      <c r="F83" s="227"/>
      <c r="G83" s="349" t="str">
        <f t="shared" si="27"/>
        <v>Suministro E Instalación De Troquel Metálico Piramidal Sencillo 12 X 5 Blanco</v>
      </c>
      <c r="H83" s="227" t="str">
        <f t="shared" si="28"/>
        <v>und</v>
      </c>
      <c r="I83" s="350">
        <f t="shared" si="29"/>
        <v>2</v>
      </c>
      <c r="J83" s="324">
        <f t="shared" si="30"/>
        <v>53845</v>
      </c>
      <c r="K83" s="351">
        <f t="shared" si="33"/>
        <v>107690</v>
      </c>
      <c r="L83" s="806"/>
      <c r="M83" s="318"/>
      <c r="N83" s="1"/>
      <c r="O83" s="1"/>
      <c r="P83" s="1"/>
      <c r="Q83" s="1"/>
      <c r="R83" s="1"/>
      <c r="S83" s="1"/>
      <c r="T83" s="1"/>
      <c r="U83" s="1"/>
      <c r="V83" s="1"/>
      <c r="W83" s="1"/>
      <c r="X83" s="1"/>
      <c r="Y83" s="1"/>
      <c r="Z83" s="1"/>
    </row>
    <row r="84" spans="1:26" outlineLevel="1">
      <c r="A84" s="1"/>
      <c r="B84" s="803"/>
      <c r="C84" s="347"/>
      <c r="D84" s="816" t="s">
        <v>1139</v>
      </c>
      <c r="E84" s="227"/>
      <c r="F84" s="227"/>
      <c r="G84" s="349" t="str">
        <f t="shared" si="27"/>
        <v xml:space="preserve"> Suministro  e  instalación  de persiana en  aluminio Incluye  marco </v>
      </c>
      <c r="H84" s="227" t="str">
        <f t="shared" si="28"/>
        <v>m2</v>
      </c>
      <c r="I84" s="350">
        <f t="shared" si="29"/>
        <v>1.53</v>
      </c>
      <c r="J84" s="324">
        <f t="shared" si="30"/>
        <v>352152</v>
      </c>
      <c r="K84" s="351">
        <f t="shared" si="33"/>
        <v>538793</v>
      </c>
      <c r="L84" s="806"/>
      <c r="M84" s="318"/>
      <c r="N84" s="1"/>
      <c r="O84" s="1"/>
      <c r="P84" s="1"/>
      <c r="Q84" s="1"/>
      <c r="R84" s="1"/>
      <c r="S84" s="1"/>
      <c r="T84" s="1"/>
      <c r="U84" s="1"/>
      <c r="V84" s="1"/>
      <c r="W84" s="1"/>
      <c r="X84" s="1"/>
      <c r="Y84" s="1"/>
      <c r="Z84" s="1"/>
    </row>
    <row r="85" spans="1:26" outlineLevel="1">
      <c r="A85" s="1"/>
      <c r="B85" s="803"/>
      <c r="C85" s="347"/>
      <c r="D85" s="816" t="s">
        <v>1142</v>
      </c>
      <c r="E85" s="227"/>
      <c r="F85" s="227"/>
      <c r="G85" s="349" t="str">
        <f t="shared" si="27"/>
        <v>Desmonte, suministro e instalacion de cerradura metalica</v>
      </c>
      <c r="H85" s="227" t="str">
        <f t="shared" si="28"/>
        <v>und</v>
      </c>
      <c r="I85" s="350">
        <f t="shared" si="29"/>
        <v>3</v>
      </c>
      <c r="J85" s="324">
        <f t="shared" si="30"/>
        <v>193662</v>
      </c>
      <c r="K85" s="351">
        <f t="shared" si="33"/>
        <v>580986</v>
      </c>
      <c r="L85" s="806"/>
      <c r="M85" s="318"/>
      <c r="N85" s="1"/>
      <c r="O85" s="1"/>
      <c r="P85" s="1"/>
      <c r="Q85" s="1"/>
      <c r="R85" s="1"/>
      <c r="S85" s="1"/>
      <c r="T85" s="1"/>
      <c r="U85" s="1"/>
      <c r="V85" s="1"/>
      <c r="W85" s="1"/>
      <c r="X85" s="1"/>
      <c r="Y85" s="1"/>
      <c r="Z85" s="1"/>
    </row>
    <row r="86" spans="1:26" outlineLevel="1">
      <c r="A86" s="1"/>
      <c r="B86" s="803"/>
      <c r="C86" s="347"/>
      <c r="D86" s="816" t="s">
        <v>1145</v>
      </c>
      <c r="E86" s="227"/>
      <c r="F86" s="227"/>
      <c r="G86" s="349" t="str">
        <f t="shared" si="27"/>
        <v>Desmonte y reintalacion de placa informativa</v>
      </c>
      <c r="H86" s="227" t="str">
        <f t="shared" si="28"/>
        <v>und</v>
      </c>
      <c r="I86" s="350">
        <f t="shared" si="29"/>
        <v>1</v>
      </c>
      <c r="J86" s="324">
        <f t="shared" si="30"/>
        <v>103030</v>
      </c>
      <c r="K86" s="351">
        <f t="shared" si="33"/>
        <v>103030</v>
      </c>
      <c r="L86" s="806"/>
      <c r="M86" s="318"/>
      <c r="N86" s="1"/>
      <c r="O86" s="1"/>
      <c r="P86" s="1"/>
      <c r="Q86" s="1"/>
      <c r="R86" s="1"/>
      <c r="S86" s="1"/>
      <c r="T86" s="1"/>
      <c r="U86" s="1"/>
      <c r="V86" s="1"/>
      <c r="W86" s="1"/>
      <c r="X86" s="1"/>
      <c r="Y86" s="1"/>
      <c r="Z86" s="1"/>
    </row>
    <row r="87" spans="1:26" outlineLevel="1">
      <c r="A87" s="1"/>
      <c r="B87" s="803"/>
      <c r="C87" s="347"/>
      <c r="D87" s="816" t="s">
        <v>1148</v>
      </c>
      <c r="E87" s="227"/>
      <c r="F87" s="227"/>
      <c r="G87" s="349" t="str">
        <f t="shared" si="27"/>
        <v xml:space="preserve">Desmonte, Suministro e instalacion de tapa para gabinte metalico de medidor electrico </v>
      </c>
      <c r="H87" s="227" t="str">
        <f t="shared" si="28"/>
        <v>und</v>
      </c>
      <c r="I87" s="350">
        <f t="shared" si="29"/>
        <v>1</v>
      </c>
      <c r="J87" s="324">
        <f t="shared" si="30"/>
        <v>130968</v>
      </c>
      <c r="K87" s="351">
        <f t="shared" si="33"/>
        <v>130968</v>
      </c>
      <c r="L87" s="806"/>
      <c r="M87" s="318"/>
      <c r="N87" s="1"/>
      <c r="O87" s="1"/>
      <c r="P87" s="1"/>
      <c r="Q87" s="1"/>
      <c r="R87" s="1"/>
      <c r="S87" s="1"/>
      <c r="T87" s="1"/>
      <c r="U87" s="1"/>
      <c r="V87" s="1"/>
      <c r="W87" s="1"/>
      <c r="X87" s="1"/>
      <c r="Y87" s="1"/>
      <c r="Z87" s="1"/>
    </row>
    <row r="88" spans="1:26" outlineLevel="1">
      <c r="A88" s="1"/>
      <c r="B88" s="803"/>
      <c r="C88" s="347"/>
      <c r="D88" s="816" t="s">
        <v>1151</v>
      </c>
      <c r="E88" s="227"/>
      <c r="F88" s="227"/>
      <c r="G88" s="349" t="str">
        <f t="shared" si="27"/>
        <v>Desmonte, Suministro e instalacion de asiento sanitario</v>
      </c>
      <c r="H88" s="227" t="str">
        <f t="shared" si="28"/>
        <v>und</v>
      </c>
      <c r="I88" s="350">
        <f t="shared" si="29"/>
        <v>1</v>
      </c>
      <c r="J88" s="324">
        <f t="shared" si="30"/>
        <v>119960</v>
      </c>
      <c r="K88" s="351">
        <f t="shared" si="33"/>
        <v>119960</v>
      </c>
      <c r="L88" s="806"/>
      <c r="M88" s="318"/>
      <c r="N88" s="1"/>
      <c r="O88" s="1"/>
      <c r="P88" s="1"/>
      <c r="Q88" s="1"/>
      <c r="R88" s="1"/>
      <c r="S88" s="1"/>
      <c r="T88" s="1"/>
      <c r="U88" s="1"/>
      <c r="V88" s="1"/>
      <c r="W88" s="1"/>
      <c r="X88" s="1"/>
      <c r="Y88" s="1"/>
      <c r="Z88" s="1"/>
    </row>
    <row r="89" spans="1:26" ht="28.5" outlineLevel="1">
      <c r="A89" s="1"/>
      <c r="B89" s="803"/>
      <c r="C89" s="347"/>
      <c r="D89" s="816" t="s">
        <v>1154</v>
      </c>
      <c r="E89" s="227"/>
      <c r="F89" s="227"/>
      <c r="G89" s="349" t="str">
        <f t="shared" si="27"/>
        <v>Desmonte de lavamanos existente y Suministro e instalacion lavamanos, incluye griferia, sifon desague y acople sanitario.</v>
      </c>
      <c r="H89" s="227" t="str">
        <f t="shared" si="28"/>
        <v>und</v>
      </c>
      <c r="I89" s="350">
        <f t="shared" si="29"/>
        <v>1</v>
      </c>
      <c r="J89" s="324">
        <f t="shared" si="30"/>
        <v>302198</v>
      </c>
      <c r="K89" s="351">
        <f t="shared" si="33"/>
        <v>302198</v>
      </c>
      <c r="L89" s="806"/>
      <c r="M89" s="318"/>
      <c r="N89" s="1"/>
      <c r="O89" s="1"/>
      <c r="P89" s="1"/>
      <c r="Q89" s="1"/>
      <c r="R89" s="1"/>
      <c r="S89" s="1"/>
      <c r="T89" s="1"/>
      <c r="U89" s="1"/>
      <c r="V89" s="1"/>
      <c r="W89" s="1"/>
      <c r="X89" s="1"/>
      <c r="Y89" s="1"/>
      <c r="Z89" s="1"/>
    </row>
    <row r="90" spans="1:26" outlineLevel="1">
      <c r="A90" s="1"/>
      <c r="B90" s="803"/>
      <c r="C90" s="347"/>
      <c r="D90" s="816" t="s">
        <v>1157</v>
      </c>
      <c r="E90" s="227"/>
      <c r="F90" s="227"/>
      <c r="G90" s="349" t="str">
        <f t="shared" si="27"/>
        <v>Desmonte, suministro e instalacion de soportes de flanche</v>
      </c>
      <c r="H90" s="227" t="str">
        <f t="shared" si="28"/>
        <v>und</v>
      </c>
      <c r="I90" s="350">
        <f t="shared" si="29"/>
        <v>10</v>
      </c>
      <c r="J90" s="324">
        <f t="shared" si="30"/>
        <v>209838</v>
      </c>
      <c r="K90" s="351">
        <f t="shared" ref="K90" si="34">IF(D90="","",ROUND(J90*I90,0))</f>
        <v>2098380</v>
      </c>
      <c r="L90" s="806"/>
      <c r="M90" s="318"/>
      <c r="N90" s="1"/>
      <c r="O90" s="1"/>
      <c r="P90" s="1"/>
      <c r="Q90" s="1"/>
      <c r="R90" s="1"/>
      <c r="S90" s="1"/>
      <c r="T90" s="1"/>
      <c r="U90" s="1"/>
      <c r="V90" s="1"/>
      <c r="W90" s="1"/>
      <c r="X90" s="1"/>
      <c r="Y90" s="1"/>
      <c r="Z90" s="1"/>
    </row>
    <row r="91" spans="1:26" ht="14.25" customHeight="1" outlineLevel="1" thickBot="1">
      <c r="A91" s="1"/>
      <c r="B91" s="803"/>
      <c r="C91" s="352" t="s">
        <v>67</v>
      </c>
      <c r="D91" s="353"/>
      <c r="E91" s="353"/>
      <c r="F91" s="353"/>
      <c r="G91" s="354"/>
      <c r="H91" s="353"/>
      <c r="I91" s="355"/>
      <c r="J91" s="356"/>
      <c r="K91" s="357">
        <f>+SUM(K70:K90)</f>
        <v>16528514</v>
      </c>
      <c r="L91" s="806"/>
      <c r="M91" s="318"/>
      <c r="N91" s="1"/>
      <c r="O91" s="1"/>
      <c r="P91" s="1"/>
      <c r="Q91" s="1"/>
      <c r="R91" s="1"/>
      <c r="S91" s="1"/>
      <c r="T91" s="1"/>
      <c r="U91" s="1"/>
      <c r="V91" s="1"/>
      <c r="W91" s="1"/>
      <c r="X91" s="1"/>
      <c r="Y91" s="1"/>
      <c r="Z91" s="1"/>
    </row>
    <row r="92" spans="1:26" ht="14.25" customHeight="1" outlineLevel="1" thickBot="1">
      <c r="A92" s="1"/>
      <c r="B92" s="803"/>
      <c r="C92" s="790" t="s">
        <v>1014</v>
      </c>
      <c r="D92" s="332" t="str">
        <f>IF(C92="","",VLOOKUP(C92,ListaAct,4,FALSE))</f>
        <v>LIMPIEZA GENERAL</v>
      </c>
      <c r="E92" s="332"/>
      <c r="F92" s="332"/>
      <c r="G92" s="332"/>
      <c r="H92" s="332"/>
      <c r="I92" s="332"/>
      <c r="J92" s="332"/>
      <c r="K92" s="358"/>
      <c r="L92" s="806"/>
      <c r="M92" s="318"/>
      <c r="N92" s="1"/>
      <c r="O92" s="1"/>
      <c r="P92" s="1"/>
      <c r="Q92" s="1"/>
      <c r="R92" s="1"/>
      <c r="S92" s="1"/>
      <c r="T92" s="1"/>
      <c r="U92" s="1"/>
      <c r="V92" s="1"/>
      <c r="W92" s="1"/>
      <c r="X92" s="1"/>
      <c r="Y92" s="1"/>
      <c r="Z92" s="1"/>
    </row>
    <row r="93" spans="1:26" ht="14.25" customHeight="1" outlineLevel="1">
      <c r="A93" s="1"/>
      <c r="B93" s="803"/>
      <c r="C93" s="340"/>
      <c r="D93" s="815" t="s">
        <v>1161</v>
      </c>
      <c r="E93" s="219"/>
      <c r="F93" s="219"/>
      <c r="G93" s="314" t="str">
        <f>IF(D93="","",VLOOKUP(D93,ListaAct,4,FALSE))</f>
        <v>Aseo y limpieza general de cada espacio interno y externo del juzgado.</v>
      </c>
      <c r="H93" s="219" t="str">
        <f>IF(D93="","",VLOOKUP(D93,ListaAct,5,FALSE))</f>
        <v>glb</v>
      </c>
      <c r="I93" s="315">
        <f>IF(D93="","",VLOOKUP(D93,ListaAct,6,FALSE))</f>
        <v>1</v>
      </c>
      <c r="J93" s="316">
        <f>IF(D93="","",VLOOKUP(D93,ListaAct,7,FALSE))</f>
        <v>1014582</v>
      </c>
      <c r="K93" s="317">
        <f>IF(D93="","",ROUND(J93*I93,0))</f>
        <v>1014582</v>
      </c>
      <c r="L93" s="806"/>
      <c r="M93" s="318"/>
      <c r="N93" s="1"/>
      <c r="O93" s="1"/>
      <c r="P93" s="1"/>
      <c r="Q93" s="1"/>
      <c r="R93" s="1"/>
      <c r="S93" s="1"/>
      <c r="T93" s="1"/>
      <c r="U93" s="1"/>
      <c r="V93" s="1"/>
      <c r="W93" s="1"/>
      <c r="X93" s="1"/>
      <c r="Y93" s="1"/>
      <c r="Z93" s="1"/>
    </row>
    <row r="94" spans="1:26" ht="28.5" outlineLevel="1">
      <c r="A94" s="1"/>
      <c r="B94" s="803"/>
      <c r="C94" s="347"/>
      <c r="D94" s="816" t="s">
        <v>1165</v>
      </c>
      <c r="E94" s="227"/>
      <c r="F94" s="227"/>
      <c r="G94" s="349" t="str">
        <f>IF(D94="","",VLOOKUP(D94,ListaAct,4,FALSE))</f>
        <v>Retiro de escombros a sitio seguro avalado por la autoridad local o regional.(Municipio de San Gil).</v>
      </c>
      <c r="H94" s="227" t="str">
        <f>IF(D94="","",VLOOKUP(D94,ListaAct,5,FALSE))</f>
        <v>glb</v>
      </c>
      <c r="I94" s="350">
        <f>IF(D94="","",VLOOKUP(D94,ListaAct,6,FALSE))</f>
        <v>1</v>
      </c>
      <c r="J94" s="324">
        <f>IF(D94="","",VLOOKUP(D94,ListaAct,7,FALSE))</f>
        <v>3568683</v>
      </c>
      <c r="K94" s="351">
        <f t="shared" ref="K94" si="35">IF(D94="","",ROUND(J94*I94,0))</f>
        <v>3568683</v>
      </c>
      <c r="L94" s="806"/>
      <c r="M94" s="318"/>
      <c r="N94" s="1"/>
      <c r="O94" s="1"/>
      <c r="P94" s="1"/>
      <c r="Q94" s="1"/>
      <c r="R94" s="1"/>
      <c r="S94" s="1"/>
      <c r="T94" s="1"/>
      <c r="U94" s="1"/>
      <c r="V94" s="1"/>
      <c r="W94" s="1"/>
      <c r="X94" s="1"/>
      <c r="Y94" s="1"/>
      <c r="Z94" s="1"/>
    </row>
    <row r="95" spans="1:26" ht="14.25" customHeight="1" outlineLevel="1">
      <c r="A95" s="1"/>
      <c r="B95" s="803"/>
      <c r="C95" s="352" t="s">
        <v>67</v>
      </c>
      <c r="D95" s="353"/>
      <c r="E95" s="353"/>
      <c r="F95" s="353"/>
      <c r="G95" s="354"/>
      <c r="H95" s="353"/>
      <c r="I95" s="355"/>
      <c r="J95" s="356"/>
      <c r="K95" s="357">
        <f>+SUM(K93:K94)</f>
        <v>4583265</v>
      </c>
      <c r="L95" s="806"/>
      <c r="M95" s="318"/>
      <c r="N95" s="1"/>
      <c r="O95" s="1"/>
      <c r="P95" s="1"/>
      <c r="Q95" s="1"/>
      <c r="R95" s="1"/>
      <c r="S95" s="1"/>
      <c r="T95" s="1"/>
      <c r="U95" s="1"/>
      <c r="V95" s="1"/>
      <c r="W95" s="1"/>
      <c r="X95" s="1"/>
      <c r="Y95" s="1"/>
      <c r="Z95" s="1"/>
    </row>
    <row r="96" spans="1:26" ht="14.25" customHeight="1" outlineLevel="1" thickBot="1">
      <c r="A96" s="1"/>
      <c r="B96" s="803"/>
      <c r="C96" s="805"/>
      <c r="D96" s="804"/>
      <c r="E96" s="804"/>
      <c r="F96" s="804"/>
      <c r="G96" s="805"/>
      <c r="H96" s="804"/>
      <c r="I96" s="812"/>
      <c r="J96" s="813"/>
      <c r="K96" s="814"/>
      <c r="L96" s="806"/>
      <c r="M96" s="318"/>
      <c r="N96" s="1"/>
      <c r="O96" s="1"/>
      <c r="P96" s="1"/>
      <c r="Q96" s="1"/>
      <c r="R96" s="1"/>
      <c r="S96" s="1"/>
      <c r="T96" s="1"/>
      <c r="U96" s="1"/>
      <c r="V96" s="1"/>
      <c r="W96" s="1"/>
      <c r="X96" s="1"/>
      <c r="Y96" s="1"/>
      <c r="Z96" s="1"/>
    </row>
    <row r="97" spans="1:26" ht="14.25" customHeight="1">
      <c r="A97" s="1"/>
      <c r="B97" s="298"/>
      <c r="C97" s="360"/>
      <c r="D97" s="361"/>
      <c r="E97" s="361"/>
      <c r="F97" s="361"/>
      <c r="G97" s="1071" t="s">
        <v>929</v>
      </c>
      <c r="H97" s="1072"/>
      <c r="I97" s="1072"/>
      <c r="J97" s="1073"/>
      <c r="K97" s="817">
        <f>K95+K68+K58+K91+K52+K49+K45+K41+K35+K32+K28+K25+K16</f>
        <v>150435859</v>
      </c>
      <c r="L97" s="359"/>
      <c r="M97" s="1"/>
      <c r="N97" s="1"/>
      <c r="O97" s="1"/>
      <c r="P97" s="1"/>
      <c r="Q97" s="1"/>
      <c r="R97" s="1"/>
      <c r="S97" s="1"/>
      <c r="T97" s="1"/>
      <c r="U97" s="1"/>
      <c r="V97" s="1"/>
      <c r="W97" s="1"/>
      <c r="X97" s="1"/>
      <c r="Y97" s="1"/>
      <c r="Z97" s="1"/>
    </row>
    <row r="98" spans="1:26" ht="14.25" customHeight="1" thickBot="1">
      <c r="A98" s="1"/>
      <c r="B98" s="298"/>
      <c r="C98" s="360"/>
      <c r="D98" s="361"/>
      <c r="E98" s="364"/>
      <c r="F98" s="364"/>
      <c r="G98" s="1074" t="s">
        <v>2434</v>
      </c>
      <c r="H98" s="1075"/>
      <c r="I98" s="1075"/>
      <c r="J98" s="818">
        <v>0.25</v>
      </c>
      <c r="K98" s="819">
        <f>ROUND(J98*K97,0)</f>
        <v>37608965</v>
      </c>
      <c r="L98" s="359"/>
      <c r="M98" s="1"/>
      <c r="N98" s="1"/>
      <c r="O98" s="1"/>
      <c r="P98" s="1"/>
      <c r="Q98" s="1"/>
      <c r="R98" s="1"/>
      <c r="S98" s="1"/>
      <c r="T98" s="1"/>
      <c r="U98" s="1"/>
      <c r="V98" s="1"/>
      <c r="W98" s="1"/>
      <c r="X98" s="1"/>
      <c r="Y98" s="1"/>
      <c r="Z98" s="1"/>
    </row>
    <row r="99" spans="1:26" ht="14.25" customHeight="1" thickTop="1">
      <c r="A99" s="1"/>
      <c r="B99" s="298"/>
      <c r="C99" s="360"/>
      <c r="D99" s="361"/>
      <c r="E99" s="1"/>
      <c r="F99" s="1"/>
      <c r="G99" s="1074" t="s">
        <v>938</v>
      </c>
      <c r="H99" s="1075"/>
      <c r="I99" s="1075"/>
      <c r="J99" s="818">
        <v>0.01</v>
      </c>
      <c r="K99" s="819">
        <f>ROUND(J99*K97,0)</f>
        <v>1504359</v>
      </c>
      <c r="L99" s="359"/>
      <c r="M99" s="1"/>
      <c r="N99" s="1"/>
      <c r="O99" s="1"/>
      <c r="P99" s="1"/>
      <c r="Q99" s="1"/>
      <c r="R99" s="1"/>
      <c r="S99" s="1"/>
      <c r="T99" s="1"/>
      <c r="U99" s="1"/>
      <c r="V99" s="1"/>
      <c r="W99" s="1"/>
      <c r="X99" s="1"/>
      <c r="Y99" s="1"/>
      <c r="Z99" s="1"/>
    </row>
    <row r="100" spans="1:26" ht="14.25" customHeight="1">
      <c r="A100" s="1"/>
      <c r="B100" s="298"/>
      <c r="C100" s="360"/>
      <c r="D100" s="361"/>
      <c r="E100" s="1"/>
      <c r="F100" s="1"/>
      <c r="G100" s="1074" t="s">
        <v>21</v>
      </c>
      <c r="H100" s="1075"/>
      <c r="I100" s="1075"/>
      <c r="J100" s="818">
        <v>0.05</v>
      </c>
      <c r="K100" s="819">
        <f>ROUND(J100*K97,0)</f>
        <v>7521793</v>
      </c>
      <c r="L100" s="359"/>
      <c r="M100" s="1"/>
      <c r="N100" s="1"/>
      <c r="O100" s="1"/>
      <c r="P100" s="1"/>
      <c r="Q100" s="1"/>
      <c r="R100" s="1"/>
      <c r="S100" s="1"/>
      <c r="T100" s="1"/>
      <c r="U100" s="1"/>
      <c r="V100" s="1"/>
      <c r="W100" s="1"/>
      <c r="X100" s="1"/>
      <c r="Y100" s="1"/>
      <c r="Z100" s="1"/>
    </row>
    <row r="101" spans="1:26" ht="14.25" customHeight="1">
      <c r="A101" s="1"/>
      <c r="B101" s="298"/>
      <c r="C101" s="360"/>
      <c r="D101" s="361"/>
      <c r="E101" s="1"/>
      <c r="F101" s="1"/>
      <c r="G101" s="1091" t="s">
        <v>2435</v>
      </c>
      <c r="H101" s="1092"/>
      <c r="I101" s="1092"/>
      <c r="J101" s="818">
        <v>0.19</v>
      </c>
      <c r="K101" s="819">
        <f>ROUND(J101*K100,0)</f>
        <v>1429141</v>
      </c>
      <c r="L101" s="359"/>
      <c r="M101" s="1"/>
      <c r="N101" s="1"/>
      <c r="O101" s="1"/>
      <c r="P101" s="1"/>
      <c r="Q101" s="1"/>
      <c r="R101" s="1"/>
      <c r="S101" s="1"/>
      <c r="T101" s="1"/>
      <c r="U101" s="1"/>
      <c r="V101" s="1"/>
      <c r="W101" s="1"/>
      <c r="X101" s="1"/>
      <c r="Y101" s="1"/>
      <c r="Z101" s="1"/>
    </row>
    <row r="102" spans="1:26" ht="14.25" customHeight="1" thickBot="1">
      <c r="A102" s="1"/>
      <c r="B102" s="298"/>
      <c r="C102" s="360"/>
      <c r="D102" s="361"/>
      <c r="E102" s="1"/>
      <c r="F102" s="1"/>
      <c r="G102" s="1093" t="s">
        <v>2436</v>
      </c>
      <c r="H102" s="1094"/>
      <c r="I102" s="1094"/>
      <c r="J102" s="1095"/>
      <c r="K102" s="820">
        <f>K97+K98+K99+K100+K101</f>
        <v>198500117</v>
      </c>
      <c r="L102" s="359"/>
      <c r="M102" s="1"/>
      <c r="N102" s="1"/>
      <c r="O102" s="1"/>
      <c r="P102" s="1"/>
      <c r="Q102" s="1"/>
      <c r="R102" s="1"/>
      <c r="S102" s="1"/>
      <c r="T102" s="1"/>
      <c r="U102" s="1"/>
      <c r="V102" s="1"/>
      <c r="W102" s="1"/>
      <c r="X102" s="1"/>
      <c r="Y102" s="1"/>
      <c r="Z102" s="1"/>
    </row>
    <row r="103" spans="1:26" ht="14.25" customHeight="1" thickBot="1">
      <c r="A103" s="1"/>
      <c r="B103" s="830"/>
      <c r="C103" s="831"/>
      <c r="D103" s="831"/>
      <c r="E103" s="831"/>
      <c r="F103" s="831"/>
      <c r="G103" s="831"/>
      <c r="H103" s="831"/>
      <c r="I103" s="831"/>
      <c r="J103" s="831"/>
      <c r="K103" s="831"/>
      <c r="L103" s="832"/>
      <c r="M103" s="1"/>
      <c r="N103" s="1"/>
      <c r="O103" s="1"/>
      <c r="P103" s="1"/>
      <c r="Q103" s="1"/>
      <c r="R103" s="1"/>
      <c r="S103" s="1"/>
      <c r="T103" s="1"/>
      <c r="U103" s="1"/>
      <c r="V103" s="1"/>
      <c r="W103" s="1"/>
      <c r="X103" s="1"/>
      <c r="Y103" s="1"/>
      <c r="Z103" s="1"/>
    </row>
    <row r="104" spans="1:26" ht="14.25" customHeight="1">
      <c r="A104" s="1"/>
      <c r="B104" s="830"/>
      <c r="C104" s="1087" t="s">
        <v>946</v>
      </c>
      <c r="D104" s="1088" t="s">
        <v>947</v>
      </c>
      <c r="E104" s="1089" t="s">
        <v>948</v>
      </c>
      <c r="F104" s="1090"/>
      <c r="G104" s="1087" t="s">
        <v>17</v>
      </c>
      <c r="H104" s="1088" t="s">
        <v>949</v>
      </c>
      <c r="I104" s="1088" t="s">
        <v>950</v>
      </c>
      <c r="J104" s="1096" t="s">
        <v>951</v>
      </c>
      <c r="K104" s="1085" t="s">
        <v>952</v>
      </c>
      <c r="L104" s="832"/>
      <c r="M104" s="1"/>
      <c r="N104" s="1"/>
      <c r="O104" s="1"/>
      <c r="P104" s="1"/>
      <c r="Q104" s="1"/>
      <c r="R104" s="1"/>
      <c r="S104" s="1"/>
      <c r="T104" s="1"/>
      <c r="U104" s="1"/>
      <c r="V104" s="1"/>
      <c r="W104" s="1"/>
      <c r="X104" s="1"/>
      <c r="Y104" s="1"/>
      <c r="Z104" s="1"/>
    </row>
    <row r="105" spans="1:26" ht="14.25" customHeight="1" thickBot="1">
      <c r="A105" s="1"/>
      <c r="B105" s="830"/>
      <c r="C105" s="1022"/>
      <c r="D105" s="1013"/>
      <c r="E105" s="296" t="s">
        <v>953</v>
      </c>
      <c r="F105" s="296" t="s">
        <v>954</v>
      </c>
      <c r="G105" s="1022"/>
      <c r="H105" s="1013"/>
      <c r="I105" s="1013"/>
      <c r="J105" s="1013"/>
      <c r="K105" s="1016"/>
      <c r="L105" s="832"/>
      <c r="M105" s="1"/>
      <c r="N105" s="1"/>
      <c r="O105" s="1"/>
      <c r="P105" s="1"/>
      <c r="Q105" s="1"/>
      <c r="R105" s="1"/>
      <c r="S105" s="1"/>
      <c r="T105" s="1"/>
      <c r="U105" s="1"/>
      <c r="V105" s="1"/>
      <c r="W105" s="1"/>
      <c r="X105" s="1"/>
      <c r="Y105" s="1"/>
      <c r="Z105" s="1"/>
    </row>
    <row r="106" spans="1:26" ht="14.25" customHeight="1" thickBot="1">
      <c r="A106" s="1"/>
      <c r="B106" s="830"/>
      <c r="C106" s="790"/>
      <c r="D106" s="833" t="s">
        <v>1167</v>
      </c>
      <c r="E106" s="834"/>
      <c r="F106" s="834"/>
      <c r="G106" s="834"/>
      <c r="H106" s="834"/>
      <c r="I106" s="834"/>
      <c r="J106" s="834"/>
      <c r="K106" s="358"/>
      <c r="L106" s="832"/>
      <c r="M106" s="1"/>
      <c r="N106" s="1"/>
      <c r="O106" s="1"/>
      <c r="P106" s="1"/>
      <c r="Q106" s="1"/>
      <c r="R106" s="1"/>
      <c r="S106" s="1"/>
      <c r="T106" s="1"/>
      <c r="U106" s="1"/>
      <c r="V106" s="1"/>
      <c r="W106" s="1"/>
      <c r="X106" s="1"/>
      <c r="Y106" s="1"/>
      <c r="Z106" s="1"/>
    </row>
    <row r="107" spans="1:26" ht="28.5">
      <c r="A107" s="1"/>
      <c r="B107" s="830"/>
      <c r="C107" s="340"/>
      <c r="D107" s="815" t="s">
        <v>1169</v>
      </c>
      <c r="E107" s="219"/>
      <c r="F107" s="219"/>
      <c r="G107" s="314" t="str">
        <f t="shared" ref="G107:G112" si="36">IF(D107="","",VLOOKUP(D107,ListaAct,4,FALSE))</f>
        <v xml:space="preserve"> Retiro de muebles, equipos, archivos, documentos y demas elementos no fijos del juzgado a lugar seguro previamente informado por la seccional </v>
      </c>
      <c r="H107" s="219" t="str">
        <f t="shared" ref="H107:H112" si="37">IF(D107="","",VLOOKUP(D107,ListaAct,5,FALSE))</f>
        <v>glb</v>
      </c>
      <c r="I107" s="315">
        <f t="shared" ref="I107:I112" si="38">IF(D107="","",VLOOKUP(D107,ListaAct,6,FALSE))</f>
        <v>1</v>
      </c>
      <c r="J107" s="316">
        <f t="shared" ref="J107:J112" si="39">IF(D107="","",VLOOKUP(D107,ListaAct,7,FALSE))</f>
        <v>1497635</v>
      </c>
      <c r="K107" s="317">
        <f>IF(D107="","",ROUND(J107*I107,0))</f>
        <v>1497635</v>
      </c>
      <c r="L107" s="832"/>
      <c r="M107" s="1"/>
      <c r="N107" s="1"/>
      <c r="O107" s="1"/>
      <c r="P107" s="1"/>
      <c r="Q107" s="1"/>
      <c r="R107" s="1"/>
      <c r="S107" s="1"/>
      <c r="T107" s="1"/>
      <c r="U107" s="1"/>
      <c r="V107" s="1"/>
      <c r="W107" s="1"/>
      <c r="X107" s="1"/>
      <c r="Y107" s="1"/>
      <c r="Z107" s="1"/>
    </row>
    <row r="108" spans="1:26">
      <c r="A108" s="1"/>
      <c r="B108" s="830"/>
      <c r="C108" s="347"/>
      <c r="D108" s="816" t="s">
        <v>1172</v>
      </c>
      <c r="E108" s="227"/>
      <c r="F108" s="227"/>
      <c r="G108" s="349" t="str">
        <f t="shared" si="36"/>
        <v xml:space="preserve"> Tramite y obtención de licencia de construcción ante la alcaldia de confines. </v>
      </c>
      <c r="H108" s="227" t="str">
        <f t="shared" si="37"/>
        <v>glb</v>
      </c>
      <c r="I108" s="350">
        <f t="shared" si="38"/>
        <v>1</v>
      </c>
      <c r="J108" s="324">
        <f t="shared" si="39"/>
        <v>1357552</v>
      </c>
      <c r="K108" s="351">
        <f t="shared" ref="K108" si="40">IF(D108="","",ROUND(J108*I108,0))</f>
        <v>1357552</v>
      </c>
      <c r="L108" s="832"/>
      <c r="M108" s="1"/>
      <c r="N108" s="1"/>
      <c r="O108" s="1"/>
      <c r="P108" s="1"/>
      <c r="Q108" s="1"/>
      <c r="R108" s="1"/>
      <c r="S108" s="1"/>
      <c r="T108" s="1"/>
      <c r="U108" s="1"/>
      <c r="V108" s="1"/>
      <c r="W108" s="1"/>
      <c r="X108" s="1"/>
      <c r="Y108" s="1"/>
      <c r="Z108" s="1"/>
    </row>
    <row r="109" spans="1:26" ht="42.75">
      <c r="A109" s="1"/>
      <c r="B109" s="830"/>
      <c r="C109" s="347"/>
      <c r="D109" s="816" t="s">
        <v>1175</v>
      </c>
      <c r="E109" s="227"/>
      <c r="F109" s="227"/>
      <c r="G109" s="349" t="str">
        <f t="shared" si="36"/>
        <v xml:space="preserve"> Suministro e instalación de medidas de seguridad en movilidad tales como avisos, conos, captafaro nocturno, entre otros que garanticen la movilidad en la esquina de la carrera 6 y calle 2. </v>
      </c>
      <c r="H109" s="227" t="str">
        <f t="shared" si="37"/>
        <v>glb</v>
      </c>
      <c r="I109" s="350">
        <f t="shared" si="38"/>
        <v>1</v>
      </c>
      <c r="J109" s="324">
        <f t="shared" si="39"/>
        <v>2706683</v>
      </c>
      <c r="K109" s="351">
        <f t="shared" ref="K109:K110" si="41">IF(D109="","",ROUND(J109*I109,0))</f>
        <v>2706683</v>
      </c>
      <c r="L109" s="832"/>
      <c r="M109" s="1"/>
      <c r="N109" s="1"/>
      <c r="O109" s="1"/>
      <c r="P109" s="1"/>
      <c r="Q109" s="1"/>
      <c r="R109" s="1"/>
      <c r="S109" s="1"/>
      <c r="T109" s="1"/>
      <c r="U109" s="1"/>
      <c r="V109" s="1"/>
      <c r="W109" s="1"/>
      <c r="X109" s="1"/>
      <c r="Y109" s="1"/>
      <c r="Z109" s="1"/>
    </row>
    <row r="110" spans="1:26">
      <c r="A110" s="1"/>
      <c r="B110" s="830"/>
      <c r="C110" s="347"/>
      <c r="D110" s="816" t="s">
        <v>1178</v>
      </c>
      <c r="E110" s="227"/>
      <c r="F110" s="227"/>
      <c r="G110" s="349" t="str">
        <f t="shared" si="36"/>
        <v xml:space="preserve"> Suministro e instalacion de Patch - Cord, Cat. 6A de 2 m </v>
      </c>
      <c r="H110" s="227" t="str">
        <f t="shared" si="37"/>
        <v>und</v>
      </c>
      <c r="I110" s="350">
        <f t="shared" si="38"/>
        <v>6</v>
      </c>
      <c r="J110" s="324">
        <f t="shared" si="39"/>
        <v>27197</v>
      </c>
      <c r="K110" s="351">
        <f t="shared" si="41"/>
        <v>163182</v>
      </c>
      <c r="L110" s="832"/>
      <c r="M110" s="1"/>
      <c r="N110" s="1"/>
      <c r="O110" s="1"/>
      <c r="P110" s="1"/>
      <c r="Q110" s="1"/>
      <c r="R110" s="1"/>
      <c r="S110" s="1"/>
      <c r="T110" s="1"/>
      <c r="U110" s="1"/>
      <c r="V110" s="1"/>
      <c r="W110" s="1"/>
      <c r="X110" s="1"/>
      <c r="Y110" s="1"/>
      <c r="Z110" s="1"/>
    </row>
    <row r="111" spans="1:26">
      <c r="A111" s="1"/>
      <c r="B111" s="830"/>
      <c r="C111" s="347"/>
      <c r="D111" s="816" t="s">
        <v>1181</v>
      </c>
      <c r="E111" s="227"/>
      <c r="F111" s="227"/>
      <c r="G111" s="349" t="str">
        <f t="shared" si="36"/>
        <v xml:space="preserve"> Gabinete Rack 9ur, incluye Elementos de soporte y fijacion  </v>
      </c>
      <c r="H111" s="227" t="str">
        <f t="shared" si="37"/>
        <v>und</v>
      </c>
      <c r="I111" s="350">
        <f t="shared" si="38"/>
        <v>1</v>
      </c>
      <c r="J111" s="324">
        <f t="shared" si="39"/>
        <v>594135</v>
      </c>
      <c r="K111" s="351">
        <f t="shared" ref="K111:K112" si="42">IF(D111="","",ROUND(J111*I111,0))</f>
        <v>594135</v>
      </c>
      <c r="L111" s="832"/>
      <c r="M111" s="1"/>
      <c r="N111" s="1"/>
      <c r="O111" s="1"/>
      <c r="P111" s="1"/>
      <c r="Q111" s="1"/>
      <c r="R111" s="1"/>
      <c r="S111" s="1"/>
      <c r="T111" s="1"/>
      <c r="U111" s="1"/>
      <c r="V111" s="1"/>
      <c r="W111" s="1"/>
      <c r="X111" s="1"/>
      <c r="Y111" s="1"/>
      <c r="Z111" s="1"/>
    </row>
    <row r="112" spans="1:26" ht="28.5">
      <c r="A112" s="1"/>
      <c r="B112" s="830"/>
      <c r="C112" s="347"/>
      <c r="D112" s="816" t="s">
        <v>1184</v>
      </c>
      <c r="E112" s="227"/>
      <c r="F112" s="227"/>
      <c r="G112" s="349" t="str">
        <f t="shared" si="36"/>
        <v xml:space="preserve"> Suministro e instalacion de Ups 3 Kva Incluye cometida electrica, canalizacion  Y Todo Lo Necesario Para Su Instalacion  </v>
      </c>
      <c r="H112" s="227" t="str">
        <f t="shared" si="37"/>
        <v>und</v>
      </c>
      <c r="I112" s="350">
        <f t="shared" si="38"/>
        <v>1</v>
      </c>
      <c r="J112" s="324">
        <f t="shared" si="39"/>
        <v>2721487</v>
      </c>
      <c r="K112" s="351">
        <f t="shared" si="42"/>
        <v>2721487</v>
      </c>
      <c r="L112" s="832"/>
      <c r="M112" s="1"/>
      <c r="N112" s="1"/>
      <c r="O112" s="1"/>
      <c r="P112" s="1"/>
      <c r="Q112" s="1"/>
      <c r="R112" s="1"/>
      <c r="S112" s="1"/>
      <c r="T112" s="1"/>
      <c r="U112" s="1"/>
      <c r="V112" s="1"/>
      <c r="W112" s="1"/>
      <c r="X112" s="1"/>
      <c r="Y112" s="1"/>
      <c r="Z112" s="1"/>
    </row>
    <row r="113" spans="1:26" ht="14.25" customHeight="1">
      <c r="A113" s="1"/>
      <c r="B113" s="830"/>
      <c r="C113" s="835" t="s">
        <v>67</v>
      </c>
      <c r="D113" s="836"/>
      <c r="E113" s="836"/>
      <c r="F113" s="836"/>
      <c r="G113" s="837"/>
      <c r="H113" s="836"/>
      <c r="I113" s="838"/>
      <c r="J113" s="839"/>
      <c r="K113" s="357">
        <f>+SUM(K107:K112)</f>
        <v>9040674</v>
      </c>
      <c r="L113" s="832"/>
      <c r="M113" s="1"/>
      <c r="N113" s="1"/>
      <c r="O113" s="1"/>
      <c r="P113" s="1"/>
      <c r="Q113" s="1"/>
      <c r="R113" s="1"/>
      <c r="S113" s="1"/>
      <c r="T113" s="1"/>
      <c r="U113" s="1"/>
      <c r="V113" s="1"/>
      <c r="W113" s="1"/>
      <c r="X113" s="1"/>
      <c r="Y113" s="1"/>
      <c r="Z113" s="1"/>
    </row>
    <row r="114" spans="1:26" ht="14.25" customHeight="1" thickBot="1">
      <c r="A114" s="1"/>
      <c r="B114" s="830"/>
      <c r="C114" s="831"/>
      <c r="D114" s="831"/>
      <c r="E114" s="831"/>
      <c r="F114" s="831"/>
      <c r="G114" s="831"/>
      <c r="H114" s="831"/>
      <c r="I114" s="831"/>
      <c r="J114" s="831"/>
      <c r="K114" s="831"/>
      <c r="L114" s="832"/>
      <c r="M114" s="1"/>
      <c r="N114" s="1"/>
      <c r="O114" s="1"/>
      <c r="P114" s="1"/>
      <c r="Q114" s="1"/>
      <c r="R114" s="1"/>
      <c r="S114" s="1"/>
      <c r="T114" s="1"/>
      <c r="U114" s="1"/>
      <c r="V114" s="1"/>
      <c r="W114" s="1"/>
      <c r="X114" s="1"/>
      <c r="Y114" s="1"/>
      <c r="Z114" s="1"/>
    </row>
    <row r="115" spans="1:26" ht="14.25" customHeight="1">
      <c r="A115" s="1"/>
      <c r="B115" s="830"/>
      <c r="C115" s="831"/>
      <c r="D115" s="831"/>
      <c r="E115" s="831"/>
      <c r="F115" s="831"/>
      <c r="G115" s="1071" t="s">
        <v>929</v>
      </c>
      <c r="H115" s="1072"/>
      <c r="I115" s="1072"/>
      <c r="J115" s="1073"/>
      <c r="K115" s="817">
        <f>K113</f>
        <v>9040674</v>
      </c>
      <c r="L115" s="832"/>
      <c r="M115" s="1"/>
      <c r="N115" s="1"/>
      <c r="O115" s="1"/>
      <c r="P115" s="1"/>
      <c r="Q115" s="1"/>
      <c r="R115" s="1"/>
      <c r="S115" s="1"/>
      <c r="T115" s="1"/>
      <c r="U115" s="1"/>
      <c r="V115" s="1"/>
      <c r="W115" s="1"/>
      <c r="X115" s="1"/>
      <c r="Y115" s="1"/>
      <c r="Z115" s="1"/>
    </row>
    <row r="116" spans="1:26" ht="14.25" customHeight="1">
      <c r="A116" s="1"/>
      <c r="B116" s="830"/>
      <c r="C116" s="831"/>
      <c r="D116" s="831"/>
      <c r="E116" s="831"/>
      <c r="F116" s="831"/>
      <c r="G116" s="1091" t="s">
        <v>2437</v>
      </c>
      <c r="H116" s="1092"/>
      <c r="I116" s="1092"/>
      <c r="J116" s="818">
        <v>0.19</v>
      </c>
      <c r="K116" s="819">
        <f>ROUND(J116*K115,0)</f>
        <v>1717728</v>
      </c>
      <c r="L116" s="832"/>
      <c r="M116" s="1"/>
      <c r="N116" s="1"/>
      <c r="O116" s="1"/>
      <c r="P116" s="1"/>
      <c r="Q116" s="1"/>
      <c r="R116" s="1"/>
      <c r="S116" s="1"/>
      <c r="T116" s="1"/>
      <c r="U116" s="1"/>
      <c r="V116" s="1"/>
      <c r="W116" s="1"/>
      <c r="X116" s="1"/>
      <c r="Y116" s="1"/>
      <c r="Z116" s="1"/>
    </row>
    <row r="117" spans="1:26" ht="14.25" customHeight="1" thickBot="1">
      <c r="A117" s="1"/>
      <c r="B117" s="830"/>
      <c r="C117" s="831"/>
      <c r="D117" s="831"/>
      <c r="E117" s="831"/>
      <c r="F117" s="831"/>
      <c r="G117" s="1093" t="s">
        <v>2438</v>
      </c>
      <c r="H117" s="1094"/>
      <c r="I117" s="1094"/>
      <c r="J117" s="1095"/>
      <c r="K117" s="820">
        <f>K115+K116</f>
        <v>10758402</v>
      </c>
      <c r="L117" s="832"/>
      <c r="M117" s="1"/>
      <c r="N117" s="1"/>
      <c r="O117" s="1"/>
      <c r="P117" s="1"/>
      <c r="Q117" s="1"/>
      <c r="R117" s="1"/>
      <c r="S117" s="1"/>
      <c r="T117" s="1"/>
      <c r="U117" s="1"/>
      <c r="V117" s="1"/>
      <c r="W117" s="1"/>
      <c r="X117" s="1"/>
      <c r="Y117" s="1"/>
      <c r="Z117" s="1"/>
    </row>
    <row r="118" spans="1:26" ht="14.25" customHeight="1" thickBot="1">
      <c r="A118" s="1"/>
      <c r="B118" s="830"/>
      <c r="C118" s="831"/>
      <c r="D118" s="831"/>
      <c r="E118" s="831"/>
      <c r="F118" s="831"/>
      <c r="G118" s="831"/>
      <c r="H118" s="831"/>
      <c r="I118" s="831"/>
      <c r="J118" s="831"/>
      <c r="K118" s="831"/>
      <c r="L118" s="832"/>
      <c r="M118" s="1"/>
      <c r="N118" s="1"/>
      <c r="O118" s="1"/>
      <c r="P118" s="1"/>
      <c r="Q118" s="1"/>
      <c r="R118" s="1"/>
      <c r="S118" s="1"/>
      <c r="T118" s="1"/>
      <c r="U118" s="1"/>
      <c r="V118" s="1"/>
      <c r="W118" s="1"/>
      <c r="X118" s="1"/>
      <c r="Y118" s="1"/>
      <c r="Z118" s="1"/>
    </row>
    <row r="119" spans="1:26" ht="14.25" customHeight="1" thickBot="1">
      <c r="A119" s="1"/>
      <c r="B119" s="830"/>
      <c r="C119" s="831"/>
      <c r="D119" s="831"/>
      <c r="E119" s="831"/>
      <c r="F119" s="831"/>
      <c r="G119" s="821" t="s">
        <v>2439</v>
      </c>
      <c r="H119" s="822"/>
      <c r="I119" s="823"/>
      <c r="J119" s="824"/>
      <c r="K119" s="825">
        <f>K117+K102</f>
        <v>209258519</v>
      </c>
      <c r="L119" s="832"/>
      <c r="M119" s="1"/>
      <c r="N119" s="1"/>
      <c r="O119" s="1"/>
      <c r="P119" s="1"/>
      <c r="Q119" s="1"/>
      <c r="R119" s="1"/>
      <c r="S119" s="1"/>
      <c r="T119" s="1"/>
      <c r="U119" s="1"/>
      <c r="V119" s="1"/>
      <c r="W119" s="1"/>
      <c r="X119" s="1"/>
      <c r="Y119" s="1"/>
      <c r="Z119" s="1"/>
    </row>
    <row r="120" spans="1:26" ht="14.25" customHeight="1" thickBot="1">
      <c r="A120" s="1"/>
      <c r="B120" s="830"/>
      <c r="C120" s="831"/>
      <c r="D120" s="831"/>
      <c r="E120" s="831"/>
      <c r="F120" s="831"/>
      <c r="G120" s="831"/>
      <c r="H120" s="831"/>
      <c r="I120" s="831"/>
      <c r="J120" s="831"/>
      <c r="K120" s="831"/>
      <c r="L120" s="832"/>
      <c r="M120" s="1"/>
      <c r="N120" s="1"/>
      <c r="O120" s="1"/>
      <c r="P120" s="1"/>
      <c r="Q120" s="1"/>
      <c r="R120" s="1"/>
      <c r="S120" s="1"/>
      <c r="T120" s="1"/>
      <c r="U120" s="1"/>
      <c r="V120" s="1"/>
      <c r="W120" s="1"/>
      <c r="X120" s="1"/>
      <c r="Y120" s="1"/>
      <c r="Z120" s="1"/>
    </row>
    <row r="121" spans="1:26" ht="14.25" customHeight="1">
      <c r="A121" s="1"/>
      <c r="B121" s="830"/>
      <c r="C121" s="826"/>
      <c r="D121" s="1097"/>
      <c r="E121" s="1097"/>
      <c r="F121" s="1097"/>
      <c r="G121" s="1097"/>
      <c r="H121" s="1097"/>
      <c r="I121" s="1097"/>
      <c r="J121" s="1097"/>
      <c r="K121" s="1098"/>
      <c r="L121" s="832"/>
      <c r="M121" s="1"/>
      <c r="N121" s="1"/>
      <c r="O121" s="1"/>
      <c r="P121" s="1"/>
      <c r="Q121" s="1"/>
      <c r="R121" s="1"/>
      <c r="S121" s="1"/>
      <c r="T121" s="1"/>
      <c r="U121" s="1"/>
      <c r="V121" s="1"/>
      <c r="W121" s="1"/>
      <c r="X121" s="1"/>
      <c r="Y121" s="1"/>
      <c r="Z121" s="1"/>
    </row>
    <row r="122" spans="1:26" ht="43.15" customHeight="1">
      <c r="A122" s="1"/>
      <c r="B122" s="830"/>
      <c r="C122" s="1099" t="s">
        <v>2440</v>
      </c>
      <c r="D122" s="1100"/>
      <c r="E122" s="1100"/>
      <c r="F122" s="1100"/>
      <c r="G122" s="1101"/>
      <c r="H122" s="1102" t="s">
        <v>240</v>
      </c>
      <c r="I122" s="1102"/>
      <c r="J122" s="1102"/>
      <c r="K122" s="827" t="s">
        <v>957</v>
      </c>
      <c r="L122" s="832"/>
      <c r="M122" s="1"/>
      <c r="N122" s="1"/>
      <c r="O122" s="1"/>
      <c r="P122" s="1"/>
      <c r="Q122" s="1"/>
      <c r="R122" s="1"/>
      <c r="S122" s="1"/>
      <c r="T122" s="1"/>
      <c r="U122" s="1"/>
      <c r="V122" s="1"/>
      <c r="W122" s="1"/>
      <c r="X122" s="1"/>
      <c r="Y122" s="1"/>
      <c r="Z122" s="1"/>
    </row>
    <row r="123" spans="1:26" ht="14.25" customHeight="1">
      <c r="A123" s="1"/>
      <c r="B123" s="830"/>
      <c r="C123" s="1103" t="s">
        <v>2441</v>
      </c>
      <c r="D123" s="1104"/>
      <c r="E123" s="1104"/>
      <c r="F123" s="1104"/>
      <c r="G123" s="1104"/>
      <c r="H123" s="1105" t="s">
        <v>19</v>
      </c>
      <c r="I123" s="1105"/>
      <c r="J123" s="828" t="s">
        <v>958</v>
      </c>
      <c r="K123" s="829">
        <f>Datos!$E$18</f>
        <v>0.25</v>
      </c>
      <c r="L123" s="832"/>
      <c r="M123" s="1"/>
      <c r="N123" s="1"/>
      <c r="O123" s="1"/>
      <c r="P123" s="1"/>
      <c r="Q123" s="1"/>
      <c r="R123" s="1"/>
      <c r="S123" s="1"/>
      <c r="T123" s="1"/>
      <c r="U123" s="1"/>
      <c r="V123" s="1"/>
      <c r="W123" s="1"/>
      <c r="X123" s="1"/>
      <c r="Y123" s="1"/>
      <c r="Z123" s="1"/>
    </row>
    <row r="124" spans="1:26" ht="14.25" customHeight="1">
      <c r="A124" s="1"/>
      <c r="B124" s="830"/>
      <c r="C124" s="1103"/>
      <c r="D124" s="1104"/>
      <c r="E124" s="1104"/>
      <c r="F124" s="1104"/>
      <c r="G124" s="1104"/>
      <c r="H124" s="1106" t="s">
        <v>2442</v>
      </c>
      <c r="I124" s="1107"/>
      <c r="J124" s="828" t="s">
        <v>959</v>
      </c>
      <c r="K124" s="829">
        <f>Datos!$E$19</f>
        <v>0.01</v>
      </c>
      <c r="L124" s="832"/>
      <c r="M124" s="1"/>
      <c r="N124" s="1"/>
      <c r="O124" s="1"/>
      <c r="P124" s="1"/>
      <c r="Q124" s="1"/>
      <c r="R124" s="1"/>
      <c r="S124" s="1"/>
      <c r="T124" s="1"/>
      <c r="U124" s="1"/>
      <c r="V124" s="1"/>
      <c r="W124" s="1"/>
      <c r="X124" s="1"/>
      <c r="Y124" s="1"/>
      <c r="Z124" s="1"/>
    </row>
    <row r="125" spans="1:26" ht="22.15" customHeight="1">
      <c r="A125" s="1"/>
      <c r="B125" s="830"/>
      <c r="C125" s="1108"/>
      <c r="D125" s="1109"/>
      <c r="E125" s="1109"/>
      <c r="F125" s="1109"/>
      <c r="G125" s="1110"/>
      <c r="H125" s="1117" t="s">
        <v>21</v>
      </c>
      <c r="I125" s="1105"/>
      <c r="J125" s="828" t="s">
        <v>960</v>
      </c>
      <c r="K125" s="829">
        <f>Datos!$E$20</f>
        <v>0.05</v>
      </c>
      <c r="L125" s="832"/>
      <c r="M125" s="1"/>
      <c r="N125" s="1"/>
      <c r="O125" s="1"/>
      <c r="P125" s="1"/>
      <c r="Q125" s="1"/>
      <c r="R125" s="1"/>
      <c r="S125" s="1"/>
      <c r="T125" s="1"/>
      <c r="U125" s="1"/>
      <c r="V125" s="1"/>
      <c r="W125" s="1"/>
      <c r="X125" s="1"/>
      <c r="Y125" s="1"/>
      <c r="Z125" s="1"/>
    </row>
    <row r="126" spans="1:26">
      <c r="A126" s="1"/>
      <c r="B126" s="830"/>
      <c r="C126" s="1111"/>
      <c r="D126" s="1112"/>
      <c r="E126" s="1112"/>
      <c r="F126" s="1112"/>
      <c r="G126" s="1113"/>
      <c r="H126" s="1105" t="s">
        <v>961</v>
      </c>
      <c r="I126" s="1105"/>
      <c r="J126" s="828" t="s">
        <v>962</v>
      </c>
      <c r="K126" s="829">
        <v>0.31</v>
      </c>
      <c r="L126" s="832"/>
      <c r="M126" s="1"/>
      <c r="N126" s="1"/>
      <c r="O126" s="1"/>
      <c r="P126" s="1"/>
      <c r="Q126" s="1"/>
      <c r="R126" s="1"/>
      <c r="S126" s="1"/>
      <c r="T126" s="1"/>
      <c r="U126" s="1"/>
      <c r="V126" s="1"/>
      <c r="W126" s="1"/>
      <c r="X126" s="1"/>
      <c r="Y126" s="1"/>
      <c r="Z126" s="1"/>
    </row>
    <row r="127" spans="1:26" ht="14.25" customHeight="1" thickBot="1">
      <c r="A127" s="1"/>
      <c r="B127" s="830"/>
      <c r="C127" s="1114"/>
      <c r="D127" s="1115"/>
      <c r="E127" s="1115"/>
      <c r="F127" s="1115"/>
      <c r="G127" s="1116"/>
      <c r="H127" s="1118"/>
      <c r="I127" s="1118"/>
      <c r="J127" s="1118"/>
      <c r="K127" s="1119"/>
      <c r="L127" s="832"/>
      <c r="M127" s="1"/>
      <c r="N127" s="1"/>
      <c r="O127" s="1"/>
      <c r="P127" s="1"/>
      <c r="Q127" s="1"/>
      <c r="R127" s="1"/>
      <c r="S127" s="1"/>
      <c r="T127" s="1"/>
      <c r="U127" s="1"/>
      <c r="V127" s="1"/>
      <c r="W127" s="1"/>
      <c r="X127" s="1"/>
      <c r="Y127" s="1"/>
      <c r="Z127" s="1"/>
    </row>
    <row r="128" spans="1:26" ht="14.25" customHeight="1" thickBot="1">
      <c r="A128" s="1"/>
      <c r="B128" s="840"/>
      <c r="C128" s="841"/>
      <c r="D128" s="841"/>
      <c r="E128" s="841"/>
      <c r="F128" s="841"/>
      <c r="G128" s="841"/>
      <c r="H128" s="841"/>
      <c r="I128" s="841"/>
      <c r="J128" s="841"/>
      <c r="K128" s="841"/>
      <c r="L128" s="842"/>
      <c r="M128" s="1"/>
      <c r="N128" s="1"/>
      <c r="O128" s="1"/>
      <c r="P128" s="1"/>
      <c r="Q128" s="1"/>
      <c r="R128" s="1"/>
      <c r="S128" s="1"/>
      <c r="T128" s="1"/>
      <c r="U128" s="1"/>
      <c r="V128" s="1"/>
      <c r="W128" s="1"/>
      <c r="X128" s="1"/>
      <c r="Y128" s="1"/>
      <c r="Z128" s="1"/>
    </row>
    <row r="129" spans="1:26" ht="14.25" customHeight="1" thickTop="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sheetData>
  <mergeCells count="40">
    <mergeCell ref="C125:G127"/>
    <mergeCell ref="H125:I125"/>
    <mergeCell ref="H126:I126"/>
    <mergeCell ref="H127:K127"/>
    <mergeCell ref="C122:G122"/>
    <mergeCell ref="H122:J122"/>
    <mergeCell ref="C123:G123"/>
    <mergeCell ref="H123:I123"/>
    <mergeCell ref="C124:G124"/>
    <mergeCell ref="H124:I124"/>
    <mergeCell ref="K104:K105"/>
    <mergeCell ref="G115:J115"/>
    <mergeCell ref="G116:I116"/>
    <mergeCell ref="G117:J117"/>
    <mergeCell ref="D121:K121"/>
    <mergeCell ref="G99:I99"/>
    <mergeCell ref="G100:I100"/>
    <mergeCell ref="C104:C105"/>
    <mergeCell ref="D104:D105"/>
    <mergeCell ref="E104:F104"/>
    <mergeCell ref="G104:G105"/>
    <mergeCell ref="H104:H105"/>
    <mergeCell ref="I104:I105"/>
    <mergeCell ref="G101:I101"/>
    <mergeCell ref="G102:J102"/>
    <mergeCell ref="J104:J105"/>
    <mergeCell ref="G97:J97"/>
    <mergeCell ref="G98:I98"/>
    <mergeCell ref="G9:G10"/>
    <mergeCell ref="H9:H10"/>
    <mergeCell ref="C3:F3"/>
    <mergeCell ref="C5:K5"/>
    <mergeCell ref="C6:K6"/>
    <mergeCell ref="C7:K8"/>
    <mergeCell ref="C9:C10"/>
    <mergeCell ref="D9:D10"/>
    <mergeCell ref="E9:F9"/>
    <mergeCell ref="K9:K10"/>
    <mergeCell ref="J9:J10"/>
    <mergeCell ref="I9:I10"/>
  </mergeCells>
  <phoneticPr fontId="71" type="noConversion"/>
  <pageMargins left="0.70866141732283472" right="0.70866141732283472" top="1.299212598425197" bottom="0.74803149606299213" header="0" footer="0"/>
  <pageSetup paperSize="9" scale="42" orientation="portrait" r:id="rId1"/>
  <colBreaks count="1" manualBreakCount="1">
    <brk id="12" max="127"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pageSetUpPr fitToPage="1"/>
  </sheetPr>
  <dimension ref="B1:N1000"/>
  <sheetViews>
    <sheetView topLeftCell="A11" zoomScale="55" zoomScaleNormal="55" workbookViewId="0">
      <selection activeCell="F95" sqref="F95"/>
    </sheetView>
  </sheetViews>
  <sheetFormatPr baseColWidth="10" defaultColWidth="14.42578125" defaultRowHeight="15" customHeight="1"/>
  <cols>
    <col min="1" max="1" width="5.140625" customWidth="1"/>
    <col min="2" max="3" width="12.5703125" customWidth="1"/>
    <col min="4" max="4" width="15.42578125" customWidth="1"/>
    <col min="5" max="5" width="30.28515625" customWidth="1"/>
    <col min="6" max="6" width="40.5703125" customWidth="1"/>
    <col min="7" max="7" width="78.42578125" customWidth="1"/>
    <col min="8" max="8" width="11.42578125" customWidth="1"/>
    <col min="9" max="9" width="18" customWidth="1"/>
    <col min="10" max="10" width="18.7109375" customWidth="1"/>
    <col min="11" max="11" width="18" customWidth="1"/>
    <col min="12" max="12" width="6.28515625" customWidth="1"/>
    <col min="13" max="13" width="12.85546875" customWidth="1"/>
    <col min="14" max="14" width="2.140625" customWidth="1"/>
    <col min="15" max="26" width="11.42578125" customWidth="1"/>
  </cols>
  <sheetData>
    <row r="1" spans="2:14">
      <c r="J1" s="365"/>
      <c r="K1" s="365"/>
      <c r="M1" s="366"/>
    </row>
    <row r="2" spans="2:14" ht="15" customHeight="1">
      <c r="B2" s="1120"/>
      <c r="C2" s="926"/>
      <c r="D2" s="926"/>
      <c r="E2" s="998" t="str">
        <f>+Datos!$C$9</f>
        <v>CONSEJO SUPERIOR  DE  JUDICATURA– DIRECCIÓN  EJECUTIVA  SECCIONAL  DE ADMINISTRACIÓN JUDICIAL DE BUCARAMANGA</v>
      </c>
      <c r="F2" s="926"/>
      <c r="G2" s="926"/>
      <c r="H2" s="927"/>
      <c r="I2" s="1067" t="s">
        <v>1</v>
      </c>
      <c r="J2" s="931"/>
      <c r="K2" s="1121">
        <f>Datos!F4</f>
        <v>0</v>
      </c>
      <c r="L2" s="1120"/>
      <c r="M2" s="926"/>
      <c r="N2" s="927"/>
    </row>
    <row r="3" spans="2:14" ht="37.5" customHeight="1">
      <c r="B3" s="920"/>
      <c r="C3" s="922"/>
      <c r="D3" s="922"/>
      <c r="E3" s="920"/>
      <c r="F3" s="922"/>
      <c r="G3" s="922"/>
      <c r="H3" s="924"/>
      <c r="I3" s="1003"/>
      <c r="J3" s="950"/>
      <c r="K3" s="1010"/>
      <c r="L3" s="920"/>
      <c r="M3" s="922"/>
      <c r="N3" s="924"/>
    </row>
    <row r="4" spans="2:14">
      <c r="B4" s="920"/>
      <c r="C4" s="922"/>
      <c r="D4" s="922"/>
      <c r="E4" s="1122"/>
      <c r="F4" s="922"/>
      <c r="G4" s="922"/>
      <c r="H4" s="924"/>
      <c r="I4" s="1001" t="s">
        <v>29</v>
      </c>
      <c r="J4" s="940"/>
      <c r="K4" s="973"/>
      <c r="L4" s="920"/>
      <c r="M4" s="922"/>
      <c r="N4" s="924"/>
    </row>
    <row r="5" spans="2:14" ht="24" customHeight="1">
      <c r="B5" s="920"/>
      <c r="C5" s="922"/>
      <c r="D5" s="922"/>
      <c r="E5" s="1002"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 s="922"/>
      <c r="G5" s="922"/>
      <c r="H5" s="924"/>
      <c r="I5" s="162">
        <v>1</v>
      </c>
      <c r="J5" s="367" t="s">
        <v>30</v>
      </c>
      <c r="K5" s="368">
        <v>1</v>
      </c>
      <c r="L5" s="920"/>
      <c r="M5" s="922"/>
      <c r="N5" s="924"/>
    </row>
    <row r="6" spans="2:14" ht="46.5" customHeight="1">
      <c r="B6" s="920"/>
      <c r="C6" s="922"/>
      <c r="D6" s="922"/>
      <c r="E6" s="920"/>
      <c r="F6" s="922"/>
      <c r="G6" s="922"/>
      <c r="H6" s="924"/>
      <c r="I6" s="1001" t="s">
        <v>2</v>
      </c>
      <c r="J6" s="940"/>
      <c r="K6" s="973"/>
      <c r="L6" s="920"/>
      <c r="M6" s="922"/>
      <c r="N6" s="924"/>
    </row>
    <row r="7" spans="2:14" ht="15.75" customHeight="1">
      <c r="B7" s="920"/>
      <c r="C7" s="922"/>
      <c r="D7" s="922"/>
      <c r="E7" s="1005" t="s">
        <v>963</v>
      </c>
      <c r="F7" s="945"/>
      <c r="G7" s="945"/>
      <c r="H7" s="1006"/>
      <c r="I7" s="162" t="s">
        <v>3</v>
      </c>
      <c r="J7" s="367" t="s">
        <v>4</v>
      </c>
      <c r="K7" s="368" t="s">
        <v>5</v>
      </c>
      <c r="L7" s="920"/>
      <c r="M7" s="922"/>
      <c r="N7" s="924"/>
    </row>
    <row r="8" spans="2:14" ht="15.75" customHeight="1">
      <c r="B8" s="929"/>
      <c r="C8" s="936"/>
      <c r="D8" s="936"/>
      <c r="E8" s="929"/>
      <c r="F8" s="936"/>
      <c r="G8" s="936"/>
      <c r="H8" s="938"/>
      <c r="I8" s="165">
        <f>+Datos!$C$7</f>
        <v>19</v>
      </c>
      <c r="J8" s="369">
        <f>+Datos!$D$7</f>
        <v>6</v>
      </c>
      <c r="K8" s="370">
        <f>+Datos!$E$7</f>
        <v>2026</v>
      </c>
      <c r="L8" s="929"/>
      <c r="M8" s="936"/>
      <c r="N8" s="938"/>
    </row>
    <row r="9" spans="2:14">
      <c r="B9" s="371"/>
      <c r="C9" s="371"/>
      <c r="D9" s="371"/>
      <c r="E9" s="371"/>
      <c r="F9" s="371"/>
      <c r="G9" s="286"/>
      <c r="H9" s="290"/>
      <c r="I9" s="286"/>
      <c r="J9" s="372"/>
      <c r="K9" s="372"/>
      <c r="L9" s="286"/>
      <c r="M9" s="286"/>
      <c r="N9" s="286"/>
    </row>
    <row r="10" spans="2:14">
      <c r="B10" s="371"/>
      <c r="C10" s="371"/>
      <c r="D10" s="373">
        <v>1</v>
      </c>
      <c r="E10" s="373">
        <v>2</v>
      </c>
      <c r="F10" s="373">
        <v>3</v>
      </c>
      <c r="G10" s="373">
        <v>4</v>
      </c>
      <c r="H10" s="373">
        <v>5</v>
      </c>
      <c r="I10" s="373">
        <v>6</v>
      </c>
      <c r="J10" s="374">
        <v>7</v>
      </c>
      <c r="K10" s="374">
        <v>8</v>
      </c>
    </row>
    <row r="11" spans="2:14" ht="45">
      <c r="B11" s="375" t="s">
        <v>964</v>
      </c>
      <c r="C11" s="376" t="s">
        <v>260</v>
      </c>
      <c r="D11" s="375" t="s">
        <v>965</v>
      </c>
      <c r="E11" s="376" t="s">
        <v>966</v>
      </c>
      <c r="F11" s="376" t="s">
        <v>967</v>
      </c>
      <c r="G11" s="375" t="s">
        <v>968</v>
      </c>
      <c r="H11" s="375" t="s">
        <v>264</v>
      </c>
      <c r="I11" s="376" t="s">
        <v>950</v>
      </c>
      <c r="J11" s="377" t="s">
        <v>969</v>
      </c>
      <c r="K11" s="377" t="s">
        <v>970</v>
      </c>
    </row>
    <row r="12" spans="2:14">
      <c r="B12" s="378" t="s">
        <v>971</v>
      </c>
      <c r="C12" s="379"/>
      <c r="D12" s="379"/>
      <c r="E12" s="380"/>
      <c r="F12" s="380"/>
      <c r="G12" s="784" t="s">
        <v>972</v>
      </c>
      <c r="H12" s="378"/>
      <c r="I12" s="382"/>
      <c r="J12" s="383"/>
      <c r="K12" s="383"/>
    </row>
    <row r="13" spans="2:14">
      <c r="B13" s="384" t="s">
        <v>971</v>
      </c>
      <c r="C13" s="385" t="s">
        <v>804</v>
      </c>
      <c r="D13" s="787" t="s">
        <v>975</v>
      </c>
      <c r="E13" s="386" t="s">
        <v>804</v>
      </c>
      <c r="F13" s="386" t="s">
        <v>804</v>
      </c>
      <c r="G13" s="387" t="s">
        <v>973</v>
      </c>
      <c r="H13" s="388"/>
      <c r="I13" s="386"/>
      <c r="J13" s="389"/>
      <c r="K13" s="389"/>
    </row>
    <row r="14" spans="2:14">
      <c r="B14" s="390" t="s">
        <v>974</v>
      </c>
      <c r="C14" s="391" t="s">
        <v>975</v>
      </c>
      <c r="D14" s="390" t="s">
        <v>976</v>
      </c>
      <c r="E14" s="391" t="s">
        <v>853</v>
      </c>
      <c r="F14" s="391" t="s">
        <v>973</v>
      </c>
      <c r="G14" s="392" t="s">
        <v>977</v>
      </c>
      <c r="H14" s="393" t="s">
        <v>978</v>
      </c>
      <c r="I14" s="227">
        <f>130</f>
        <v>130</v>
      </c>
      <c r="J14" s="394">
        <f>APU!N64</f>
        <v>6608</v>
      </c>
      <c r="K14" s="394">
        <f>APU!N74</f>
        <v>8656</v>
      </c>
    </row>
    <row r="15" spans="2:14">
      <c r="B15" s="390" t="s">
        <v>974</v>
      </c>
      <c r="C15" s="391" t="s">
        <v>979</v>
      </c>
      <c r="D15" s="390" t="s">
        <v>980</v>
      </c>
      <c r="E15" s="391" t="s">
        <v>853</v>
      </c>
      <c r="F15" s="391" t="s">
        <v>973</v>
      </c>
      <c r="G15" s="392" t="s">
        <v>981</v>
      </c>
      <c r="H15" s="393" t="s">
        <v>978</v>
      </c>
      <c r="I15" s="227">
        <f>60</f>
        <v>60</v>
      </c>
      <c r="J15" s="394">
        <f>APU!N150</f>
        <v>10496</v>
      </c>
      <c r="K15" s="394">
        <f>APU!N160</f>
        <v>13750</v>
      </c>
    </row>
    <row r="16" spans="2:14" ht="42.75">
      <c r="B16" s="390" t="s">
        <v>974</v>
      </c>
      <c r="C16" s="391" t="s">
        <v>982</v>
      </c>
      <c r="D16" s="390" t="s">
        <v>983</v>
      </c>
      <c r="E16" s="391" t="s">
        <v>853</v>
      </c>
      <c r="F16" s="391" t="s">
        <v>973</v>
      </c>
      <c r="G16" s="392" t="s">
        <v>984</v>
      </c>
      <c r="H16" s="393" t="s">
        <v>985</v>
      </c>
      <c r="I16" s="227">
        <f>39.5</f>
        <v>39.5</v>
      </c>
      <c r="J16" s="394">
        <v>79834</v>
      </c>
      <c r="K16" s="394">
        <f t="shared" ref="K16" si="0">ROUND(J16*1.31,0)</f>
        <v>104583</v>
      </c>
    </row>
    <row r="17" spans="2:11">
      <c r="B17" s="384" t="s">
        <v>986</v>
      </c>
      <c r="C17" s="385" t="s">
        <v>804</v>
      </c>
      <c r="D17" s="787" t="s">
        <v>979</v>
      </c>
      <c r="E17" s="386" t="s">
        <v>804</v>
      </c>
      <c r="F17" s="386" t="s">
        <v>804</v>
      </c>
      <c r="G17" s="387" t="s">
        <v>987</v>
      </c>
      <c r="H17" s="388"/>
      <c r="I17" s="386"/>
      <c r="J17" s="389"/>
      <c r="K17" s="389"/>
    </row>
    <row r="18" spans="2:11" ht="28.5">
      <c r="B18" s="390" t="s">
        <v>974</v>
      </c>
      <c r="C18" s="391" t="s">
        <v>988</v>
      </c>
      <c r="D18" s="390" t="s">
        <v>989</v>
      </c>
      <c r="E18" s="391" t="s">
        <v>853</v>
      </c>
      <c r="F18" s="391" t="s">
        <v>987</v>
      </c>
      <c r="G18" s="392" t="s">
        <v>990</v>
      </c>
      <c r="H18" s="393" t="s">
        <v>978</v>
      </c>
      <c r="I18" s="227">
        <f>4.51</f>
        <v>4.51</v>
      </c>
      <c r="J18" s="394">
        <f>APU!N320</f>
        <v>60382</v>
      </c>
      <c r="K18" s="394">
        <f>APU!N330</f>
        <v>79100</v>
      </c>
    </row>
    <row r="19" spans="2:11" ht="28.5">
      <c r="B19" s="390" t="s">
        <v>974</v>
      </c>
      <c r="C19" s="391" t="s">
        <v>991</v>
      </c>
      <c r="D19" s="390" t="s">
        <v>992</v>
      </c>
      <c r="E19" s="391" t="s">
        <v>853</v>
      </c>
      <c r="F19" s="391" t="s">
        <v>987</v>
      </c>
      <c r="G19" s="392" t="s">
        <v>993</v>
      </c>
      <c r="H19" s="393" t="s">
        <v>978</v>
      </c>
      <c r="I19" s="227">
        <f>161.35</f>
        <v>161.35</v>
      </c>
      <c r="J19" s="394">
        <f>APU!N405</f>
        <v>36403</v>
      </c>
      <c r="K19" s="394">
        <f>APU!N415</f>
        <v>47688</v>
      </c>
    </row>
    <row r="20" spans="2:11" ht="28.5">
      <c r="B20" s="390" t="s">
        <v>974</v>
      </c>
      <c r="C20" s="391" t="s">
        <v>994</v>
      </c>
      <c r="D20" s="390" t="s">
        <v>995</v>
      </c>
      <c r="E20" s="391" t="s">
        <v>853</v>
      </c>
      <c r="F20" s="391" t="s">
        <v>987</v>
      </c>
      <c r="G20" s="392" t="s">
        <v>996</v>
      </c>
      <c r="H20" s="393" t="s">
        <v>978</v>
      </c>
      <c r="I20" s="227">
        <f>8.5</f>
        <v>8.5</v>
      </c>
      <c r="J20" s="394">
        <f>APU!N490</f>
        <v>33746</v>
      </c>
      <c r="K20" s="394">
        <f t="shared" ref="K20:K24" si="1">ROUND(J20*1.31,0)</f>
        <v>44207</v>
      </c>
    </row>
    <row r="21" spans="2:11" ht="28.5">
      <c r="B21" s="390" t="s">
        <v>974</v>
      </c>
      <c r="C21" s="391" t="s">
        <v>997</v>
      </c>
      <c r="D21" s="390" t="s">
        <v>998</v>
      </c>
      <c r="E21" s="391" t="s">
        <v>853</v>
      </c>
      <c r="F21" s="391" t="s">
        <v>987</v>
      </c>
      <c r="G21" s="392" t="s">
        <v>999</v>
      </c>
      <c r="H21" s="393" t="s">
        <v>985</v>
      </c>
      <c r="I21" s="227">
        <f>11.66</f>
        <v>11.66</v>
      </c>
      <c r="J21" s="394">
        <f>APU!N575</f>
        <v>44582</v>
      </c>
      <c r="K21" s="394">
        <f t="shared" si="1"/>
        <v>58402</v>
      </c>
    </row>
    <row r="22" spans="2:11" ht="28.5">
      <c r="B22" s="390" t="s">
        <v>974</v>
      </c>
      <c r="C22" s="391" t="s">
        <v>1000</v>
      </c>
      <c r="D22" s="390" t="s">
        <v>1001</v>
      </c>
      <c r="E22" s="391" t="s">
        <v>853</v>
      </c>
      <c r="F22" s="391" t="s">
        <v>987</v>
      </c>
      <c r="G22" s="392" t="s">
        <v>1002</v>
      </c>
      <c r="H22" s="393" t="s">
        <v>985</v>
      </c>
      <c r="I22" s="227">
        <f>247.9</f>
        <v>247.9</v>
      </c>
      <c r="J22" s="394">
        <f>APU!N660</f>
        <v>19524</v>
      </c>
      <c r="K22" s="394">
        <f t="shared" si="1"/>
        <v>25576</v>
      </c>
    </row>
    <row r="23" spans="2:11" ht="28.5">
      <c r="B23" s="390" t="s">
        <v>974</v>
      </c>
      <c r="C23" s="391" t="s">
        <v>1003</v>
      </c>
      <c r="D23" s="390" t="s">
        <v>1004</v>
      </c>
      <c r="E23" s="391" t="s">
        <v>853</v>
      </c>
      <c r="F23" s="391" t="s">
        <v>987</v>
      </c>
      <c r="G23" s="392" t="s">
        <v>1005</v>
      </c>
      <c r="H23" s="393" t="s">
        <v>978</v>
      </c>
      <c r="I23" s="227">
        <f>5.46</f>
        <v>5.46</v>
      </c>
      <c r="J23" s="394">
        <f>APU!N745</f>
        <v>14540</v>
      </c>
      <c r="K23" s="394">
        <f t="shared" si="1"/>
        <v>19047</v>
      </c>
    </row>
    <row r="24" spans="2:11" ht="28.5">
      <c r="B24" s="390" t="s">
        <v>974</v>
      </c>
      <c r="C24" s="391" t="s">
        <v>1006</v>
      </c>
      <c r="D24" s="390" t="s">
        <v>1007</v>
      </c>
      <c r="E24" s="391" t="s">
        <v>853</v>
      </c>
      <c r="F24" s="391" t="s">
        <v>987</v>
      </c>
      <c r="G24" s="392" t="s">
        <v>1008</v>
      </c>
      <c r="H24" s="393" t="s">
        <v>978</v>
      </c>
      <c r="I24" s="227">
        <f>3</f>
        <v>3</v>
      </c>
      <c r="J24" s="394">
        <f>APU!N830</f>
        <v>24269</v>
      </c>
      <c r="K24" s="394">
        <f t="shared" si="1"/>
        <v>31792</v>
      </c>
    </row>
    <row r="25" spans="2:11">
      <c r="B25" s="384" t="s">
        <v>971</v>
      </c>
      <c r="C25" s="385" t="s">
        <v>804</v>
      </c>
      <c r="D25" s="787" t="s">
        <v>982</v>
      </c>
      <c r="E25" s="386" t="s">
        <v>804</v>
      </c>
      <c r="F25" s="386" t="s">
        <v>804</v>
      </c>
      <c r="G25" s="387" t="s">
        <v>1009</v>
      </c>
      <c r="H25" s="388"/>
      <c r="I25" s="386"/>
      <c r="J25" s="389"/>
      <c r="K25" s="389"/>
    </row>
    <row r="26" spans="2:11">
      <c r="B26" s="390" t="s">
        <v>974</v>
      </c>
      <c r="C26" s="391" t="s">
        <v>1010</v>
      </c>
      <c r="D26" s="390" t="s">
        <v>1011</v>
      </c>
      <c r="E26" s="391" t="s">
        <v>853</v>
      </c>
      <c r="F26" s="391" t="s">
        <v>1009</v>
      </c>
      <c r="G26" s="392" t="s">
        <v>1012</v>
      </c>
      <c r="H26" s="393" t="s">
        <v>777</v>
      </c>
      <c r="I26" s="227">
        <f>10.85</f>
        <v>10.85</v>
      </c>
      <c r="J26" s="394">
        <f>APU!N915</f>
        <v>72806</v>
      </c>
      <c r="K26" s="394">
        <f>ROUND(J26*1.31,0)</f>
        <v>95376</v>
      </c>
    </row>
    <row r="27" spans="2:11">
      <c r="B27" s="384" t="s">
        <v>971</v>
      </c>
      <c r="C27" s="385" t="s">
        <v>804</v>
      </c>
      <c r="D27" s="787" t="s">
        <v>988</v>
      </c>
      <c r="E27" s="386" t="s">
        <v>804</v>
      </c>
      <c r="F27" s="386" t="s">
        <v>804</v>
      </c>
      <c r="G27" s="387" t="s">
        <v>1013</v>
      </c>
      <c r="H27" s="388"/>
      <c r="I27" s="386"/>
      <c r="J27" s="389"/>
      <c r="K27" s="389"/>
    </row>
    <row r="28" spans="2:11" ht="28.5">
      <c r="B28" s="390" t="s">
        <v>974</v>
      </c>
      <c r="C28" s="391" t="s">
        <v>1014</v>
      </c>
      <c r="D28" s="390" t="s">
        <v>1015</v>
      </c>
      <c r="E28" s="391" t="s">
        <v>853</v>
      </c>
      <c r="F28" s="391" t="s">
        <v>1013</v>
      </c>
      <c r="G28" s="392" t="s">
        <v>1016</v>
      </c>
      <c r="H28" s="393" t="s">
        <v>978</v>
      </c>
      <c r="I28" s="227">
        <f>6.41</f>
        <v>6.41</v>
      </c>
      <c r="J28" s="394">
        <f>APU!N1000</f>
        <v>115410</v>
      </c>
      <c r="K28" s="394">
        <f t="shared" ref="K28:K29" si="2">ROUND(J28*1.31,0)</f>
        <v>151187</v>
      </c>
    </row>
    <row r="29" spans="2:11" ht="42.75">
      <c r="B29" s="390" t="s">
        <v>974</v>
      </c>
      <c r="C29" s="391" t="s">
        <v>1017</v>
      </c>
      <c r="D29" s="390" t="s">
        <v>1018</v>
      </c>
      <c r="E29" s="391" t="s">
        <v>853</v>
      </c>
      <c r="F29" s="391" t="s">
        <v>1013</v>
      </c>
      <c r="G29" s="392" t="s">
        <v>1019</v>
      </c>
      <c r="H29" s="393" t="s">
        <v>978</v>
      </c>
      <c r="I29" s="227">
        <f>152.78</f>
        <v>152.78</v>
      </c>
      <c r="J29" s="394">
        <f>APU!N1085</f>
        <v>72197</v>
      </c>
      <c r="K29" s="394">
        <f t="shared" si="2"/>
        <v>94578</v>
      </c>
    </row>
    <row r="30" spans="2:11">
      <c r="B30" s="384" t="s">
        <v>971</v>
      </c>
      <c r="C30" s="385" t="s">
        <v>804</v>
      </c>
      <c r="D30" s="787" t="s">
        <v>991</v>
      </c>
      <c r="E30" s="386" t="s">
        <v>804</v>
      </c>
      <c r="F30" s="386" t="s">
        <v>804</v>
      </c>
      <c r="G30" s="387" t="s">
        <v>1020</v>
      </c>
      <c r="H30" s="388"/>
      <c r="I30" s="386"/>
      <c r="J30" s="389"/>
      <c r="K30" s="389"/>
    </row>
    <row r="31" spans="2:11">
      <c r="B31" s="390" t="s">
        <v>974</v>
      </c>
      <c r="C31" s="391" t="s">
        <v>1021</v>
      </c>
      <c r="D31" s="390" t="s">
        <v>1022</v>
      </c>
      <c r="E31" s="391" t="s">
        <v>853</v>
      </c>
      <c r="F31" s="391" t="s">
        <v>1020</v>
      </c>
      <c r="G31" s="392" t="s">
        <v>1023</v>
      </c>
      <c r="H31" s="393" t="s">
        <v>777</v>
      </c>
      <c r="I31" s="227">
        <f>12.52</f>
        <v>12.52</v>
      </c>
      <c r="J31" s="394">
        <f>APU!N1170</f>
        <v>150054</v>
      </c>
      <c r="K31" s="394">
        <f>ROUND(J31*1.31,0)</f>
        <v>196571</v>
      </c>
    </row>
    <row r="32" spans="2:11">
      <c r="B32" s="384" t="s">
        <v>971</v>
      </c>
      <c r="C32" s="385" t="s">
        <v>804</v>
      </c>
      <c r="D32" s="787" t="s">
        <v>994</v>
      </c>
      <c r="E32" s="386" t="s">
        <v>804</v>
      </c>
      <c r="F32" s="386" t="s">
        <v>804</v>
      </c>
      <c r="G32" s="387" t="s">
        <v>1024</v>
      </c>
      <c r="H32" s="388"/>
      <c r="I32" s="386"/>
      <c r="J32" s="389"/>
      <c r="K32" s="389"/>
    </row>
    <row r="33" spans="2:11" ht="42.75">
      <c r="B33" s="390" t="s">
        <v>974</v>
      </c>
      <c r="C33" s="391" t="s">
        <v>1025</v>
      </c>
      <c r="D33" s="390" t="s">
        <v>1026</v>
      </c>
      <c r="E33" s="391" t="s">
        <v>853</v>
      </c>
      <c r="F33" s="391" t="s">
        <v>1024</v>
      </c>
      <c r="G33" s="392" t="s">
        <v>1027</v>
      </c>
      <c r="H33" s="393" t="s">
        <v>985</v>
      </c>
      <c r="I33" s="227">
        <f>247.9</f>
        <v>247.9</v>
      </c>
      <c r="J33" s="394">
        <f>APU!N1255</f>
        <v>150635</v>
      </c>
      <c r="K33" s="394">
        <f t="shared" ref="K33:K36" si="3">ROUND(J33*1.31,0)</f>
        <v>197332</v>
      </c>
    </row>
    <row r="34" spans="2:11" ht="42.75">
      <c r="B34" s="390" t="s">
        <v>974</v>
      </c>
      <c r="C34" s="391" t="s">
        <v>1028</v>
      </c>
      <c r="D34" s="390" t="s">
        <v>1029</v>
      </c>
      <c r="E34" s="391" t="s">
        <v>853</v>
      </c>
      <c r="F34" s="391" t="s">
        <v>1024</v>
      </c>
      <c r="G34" s="392" t="s">
        <v>1030</v>
      </c>
      <c r="H34" s="393" t="s">
        <v>978</v>
      </c>
      <c r="I34" s="227">
        <f>155</f>
        <v>155</v>
      </c>
      <c r="J34" s="394">
        <f>APU!N1340</f>
        <v>62695</v>
      </c>
      <c r="K34" s="394">
        <f t="shared" si="3"/>
        <v>82130</v>
      </c>
    </row>
    <row r="35" spans="2:11">
      <c r="B35" s="390" t="s">
        <v>974</v>
      </c>
      <c r="C35" s="391" t="s">
        <v>1031</v>
      </c>
      <c r="D35" s="390" t="s">
        <v>1032</v>
      </c>
      <c r="E35" s="391" t="s">
        <v>853</v>
      </c>
      <c r="F35" s="391" t="s">
        <v>1024</v>
      </c>
      <c r="G35" s="392" t="s">
        <v>1033</v>
      </c>
      <c r="H35" s="393" t="s">
        <v>1034</v>
      </c>
      <c r="I35" s="227">
        <f>22</f>
        <v>22</v>
      </c>
      <c r="J35" s="394">
        <f>APU!N1425</f>
        <v>130795</v>
      </c>
      <c r="K35" s="394">
        <f t="shared" si="3"/>
        <v>171341</v>
      </c>
    </row>
    <row r="36" spans="2:11" ht="28.5">
      <c r="B36" s="390" t="s">
        <v>974</v>
      </c>
      <c r="C36" s="391" t="s">
        <v>1035</v>
      </c>
      <c r="D36" s="390" t="s">
        <v>1036</v>
      </c>
      <c r="E36" s="391" t="s">
        <v>853</v>
      </c>
      <c r="F36" s="391" t="s">
        <v>1024</v>
      </c>
      <c r="G36" s="392" t="s">
        <v>1037</v>
      </c>
      <c r="H36" s="393" t="s">
        <v>1034</v>
      </c>
      <c r="I36" s="227">
        <f>6</f>
        <v>6</v>
      </c>
      <c r="J36" s="394">
        <f>APU!N1510</f>
        <v>136558</v>
      </c>
      <c r="K36" s="394">
        <f t="shared" si="3"/>
        <v>178891</v>
      </c>
    </row>
    <row r="37" spans="2:11">
      <c r="B37" s="384" t="s">
        <v>971</v>
      </c>
      <c r="C37" s="385" t="s">
        <v>804</v>
      </c>
      <c r="D37" s="384" t="s">
        <v>997</v>
      </c>
      <c r="E37" s="386" t="s">
        <v>804</v>
      </c>
      <c r="F37" s="386" t="s">
        <v>804</v>
      </c>
      <c r="G37" s="387" t="s">
        <v>1038</v>
      </c>
      <c r="H37" s="388"/>
      <c r="I37" s="386"/>
      <c r="J37" s="389"/>
      <c r="K37" s="389"/>
    </row>
    <row r="38" spans="2:11" ht="42.75">
      <c r="B38" s="390" t="s">
        <v>974</v>
      </c>
      <c r="C38" s="391" t="s">
        <v>1039</v>
      </c>
      <c r="D38" s="390" t="s">
        <v>1040</v>
      </c>
      <c r="E38" s="391" t="s">
        <v>853</v>
      </c>
      <c r="F38" s="391" t="s">
        <v>1038</v>
      </c>
      <c r="G38" s="392" t="s">
        <v>1041</v>
      </c>
      <c r="H38" s="393" t="s">
        <v>978</v>
      </c>
      <c r="I38" s="227">
        <f>9.33</f>
        <v>9.33</v>
      </c>
      <c r="J38" s="394">
        <f>APU!N1595</f>
        <v>392555</v>
      </c>
      <c r="K38" s="394">
        <f t="shared" ref="K38:K39" si="4">ROUND(J38*1.31,0)</f>
        <v>514247</v>
      </c>
    </row>
    <row r="39" spans="2:11" ht="28.5">
      <c r="B39" s="390" t="s">
        <v>974</v>
      </c>
      <c r="C39" s="391" t="s">
        <v>1042</v>
      </c>
      <c r="D39" s="390" t="s">
        <v>1043</v>
      </c>
      <c r="E39" s="391" t="s">
        <v>853</v>
      </c>
      <c r="F39" s="391" t="s">
        <v>1038</v>
      </c>
      <c r="G39" s="392" t="s">
        <v>1044</v>
      </c>
      <c r="H39" s="393" t="s">
        <v>1045</v>
      </c>
      <c r="I39" s="227">
        <f>7.21</f>
        <v>7.21</v>
      </c>
      <c r="J39" s="394">
        <f>APU!N1680</f>
        <v>63833</v>
      </c>
      <c r="K39" s="394">
        <f t="shared" si="4"/>
        <v>83621</v>
      </c>
    </row>
    <row r="40" spans="2:11">
      <c r="B40" s="384" t="s">
        <v>971</v>
      </c>
      <c r="C40" s="385" t="s">
        <v>804</v>
      </c>
      <c r="D40" s="384" t="s">
        <v>1000</v>
      </c>
      <c r="E40" s="386" t="s">
        <v>804</v>
      </c>
      <c r="F40" s="386" t="s">
        <v>804</v>
      </c>
      <c r="G40" s="387" t="s">
        <v>1046</v>
      </c>
      <c r="H40" s="388"/>
      <c r="I40" s="386"/>
      <c r="J40" s="389"/>
      <c r="K40" s="389"/>
    </row>
    <row r="41" spans="2:11" ht="28.5">
      <c r="B41" s="390" t="s">
        <v>974</v>
      </c>
      <c r="C41" s="391" t="s">
        <v>1047</v>
      </c>
      <c r="D41" s="390" t="s">
        <v>1048</v>
      </c>
      <c r="E41" s="391" t="s">
        <v>853</v>
      </c>
      <c r="F41" s="391" t="s">
        <v>1046</v>
      </c>
      <c r="G41" s="392" t="s">
        <v>1049</v>
      </c>
      <c r="H41" s="393" t="s">
        <v>978</v>
      </c>
      <c r="I41" s="227">
        <f t="shared" ref="I41:I42" si="5">161.35</f>
        <v>161.35</v>
      </c>
      <c r="J41" s="394">
        <f>APU!N1765</f>
        <v>46992</v>
      </c>
      <c r="K41" s="394">
        <f t="shared" ref="K41:K42" si="6">ROUND(J41*1.31,0)</f>
        <v>61560</v>
      </c>
    </row>
    <row r="42" spans="2:11" ht="28.5">
      <c r="B42" s="390" t="s">
        <v>974</v>
      </c>
      <c r="C42" s="391" t="s">
        <v>1050</v>
      </c>
      <c r="D42" s="390" t="s">
        <v>1051</v>
      </c>
      <c r="E42" s="391" t="s">
        <v>853</v>
      </c>
      <c r="F42" s="391" t="s">
        <v>1046</v>
      </c>
      <c r="G42" s="392" t="s">
        <v>1052</v>
      </c>
      <c r="H42" s="393" t="s">
        <v>978</v>
      </c>
      <c r="I42" s="227">
        <f t="shared" si="5"/>
        <v>161.35</v>
      </c>
      <c r="J42" s="394">
        <f>APU!N1850</f>
        <v>102192</v>
      </c>
      <c r="K42" s="394">
        <f t="shared" si="6"/>
        <v>133872</v>
      </c>
    </row>
    <row r="43" spans="2:11">
      <c r="B43" s="384" t="s">
        <v>971</v>
      </c>
      <c r="C43" s="385" t="s">
        <v>804</v>
      </c>
      <c r="D43" s="384" t="s">
        <v>1003</v>
      </c>
      <c r="E43" s="386" t="s">
        <v>804</v>
      </c>
      <c r="F43" s="386" t="s">
        <v>804</v>
      </c>
      <c r="G43" s="387" t="s">
        <v>1053</v>
      </c>
      <c r="H43" s="388"/>
      <c r="I43" s="386"/>
      <c r="J43" s="389"/>
      <c r="K43" s="389"/>
    </row>
    <row r="44" spans="2:11" ht="28.5">
      <c r="B44" s="390" t="s">
        <v>974</v>
      </c>
      <c r="C44" s="391" t="s">
        <v>1054</v>
      </c>
      <c r="D44" s="390" t="s">
        <v>1055</v>
      </c>
      <c r="E44" s="391" t="s">
        <v>853</v>
      </c>
      <c r="F44" s="391" t="s">
        <v>1053</v>
      </c>
      <c r="G44" s="392" t="s">
        <v>1056</v>
      </c>
      <c r="H44" s="393" t="s">
        <v>978</v>
      </c>
      <c r="I44" s="227">
        <f>13.42</f>
        <v>13.42</v>
      </c>
      <c r="J44" s="394">
        <f>APU!N1935</f>
        <v>229042</v>
      </c>
      <c r="K44" s="394">
        <f>ROUND(J44*1.31,0)</f>
        <v>300045</v>
      </c>
    </row>
    <row r="45" spans="2:11">
      <c r="B45" s="384" t="s">
        <v>971</v>
      </c>
      <c r="C45" s="385" t="s">
        <v>804</v>
      </c>
      <c r="D45" s="384" t="s">
        <v>1006</v>
      </c>
      <c r="E45" s="386" t="s">
        <v>804</v>
      </c>
      <c r="F45" s="386" t="s">
        <v>804</v>
      </c>
      <c r="G45" s="387" t="s">
        <v>1057</v>
      </c>
      <c r="H45" s="388"/>
      <c r="I45" s="386"/>
      <c r="J45" s="389"/>
      <c r="K45" s="389"/>
    </row>
    <row r="46" spans="2:11" ht="28.5">
      <c r="B46" s="390" t="s">
        <v>974</v>
      </c>
      <c r="C46" s="391" t="s">
        <v>1058</v>
      </c>
      <c r="D46" s="390" t="s">
        <v>1059</v>
      </c>
      <c r="E46" s="391" t="s">
        <v>853</v>
      </c>
      <c r="F46" s="391" t="s">
        <v>1057</v>
      </c>
      <c r="G46" s="392" t="s">
        <v>1060</v>
      </c>
      <c r="H46" s="393" t="s">
        <v>1034</v>
      </c>
      <c r="I46" s="227">
        <f>1</f>
        <v>1</v>
      </c>
      <c r="J46" s="394">
        <f>APU!N2020</f>
        <v>1240945</v>
      </c>
      <c r="K46" s="394">
        <f t="shared" ref="K46:K49" si="7">ROUND(J46*1.31,0)</f>
        <v>1625638</v>
      </c>
    </row>
    <row r="47" spans="2:11">
      <c r="B47" s="390" t="s">
        <v>974</v>
      </c>
      <c r="C47" s="391" t="s">
        <v>1061</v>
      </c>
      <c r="D47" s="390" t="s">
        <v>1062</v>
      </c>
      <c r="E47" s="391" t="s">
        <v>853</v>
      </c>
      <c r="F47" s="391" t="s">
        <v>1057</v>
      </c>
      <c r="G47" s="392" t="s">
        <v>1063</v>
      </c>
      <c r="H47" s="393" t="s">
        <v>985</v>
      </c>
      <c r="I47" s="227">
        <f>6.54</f>
        <v>6.54</v>
      </c>
      <c r="J47" s="394">
        <f>APU!N2103</f>
        <v>60296</v>
      </c>
      <c r="K47" s="394">
        <f t="shared" si="7"/>
        <v>78988</v>
      </c>
    </row>
    <row r="48" spans="2:11" ht="28.5">
      <c r="B48" s="390" t="s">
        <v>974</v>
      </c>
      <c r="C48" s="391" t="s">
        <v>1064</v>
      </c>
      <c r="D48" s="390" t="s">
        <v>1065</v>
      </c>
      <c r="E48" s="391" t="s">
        <v>853</v>
      </c>
      <c r="F48" s="391" t="s">
        <v>1057</v>
      </c>
      <c r="G48" s="392" t="s">
        <v>1066</v>
      </c>
      <c r="H48" s="393" t="s">
        <v>985</v>
      </c>
      <c r="I48" s="227">
        <f>12.7</f>
        <v>12.7</v>
      </c>
      <c r="J48" s="394">
        <f>APU!N2187</f>
        <v>134117</v>
      </c>
      <c r="K48" s="394">
        <f t="shared" si="7"/>
        <v>175693</v>
      </c>
    </row>
    <row r="49" spans="2:11" ht="28.5">
      <c r="B49" s="390" t="s">
        <v>974</v>
      </c>
      <c r="C49" s="391" t="s">
        <v>1067</v>
      </c>
      <c r="D49" s="390" t="s">
        <v>1068</v>
      </c>
      <c r="E49" s="391" t="s">
        <v>853</v>
      </c>
      <c r="F49" s="391" t="s">
        <v>1057</v>
      </c>
      <c r="G49" s="392" t="s">
        <v>1069</v>
      </c>
      <c r="H49" s="393" t="s">
        <v>985</v>
      </c>
      <c r="I49" s="227">
        <f>10.57</f>
        <v>10.57</v>
      </c>
      <c r="J49" s="394">
        <f>APU!N2276</f>
        <v>99487</v>
      </c>
      <c r="K49" s="394">
        <f t="shared" si="7"/>
        <v>130328</v>
      </c>
    </row>
    <row r="50" spans="2:11">
      <c r="B50" s="384" t="s">
        <v>971</v>
      </c>
      <c r="C50" s="385" t="s">
        <v>804</v>
      </c>
      <c r="D50" s="384" t="s">
        <v>1010</v>
      </c>
      <c r="E50" s="386" t="s">
        <v>804</v>
      </c>
      <c r="F50" s="386" t="s">
        <v>804</v>
      </c>
      <c r="G50" s="387" t="s">
        <v>1070</v>
      </c>
      <c r="H50" s="388"/>
      <c r="I50" s="386"/>
      <c r="J50" s="389"/>
      <c r="K50" s="389"/>
    </row>
    <row r="51" spans="2:11" ht="28.5">
      <c r="B51" s="390" t="s">
        <v>974</v>
      </c>
      <c r="C51" s="391" t="s">
        <v>1071</v>
      </c>
      <c r="D51" s="390" t="s">
        <v>1072</v>
      </c>
      <c r="E51" s="391" t="s">
        <v>853</v>
      </c>
      <c r="F51" s="391" t="s">
        <v>1070</v>
      </c>
      <c r="G51" s="392" t="s">
        <v>1073</v>
      </c>
      <c r="H51" s="393" t="s">
        <v>978</v>
      </c>
      <c r="I51" s="227">
        <f>148.94</f>
        <v>148.94</v>
      </c>
      <c r="J51" s="394">
        <f>APU!N2360</f>
        <v>46731</v>
      </c>
      <c r="K51" s="394">
        <f t="shared" ref="K51:K58" si="8">ROUND(J51*1.31,0)</f>
        <v>61218</v>
      </c>
    </row>
    <row r="52" spans="2:11" ht="28.5">
      <c r="B52" s="390" t="s">
        <v>974</v>
      </c>
      <c r="C52" s="391" t="s">
        <v>1074</v>
      </c>
      <c r="D52" s="390" t="s">
        <v>1075</v>
      </c>
      <c r="E52" s="391" t="s">
        <v>853</v>
      </c>
      <c r="F52" s="391" t="s">
        <v>1070</v>
      </c>
      <c r="G52" s="392" t="s">
        <v>1076</v>
      </c>
      <c r="H52" s="393" t="s">
        <v>978</v>
      </c>
      <c r="I52" s="227">
        <f>11.09</f>
        <v>11.09</v>
      </c>
      <c r="J52" s="394">
        <f>APU!N2444</f>
        <v>31456</v>
      </c>
      <c r="K52" s="394">
        <f t="shared" si="8"/>
        <v>41207</v>
      </c>
    </row>
    <row r="53" spans="2:11">
      <c r="B53" s="390" t="s">
        <v>974</v>
      </c>
      <c r="C53" s="391" t="s">
        <v>1077</v>
      </c>
      <c r="D53" s="390" t="s">
        <v>1078</v>
      </c>
      <c r="E53" s="391" t="s">
        <v>853</v>
      </c>
      <c r="F53" s="391" t="s">
        <v>1070</v>
      </c>
      <c r="G53" s="392" t="s">
        <v>1079</v>
      </c>
      <c r="H53" s="393" t="s">
        <v>978</v>
      </c>
      <c r="I53" s="227">
        <f>5.2</f>
        <v>5.2</v>
      </c>
      <c r="J53" s="394">
        <f>APU!N2528</f>
        <v>96886</v>
      </c>
      <c r="K53" s="394">
        <f t="shared" si="8"/>
        <v>126921</v>
      </c>
    </row>
    <row r="54" spans="2:11" ht="28.5">
      <c r="B54" s="390" t="s">
        <v>974</v>
      </c>
      <c r="C54" s="391" t="s">
        <v>1080</v>
      </c>
      <c r="D54" s="390" t="s">
        <v>1081</v>
      </c>
      <c r="E54" s="391" t="s">
        <v>853</v>
      </c>
      <c r="F54" s="391" t="s">
        <v>1070</v>
      </c>
      <c r="G54" s="392" t="s">
        <v>1082</v>
      </c>
      <c r="H54" s="393" t="s">
        <v>978</v>
      </c>
      <c r="I54" s="227">
        <f>9.66</f>
        <v>9.66</v>
      </c>
      <c r="J54" s="394">
        <f>APU!N2615</f>
        <v>44971</v>
      </c>
      <c r="K54" s="394">
        <f t="shared" si="8"/>
        <v>58912</v>
      </c>
    </row>
    <row r="55" spans="2:11">
      <c r="B55" s="390" t="s">
        <v>974</v>
      </c>
      <c r="C55" s="391" t="s">
        <v>1083</v>
      </c>
      <c r="D55" s="390" t="s">
        <v>1084</v>
      </c>
      <c r="E55" s="391" t="s">
        <v>853</v>
      </c>
      <c r="F55" s="391" t="s">
        <v>1070</v>
      </c>
      <c r="G55" s="392" t="s">
        <v>1085</v>
      </c>
      <c r="H55" s="393" t="s">
        <v>978</v>
      </c>
      <c r="I55" s="227">
        <f>157.57</f>
        <v>157.57</v>
      </c>
      <c r="J55" s="394">
        <f>APU!N2700</f>
        <v>20119</v>
      </c>
      <c r="K55" s="394">
        <f t="shared" si="8"/>
        <v>26356</v>
      </c>
    </row>
    <row r="56" spans="2:11">
      <c r="B56" s="390" t="s">
        <v>974</v>
      </c>
      <c r="C56" s="391" t="s">
        <v>1086</v>
      </c>
      <c r="D56" s="390" t="s">
        <v>1087</v>
      </c>
      <c r="E56" s="391" t="s">
        <v>853</v>
      </c>
      <c r="F56" s="391" t="s">
        <v>1070</v>
      </c>
      <c r="G56" s="392" t="s">
        <v>1088</v>
      </c>
      <c r="H56" s="393" t="s">
        <v>978</v>
      </c>
      <c r="I56" s="227">
        <f>9.86</f>
        <v>9.86</v>
      </c>
      <c r="J56" s="394">
        <f>APU!N2784</f>
        <v>22284</v>
      </c>
      <c r="K56" s="394">
        <f t="shared" si="8"/>
        <v>29192</v>
      </c>
    </row>
    <row r="57" spans="2:11">
      <c r="B57" s="390" t="s">
        <v>974</v>
      </c>
      <c r="C57" s="391" t="s">
        <v>1089</v>
      </c>
      <c r="D57" s="390" t="s">
        <v>1090</v>
      </c>
      <c r="E57" s="391" t="s">
        <v>853</v>
      </c>
      <c r="F57" s="391" t="s">
        <v>1070</v>
      </c>
      <c r="G57" s="392" t="s">
        <v>1091</v>
      </c>
      <c r="H57" s="393" t="s">
        <v>978</v>
      </c>
      <c r="I57" s="227">
        <f>5.19</f>
        <v>5.19</v>
      </c>
      <c r="J57" s="394">
        <f>APU!N2868</f>
        <v>30272</v>
      </c>
      <c r="K57" s="394">
        <f t="shared" si="8"/>
        <v>39656</v>
      </c>
    </row>
    <row r="58" spans="2:11">
      <c r="B58" s="390" t="s">
        <v>974</v>
      </c>
      <c r="C58" s="391" t="s">
        <v>1092</v>
      </c>
      <c r="D58" s="390" t="s">
        <v>1093</v>
      </c>
      <c r="E58" s="391" t="s">
        <v>853</v>
      </c>
      <c r="F58" s="391" t="s">
        <v>1070</v>
      </c>
      <c r="G58" s="392" t="s">
        <v>1094</v>
      </c>
      <c r="H58" s="393" t="s">
        <v>985</v>
      </c>
      <c r="I58" s="227">
        <f>2</f>
        <v>2</v>
      </c>
      <c r="J58" s="394">
        <f>APU!N2952</f>
        <v>44859</v>
      </c>
      <c r="K58" s="394">
        <f t="shared" si="8"/>
        <v>58765</v>
      </c>
    </row>
    <row r="59" spans="2:11">
      <c r="B59" s="384" t="s">
        <v>971</v>
      </c>
      <c r="C59" s="385" t="s">
        <v>804</v>
      </c>
      <c r="D59" s="384" t="s">
        <v>1021</v>
      </c>
      <c r="E59" s="386" t="s">
        <v>804</v>
      </c>
      <c r="F59" s="386" t="s">
        <v>804</v>
      </c>
      <c r="G59" s="387" t="s">
        <v>1095</v>
      </c>
      <c r="H59" s="388"/>
      <c r="I59" s="386"/>
      <c r="J59" s="389"/>
      <c r="K59" s="389"/>
    </row>
    <row r="60" spans="2:11" ht="28.5">
      <c r="B60" s="390" t="s">
        <v>974</v>
      </c>
      <c r="C60" s="391" t="s">
        <v>1096</v>
      </c>
      <c r="D60" s="390" t="s">
        <v>1097</v>
      </c>
      <c r="E60" s="391" t="s">
        <v>853</v>
      </c>
      <c r="F60" s="391" t="s">
        <v>1095</v>
      </c>
      <c r="G60" s="392" t="s">
        <v>1098</v>
      </c>
      <c r="H60" s="393" t="s">
        <v>1034</v>
      </c>
      <c r="I60" s="227">
        <f>12</f>
        <v>12</v>
      </c>
      <c r="J60" s="394">
        <f>APU!N3457</f>
        <v>33921</v>
      </c>
      <c r="K60" s="394">
        <f t="shared" ref="K60:K80" si="9">ROUND(J60*1.31,0)</f>
        <v>44437</v>
      </c>
    </row>
    <row r="61" spans="2:11" ht="28.5">
      <c r="B61" s="390" t="s">
        <v>974</v>
      </c>
      <c r="C61" s="391" t="s">
        <v>1099</v>
      </c>
      <c r="D61" s="390" t="s">
        <v>1100</v>
      </c>
      <c r="E61" s="391" t="s">
        <v>853</v>
      </c>
      <c r="F61" s="391" t="s">
        <v>1095</v>
      </c>
      <c r="G61" s="392" t="s">
        <v>1101</v>
      </c>
      <c r="H61" s="393" t="s">
        <v>1034</v>
      </c>
      <c r="I61" s="227">
        <f>8</f>
        <v>8</v>
      </c>
      <c r="J61" s="394">
        <f>APU!N3541</f>
        <v>62787</v>
      </c>
      <c r="K61" s="394">
        <f t="shared" si="9"/>
        <v>82251</v>
      </c>
    </row>
    <row r="62" spans="2:11" ht="71.25">
      <c r="B62" s="390" t="s">
        <v>974</v>
      </c>
      <c r="C62" s="391" t="s">
        <v>1102</v>
      </c>
      <c r="D62" s="390" t="s">
        <v>1103</v>
      </c>
      <c r="E62" s="391" t="s">
        <v>853</v>
      </c>
      <c r="F62" s="391" t="s">
        <v>1095</v>
      </c>
      <c r="G62" s="392" t="s">
        <v>1104</v>
      </c>
      <c r="H62" s="393" t="s">
        <v>1034</v>
      </c>
      <c r="I62" s="227">
        <f>14</f>
        <v>14</v>
      </c>
      <c r="J62" s="394">
        <f>APU!N3627</f>
        <v>294603</v>
      </c>
      <c r="K62" s="394">
        <f t="shared" si="9"/>
        <v>385930</v>
      </c>
    </row>
    <row r="63" spans="2:11" ht="42.75">
      <c r="B63" s="390" t="s">
        <v>974</v>
      </c>
      <c r="C63" s="391" t="s">
        <v>1105</v>
      </c>
      <c r="D63" s="390" t="s">
        <v>1106</v>
      </c>
      <c r="E63" s="391" t="s">
        <v>853</v>
      </c>
      <c r="F63" s="391" t="s">
        <v>1095</v>
      </c>
      <c r="G63" s="392" t="s">
        <v>1107</v>
      </c>
      <c r="H63" s="393" t="s">
        <v>1034</v>
      </c>
      <c r="I63" s="227">
        <f>8</f>
        <v>8</v>
      </c>
      <c r="J63" s="394">
        <f>APU!N3713</f>
        <v>123571</v>
      </c>
      <c r="K63" s="394">
        <f t="shared" si="9"/>
        <v>161878</v>
      </c>
    </row>
    <row r="64" spans="2:11" ht="42.75">
      <c r="B64" s="390" t="s">
        <v>974</v>
      </c>
      <c r="C64" s="391" t="s">
        <v>1108</v>
      </c>
      <c r="D64" s="390" t="s">
        <v>1109</v>
      </c>
      <c r="E64" s="391" t="s">
        <v>853</v>
      </c>
      <c r="F64" s="391" t="s">
        <v>1095</v>
      </c>
      <c r="G64" s="392" t="s">
        <v>1110</v>
      </c>
      <c r="H64" s="393" t="s">
        <v>1034</v>
      </c>
      <c r="I64" s="227">
        <f>2</f>
        <v>2</v>
      </c>
      <c r="J64" s="394">
        <f>APU!N3798</f>
        <v>116500</v>
      </c>
      <c r="K64" s="394">
        <f t="shared" si="9"/>
        <v>152615</v>
      </c>
    </row>
    <row r="65" spans="2:11" ht="28.5">
      <c r="B65" s="390" t="s">
        <v>974</v>
      </c>
      <c r="C65" s="391" t="s">
        <v>1111</v>
      </c>
      <c r="D65" s="390" t="s">
        <v>1112</v>
      </c>
      <c r="E65" s="391" t="s">
        <v>853</v>
      </c>
      <c r="F65" s="391" t="s">
        <v>1095</v>
      </c>
      <c r="G65" s="392" t="s">
        <v>1113</v>
      </c>
      <c r="H65" s="393" t="s">
        <v>1034</v>
      </c>
      <c r="I65" s="227">
        <f>4</f>
        <v>4</v>
      </c>
      <c r="J65" s="394">
        <f>APU!N3883</f>
        <v>28971</v>
      </c>
      <c r="K65" s="394">
        <f t="shared" si="9"/>
        <v>37952</v>
      </c>
    </row>
    <row r="66" spans="2:11" ht="28.5">
      <c r="B66" s="390" t="s">
        <v>974</v>
      </c>
      <c r="C66" s="391" t="s">
        <v>1114</v>
      </c>
      <c r="D66" s="390" t="s">
        <v>1115</v>
      </c>
      <c r="E66" s="391" t="s">
        <v>853</v>
      </c>
      <c r="F66" s="391" t="s">
        <v>1095</v>
      </c>
      <c r="G66" s="392" t="s">
        <v>1116</v>
      </c>
      <c r="H66" s="393" t="s">
        <v>1034</v>
      </c>
      <c r="I66" s="227">
        <f>2</f>
        <v>2</v>
      </c>
      <c r="J66" s="394">
        <f>APU!N3969</f>
        <v>260618</v>
      </c>
      <c r="K66" s="394">
        <f t="shared" si="9"/>
        <v>341410</v>
      </c>
    </row>
    <row r="67" spans="2:11" ht="28.5">
      <c r="B67" s="390" t="s">
        <v>974</v>
      </c>
      <c r="C67" s="391" t="s">
        <v>1117</v>
      </c>
      <c r="D67" s="390" t="s">
        <v>1118</v>
      </c>
      <c r="E67" s="391" t="s">
        <v>853</v>
      </c>
      <c r="F67" s="391" t="s">
        <v>1095</v>
      </c>
      <c r="G67" s="392" t="s">
        <v>1119</v>
      </c>
      <c r="H67" s="393" t="s">
        <v>1034</v>
      </c>
      <c r="I67" s="227">
        <f>11</f>
        <v>11</v>
      </c>
      <c r="J67" s="394">
        <f>APU!N4054</f>
        <v>142882</v>
      </c>
      <c r="K67" s="394">
        <f t="shared" si="9"/>
        <v>187175</v>
      </c>
    </row>
    <row r="68" spans="2:11" ht="28.5">
      <c r="B68" s="390" t="s">
        <v>974</v>
      </c>
      <c r="C68" s="391" t="s">
        <v>1120</v>
      </c>
      <c r="D68" s="390" t="s">
        <v>1121</v>
      </c>
      <c r="E68" s="391" t="s">
        <v>853</v>
      </c>
      <c r="F68" s="391" t="s">
        <v>1095</v>
      </c>
      <c r="G68" s="392" t="s">
        <v>1122</v>
      </c>
      <c r="H68" s="393" t="s">
        <v>1034</v>
      </c>
      <c r="I68" s="227">
        <f>4</f>
        <v>4</v>
      </c>
      <c r="J68" s="394">
        <f>APU!N4139</f>
        <v>159398</v>
      </c>
      <c r="K68" s="394">
        <f t="shared" si="9"/>
        <v>208811</v>
      </c>
    </row>
    <row r="69" spans="2:11" ht="28.5">
      <c r="B69" s="390" t="s">
        <v>974</v>
      </c>
      <c r="C69" s="391" t="s">
        <v>1123</v>
      </c>
      <c r="D69" s="390" t="s">
        <v>1124</v>
      </c>
      <c r="E69" s="391" t="s">
        <v>853</v>
      </c>
      <c r="F69" s="391" t="s">
        <v>1095</v>
      </c>
      <c r="G69" s="392" t="s">
        <v>1125</v>
      </c>
      <c r="H69" s="393" t="s">
        <v>1034</v>
      </c>
      <c r="I69" s="227">
        <f>6</f>
        <v>6</v>
      </c>
      <c r="J69" s="394">
        <f>APU!N4224</f>
        <v>123989</v>
      </c>
      <c r="K69" s="394">
        <f t="shared" si="9"/>
        <v>162426</v>
      </c>
    </row>
    <row r="70" spans="2:11" ht="28.5">
      <c r="B70" s="390" t="s">
        <v>974</v>
      </c>
      <c r="C70" s="391" t="s">
        <v>1126</v>
      </c>
      <c r="D70" s="390" t="s">
        <v>1127</v>
      </c>
      <c r="E70" s="391" t="s">
        <v>853</v>
      </c>
      <c r="F70" s="391" t="s">
        <v>1095</v>
      </c>
      <c r="G70" s="392" t="s">
        <v>1128</v>
      </c>
      <c r="H70" s="393" t="s">
        <v>1045</v>
      </c>
      <c r="I70" s="227">
        <f>40.36</f>
        <v>40.36</v>
      </c>
      <c r="J70" s="394">
        <f>APU!N4309</f>
        <v>56586</v>
      </c>
      <c r="K70" s="394">
        <f t="shared" si="9"/>
        <v>74128</v>
      </c>
    </row>
    <row r="71" spans="2:11" ht="28.5">
      <c r="B71" s="390" t="s">
        <v>974</v>
      </c>
      <c r="C71" s="391" t="s">
        <v>1129</v>
      </c>
      <c r="D71" s="390" t="s">
        <v>1130</v>
      </c>
      <c r="E71" s="391" t="s">
        <v>853</v>
      </c>
      <c r="F71" s="391" t="s">
        <v>1095</v>
      </c>
      <c r="G71" s="392" t="s">
        <v>1131</v>
      </c>
      <c r="H71" s="393" t="s">
        <v>1034</v>
      </c>
      <c r="I71" s="227">
        <f>5</f>
        <v>5</v>
      </c>
      <c r="J71" s="394">
        <f>APU!N4394</f>
        <v>60614</v>
      </c>
      <c r="K71" s="394">
        <f t="shared" si="9"/>
        <v>79404</v>
      </c>
    </row>
    <row r="72" spans="2:11" ht="28.5">
      <c r="B72" s="390" t="s">
        <v>974</v>
      </c>
      <c r="C72" s="391" t="s">
        <v>1132</v>
      </c>
      <c r="D72" s="390" t="s">
        <v>1133</v>
      </c>
      <c r="E72" s="391" t="s">
        <v>853</v>
      </c>
      <c r="F72" s="391" t="s">
        <v>1095</v>
      </c>
      <c r="G72" s="392" t="s">
        <v>1134</v>
      </c>
      <c r="H72" s="393" t="s">
        <v>1034</v>
      </c>
      <c r="I72" s="227">
        <f t="shared" ref="I72:I73" si="10">2</f>
        <v>2</v>
      </c>
      <c r="J72" s="394">
        <f>APU!N4478</f>
        <v>56961</v>
      </c>
      <c r="K72" s="394">
        <f t="shared" si="9"/>
        <v>74619</v>
      </c>
    </row>
    <row r="73" spans="2:11" ht="28.5">
      <c r="B73" s="390" t="s">
        <v>974</v>
      </c>
      <c r="C73" s="391" t="s">
        <v>1135</v>
      </c>
      <c r="D73" s="390" t="s">
        <v>1136</v>
      </c>
      <c r="E73" s="391" t="s">
        <v>853</v>
      </c>
      <c r="F73" s="391" t="s">
        <v>1095</v>
      </c>
      <c r="G73" s="392" t="s">
        <v>1137</v>
      </c>
      <c r="H73" s="393" t="s">
        <v>1034</v>
      </c>
      <c r="I73" s="227">
        <f t="shared" si="10"/>
        <v>2</v>
      </c>
      <c r="J73" s="394">
        <f>APU!N4562</f>
        <v>53845</v>
      </c>
      <c r="K73" s="394">
        <f t="shared" si="9"/>
        <v>70537</v>
      </c>
    </row>
    <row r="74" spans="2:11" ht="28.5">
      <c r="B74" s="390" t="s">
        <v>974</v>
      </c>
      <c r="C74" s="391" t="s">
        <v>1138</v>
      </c>
      <c r="D74" s="390" t="s">
        <v>1139</v>
      </c>
      <c r="E74" s="391" t="s">
        <v>853</v>
      </c>
      <c r="F74" s="391" t="s">
        <v>1095</v>
      </c>
      <c r="G74" s="392" t="s">
        <v>1140</v>
      </c>
      <c r="H74" s="393" t="s">
        <v>978</v>
      </c>
      <c r="I74" s="227">
        <f>1.53</f>
        <v>1.53</v>
      </c>
      <c r="J74" s="394">
        <f>APU!N4647</f>
        <v>352152</v>
      </c>
      <c r="K74" s="394">
        <f t="shared" si="9"/>
        <v>461319</v>
      </c>
    </row>
    <row r="75" spans="2:11" ht="28.5">
      <c r="B75" s="390" t="s">
        <v>974</v>
      </c>
      <c r="C75" s="391" t="s">
        <v>1141</v>
      </c>
      <c r="D75" s="390" t="s">
        <v>1142</v>
      </c>
      <c r="E75" s="391" t="s">
        <v>853</v>
      </c>
      <c r="F75" s="391" t="s">
        <v>1095</v>
      </c>
      <c r="G75" s="392" t="s">
        <v>1143</v>
      </c>
      <c r="H75" s="393" t="s">
        <v>1034</v>
      </c>
      <c r="I75" s="227">
        <f>3</f>
        <v>3</v>
      </c>
      <c r="J75" s="394">
        <f>APU!N4731</f>
        <v>193662</v>
      </c>
      <c r="K75" s="394">
        <f t="shared" si="9"/>
        <v>253697</v>
      </c>
    </row>
    <row r="76" spans="2:11" ht="28.5">
      <c r="B76" s="390" t="s">
        <v>974</v>
      </c>
      <c r="C76" s="391" t="s">
        <v>1144</v>
      </c>
      <c r="D76" s="390" t="s">
        <v>1145</v>
      </c>
      <c r="E76" s="391" t="s">
        <v>853</v>
      </c>
      <c r="F76" s="391" t="s">
        <v>1095</v>
      </c>
      <c r="G76" s="392" t="s">
        <v>1146</v>
      </c>
      <c r="H76" s="393" t="s">
        <v>1034</v>
      </c>
      <c r="I76" s="227">
        <f t="shared" ref="I76:I79" si="11">1</f>
        <v>1</v>
      </c>
      <c r="J76" s="394">
        <f>APU!N4816</f>
        <v>103030</v>
      </c>
      <c r="K76" s="394">
        <f t="shared" si="9"/>
        <v>134969</v>
      </c>
    </row>
    <row r="77" spans="2:11" ht="28.5">
      <c r="B77" s="390" t="s">
        <v>974</v>
      </c>
      <c r="C77" s="391" t="s">
        <v>1147</v>
      </c>
      <c r="D77" s="390" t="s">
        <v>1148</v>
      </c>
      <c r="E77" s="391" t="s">
        <v>853</v>
      </c>
      <c r="F77" s="391" t="s">
        <v>1095</v>
      </c>
      <c r="G77" s="392" t="s">
        <v>1149</v>
      </c>
      <c r="H77" s="393" t="s">
        <v>1034</v>
      </c>
      <c r="I77" s="227">
        <f t="shared" si="11"/>
        <v>1</v>
      </c>
      <c r="J77" s="394">
        <f>APU!N4902</f>
        <v>130968</v>
      </c>
      <c r="K77" s="394">
        <f t="shared" si="9"/>
        <v>171568</v>
      </c>
    </row>
    <row r="78" spans="2:11" ht="28.5">
      <c r="B78" s="390" t="s">
        <v>974</v>
      </c>
      <c r="C78" s="391" t="s">
        <v>1150</v>
      </c>
      <c r="D78" s="390" t="s">
        <v>1151</v>
      </c>
      <c r="E78" s="391" t="s">
        <v>853</v>
      </c>
      <c r="F78" s="391" t="s">
        <v>1095</v>
      </c>
      <c r="G78" s="392" t="s">
        <v>1152</v>
      </c>
      <c r="H78" s="393" t="s">
        <v>1034</v>
      </c>
      <c r="I78" s="227">
        <f t="shared" si="11"/>
        <v>1</v>
      </c>
      <c r="J78" s="394">
        <f>APU!N4987</f>
        <v>119960</v>
      </c>
      <c r="K78" s="394">
        <f t="shared" si="9"/>
        <v>157148</v>
      </c>
    </row>
    <row r="79" spans="2:11" ht="28.5">
      <c r="B79" s="390" t="s">
        <v>974</v>
      </c>
      <c r="C79" s="391" t="s">
        <v>1153</v>
      </c>
      <c r="D79" s="390" t="s">
        <v>1154</v>
      </c>
      <c r="E79" s="391" t="s">
        <v>853</v>
      </c>
      <c r="F79" s="391" t="s">
        <v>1095</v>
      </c>
      <c r="G79" s="392" t="s">
        <v>1155</v>
      </c>
      <c r="H79" s="393" t="s">
        <v>1034</v>
      </c>
      <c r="I79" s="227">
        <f t="shared" si="11"/>
        <v>1</v>
      </c>
      <c r="J79" s="394">
        <f>APU!N5075</f>
        <v>302198</v>
      </c>
      <c r="K79" s="394">
        <f t="shared" si="9"/>
        <v>395879</v>
      </c>
    </row>
    <row r="80" spans="2:11" ht="28.5">
      <c r="B80" s="390" t="s">
        <v>974</v>
      </c>
      <c r="C80" s="391" t="s">
        <v>1156</v>
      </c>
      <c r="D80" s="390" t="s">
        <v>1157</v>
      </c>
      <c r="E80" s="391" t="s">
        <v>853</v>
      </c>
      <c r="F80" s="391" t="s">
        <v>1095</v>
      </c>
      <c r="G80" s="392" t="s">
        <v>1158</v>
      </c>
      <c r="H80" s="393" t="s">
        <v>1034</v>
      </c>
      <c r="I80" s="227">
        <f>10</f>
        <v>10</v>
      </c>
      <c r="J80" s="394">
        <f>APU!N5160</f>
        <v>209838</v>
      </c>
      <c r="K80" s="394">
        <f t="shared" si="9"/>
        <v>274888</v>
      </c>
    </row>
    <row r="81" spans="2:13">
      <c r="B81" s="384" t="s">
        <v>971</v>
      </c>
      <c r="C81" s="385" t="s">
        <v>804</v>
      </c>
      <c r="D81" s="384" t="s">
        <v>1014</v>
      </c>
      <c r="E81" s="386" t="s">
        <v>804</v>
      </c>
      <c r="F81" s="386" t="s">
        <v>804</v>
      </c>
      <c r="G81" s="387" t="s">
        <v>1159</v>
      </c>
      <c r="H81" s="388"/>
      <c r="I81" s="386"/>
      <c r="J81" s="389"/>
      <c r="K81" s="389"/>
    </row>
    <row r="82" spans="2:13">
      <c r="B82" s="390" t="s">
        <v>974</v>
      </c>
      <c r="C82" s="391" t="s">
        <v>1160</v>
      </c>
      <c r="D82" s="390" t="s">
        <v>1161</v>
      </c>
      <c r="E82" s="391" t="s">
        <v>853</v>
      </c>
      <c r="F82" s="391" t="s">
        <v>1159</v>
      </c>
      <c r="G82" s="392" t="s">
        <v>1162</v>
      </c>
      <c r="H82" s="393" t="s">
        <v>1163</v>
      </c>
      <c r="I82" s="227">
        <f t="shared" ref="I82:I83" si="12">1</f>
        <v>1</v>
      </c>
      <c r="J82" s="394">
        <f>APU!N3036</f>
        <v>1014582</v>
      </c>
      <c r="K82" s="394">
        <f t="shared" ref="K82:K83" si="13">ROUND(J82*1.31,0)</f>
        <v>1329102</v>
      </c>
    </row>
    <row r="83" spans="2:13" ht="28.5">
      <c r="B83" s="390" t="s">
        <v>974</v>
      </c>
      <c r="C83" s="391" t="s">
        <v>1164</v>
      </c>
      <c r="D83" s="390" t="s">
        <v>1165</v>
      </c>
      <c r="E83" s="391" t="s">
        <v>853</v>
      </c>
      <c r="F83" s="391" t="s">
        <v>1159</v>
      </c>
      <c r="G83" s="392" t="s">
        <v>1166</v>
      </c>
      <c r="H83" s="393" t="s">
        <v>1163</v>
      </c>
      <c r="I83" s="227">
        <f t="shared" si="12"/>
        <v>1</v>
      </c>
      <c r="J83" s="394">
        <f>APU!N3120</f>
        <v>3568683</v>
      </c>
      <c r="K83" s="394">
        <f t="shared" si="13"/>
        <v>4674975</v>
      </c>
    </row>
    <row r="84" spans="2:13">
      <c r="B84" s="384" t="s">
        <v>971</v>
      </c>
      <c r="C84" s="385" t="s">
        <v>804</v>
      </c>
      <c r="D84" s="384" t="s">
        <v>1017</v>
      </c>
      <c r="E84" s="386" t="s">
        <v>804</v>
      </c>
      <c r="F84" s="386" t="s">
        <v>804</v>
      </c>
      <c r="G84" s="387" t="s">
        <v>1167</v>
      </c>
      <c r="H84" s="388"/>
      <c r="I84" s="386"/>
      <c r="J84" s="389"/>
      <c r="K84" s="389"/>
    </row>
    <row r="85" spans="2:13" ht="28.5">
      <c r="B85" s="390" t="s">
        <v>974</v>
      </c>
      <c r="C85" s="391" t="s">
        <v>1168</v>
      </c>
      <c r="D85" s="390" t="s">
        <v>1169</v>
      </c>
      <c r="E85" s="391" t="s">
        <v>853</v>
      </c>
      <c r="F85" s="391" t="s">
        <v>1167</v>
      </c>
      <c r="G85" s="392" t="s">
        <v>1170</v>
      </c>
      <c r="H85" s="393" t="s">
        <v>1163</v>
      </c>
      <c r="I85" s="227">
        <f t="shared" ref="I85:I87" si="14">1</f>
        <v>1</v>
      </c>
      <c r="J85" s="394">
        <f>APU!N3205</f>
        <v>1497635</v>
      </c>
      <c r="K85" s="394">
        <f t="shared" ref="K85:K90" si="15">ROUND(J85*1.31,0)</f>
        <v>1961902</v>
      </c>
    </row>
    <row r="86" spans="2:13" ht="28.5">
      <c r="B86" s="390" t="s">
        <v>974</v>
      </c>
      <c r="C86" s="391" t="s">
        <v>1171</v>
      </c>
      <c r="D86" s="390" t="s">
        <v>1172</v>
      </c>
      <c r="E86" s="391" t="s">
        <v>853</v>
      </c>
      <c r="F86" s="391" t="s">
        <v>1167</v>
      </c>
      <c r="G86" s="392" t="s">
        <v>1173</v>
      </c>
      <c r="H86" s="393" t="s">
        <v>1163</v>
      </c>
      <c r="I86" s="227">
        <f t="shared" si="14"/>
        <v>1</v>
      </c>
      <c r="J86" s="394">
        <f>APU!N3289</f>
        <v>1357552</v>
      </c>
      <c r="K86" s="394">
        <f t="shared" si="15"/>
        <v>1778393</v>
      </c>
    </row>
    <row r="87" spans="2:13" ht="42.75">
      <c r="B87" s="390" t="s">
        <v>974</v>
      </c>
      <c r="C87" s="391" t="s">
        <v>1174</v>
      </c>
      <c r="D87" s="390" t="s">
        <v>1175</v>
      </c>
      <c r="E87" s="391" t="s">
        <v>853</v>
      </c>
      <c r="F87" s="391" t="s">
        <v>1167</v>
      </c>
      <c r="G87" s="392" t="s">
        <v>1176</v>
      </c>
      <c r="H87" s="393" t="s">
        <v>1163</v>
      </c>
      <c r="I87" s="227">
        <f t="shared" si="14"/>
        <v>1</v>
      </c>
      <c r="J87" s="394">
        <f>APU!N3373</f>
        <v>2706683</v>
      </c>
      <c r="K87" s="394">
        <f t="shared" si="15"/>
        <v>3545755</v>
      </c>
    </row>
    <row r="88" spans="2:13" ht="28.5">
      <c r="B88" s="390" t="s">
        <v>974</v>
      </c>
      <c r="C88" s="391" t="s">
        <v>1177</v>
      </c>
      <c r="D88" s="390" t="s">
        <v>1178</v>
      </c>
      <c r="E88" s="391" t="s">
        <v>853</v>
      </c>
      <c r="F88" s="391" t="s">
        <v>1167</v>
      </c>
      <c r="G88" s="392" t="s">
        <v>1179</v>
      </c>
      <c r="H88" s="393" t="s">
        <v>1034</v>
      </c>
      <c r="I88" s="227">
        <f>6</f>
        <v>6</v>
      </c>
      <c r="J88" s="394">
        <f>APU!N5245</f>
        <v>27197</v>
      </c>
      <c r="K88" s="394">
        <f t="shared" si="15"/>
        <v>35628</v>
      </c>
    </row>
    <row r="89" spans="2:13" ht="28.5">
      <c r="B89" s="390" t="s">
        <v>974</v>
      </c>
      <c r="C89" s="391" t="s">
        <v>1180</v>
      </c>
      <c r="D89" s="390" t="s">
        <v>1181</v>
      </c>
      <c r="E89" s="391" t="s">
        <v>853</v>
      </c>
      <c r="F89" s="391" t="s">
        <v>1167</v>
      </c>
      <c r="G89" s="392" t="s">
        <v>1182</v>
      </c>
      <c r="H89" s="393" t="s">
        <v>1034</v>
      </c>
      <c r="I89" s="227">
        <f t="shared" ref="I89:I90" si="16">1</f>
        <v>1</v>
      </c>
      <c r="J89" s="394">
        <f>APU!N5330</f>
        <v>594135</v>
      </c>
      <c r="K89" s="394">
        <f t="shared" si="15"/>
        <v>778317</v>
      </c>
    </row>
    <row r="90" spans="2:13" ht="28.5">
      <c r="B90" s="390" t="s">
        <v>974</v>
      </c>
      <c r="C90" s="391" t="s">
        <v>1183</v>
      </c>
      <c r="D90" s="390" t="s">
        <v>1184</v>
      </c>
      <c r="E90" s="391" t="s">
        <v>853</v>
      </c>
      <c r="F90" s="391" t="s">
        <v>1167</v>
      </c>
      <c r="G90" s="392" t="s">
        <v>1185</v>
      </c>
      <c r="H90" s="393" t="s">
        <v>1034</v>
      </c>
      <c r="I90" s="227">
        <f t="shared" si="16"/>
        <v>1</v>
      </c>
      <c r="J90" s="394">
        <f>APU!N5415</f>
        <v>2721487</v>
      </c>
      <c r="K90" s="394">
        <f t="shared" si="15"/>
        <v>3565148</v>
      </c>
    </row>
    <row r="91" spans="2:13" ht="15.75" customHeight="1">
      <c r="J91" s="365"/>
      <c r="K91" s="365"/>
      <c r="M91" s="366"/>
    </row>
    <row r="92" spans="2:13" ht="15.75" customHeight="1">
      <c r="J92" s="365"/>
      <c r="K92" s="365"/>
      <c r="M92" s="366"/>
    </row>
    <row r="93" spans="2:13" ht="15.75" customHeight="1">
      <c r="J93" s="365"/>
      <c r="K93" s="365"/>
      <c r="M93" s="366"/>
    </row>
    <row r="94" spans="2:13" ht="15.75" customHeight="1">
      <c r="J94" s="365"/>
      <c r="K94" s="365"/>
      <c r="M94" s="366"/>
    </row>
    <row r="95" spans="2:13" ht="15.75" customHeight="1">
      <c r="J95" s="365"/>
      <c r="K95" s="365"/>
      <c r="M95" s="366"/>
    </row>
    <row r="96" spans="2:13" ht="15.75" customHeight="1">
      <c r="J96" s="365"/>
      <c r="K96" s="365"/>
      <c r="M96" s="366"/>
    </row>
    <row r="97" spans="10:13" ht="15.75" customHeight="1">
      <c r="J97" s="365"/>
      <c r="K97" s="365"/>
      <c r="M97" s="366"/>
    </row>
    <row r="98" spans="10:13" ht="15.75" customHeight="1">
      <c r="J98" s="365"/>
      <c r="K98" s="365"/>
      <c r="M98" s="366"/>
    </row>
    <row r="99" spans="10:13" ht="15.75" customHeight="1">
      <c r="J99" s="365"/>
      <c r="K99" s="365"/>
      <c r="M99" s="366"/>
    </row>
    <row r="100" spans="10:13" ht="15.75" customHeight="1">
      <c r="J100" s="365"/>
      <c r="K100" s="365"/>
      <c r="M100" s="366"/>
    </row>
    <row r="101" spans="10:13" ht="15.75" customHeight="1">
      <c r="J101" s="365"/>
      <c r="K101" s="365"/>
      <c r="M101" s="366"/>
    </row>
    <row r="102" spans="10:13" ht="15.75" customHeight="1">
      <c r="J102" s="365"/>
      <c r="K102" s="365"/>
      <c r="M102" s="366"/>
    </row>
    <row r="103" spans="10:13" ht="15.75" customHeight="1">
      <c r="J103" s="365"/>
      <c r="K103" s="365"/>
      <c r="M103" s="366"/>
    </row>
    <row r="104" spans="10:13" ht="15.75" customHeight="1">
      <c r="J104" s="365"/>
      <c r="K104" s="365"/>
      <c r="M104" s="366"/>
    </row>
    <row r="105" spans="10:13" ht="15.75" customHeight="1">
      <c r="J105" s="365"/>
      <c r="K105" s="365"/>
      <c r="M105" s="366"/>
    </row>
    <row r="106" spans="10:13" ht="15.75" customHeight="1">
      <c r="J106" s="365"/>
      <c r="K106" s="365"/>
      <c r="M106" s="366"/>
    </row>
    <row r="107" spans="10:13" ht="15.75" customHeight="1">
      <c r="J107" s="365"/>
      <c r="K107" s="365"/>
      <c r="M107" s="366"/>
    </row>
    <row r="108" spans="10:13" ht="15.75" customHeight="1">
      <c r="J108" s="365"/>
      <c r="K108" s="365"/>
      <c r="M108" s="366"/>
    </row>
    <row r="109" spans="10:13" ht="15.75" customHeight="1">
      <c r="J109" s="365"/>
      <c r="K109" s="365"/>
      <c r="M109" s="366"/>
    </row>
    <row r="110" spans="10:13" ht="15.75" customHeight="1">
      <c r="J110" s="365"/>
      <c r="K110" s="365"/>
      <c r="M110" s="366"/>
    </row>
    <row r="111" spans="10:13" ht="15.75" customHeight="1">
      <c r="J111" s="365"/>
      <c r="K111" s="365"/>
      <c r="M111" s="366"/>
    </row>
    <row r="112" spans="10:13" ht="15.75" customHeight="1">
      <c r="J112" s="365"/>
      <c r="K112" s="365"/>
      <c r="M112" s="366"/>
    </row>
    <row r="113" spans="10:13" ht="15.75" customHeight="1">
      <c r="J113" s="365"/>
      <c r="K113" s="365"/>
      <c r="M113" s="366"/>
    </row>
    <row r="114" spans="10:13" ht="15.75" customHeight="1">
      <c r="J114" s="365"/>
      <c r="K114" s="365"/>
      <c r="M114" s="366"/>
    </row>
    <row r="115" spans="10:13" ht="15.75" customHeight="1">
      <c r="J115" s="365"/>
      <c r="K115" s="365"/>
      <c r="M115" s="366"/>
    </row>
    <row r="116" spans="10:13" ht="15.75" customHeight="1">
      <c r="J116" s="365"/>
      <c r="K116" s="365"/>
      <c r="M116" s="366"/>
    </row>
    <row r="117" spans="10:13" ht="15.75" customHeight="1">
      <c r="J117" s="365"/>
      <c r="K117" s="365"/>
      <c r="M117" s="366"/>
    </row>
    <row r="118" spans="10:13" ht="15.75" customHeight="1">
      <c r="J118" s="365"/>
      <c r="K118" s="365"/>
      <c r="M118" s="366"/>
    </row>
    <row r="119" spans="10:13" ht="15.75" customHeight="1">
      <c r="J119" s="365"/>
      <c r="K119" s="365"/>
      <c r="M119" s="366"/>
    </row>
    <row r="120" spans="10:13" ht="15.75" customHeight="1">
      <c r="J120" s="365"/>
      <c r="K120" s="365"/>
      <c r="M120" s="366"/>
    </row>
    <row r="121" spans="10:13" ht="15.75" customHeight="1">
      <c r="J121" s="365"/>
      <c r="K121" s="365"/>
      <c r="M121" s="366"/>
    </row>
    <row r="122" spans="10:13" ht="15.75" customHeight="1">
      <c r="J122" s="365"/>
      <c r="K122" s="365"/>
      <c r="M122" s="366"/>
    </row>
    <row r="123" spans="10:13" ht="15.75" customHeight="1">
      <c r="J123" s="365"/>
      <c r="K123" s="365"/>
      <c r="M123" s="366"/>
    </row>
    <row r="124" spans="10:13" ht="15.75" customHeight="1">
      <c r="J124" s="365"/>
      <c r="K124" s="365"/>
      <c r="M124" s="366"/>
    </row>
    <row r="125" spans="10:13" ht="15.75" customHeight="1">
      <c r="J125" s="365"/>
      <c r="K125" s="365"/>
      <c r="M125" s="366"/>
    </row>
    <row r="126" spans="10:13" ht="15.75" customHeight="1">
      <c r="J126" s="365"/>
      <c r="K126" s="365"/>
      <c r="M126" s="366"/>
    </row>
    <row r="127" spans="10:13" ht="15.75" customHeight="1">
      <c r="J127" s="365"/>
      <c r="K127" s="365"/>
      <c r="M127" s="366"/>
    </row>
    <row r="128" spans="10:13" ht="15.75" customHeight="1">
      <c r="J128" s="365"/>
      <c r="K128" s="365"/>
      <c r="M128" s="366"/>
    </row>
    <row r="129" spans="10:13" ht="15.75" customHeight="1">
      <c r="J129" s="365"/>
      <c r="K129" s="365"/>
      <c r="M129" s="366"/>
    </row>
    <row r="130" spans="10:13" ht="15.75" customHeight="1">
      <c r="J130" s="365"/>
      <c r="K130" s="365"/>
      <c r="M130" s="366"/>
    </row>
    <row r="131" spans="10:13" ht="15.75" customHeight="1">
      <c r="J131" s="365"/>
      <c r="K131" s="365"/>
      <c r="M131" s="366"/>
    </row>
    <row r="132" spans="10:13" ht="15.75" customHeight="1">
      <c r="J132" s="365"/>
      <c r="K132" s="365"/>
      <c r="M132" s="366"/>
    </row>
    <row r="133" spans="10:13" ht="15.75" customHeight="1">
      <c r="J133" s="365"/>
      <c r="K133" s="365"/>
      <c r="M133" s="366"/>
    </row>
    <row r="134" spans="10:13" ht="15.75" customHeight="1">
      <c r="J134" s="365"/>
      <c r="K134" s="365"/>
      <c r="M134" s="366"/>
    </row>
    <row r="135" spans="10:13" ht="15.75" customHeight="1">
      <c r="J135" s="365"/>
      <c r="K135" s="365"/>
      <c r="M135" s="366"/>
    </row>
    <row r="136" spans="10:13" ht="15.75" customHeight="1">
      <c r="J136" s="365"/>
      <c r="K136" s="365"/>
      <c r="M136" s="366"/>
    </row>
    <row r="137" spans="10:13" ht="15.75" customHeight="1">
      <c r="J137" s="365"/>
      <c r="K137" s="365"/>
      <c r="M137" s="366"/>
    </row>
    <row r="138" spans="10:13" ht="15.75" customHeight="1">
      <c r="J138" s="365"/>
      <c r="K138" s="365"/>
      <c r="M138" s="366"/>
    </row>
    <row r="139" spans="10:13" ht="15.75" customHeight="1">
      <c r="J139" s="365"/>
      <c r="K139" s="365"/>
      <c r="M139" s="366"/>
    </row>
    <row r="140" spans="10:13" ht="15.75" customHeight="1">
      <c r="J140" s="365"/>
      <c r="K140" s="365"/>
      <c r="M140" s="366"/>
    </row>
    <row r="141" spans="10:13" ht="15.75" customHeight="1">
      <c r="J141" s="365"/>
      <c r="K141" s="365"/>
      <c r="M141" s="366"/>
    </row>
    <row r="142" spans="10:13" ht="15.75" customHeight="1">
      <c r="J142" s="365"/>
      <c r="K142" s="365"/>
      <c r="M142" s="366"/>
    </row>
    <row r="143" spans="10:13" ht="15.75" customHeight="1">
      <c r="J143" s="365"/>
      <c r="K143" s="365"/>
      <c r="M143" s="366"/>
    </row>
    <row r="144" spans="10:13" ht="15.75" customHeight="1">
      <c r="J144" s="365"/>
      <c r="K144" s="365"/>
      <c r="M144" s="366"/>
    </row>
    <row r="145" spans="10:13" ht="15.75" customHeight="1">
      <c r="J145" s="365"/>
      <c r="K145" s="365"/>
      <c r="M145" s="366"/>
    </row>
    <row r="146" spans="10:13" ht="15.75" customHeight="1">
      <c r="J146" s="365"/>
      <c r="K146" s="365"/>
      <c r="M146" s="366"/>
    </row>
    <row r="147" spans="10:13" ht="15.75" customHeight="1">
      <c r="J147" s="365"/>
      <c r="K147" s="365"/>
      <c r="M147" s="366"/>
    </row>
    <row r="148" spans="10:13" ht="15.75" customHeight="1">
      <c r="J148" s="365"/>
      <c r="K148" s="365"/>
      <c r="M148" s="366"/>
    </row>
    <row r="149" spans="10:13" ht="15.75" customHeight="1">
      <c r="J149" s="365"/>
      <c r="K149" s="365"/>
      <c r="M149" s="366"/>
    </row>
    <row r="150" spans="10:13" ht="15.75" customHeight="1">
      <c r="J150" s="365"/>
      <c r="K150" s="365"/>
      <c r="M150" s="366"/>
    </row>
    <row r="151" spans="10:13" ht="15.75" customHeight="1">
      <c r="J151" s="365"/>
      <c r="K151" s="365"/>
      <c r="M151" s="366"/>
    </row>
    <row r="152" spans="10:13" ht="15.75" customHeight="1">
      <c r="J152" s="365"/>
      <c r="K152" s="365"/>
      <c r="M152" s="366"/>
    </row>
    <row r="153" spans="10:13" ht="15.75" customHeight="1">
      <c r="J153" s="365"/>
      <c r="K153" s="365"/>
      <c r="M153" s="366"/>
    </row>
    <row r="154" spans="10:13" ht="15.75" customHeight="1">
      <c r="J154" s="365"/>
      <c r="K154" s="365"/>
      <c r="M154" s="366"/>
    </row>
    <row r="155" spans="10:13" ht="15.75" customHeight="1">
      <c r="J155" s="365"/>
      <c r="K155" s="365"/>
      <c r="M155" s="366"/>
    </row>
    <row r="156" spans="10:13" ht="15.75" customHeight="1">
      <c r="J156" s="365"/>
      <c r="K156" s="365"/>
      <c r="M156" s="366"/>
    </row>
    <row r="157" spans="10:13" ht="15.75" customHeight="1">
      <c r="J157" s="365"/>
      <c r="K157" s="365"/>
      <c r="M157" s="366"/>
    </row>
    <row r="158" spans="10:13" ht="15.75" customHeight="1">
      <c r="J158" s="365"/>
      <c r="K158" s="365"/>
      <c r="M158" s="366"/>
    </row>
    <row r="159" spans="10:13" ht="15.75" customHeight="1">
      <c r="J159" s="365"/>
      <c r="K159" s="365"/>
      <c r="M159" s="366"/>
    </row>
    <row r="160" spans="10:13" ht="15.75" customHeight="1">
      <c r="J160" s="365"/>
      <c r="K160" s="365"/>
      <c r="M160" s="366"/>
    </row>
    <row r="161" spans="10:13" ht="15.75" customHeight="1">
      <c r="J161" s="365"/>
      <c r="K161" s="365"/>
      <c r="M161" s="366"/>
    </row>
    <row r="162" spans="10:13" ht="15.75" customHeight="1">
      <c r="J162" s="365"/>
      <c r="K162" s="365"/>
      <c r="M162" s="366"/>
    </row>
    <row r="163" spans="10:13" ht="15.75" customHeight="1">
      <c r="J163" s="365"/>
      <c r="K163" s="365"/>
      <c r="M163" s="366"/>
    </row>
    <row r="164" spans="10:13" ht="15.75" customHeight="1">
      <c r="J164" s="365"/>
      <c r="K164" s="365"/>
      <c r="M164" s="366"/>
    </row>
    <row r="165" spans="10:13" ht="15.75" customHeight="1">
      <c r="J165" s="365"/>
      <c r="K165" s="365"/>
      <c r="M165" s="366"/>
    </row>
    <row r="166" spans="10:13" ht="15.75" customHeight="1">
      <c r="J166" s="365"/>
      <c r="K166" s="365"/>
      <c r="M166" s="366"/>
    </row>
    <row r="167" spans="10:13" ht="15.75" customHeight="1">
      <c r="J167" s="365"/>
      <c r="K167" s="365"/>
      <c r="M167" s="366"/>
    </row>
    <row r="168" spans="10:13" ht="15.75" customHeight="1">
      <c r="J168" s="365"/>
      <c r="K168" s="365"/>
      <c r="M168" s="366"/>
    </row>
    <row r="169" spans="10:13" ht="15.75" customHeight="1">
      <c r="J169" s="365"/>
      <c r="K169" s="365"/>
      <c r="M169" s="366"/>
    </row>
    <row r="170" spans="10:13" ht="15.75" customHeight="1">
      <c r="J170" s="365"/>
      <c r="K170" s="365"/>
      <c r="M170" s="366"/>
    </row>
    <row r="171" spans="10:13" ht="15.75" customHeight="1">
      <c r="J171" s="365"/>
      <c r="K171" s="365"/>
      <c r="M171" s="366"/>
    </row>
    <row r="172" spans="10:13" ht="15.75" customHeight="1">
      <c r="J172" s="365"/>
      <c r="K172" s="365"/>
      <c r="M172" s="366"/>
    </row>
    <row r="173" spans="10:13" ht="15.75" customHeight="1">
      <c r="J173" s="365"/>
      <c r="K173" s="365"/>
      <c r="M173" s="366"/>
    </row>
    <row r="174" spans="10:13" ht="15.75" customHeight="1">
      <c r="J174" s="365"/>
      <c r="K174" s="365"/>
      <c r="M174" s="366"/>
    </row>
    <row r="175" spans="10:13" ht="15.75" customHeight="1">
      <c r="J175" s="365"/>
      <c r="K175" s="365"/>
      <c r="M175" s="366"/>
    </row>
    <row r="176" spans="10:13" ht="15.75" customHeight="1">
      <c r="J176" s="365"/>
      <c r="K176" s="365"/>
      <c r="M176" s="366"/>
    </row>
    <row r="177" spans="10:13" ht="15.75" customHeight="1">
      <c r="J177" s="365"/>
      <c r="K177" s="365"/>
      <c r="M177" s="366"/>
    </row>
    <row r="178" spans="10:13" ht="15.75" customHeight="1">
      <c r="J178" s="365"/>
      <c r="K178" s="365"/>
      <c r="M178" s="366"/>
    </row>
    <row r="179" spans="10:13" ht="15.75" customHeight="1">
      <c r="J179" s="365"/>
      <c r="K179" s="365"/>
      <c r="M179" s="366"/>
    </row>
    <row r="180" spans="10:13" ht="15.75" customHeight="1">
      <c r="J180" s="365"/>
      <c r="K180" s="365"/>
      <c r="M180" s="366"/>
    </row>
    <row r="181" spans="10:13" ht="15.75" customHeight="1">
      <c r="J181" s="365"/>
      <c r="K181" s="365"/>
      <c r="M181" s="366"/>
    </row>
    <row r="182" spans="10:13" ht="15.75" customHeight="1">
      <c r="J182" s="365"/>
      <c r="K182" s="365"/>
      <c r="M182" s="366"/>
    </row>
    <row r="183" spans="10:13" ht="15.75" customHeight="1">
      <c r="J183" s="365"/>
      <c r="K183" s="365"/>
      <c r="M183" s="366"/>
    </row>
    <row r="184" spans="10:13" ht="15.75" customHeight="1">
      <c r="J184" s="365"/>
      <c r="K184" s="365"/>
      <c r="M184" s="366"/>
    </row>
    <row r="185" spans="10:13" ht="15.75" customHeight="1">
      <c r="J185" s="365"/>
      <c r="K185" s="365"/>
      <c r="M185" s="366"/>
    </row>
    <row r="186" spans="10:13" ht="15.75" customHeight="1">
      <c r="J186" s="365"/>
      <c r="K186" s="365"/>
      <c r="M186" s="366"/>
    </row>
    <row r="187" spans="10:13" ht="15.75" customHeight="1">
      <c r="J187" s="365"/>
      <c r="K187" s="365"/>
      <c r="M187" s="366"/>
    </row>
    <row r="188" spans="10:13" ht="15.75" customHeight="1">
      <c r="J188" s="365"/>
      <c r="K188" s="365"/>
      <c r="M188" s="366"/>
    </row>
    <row r="189" spans="10:13" ht="15.75" customHeight="1">
      <c r="J189" s="365"/>
      <c r="K189" s="365"/>
      <c r="M189" s="366"/>
    </row>
    <row r="190" spans="10:13" ht="15.75" customHeight="1">
      <c r="J190" s="365"/>
      <c r="K190" s="365"/>
      <c r="M190" s="366"/>
    </row>
    <row r="191" spans="10:13" ht="15.75" customHeight="1">
      <c r="J191" s="365"/>
      <c r="K191" s="365"/>
      <c r="M191" s="366"/>
    </row>
    <row r="192" spans="10:13" ht="15.75" customHeight="1">
      <c r="J192" s="365"/>
      <c r="K192" s="365"/>
      <c r="M192" s="366"/>
    </row>
    <row r="193" spans="10:13" ht="15.75" customHeight="1">
      <c r="J193" s="365"/>
      <c r="K193" s="365"/>
      <c r="M193" s="366"/>
    </row>
    <row r="194" spans="10:13" ht="15.75" customHeight="1">
      <c r="J194" s="365"/>
      <c r="K194" s="365"/>
      <c r="M194" s="366"/>
    </row>
    <row r="195" spans="10:13" ht="15.75" customHeight="1">
      <c r="J195" s="365"/>
      <c r="K195" s="365"/>
      <c r="M195" s="366"/>
    </row>
    <row r="196" spans="10:13" ht="15.75" customHeight="1">
      <c r="J196" s="365"/>
      <c r="K196" s="365"/>
      <c r="M196" s="366"/>
    </row>
    <row r="197" spans="10:13" ht="15.75" customHeight="1">
      <c r="J197" s="365"/>
      <c r="K197" s="365"/>
      <c r="M197" s="366"/>
    </row>
    <row r="198" spans="10:13" ht="15.75" customHeight="1">
      <c r="J198" s="365"/>
      <c r="K198" s="365"/>
      <c r="M198" s="366"/>
    </row>
    <row r="199" spans="10:13" ht="15.75" customHeight="1">
      <c r="J199" s="365"/>
      <c r="K199" s="365"/>
      <c r="M199" s="366"/>
    </row>
    <row r="200" spans="10:13" ht="15.75" customHeight="1">
      <c r="J200" s="365"/>
      <c r="K200" s="365"/>
      <c r="M200" s="366"/>
    </row>
    <row r="201" spans="10:13" ht="15.75" customHeight="1">
      <c r="J201" s="365"/>
      <c r="K201" s="365"/>
      <c r="M201" s="366"/>
    </row>
    <row r="202" spans="10:13" ht="15.75" customHeight="1">
      <c r="J202" s="365"/>
      <c r="K202" s="365"/>
      <c r="M202" s="366"/>
    </row>
    <row r="203" spans="10:13" ht="15.75" customHeight="1">
      <c r="J203" s="365"/>
      <c r="K203" s="365"/>
      <c r="M203" s="366"/>
    </row>
    <row r="204" spans="10:13" ht="15.75" customHeight="1">
      <c r="J204" s="365"/>
      <c r="K204" s="365"/>
      <c r="M204" s="366"/>
    </row>
    <row r="205" spans="10:13" ht="15.75" customHeight="1">
      <c r="J205" s="365"/>
      <c r="K205" s="365"/>
      <c r="M205" s="366"/>
    </row>
    <row r="206" spans="10:13" ht="15.75" customHeight="1">
      <c r="J206" s="365"/>
      <c r="K206" s="365"/>
      <c r="M206" s="366"/>
    </row>
    <row r="207" spans="10:13" ht="15.75" customHeight="1">
      <c r="J207" s="365"/>
      <c r="K207" s="365"/>
      <c r="M207" s="366"/>
    </row>
    <row r="208" spans="10:13" ht="15.75" customHeight="1">
      <c r="J208" s="365"/>
      <c r="K208" s="365"/>
      <c r="M208" s="366"/>
    </row>
    <row r="209" spans="10:13" ht="15.75" customHeight="1">
      <c r="J209" s="365"/>
      <c r="K209" s="365"/>
      <c r="M209" s="366"/>
    </row>
    <row r="210" spans="10:13" ht="15.75" customHeight="1">
      <c r="J210" s="365"/>
      <c r="K210" s="365"/>
      <c r="M210" s="366"/>
    </row>
    <row r="211" spans="10:13" ht="15.75" customHeight="1">
      <c r="J211" s="365"/>
      <c r="K211" s="365"/>
      <c r="M211" s="366"/>
    </row>
    <row r="212" spans="10:13" ht="15.75" customHeight="1">
      <c r="J212" s="365"/>
      <c r="K212" s="365"/>
      <c r="M212" s="366"/>
    </row>
    <row r="213" spans="10:13" ht="15.75" customHeight="1">
      <c r="J213" s="365"/>
      <c r="K213" s="365"/>
      <c r="M213" s="366"/>
    </row>
    <row r="214" spans="10:13" ht="15.75" customHeight="1">
      <c r="J214" s="365"/>
      <c r="K214" s="365"/>
      <c r="M214" s="366"/>
    </row>
    <row r="215" spans="10:13" ht="15.75" customHeight="1">
      <c r="J215" s="365"/>
      <c r="K215" s="365"/>
      <c r="M215" s="366"/>
    </row>
    <row r="216" spans="10:13" ht="15.75" customHeight="1">
      <c r="J216" s="365"/>
      <c r="K216" s="365"/>
      <c r="M216" s="366"/>
    </row>
    <row r="217" spans="10:13" ht="15.75" customHeight="1">
      <c r="J217" s="365"/>
      <c r="K217" s="365"/>
      <c r="M217" s="366"/>
    </row>
    <row r="218" spans="10:13" ht="15.75" customHeight="1">
      <c r="J218" s="365"/>
      <c r="K218" s="365"/>
      <c r="M218" s="366"/>
    </row>
    <row r="219" spans="10:13" ht="15.75" customHeight="1">
      <c r="J219" s="365"/>
      <c r="K219" s="365"/>
      <c r="M219" s="366"/>
    </row>
    <row r="220" spans="10:13" ht="15.75" customHeight="1">
      <c r="J220" s="365"/>
      <c r="K220" s="365"/>
      <c r="M220" s="366"/>
    </row>
    <row r="221" spans="10:13" ht="15.75" customHeight="1">
      <c r="J221" s="365"/>
      <c r="K221" s="365"/>
      <c r="M221" s="366"/>
    </row>
    <row r="222" spans="10:13" ht="15.75" customHeight="1">
      <c r="J222" s="365"/>
      <c r="K222" s="365"/>
      <c r="M222" s="366"/>
    </row>
    <row r="223" spans="10:13" ht="15.75" customHeight="1">
      <c r="J223" s="365"/>
      <c r="K223" s="365"/>
      <c r="M223" s="366"/>
    </row>
    <row r="224" spans="10:13" ht="15.75" customHeight="1">
      <c r="J224" s="365"/>
      <c r="K224" s="365"/>
      <c r="M224" s="366"/>
    </row>
    <row r="225" spans="10:13" ht="15.75" customHeight="1">
      <c r="J225" s="365"/>
      <c r="K225" s="365"/>
      <c r="M225" s="366"/>
    </row>
    <row r="226" spans="10:13" ht="15.75" customHeight="1">
      <c r="J226" s="365"/>
      <c r="K226" s="365"/>
      <c r="M226" s="366"/>
    </row>
    <row r="227" spans="10:13" ht="15.75" customHeight="1">
      <c r="J227" s="365"/>
      <c r="K227" s="365"/>
      <c r="M227" s="366"/>
    </row>
    <row r="228" spans="10:13" ht="15.75" customHeight="1">
      <c r="J228" s="365"/>
      <c r="K228" s="365"/>
      <c r="M228" s="366"/>
    </row>
    <row r="229" spans="10:13" ht="15.75" customHeight="1">
      <c r="J229" s="365"/>
      <c r="K229" s="365"/>
      <c r="M229" s="366"/>
    </row>
    <row r="230" spans="10:13" ht="15.75" customHeight="1">
      <c r="J230" s="365"/>
      <c r="K230" s="365"/>
      <c r="M230" s="366"/>
    </row>
    <row r="231" spans="10:13" ht="15.75" customHeight="1">
      <c r="J231" s="365"/>
      <c r="K231" s="365"/>
      <c r="M231" s="366"/>
    </row>
    <row r="232" spans="10:13" ht="15.75" customHeight="1">
      <c r="J232" s="365"/>
      <c r="K232" s="365"/>
      <c r="M232" s="366"/>
    </row>
    <row r="233" spans="10:13" ht="15.75" customHeight="1">
      <c r="J233" s="365"/>
      <c r="K233" s="365"/>
      <c r="M233" s="366"/>
    </row>
    <row r="234" spans="10:13" ht="15.75" customHeight="1">
      <c r="J234" s="365"/>
      <c r="K234" s="365"/>
      <c r="M234" s="366"/>
    </row>
    <row r="235" spans="10:13" ht="15.75" customHeight="1">
      <c r="J235" s="365"/>
      <c r="K235" s="365"/>
      <c r="M235" s="366"/>
    </row>
    <row r="236" spans="10:13" ht="15.75" customHeight="1">
      <c r="J236" s="365"/>
      <c r="K236" s="365"/>
      <c r="M236" s="366"/>
    </row>
    <row r="237" spans="10:13" ht="15.75" customHeight="1">
      <c r="J237" s="365"/>
      <c r="K237" s="365"/>
      <c r="M237" s="366"/>
    </row>
    <row r="238" spans="10:13" ht="15.75" customHeight="1">
      <c r="J238" s="365"/>
      <c r="K238" s="365"/>
      <c r="M238" s="366"/>
    </row>
    <row r="239" spans="10:13" ht="15.75" customHeight="1">
      <c r="J239" s="365"/>
      <c r="K239" s="365"/>
      <c r="M239" s="366"/>
    </row>
    <row r="240" spans="10:13" ht="15.75" customHeight="1">
      <c r="J240" s="365"/>
      <c r="K240" s="365"/>
      <c r="M240" s="366"/>
    </row>
    <row r="241" spans="10:13" ht="15.75" customHeight="1">
      <c r="J241" s="365"/>
      <c r="K241" s="365"/>
      <c r="M241" s="366"/>
    </row>
    <row r="242" spans="10:13" ht="15.75" customHeight="1">
      <c r="J242" s="365"/>
      <c r="K242" s="365"/>
      <c r="M242" s="366"/>
    </row>
    <row r="243" spans="10:13" ht="15.75" customHeight="1">
      <c r="J243" s="365"/>
      <c r="K243" s="365"/>
      <c r="M243" s="366"/>
    </row>
    <row r="244" spans="10:13" ht="15.75" customHeight="1">
      <c r="J244" s="365"/>
      <c r="K244" s="365"/>
      <c r="M244" s="366"/>
    </row>
    <row r="245" spans="10:13" ht="15.75" customHeight="1">
      <c r="J245" s="365"/>
      <c r="K245" s="365"/>
      <c r="M245" s="366"/>
    </row>
    <row r="246" spans="10:13" ht="15.75" customHeight="1">
      <c r="J246" s="365"/>
      <c r="K246" s="365"/>
      <c r="M246" s="366"/>
    </row>
    <row r="247" spans="10:13" ht="15.75" customHeight="1">
      <c r="J247" s="365"/>
      <c r="K247" s="365"/>
      <c r="M247" s="366"/>
    </row>
    <row r="248" spans="10:13" ht="15.75" customHeight="1">
      <c r="J248" s="365"/>
      <c r="K248" s="365"/>
      <c r="M248" s="366"/>
    </row>
    <row r="249" spans="10:13" ht="15.75" customHeight="1">
      <c r="J249" s="365"/>
      <c r="K249" s="365"/>
      <c r="M249" s="366"/>
    </row>
    <row r="250" spans="10:13" ht="15.75" customHeight="1">
      <c r="J250" s="365"/>
      <c r="K250" s="365"/>
      <c r="M250" s="366"/>
    </row>
    <row r="251" spans="10:13" ht="15.75" customHeight="1">
      <c r="J251" s="365"/>
      <c r="K251" s="365"/>
      <c r="M251" s="366"/>
    </row>
    <row r="252" spans="10:13" ht="15.75" customHeight="1">
      <c r="J252" s="365"/>
      <c r="K252" s="365"/>
      <c r="M252" s="366"/>
    </row>
    <row r="253" spans="10:13" ht="15.75" customHeight="1">
      <c r="J253" s="365"/>
      <c r="K253" s="365"/>
      <c r="M253" s="366"/>
    </row>
    <row r="254" spans="10:13" ht="15.75" customHeight="1">
      <c r="J254" s="365"/>
      <c r="K254" s="365"/>
      <c r="M254" s="366"/>
    </row>
    <row r="255" spans="10:13" ht="15.75" customHeight="1">
      <c r="J255" s="365"/>
      <c r="K255" s="365"/>
      <c r="M255" s="366"/>
    </row>
    <row r="256" spans="10:13" ht="15.75" customHeight="1">
      <c r="J256" s="365"/>
      <c r="K256" s="365"/>
      <c r="M256" s="366"/>
    </row>
    <row r="257" spans="10:13" ht="15.75" customHeight="1">
      <c r="J257" s="365"/>
      <c r="K257" s="365"/>
      <c r="M257" s="366"/>
    </row>
    <row r="258" spans="10:13" ht="15.75" customHeight="1">
      <c r="J258" s="365"/>
      <c r="K258" s="365"/>
      <c r="M258" s="366"/>
    </row>
    <row r="259" spans="10:13" ht="15.75" customHeight="1">
      <c r="J259" s="365"/>
      <c r="K259" s="365"/>
      <c r="M259" s="366"/>
    </row>
    <row r="260" spans="10:13" ht="15.75" customHeight="1">
      <c r="J260" s="365"/>
      <c r="K260" s="365"/>
      <c r="M260" s="366"/>
    </row>
    <row r="261" spans="10:13" ht="15.75" customHeight="1">
      <c r="J261" s="365"/>
      <c r="K261" s="365"/>
      <c r="M261" s="366"/>
    </row>
    <row r="262" spans="10:13" ht="15.75" customHeight="1">
      <c r="J262" s="365"/>
      <c r="K262" s="365"/>
      <c r="M262" s="366"/>
    </row>
    <row r="263" spans="10:13" ht="15.75" customHeight="1">
      <c r="J263" s="365"/>
      <c r="K263" s="365"/>
      <c r="M263" s="366"/>
    </row>
    <row r="264" spans="10:13" ht="15.75" customHeight="1">
      <c r="J264" s="365"/>
      <c r="K264" s="365"/>
      <c r="M264" s="366"/>
    </row>
    <row r="265" spans="10:13" ht="15.75" customHeight="1">
      <c r="J265" s="365"/>
      <c r="K265" s="365"/>
      <c r="M265" s="366"/>
    </row>
    <row r="266" spans="10:13" ht="15.75" customHeight="1">
      <c r="J266" s="365"/>
      <c r="K266" s="365"/>
      <c r="M266" s="366"/>
    </row>
    <row r="267" spans="10:13" ht="15.75" customHeight="1">
      <c r="J267" s="365"/>
      <c r="K267" s="365"/>
      <c r="M267" s="366"/>
    </row>
    <row r="268" spans="10:13" ht="15.75" customHeight="1">
      <c r="J268" s="365"/>
      <c r="K268" s="365"/>
      <c r="M268" s="366"/>
    </row>
    <row r="269" spans="10:13" ht="15.75" customHeight="1">
      <c r="J269" s="365"/>
      <c r="K269" s="365"/>
      <c r="M269" s="366"/>
    </row>
    <row r="270" spans="10:13" ht="15.75" customHeight="1">
      <c r="J270" s="365"/>
      <c r="K270" s="365"/>
      <c r="M270" s="366"/>
    </row>
    <row r="271" spans="10:13" ht="15.75" customHeight="1">
      <c r="J271" s="365"/>
      <c r="K271" s="365"/>
      <c r="M271" s="366"/>
    </row>
    <row r="272" spans="10:13" ht="15.75" customHeight="1">
      <c r="J272" s="365"/>
      <c r="K272" s="365"/>
      <c r="M272" s="366"/>
    </row>
    <row r="273" spans="10:13" ht="15.75" customHeight="1">
      <c r="J273" s="365"/>
      <c r="K273" s="365"/>
      <c r="M273" s="366"/>
    </row>
    <row r="274" spans="10:13" ht="15.75" customHeight="1">
      <c r="J274" s="365"/>
      <c r="K274" s="365"/>
      <c r="M274" s="366"/>
    </row>
    <row r="275" spans="10:13" ht="15.75" customHeight="1">
      <c r="J275" s="365"/>
      <c r="K275" s="365"/>
      <c r="M275" s="366"/>
    </row>
    <row r="276" spans="10:13" ht="15.75" customHeight="1">
      <c r="J276" s="365"/>
      <c r="K276" s="365"/>
      <c r="M276" s="366"/>
    </row>
    <row r="277" spans="10:13" ht="15.75" customHeight="1">
      <c r="J277" s="365"/>
      <c r="K277" s="365"/>
      <c r="M277" s="366"/>
    </row>
    <row r="278" spans="10:13" ht="15.75" customHeight="1">
      <c r="J278" s="365"/>
      <c r="K278" s="365"/>
      <c r="M278" s="366"/>
    </row>
    <row r="279" spans="10:13" ht="15.75" customHeight="1">
      <c r="J279" s="365"/>
      <c r="K279" s="365"/>
      <c r="M279" s="366"/>
    </row>
    <row r="280" spans="10:13" ht="15.75" customHeight="1">
      <c r="J280" s="365"/>
      <c r="K280" s="365"/>
      <c r="M280" s="366"/>
    </row>
    <row r="281" spans="10:13" ht="15.75" customHeight="1">
      <c r="J281" s="365"/>
      <c r="K281" s="365"/>
      <c r="M281" s="366"/>
    </row>
    <row r="282" spans="10:13" ht="15.75" customHeight="1">
      <c r="J282" s="365"/>
      <c r="K282" s="365"/>
      <c r="M282" s="366"/>
    </row>
    <row r="283" spans="10:13" ht="15.75" customHeight="1">
      <c r="J283" s="365"/>
      <c r="K283" s="365"/>
      <c r="M283" s="366"/>
    </row>
    <row r="284" spans="10:13" ht="15.75" customHeight="1">
      <c r="J284" s="365"/>
      <c r="K284" s="365"/>
      <c r="M284" s="366"/>
    </row>
    <row r="285" spans="10:13" ht="15.75" customHeight="1">
      <c r="J285" s="365"/>
      <c r="K285" s="365"/>
      <c r="M285" s="366"/>
    </row>
    <row r="286" spans="10:13" ht="15.75" customHeight="1">
      <c r="J286" s="365"/>
      <c r="K286" s="365"/>
      <c r="M286" s="366"/>
    </row>
    <row r="287" spans="10:13" ht="15.75" customHeight="1">
      <c r="J287" s="365"/>
      <c r="K287" s="365"/>
      <c r="M287" s="366"/>
    </row>
    <row r="288" spans="10:13" ht="15.75" customHeight="1">
      <c r="J288" s="365"/>
      <c r="K288" s="365"/>
      <c r="M288" s="366"/>
    </row>
    <row r="289" spans="10:13" ht="15.75" customHeight="1">
      <c r="J289" s="365"/>
      <c r="K289" s="365"/>
      <c r="M289" s="366"/>
    </row>
    <row r="290" spans="10:13" ht="15.75" customHeight="1">
      <c r="J290" s="365"/>
      <c r="K290" s="365"/>
      <c r="M290" s="366"/>
    </row>
    <row r="291" spans="10:13" ht="15.75" customHeight="1">
      <c r="J291" s="365"/>
      <c r="K291" s="365"/>
      <c r="M291" s="366"/>
    </row>
    <row r="292" spans="10:13" ht="15.75" customHeight="1">
      <c r="J292" s="365"/>
      <c r="K292" s="365"/>
      <c r="M292" s="366"/>
    </row>
    <row r="293" spans="10:13" ht="15.75" customHeight="1">
      <c r="J293" s="365"/>
      <c r="K293" s="365"/>
      <c r="M293" s="366"/>
    </row>
    <row r="294" spans="10:13" ht="15.75" customHeight="1">
      <c r="J294" s="365"/>
      <c r="K294" s="365"/>
      <c r="M294" s="366"/>
    </row>
    <row r="295" spans="10:13" ht="15.75" customHeight="1">
      <c r="J295" s="365"/>
      <c r="K295" s="365"/>
      <c r="M295" s="366"/>
    </row>
    <row r="296" spans="10:13" ht="15.75" customHeight="1">
      <c r="J296" s="365"/>
      <c r="K296" s="365"/>
      <c r="M296" s="366"/>
    </row>
    <row r="297" spans="10:13" ht="15.75" customHeight="1">
      <c r="J297" s="365"/>
      <c r="K297" s="365"/>
      <c r="M297" s="366"/>
    </row>
    <row r="298" spans="10:13" ht="15.75" customHeight="1">
      <c r="J298" s="365"/>
      <c r="K298" s="365"/>
      <c r="M298" s="366"/>
    </row>
    <row r="299" spans="10:13" ht="15.75" customHeight="1">
      <c r="J299" s="365"/>
      <c r="K299" s="365"/>
      <c r="M299" s="366"/>
    </row>
    <row r="300" spans="10:13" ht="15.75" customHeight="1">
      <c r="J300" s="365"/>
      <c r="K300" s="365"/>
      <c r="M300" s="366"/>
    </row>
    <row r="301" spans="10:13" ht="15.75" customHeight="1">
      <c r="J301" s="365"/>
      <c r="K301" s="365"/>
      <c r="M301" s="366"/>
    </row>
    <row r="302" spans="10:13" ht="15.75" customHeight="1">
      <c r="J302" s="365"/>
      <c r="K302" s="365"/>
      <c r="M302" s="366"/>
    </row>
    <row r="303" spans="10:13" ht="15.75" customHeight="1">
      <c r="J303" s="365"/>
      <c r="K303" s="365"/>
      <c r="M303" s="366"/>
    </row>
    <row r="304" spans="10:13" ht="15.75" customHeight="1">
      <c r="J304" s="365"/>
      <c r="K304" s="365"/>
      <c r="M304" s="366"/>
    </row>
    <row r="305" spans="10:13" ht="15.75" customHeight="1">
      <c r="J305" s="365"/>
      <c r="K305" s="365"/>
      <c r="M305" s="366"/>
    </row>
    <row r="306" spans="10:13" ht="15.75" customHeight="1">
      <c r="J306" s="365"/>
      <c r="K306" s="365"/>
      <c r="M306" s="366"/>
    </row>
    <row r="307" spans="10:13" ht="15.75" customHeight="1">
      <c r="J307" s="365"/>
      <c r="K307" s="365"/>
      <c r="M307" s="366"/>
    </row>
    <row r="308" spans="10:13" ht="15.75" customHeight="1">
      <c r="J308" s="365"/>
      <c r="K308" s="365"/>
      <c r="M308" s="366"/>
    </row>
    <row r="309" spans="10:13" ht="15.75" customHeight="1">
      <c r="J309" s="365"/>
      <c r="K309" s="365"/>
      <c r="M309" s="366"/>
    </row>
    <row r="310" spans="10:13" ht="15.75" customHeight="1">
      <c r="J310" s="365"/>
      <c r="K310" s="365"/>
      <c r="M310" s="366"/>
    </row>
    <row r="311" spans="10:13" ht="15.75" customHeight="1">
      <c r="J311" s="365"/>
      <c r="K311" s="365"/>
      <c r="M311" s="366"/>
    </row>
    <row r="312" spans="10:13" ht="15.75" customHeight="1">
      <c r="J312" s="365"/>
      <c r="K312" s="365"/>
      <c r="M312" s="366"/>
    </row>
    <row r="313" spans="10:13" ht="15.75" customHeight="1">
      <c r="J313" s="365"/>
      <c r="K313" s="365"/>
      <c r="M313" s="366"/>
    </row>
    <row r="314" spans="10:13" ht="15.75" customHeight="1">
      <c r="J314" s="365"/>
      <c r="K314" s="365"/>
      <c r="M314" s="366"/>
    </row>
    <row r="315" spans="10:13" ht="15.75" customHeight="1">
      <c r="J315" s="365"/>
      <c r="K315" s="365"/>
      <c r="M315" s="366"/>
    </row>
    <row r="316" spans="10:13" ht="15.75" customHeight="1">
      <c r="J316" s="365"/>
      <c r="K316" s="365"/>
      <c r="M316" s="366"/>
    </row>
    <row r="317" spans="10:13" ht="15.75" customHeight="1">
      <c r="J317" s="365"/>
      <c r="K317" s="365"/>
      <c r="M317" s="366"/>
    </row>
    <row r="318" spans="10:13" ht="15.75" customHeight="1">
      <c r="J318" s="365"/>
      <c r="K318" s="365"/>
      <c r="M318" s="366"/>
    </row>
    <row r="319" spans="10:13" ht="15.75" customHeight="1">
      <c r="J319" s="365"/>
      <c r="K319" s="365"/>
      <c r="M319" s="366"/>
    </row>
    <row r="320" spans="10:13" ht="15.75" customHeight="1">
      <c r="J320" s="365"/>
      <c r="K320" s="365"/>
      <c r="M320" s="366"/>
    </row>
    <row r="321" spans="10:13" ht="15.75" customHeight="1">
      <c r="J321" s="365"/>
      <c r="K321" s="365"/>
      <c r="M321" s="366"/>
    </row>
    <row r="322" spans="10:13" ht="15.75" customHeight="1">
      <c r="J322" s="365"/>
      <c r="K322" s="365"/>
      <c r="M322" s="366"/>
    </row>
    <row r="323" spans="10:13" ht="15.75" customHeight="1">
      <c r="J323" s="365"/>
      <c r="K323" s="365"/>
      <c r="M323" s="366"/>
    </row>
    <row r="324" spans="10:13" ht="15.75" customHeight="1">
      <c r="J324" s="365"/>
      <c r="K324" s="365"/>
      <c r="M324" s="366"/>
    </row>
    <row r="325" spans="10:13" ht="15.75" customHeight="1">
      <c r="J325" s="365"/>
      <c r="K325" s="365"/>
      <c r="M325" s="366"/>
    </row>
    <row r="326" spans="10:13" ht="15.75" customHeight="1">
      <c r="J326" s="365"/>
      <c r="K326" s="365"/>
      <c r="M326" s="366"/>
    </row>
    <row r="327" spans="10:13" ht="15.75" customHeight="1">
      <c r="J327" s="365"/>
      <c r="K327" s="365"/>
      <c r="M327" s="366"/>
    </row>
    <row r="328" spans="10:13" ht="15.75" customHeight="1">
      <c r="J328" s="365"/>
      <c r="K328" s="365"/>
      <c r="M328" s="366"/>
    </row>
    <row r="329" spans="10:13" ht="15.75" customHeight="1">
      <c r="J329" s="365"/>
      <c r="K329" s="365"/>
      <c r="M329" s="366"/>
    </row>
    <row r="330" spans="10:13" ht="15.75" customHeight="1">
      <c r="J330" s="365"/>
      <c r="K330" s="365"/>
      <c r="M330" s="366"/>
    </row>
    <row r="331" spans="10:13" ht="15.75" customHeight="1">
      <c r="J331" s="365"/>
      <c r="K331" s="365"/>
      <c r="M331" s="366"/>
    </row>
    <row r="332" spans="10:13" ht="15.75" customHeight="1">
      <c r="J332" s="365"/>
      <c r="K332" s="365"/>
      <c r="M332" s="366"/>
    </row>
    <row r="333" spans="10:13" ht="15.75" customHeight="1">
      <c r="J333" s="365"/>
      <c r="K333" s="365"/>
      <c r="M333" s="366"/>
    </row>
    <row r="334" spans="10:13" ht="15.75" customHeight="1">
      <c r="J334" s="365"/>
      <c r="K334" s="365"/>
      <c r="M334" s="366"/>
    </row>
    <row r="335" spans="10:13" ht="15.75" customHeight="1">
      <c r="J335" s="365"/>
      <c r="K335" s="365"/>
      <c r="M335" s="366"/>
    </row>
    <row r="336" spans="10:13" ht="15.75" customHeight="1">
      <c r="J336" s="365"/>
      <c r="K336" s="365"/>
      <c r="M336" s="366"/>
    </row>
    <row r="337" spans="10:13" ht="15.75" customHeight="1">
      <c r="J337" s="365"/>
      <c r="K337" s="365"/>
      <c r="M337" s="366"/>
    </row>
    <row r="338" spans="10:13" ht="15.75" customHeight="1">
      <c r="J338" s="365"/>
      <c r="K338" s="365"/>
      <c r="M338" s="366"/>
    </row>
    <row r="339" spans="10:13" ht="15.75" customHeight="1">
      <c r="J339" s="365"/>
      <c r="K339" s="365"/>
      <c r="M339" s="366"/>
    </row>
    <row r="340" spans="10:13" ht="15.75" customHeight="1">
      <c r="J340" s="365"/>
      <c r="K340" s="365"/>
      <c r="M340" s="366"/>
    </row>
    <row r="341" spans="10:13" ht="15.75" customHeight="1">
      <c r="J341" s="365"/>
      <c r="K341" s="365"/>
      <c r="M341" s="366"/>
    </row>
    <row r="342" spans="10:13" ht="15.75" customHeight="1">
      <c r="J342" s="365"/>
      <c r="K342" s="365"/>
      <c r="M342" s="366"/>
    </row>
    <row r="343" spans="10:13" ht="15.75" customHeight="1">
      <c r="J343" s="365"/>
      <c r="K343" s="365"/>
      <c r="M343" s="366"/>
    </row>
    <row r="344" spans="10:13" ht="15.75" customHeight="1">
      <c r="J344" s="365"/>
      <c r="K344" s="365"/>
      <c r="M344" s="366"/>
    </row>
    <row r="345" spans="10:13" ht="15.75" customHeight="1">
      <c r="J345" s="365"/>
      <c r="K345" s="365"/>
      <c r="M345" s="366"/>
    </row>
    <row r="346" spans="10:13" ht="15.75" customHeight="1">
      <c r="J346" s="365"/>
      <c r="K346" s="365"/>
      <c r="M346" s="366"/>
    </row>
    <row r="347" spans="10:13" ht="15.75" customHeight="1">
      <c r="J347" s="365"/>
      <c r="K347" s="365"/>
      <c r="M347" s="366"/>
    </row>
    <row r="348" spans="10:13" ht="15.75" customHeight="1">
      <c r="J348" s="365"/>
      <c r="K348" s="365"/>
      <c r="M348" s="366"/>
    </row>
    <row r="349" spans="10:13" ht="15.75" customHeight="1">
      <c r="J349" s="365"/>
      <c r="K349" s="365"/>
      <c r="M349" s="366"/>
    </row>
    <row r="350" spans="10:13" ht="15.75" customHeight="1">
      <c r="J350" s="365"/>
      <c r="K350" s="365"/>
      <c r="M350" s="366"/>
    </row>
    <row r="351" spans="10:13" ht="15.75" customHeight="1">
      <c r="J351" s="365"/>
      <c r="K351" s="365"/>
      <c r="M351" s="366"/>
    </row>
    <row r="352" spans="10:13" ht="15.75" customHeight="1">
      <c r="J352" s="365"/>
      <c r="K352" s="365"/>
      <c r="M352" s="366"/>
    </row>
    <row r="353" spans="10:13" ht="15.75" customHeight="1">
      <c r="J353" s="365"/>
      <c r="K353" s="365"/>
      <c r="M353" s="366"/>
    </row>
    <row r="354" spans="10:13" ht="15.75" customHeight="1">
      <c r="J354" s="365"/>
      <c r="K354" s="365"/>
      <c r="M354" s="366"/>
    </row>
    <row r="355" spans="10:13" ht="15.75" customHeight="1">
      <c r="J355" s="365"/>
      <c r="K355" s="365"/>
      <c r="M355" s="366"/>
    </row>
    <row r="356" spans="10:13" ht="15.75" customHeight="1">
      <c r="J356" s="365"/>
      <c r="K356" s="365"/>
      <c r="M356" s="366"/>
    </row>
    <row r="357" spans="10:13" ht="15.75" customHeight="1">
      <c r="J357" s="365"/>
      <c r="K357" s="365"/>
      <c r="M357" s="366"/>
    </row>
    <row r="358" spans="10:13" ht="15.75" customHeight="1">
      <c r="J358" s="365"/>
      <c r="K358" s="365"/>
      <c r="M358" s="366"/>
    </row>
    <row r="359" spans="10:13" ht="15.75" customHeight="1">
      <c r="J359" s="365"/>
      <c r="K359" s="365"/>
      <c r="M359" s="366"/>
    </row>
    <row r="360" spans="10:13" ht="15.75" customHeight="1">
      <c r="J360" s="365"/>
      <c r="K360" s="365"/>
      <c r="M360" s="366"/>
    </row>
    <row r="361" spans="10:13" ht="15.75" customHeight="1">
      <c r="J361" s="365"/>
      <c r="K361" s="365"/>
      <c r="M361" s="366"/>
    </row>
    <row r="362" spans="10:13" ht="15.75" customHeight="1">
      <c r="J362" s="365"/>
      <c r="K362" s="365"/>
      <c r="M362" s="366"/>
    </row>
    <row r="363" spans="10:13" ht="15.75" customHeight="1">
      <c r="J363" s="365"/>
      <c r="K363" s="365"/>
      <c r="M363" s="366"/>
    </row>
    <row r="364" spans="10:13" ht="15.75" customHeight="1">
      <c r="J364" s="365"/>
      <c r="K364" s="365"/>
      <c r="M364" s="366"/>
    </row>
    <row r="365" spans="10:13" ht="15.75" customHeight="1">
      <c r="J365" s="365"/>
      <c r="K365" s="365"/>
      <c r="M365" s="366"/>
    </row>
    <row r="366" spans="10:13" ht="15.75" customHeight="1">
      <c r="J366" s="365"/>
      <c r="K366" s="365"/>
      <c r="M366" s="366"/>
    </row>
    <row r="367" spans="10:13" ht="15.75" customHeight="1">
      <c r="J367" s="365"/>
      <c r="K367" s="365"/>
      <c r="M367" s="366"/>
    </row>
    <row r="368" spans="10:13" ht="15.75" customHeight="1">
      <c r="J368" s="365"/>
      <c r="K368" s="365"/>
      <c r="M368" s="366"/>
    </row>
    <row r="369" spans="10:13" ht="15.75" customHeight="1">
      <c r="J369" s="365"/>
      <c r="K369" s="365"/>
      <c r="M369" s="366"/>
    </row>
    <row r="370" spans="10:13" ht="15.75" customHeight="1">
      <c r="J370" s="365"/>
      <c r="K370" s="365"/>
      <c r="M370" s="366"/>
    </row>
    <row r="371" spans="10:13" ht="15.75" customHeight="1">
      <c r="J371" s="365"/>
      <c r="K371" s="365"/>
      <c r="M371" s="366"/>
    </row>
    <row r="372" spans="10:13" ht="15.75" customHeight="1">
      <c r="J372" s="365"/>
      <c r="K372" s="365"/>
      <c r="M372" s="366"/>
    </row>
    <row r="373" spans="10:13" ht="15.75" customHeight="1">
      <c r="J373" s="365"/>
      <c r="K373" s="365"/>
      <c r="M373" s="366"/>
    </row>
    <row r="374" spans="10:13" ht="15.75" customHeight="1">
      <c r="J374" s="365"/>
      <c r="K374" s="365"/>
      <c r="M374" s="366"/>
    </row>
    <row r="375" spans="10:13" ht="15.75" customHeight="1">
      <c r="J375" s="365"/>
      <c r="K375" s="365"/>
      <c r="M375" s="366"/>
    </row>
    <row r="376" spans="10:13" ht="15.75" customHeight="1">
      <c r="J376" s="365"/>
      <c r="K376" s="365"/>
      <c r="M376" s="366"/>
    </row>
    <row r="377" spans="10:13" ht="15.75" customHeight="1">
      <c r="J377" s="365"/>
      <c r="K377" s="365"/>
      <c r="M377" s="366"/>
    </row>
    <row r="378" spans="10:13" ht="15.75" customHeight="1">
      <c r="J378" s="365"/>
      <c r="K378" s="365"/>
      <c r="M378" s="366"/>
    </row>
    <row r="379" spans="10:13" ht="15.75" customHeight="1">
      <c r="J379" s="365"/>
      <c r="K379" s="365"/>
      <c r="M379" s="366"/>
    </row>
    <row r="380" spans="10:13" ht="15.75" customHeight="1">
      <c r="J380" s="365"/>
      <c r="K380" s="365"/>
      <c r="M380" s="366"/>
    </row>
    <row r="381" spans="10:13" ht="15.75" customHeight="1">
      <c r="J381" s="365"/>
      <c r="K381" s="365"/>
      <c r="M381" s="366"/>
    </row>
    <row r="382" spans="10:13" ht="15.75" customHeight="1">
      <c r="J382" s="365"/>
      <c r="K382" s="365"/>
      <c r="M382" s="366"/>
    </row>
    <row r="383" spans="10:13" ht="15.75" customHeight="1">
      <c r="J383" s="365"/>
      <c r="K383" s="365"/>
      <c r="M383" s="366"/>
    </row>
    <row r="384" spans="10:13" ht="15.75" customHeight="1">
      <c r="J384" s="365"/>
      <c r="K384" s="365"/>
      <c r="M384" s="366"/>
    </row>
    <row r="385" spans="10:13" ht="15.75" customHeight="1">
      <c r="J385" s="365"/>
      <c r="K385" s="365"/>
      <c r="M385" s="366"/>
    </row>
    <row r="386" spans="10:13" ht="15.75" customHeight="1">
      <c r="J386" s="365"/>
      <c r="K386" s="365"/>
      <c r="M386" s="366"/>
    </row>
    <row r="387" spans="10:13" ht="15.75" customHeight="1">
      <c r="J387" s="365"/>
      <c r="K387" s="365"/>
      <c r="M387" s="366"/>
    </row>
    <row r="388" spans="10:13" ht="15.75" customHeight="1">
      <c r="J388" s="365"/>
      <c r="K388" s="365"/>
      <c r="M388" s="366"/>
    </row>
    <row r="389" spans="10:13" ht="15.75" customHeight="1">
      <c r="J389" s="365"/>
      <c r="K389" s="365"/>
      <c r="M389" s="366"/>
    </row>
    <row r="390" spans="10:13" ht="15.75" customHeight="1">
      <c r="J390" s="365"/>
      <c r="K390" s="365"/>
      <c r="M390" s="366"/>
    </row>
    <row r="391" spans="10:13" ht="15.75" customHeight="1">
      <c r="J391" s="365"/>
      <c r="K391" s="365"/>
      <c r="M391" s="366"/>
    </row>
    <row r="392" spans="10:13" ht="15.75" customHeight="1">
      <c r="J392" s="365"/>
      <c r="K392" s="365"/>
      <c r="M392" s="366"/>
    </row>
    <row r="393" spans="10:13" ht="15.75" customHeight="1">
      <c r="J393" s="365"/>
      <c r="K393" s="365"/>
      <c r="M393" s="366"/>
    </row>
    <row r="394" spans="10:13" ht="15.75" customHeight="1">
      <c r="J394" s="365"/>
      <c r="K394" s="365"/>
      <c r="M394" s="366"/>
    </row>
    <row r="395" spans="10:13" ht="15.75" customHeight="1">
      <c r="J395" s="365"/>
      <c r="K395" s="365"/>
      <c r="M395" s="366"/>
    </row>
    <row r="396" spans="10:13" ht="15.75" customHeight="1">
      <c r="J396" s="365"/>
      <c r="K396" s="365"/>
      <c r="M396" s="366"/>
    </row>
    <row r="397" spans="10:13" ht="15.75" customHeight="1">
      <c r="J397" s="365"/>
      <c r="K397" s="365"/>
      <c r="M397" s="366"/>
    </row>
    <row r="398" spans="10:13" ht="15.75" customHeight="1">
      <c r="J398" s="365"/>
      <c r="K398" s="365"/>
      <c r="M398" s="366"/>
    </row>
    <row r="399" spans="10:13" ht="15.75" customHeight="1">
      <c r="J399" s="365"/>
      <c r="K399" s="365"/>
      <c r="M399" s="366"/>
    </row>
    <row r="400" spans="10:13" ht="15.75" customHeight="1">
      <c r="J400" s="365"/>
      <c r="K400" s="365"/>
      <c r="M400" s="366"/>
    </row>
    <row r="401" spans="10:13" ht="15.75" customHeight="1">
      <c r="J401" s="365"/>
      <c r="K401" s="365"/>
      <c r="M401" s="366"/>
    </row>
    <row r="402" spans="10:13" ht="15.75" customHeight="1">
      <c r="J402" s="365"/>
      <c r="K402" s="365"/>
      <c r="M402" s="366"/>
    </row>
    <row r="403" spans="10:13" ht="15.75" customHeight="1">
      <c r="J403" s="365"/>
      <c r="K403" s="365"/>
      <c r="M403" s="366"/>
    </row>
    <row r="404" spans="10:13" ht="15.75" customHeight="1">
      <c r="J404" s="365"/>
      <c r="K404" s="365"/>
      <c r="M404" s="366"/>
    </row>
    <row r="405" spans="10:13" ht="15.75" customHeight="1">
      <c r="J405" s="365"/>
      <c r="K405" s="365"/>
      <c r="M405" s="366"/>
    </row>
    <row r="406" spans="10:13" ht="15.75" customHeight="1">
      <c r="J406" s="365"/>
      <c r="K406" s="365"/>
      <c r="M406" s="366"/>
    </row>
    <row r="407" spans="10:13" ht="15.75" customHeight="1">
      <c r="J407" s="365"/>
      <c r="K407" s="365"/>
      <c r="M407" s="366"/>
    </row>
    <row r="408" spans="10:13" ht="15.75" customHeight="1">
      <c r="J408" s="365"/>
      <c r="K408" s="365"/>
      <c r="M408" s="366"/>
    </row>
    <row r="409" spans="10:13" ht="15.75" customHeight="1">
      <c r="J409" s="365"/>
      <c r="K409" s="365"/>
      <c r="M409" s="366"/>
    </row>
    <row r="410" spans="10:13" ht="15.75" customHeight="1">
      <c r="J410" s="365"/>
      <c r="K410" s="365"/>
      <c r="M410" s="366"/>
    </row>
    <row r="411" spans="10:13" ht="15.75" customHeight="1">
      <c r="J411" s="365"/>
      <c r="K411" s="365"/>
      <c r="M411" s="366"/>
    </row>
    <row r="412" spans="10:13" ht="15.75" customHeight="1">
      <c r="J412" s="365"/>
      <c r="K412" s="365"/>
      <c r="M412" s="366"/>
    </row>
    <row r="413" spans="10:13" ht="15.75" customHeight="1">
      <c r="J413" s="365"/>
      <c r="K413" s="365"/>
      <c r="M413" s="366"/>
    </row>
    <row r="414" spans="10:13" ht="15.75" customHeight="1">
      <c r="J414" s="365"/>
      <c r="K414" s="365"/>
      <c r="M414" s="366"/>
    </row>
    <row r="415" spans="10:13" ht="15.75" customHeight="1">
      <c r="J415" s="365"/>
      <c r="K415" s="365"/>
      <c r="M415" s="366"/>
    </row>
    <row r="416" spans="10:13" ht="15.75" customHeight="1">
      <c r="J416" s="365"/>
      <c r="K416" s="365"/>
      <c r="M416" s="366"/>
    </row>
    <row r="417" spans="10:13" ht="15.75" customHeight="1">
      <c r="J417" s="365"/>
      <c r="K417" s="365"/>
      <c r="M417" s="366"/>
    </row>
    <row r="418" spans="10:13" ht="15.75" customHeight="1">
      <c r="J418" s="365"/>
      <c r="K418" s="365"/>
      <c r="M418" s="366"/>
    </row>
    <row r="419" spans="10:13" ht="15.75" customHeight="1">
      <c r="J419" s="365"/>
      <c r="K419" s="365"/>
      <c r="M419" s="366"/>
    </row>
    <row r="420" spans="10:13" ht="15.75" customHeight="1">
      <c r="J420" s="365"/>
      <c r="K420" s="365"/>
      <c r="M420" s="366"/>
    </row>
    <row r="421" spans="10:13" ht="15.75" customHeight="1">
      <c r="J421" s="365"/>
      <c r="K421" s="365"/>
      <c r="M421" s="366"/>
    </row>
    <row r="422" spans="10:13" ht="15.75" customHeight="1">
      <c r="J422" s="365"/>
      <c r="K422" s="365"/>
      <c r="M422" s="366"/>
    </row>
    <row r="423" spans="10:13" ht="15.75" customHeight="1">
      <c r="J423" s="365"/>
      <c r="K423" s="365"/>
      <c r="M423" s="366"/>
    </row>
    <row r="424" spans="10:13" ht="15.75" customHeight="1">
      <c r="J424" s="365"/>
      <c r="K424" s="365"/>
      <c r="M424" s="366"/>
    </row>
    <row r="425" spans="10:13" ht="15.75" customHeight="1">
      <c r="J425" s="365"/>
      <c r="K425" s="365"/>
      <c r="M425" s="366"/>
    </row>
    <row r="426" spans="10:13" ht="15.75" customHeight="1">
      <c r="J426" s="365"/>
      <c r="K426" s="365"/>
      <c r="M426" s="366"/>
    </row>
    <row r="427" spans="10:13" ht="15.75" customHeight="1">
      <c r="J427" s="365"/>
      <c r="K427" s="365"/>
      <c r="M427" s="366"/>
    </row>
    <row r="428" spans="10:13" ht="15.75" customHeight="1">
      <c r="J428" s="365"/>
      <c r="K428" s="365"/>
      <c r="M428" s="366"/>
    </row>
    <row r="429" spans="10:13" ht="15.75" customHeight="1">
      <c r="J429" s="365"/>
      <c r="K429" s="365"/>
      <c r="M429" s="366"/>
    </row>
    <row r="430" spans="10:13" ht="15.75" customHeight="1">
      <c r="J430" s="365"/>
      <c r="K430" s="365"/>
      <c r="M430" s="366"/>
    </row>
    <row r="431" spans="10:13" ht="15.75" customHeight="1">
      <c r="J431" s="365"/>
      <c r="K431" s="365"/>
      <c r="M431" s="366"/>
    </row>
    <row r="432" spans="10:13" ht="15.75" customHeight="1">
      <c r="J432" s="365"/>
      <c r="K432" s="365"/>
      <c r="M432" s="366"/>
    </row>
    <row r="433" spans="10:13" ht="15.75" customHeight="1">
      <c r="J433" s="365"/>
      <c r="K433" s="365"/>
      <c r="M433" s="366"/>
    </row>
    <row r="434" spans="10:13" ht="15.75" customHeight="1">
      <c r="J434" s="365"/>
      <c r="K434" s="365"/>
      <c r="M434" s="366"/>
    </row>
    <row r="435" spans="10:13" ht="15.75" customHeight="1">
      <c r="J435" s="365"/>
      <c r="K435" s="365"/>
      <c r="M435" s="366"/>
    </row>
    <row r="436" spans="10:13" ht="15.75" customHeight="1">
      <c r="J436" s="365"/>
      <c r="K436" s="365"/>
      <c r="M436" s="366"/>
    </row>
    <row r="437" spans="10:13" ht="15.75" customHeight="1">
      <c r="J437" s="365"/>
      <c r="K437" s="365"/>
      <c r="M437" s="366"/>
    </row>
    <row r="438" spans="10:13" ht="15.75" customHeight="1">
      <c r="J438" s="365"/>
      <c r="K438" s="365"/>
      <c r="M438" s="366"/>
    </row>
    <row r="439" spans="10:13" ht="15.75" customHeight="1">
      <c r="J439" s="365"/>
      <c r="K439" s="365"/>
      <c r="M439" s="366"/>
    </row>
    <row r="440" spans="10:13" ht="15.75" customHeight="1">
      <c r="J440" s="365"/>
      <c r="K440" s="365"/>
      <c r="M440" s="366"/>
    </row>
    <row r="441" spans="10:13" ht="15.75" customHeight="1">
      <c r="J441" s="365"/>
      <c r="K441" s="365"/>
      <c r="M441" s="366"/>
    </row>
    <row r="442" spans="10:13" ht="15.75" customHeight="1">
      <c r="J442" s="365"/>
      <c r="K442" s="365"/>
      <c r="M442" s="366"/>
    </row>
    <row r="443" spans="10:13" ht="15.75" customHeight="1">
      <c r="J443" s="365"/>
      <c r="K443" s="365"/>
      <c r="M443" s="366"/>
    </row>
    <row r="444" spans="10:13" ht="15.75" customHeight="1">
      <c r="J444" s="365"/>
      <c r="K444" s="365"/>
      <c r="M444" s="366"/>
    </row>
    <row r="445" spans="10:13" ht="15.75" customHeight="1">
      <c r="J445" s="365"/>
      <c r="K445" s="365"/>
      <c r="M445" s="366"/>
    </row>
    <row r="446" spans="10:13" ht="15.75" customHeight="1">
      <c r="J446" s="365"/>
      <c r="K446" s="365"/>
      <c r="M446" s="366"/>
    </row>
    <row r="447" spans="10:13" ht="15.75" customHeight="1">
      <c r="J447" s="365"/>
      <c r="K447" s="365"/>
      <c r="M447" s="366"/>
    </row>
    <row r="448" spans="10:13" ht="15.75" customHeight="1">
      <c r="J448" s="365"/>
      <c r="K448" s="365"/>
      <c r="M448" s="366"/>
    </row>
    <row r="449" spans="10:13" ht="15.75" customHeight="1">
      <c r="J449" s="365"/>
      <c r="K449" s="365"/>
      <c r="M449" s="366"/>
    </row>
    <row r="450" spans="10:13" ht="15.75" customHeight="1">
      <c r="J450" s="365"/>
      <c r="K450" s="365"/>
      <c r="M450" s="366"/>
    </row>
    <row r="451" spans="10:13" ht="15.75" customHeight="1">
      <c r="J451" s="365"/>
      <c r="K451" s="365"/>
      <c r="M451" s="366"/>
    </row>
    <row r="452" spans="10:13" ht="15.75" customHeight="1">
      <c r="J452" s="365"/>
      <c r="K452" s="365"/>
      <c r="M452" s="366"/>
    </row>
    <row r="453" spans="10:13" ht="15.75" customHeight="1">
      <c r="J453" s="365"/>
      <c r="K453" s="365"/>
      <c r="M453" s="366"/>
    </row>
    <row r="454" spans="10:13" ht="15.75" customHeight="1">
      <c r="J454" s="365"/>
      <c r="K454" s="365"/>
      <c r="M454" s="366"/>
    </row>
    <row r="455" spans="10:13" ht="15.75" customHeight="1">
      <c r="J455" s="365"/>
      <c r="K455" s="365"/>
      <c r="M455" s="366"/>
    </row>
    <row r="456" spans="10:13" ht="15.75" customHeight="1">
      <c r="J456" s="365"/>
      <c r="K456" s="365"/>
      <c r="M456" s="366"/>
    </row>
    <row r="457" spans="10:13" ht="15.75" customHeight="1">
      <c r="J457" s="365"/>
      <c r="K457" s="365"/>
      <c r="M457" s="366"/>
    </row>
    <row r="458" spans="10:13" ht="15.75" customHeight="1">
      <c r="J458" s="365"/>
      <c r="K458" s="365"/>
      <c r="M458" s="366"/>
    </row>
    <row r="459" spans="10:13" ht="15.75" customHeight="1">
      <c r="J459" s="365"/>
      <c r="K459" s="365"/>
      <c r="M459" s="366"/>
    </row>
    <row r="460" spans="10:13" ht="15.75" customHeight="1">
      <c r="J460" s="365"/>
      <c r="K460" s="365"/>
      <c r="M460" s="366"/>
    </row>
    <row r="461" spans="10:13" ht="15.75" customHeight="1">
      <c r="J461" s="365"/>
      <c r="K461" s="365"/>
      <c r="M461" s="366"/>
    </row>
    <row r="462" spans="10:13" ht="15.75" customHeight="1">
      <c r="J462" s="365"/>
      <c r="K462" s="365"/>
      <c r="M462" s="366"/>
    </row>
    <row r="463" spans="10:13" ht="15.75" customHeight="1">
      <c r="J463" s="365"/>
      <c r="K463" s="365"/>
      <c r="M463" s="366"/>
    </row>
    <row r="464" spans="10:13" ht="15.75" customHeight="1">
      <c r="J464" s="365"/>
      <c r="K464" s="365"/>
      <c r="M464" s="366"/>
    </row>
    <row r="465" spans="10:13" ht="15.75" customHeight="1">
      <c r="J465" s="365"/>
      <c r="K465" s="365"/>
      <c r="M465" s="366"/>
    </row>
    <row r="466" spans="10:13" ht="15.75" customHeight="1">
      <c r="J466" s="365"/>
      <c r="K466" s="365"/>
      <c r="M466" s="366"/>
    </row>
    <row r="467" spans="10:13" ht="15.75" customHeight="1">
      <c r="J467" s="365"/>
      <c r="K467" s="365"/>
      <c r="M467" s="366"/>
    </row>
    <row r="468" spans="10:13" ht="15.75" customHeight="1">
      <c r="J468" s="365"/>
      <c r="K468" s="365"/>
      <c r="M468" s="366"/>
    </row>
    <row r="469" spans="10:13" ht="15.75" customHeight="1">
      <c r="J469" s="365"/>
      <c r="K469" s="365"/>
      <c r="M469" s="366"/>
    </row>
    <row r="470" spans="10:13" ht="15.75" customHeight="1">
      <c r="J470" s="365"/>
      <c r="K470" s="365"/>
      <c r="M470" s="366"/>
    </row>
    <row r="471" spans="10:13" ht="15.75" customHeight="1">
      <c r="J471" s="365"/>
      <c r="K471" s="365"/>
      <c r="M471" s="366"/>
    </row>
    <row r="472" spans="10:13" ht="15.75" customHeight="1">
      <c r="J472" s="365"/>
      <c r="K472" s="365"/>
      <c r="M472" s="366"/>
    </row>
    <row r="473" spans="10:13" ht="15.75" customHeight="1">
      <c r="J473" s="365"/>
      <c r="K473" s="365"/>
      <c r="M473" s="366"/>
    </row>
    <row r="474" spans="10:13" ht="15.75" customHeight="1">
      <c r="J474" s="365"/>
      <c r="K474" s="365"/>
      <c r="M474" s="366"/>
    </row>
    <row r="475" spans="10:13" ht="15.75" customHeight="1">
      <c r="J475" s="365"/>
      <c r="K475" s="365"/>
      <c r="M475" s="366"/>
    </row>
    <row r="476" spans="10:13" ht="15.75" customHeight="1">
      <c r="J476" s="365"/>
      <c r="K476" s="365"/>
      <c r="M476" s="366"/>
    </row>
    <row r="477" spans="10:13" ht="15.75" customHeight="1">
      <c r="J477" s="365"/>
      <c r="K477" s="365"/>
      <c r="M477" s="366"/>
    </row>
    <row r="478" spans="10:13" ht="15.75" customHeight="1">
      <c r="J478" s="365"/>
      <c r="K478" s="365"/>
      <c r="M478" s="366"/>
    </row>
    <row r="479" spans="10:13" ht="15.75" customHeight="1">
      <c r="J479" s="365"/>
      <c r="K479" s="365"/>
      <c r="M479" s="366"/>
    </row>
    <row r="480" spans="10:13" ht="15.75" customHeight="1">
      <c r="J480" s="365"/>
      <c r="K480" s="365"/>
      <c r="M480" s="366"/>
    </row>
    <row r="481" spans="10:13" ht="15.75" customHeight="1">
      <c r="J481" s="365"/>
      <c r="K481" s="365"/>
      <c r="M481" s="366"/>
    </row>
    <row r="482" spans="10:13" ht="15.75" customHeight="1">
      <c r="J482" s="365"/>
      <c r="K482" s="365"/>
      <c r="M482" s="366"/>
    </row>
    <row r="483" spans="10:13" ht="15.75" customHeight="1">
      <c r="J483" s="365"/>
      <c r="K483" s="365"/>
      <c r="M483" s="366"/>
    </row>
    <row r="484" spans="10:13" ht="15.75" customHeight="1">
      <c r="J484" s="365"/>
      <c r="K484" s="365"/>
      <c r="M484" s="366"/>
    </row>
    <row r="485" spans="10:13" ht="15.75" customHeight="1">
      <c r="J485" s="365"/>
      <c r="K485" s="365"/>
      <c r="M485" s="366"/>
    </row>
    <row r="486" spans="10:13" ht="15.75" customHeight="1">
      <c r="J486" s="365"/>
      <c r="K486" s="365"/>
      <c r="M486" s="366"/>
    </row>
    <row r="487" spans="10:13" ht="15.75" customHeight="1">
      <c r="J487" s="365"/>
      <c r="K487" s="365"/>
      <c r="M487" s="366"/>
    </row>
    <row r="488" spans="10:13" ht="15.75" customHeight="1">
      <c r="J488" s="365"/>
      <c r="K488" s="365"/>
      <c r="M488" s="366"/>
    </row>
    <row r="489" spans="10:13" ht="15.75" customHeight="1">
      <c r="J489" s="365"/>
      <c r="K489" s="365"/>
      <c r="M489" s="366"/>
    </row>
    <row r="490" spans="10:13" ht="15.75" customHeight="1">
      <c r="J490" s="365"/>
      <c r="K490" s="365"/>
      <c r="M490" s="366"/>
    </row>
    <row r="491" spans="10:13" ht="15.75" customHeight="1">
      <c r="J491" s="365"/>
      <c r="K491" s="365"/>
      <c r="M491" s="366"/>
    </row>
    <row r="492" spans="10:13" ht="15.75" customHeight="1">
      <c r="J492" s="365"/>
      <c r="K492" s="365"/>
      <c r="M492" s="366"/>
    </row>
    <row r="493" spans="10:13" ht="15.75" customHeight="1">
      <c r="J493" s="365"/>
      <c r="K493" s="365"/>
      <c r="M493" s="366"/>
    </row>
    <row r="494" spans="10:13" ht="15.75" customHeight="1">
      <c r="J494" s="365"/>
      <c r="K494" s="365"/>
      <c r="M494" s="366"/>
    </row>
    <row r="495" spans="10:13" ht="15.75" customHeight="1">
      <c r="J495" s="365"/>
      <c r="K495" s="365"/>
      <c r="M495" s="366"/>
    </row>
    <row r="496" spans="10:13" ht="15.75" customHeight="1">
      <c r="J496" s="365"/>
      <c r="K496" s="365"/>
      <c r="M496" s="366"/>
    </row>
    <row r="497" spans="10:13" ht="15.75" customHeight="1">
      <c r="J497" s="365"/>
      <c r="K497" s="365"/>
      <c r="M497" s="366"/>
    </row>
    <row r="498" spans="10:13" ht="15.75" customHeight="1">
      <c r="J498" s="365"/>
      <c r="K498" s="365"/>
      <c r="M498" s="366"/>
    </row>
    <row r="499" spans="10:13" ht="15.75" customHeight="1">
      <c r="J499" s="365"/>
      <c r="K499" s="365"/>
      <c r="M499" s="366"/>
    </row>
    <row r="500" spans="10:13" ht="15.75" customHeight="1">
      <c r="J500" s="365"/>
      <c r="K500" s="365"/>
      <c r="M500" s="366"/>
    </row>
    <row r="501" spans="10:13" ht="15.75" customHeight="1">
      <c r="J501" s="365"/>
      <c r="K501" s="365"/>
      <c r="M501" s="366"/>
    </row>
    <row r="502" spans="10:13" ht="15.75" customHeight="1">
      <c r="J502" s="365"/>
      <c r="K502" s="365"/>
      <c r="M502" s="366"/>
    </row>
    <row r="503" spans="10:13" ht="15.75" customHeight="1">
      <c r="J503" s="365"/>
      <c r="K503" s="365"/>
      <c r="M503" s="366"/>
    </row>
    <row r="504" spans="10:13" ht="15.75" customHeight="1">
      <c r="J504" s="365"/>
      <c r="K504" s="365"/>
      <c r="M504" s="366"/>
    </row>
    <row r="505" spans="10:13" ht="15.75" customHeight="1">
      <c r="J505" s="365"/>
      <c r="K505" s="365"/>
      <c r="M505" s="366"/>
    </row>
    <row r="506" spans="10:13" ht="15.75" customHeight="1">
      <c r="J506" s="365"/>
      <c r="K506" s="365"/>
      <c r="M506" s="366"/>
    </row>
    <row r="507" spans="10:13" ht="15.75" customHeight="1">
      <c r="J507" s="365"/>
      <c r="K507" s="365"/>
      <c r="M507" s="366"/>
    </row>
    <row r="508" spans="10:13" ht="15.75" customHeight="1">
      <c r="J508" s="365"/>
      <c r="K508" s="365"/>
      <c r="M508" s="366"/>
    </row>
    <row r="509" spans="10:13" ht="15.75" customHeight="1">
      <c r="J509" s="365"/>
      <c r="K509" s="365"/>
      <c r="M509" s="366"/>
    </row>
    <row r="510" spans="10:13" ht="15.75" customHeight="1">
      <c r="J510" s="365"/>
      <c r="K510" s="365"/>
      <c r="M510" s="366"/>
    </row>
    <row r="511" spans="10:13" ht="15.75" customHeight="1">
      <c r="J511" s="365"/>
      <c r="K511" s="365"/>
      <c r="M511" s="366"/>
    </row>
    <row r="512" spans="10:13" ht="15.75" customHeight="1">
      <c r="J512" s="365"/>
      <c r="K512" s="365"/>
      <c r="M512" s="366"/>
    </row>
    <row r="513" spans="10:13" ht="15.75" customHeight="1">
      <c r="J513" s="365"/>
      <c r="K513" s="365"/>
      <c r="M513" s="366"/>
    </row>
    <row r="514" spans="10:13" ht="15.75" customHeight="1">
      <c r="J514" s="365"/>
      <c r="K514" s="365"/>
      <c r="M514" s="366"/>
    </row>
    <row r="515" spans="10:13" ht="15.75" customHeight="1">
      <c r="J515" s="365"/>
      <c r="K515" s="365"/>
      <c r="M515" s="366"/>
    </row>
    <row r="516" spans="10:13" ht="15.75" customHeight="1">
      <c r="J516" s="365"/>
      <c r="K516" s="365"/>
      <c r="M516" s="366"/>
    </row>
    <row r="517" spans="10:13" ht="15.75" customHeight="1">
      <c r="J517" s="365"/>
      <c r="K517" s="365"/>
      <c r="M517" s="366"/>
    </row>
    <row r="518" spans="10:13" ht="15.75" customHeight="1">
      <c r="J518" s="365"/>
      <c r="K518" s="365"/>
      <c r="M518" s="366"/>
    </row>
    <row r="519" spans="10:13" ht="15.75" customHeight="1">
      <c r="J519" s="365"/>
      <c r="K519" s="365"/>
      <c r="M519" s="366"/>
    </row>
    <row r="520" spans="10:13" ht="15.75" customHeight="1">
      <c r="J520" s="365"/>
      <c r="K520" s="365"/>
      <c r="M520" s="366"/>
    </row>
    <row r="521" spans="10:13" ht="15.75" customHeight="1">
      <c r="J521" s="365"/>
      <c r="K521" s="365"/>
      <c r="M521" s="366"/>
    </row>
    <row r="522" spans="10:13" ht="15.75" customHeight="1">
      <c r="J522" s="365"/>
      <c r="K522" s="365"/>
      <c r="M522" s="366"/>
    </row>
    <row r="523" spans="10:13" ht="15.75" customHeight="1">
      <c r="J523" s="365"/>
      <c r="K523" s="365"/>
      <c r="M523" s="366"/>
    </row>
    <row r="524" spans="10:13" ht="15.75" customHeight="1">
      <c r="J524" s="365"/>
      <c r="K524" s="365"/>
      <c r="M524" s="366"/>
    </row>
    <row r="525" spans="10:13" ht="15.75" customHeight="1">
      <c r="J525" s="365"/>
      <c r="K525" s="365"/>
      <c r="M525" s="366"/>
    </row>
    <row r="526" spans="10:13" ht="15.75" customHeight="1">
      <c r="J526" s="365"/>
      <c r="K526" s="365"/>
      <c r="M526" s="366"/>
    </row>
    <row r="527" spans="10:13" ht="15.75" customHeight="1">
      <c r="J527" s="365"/>
      <c r="K527" s="365"/>
      <c r="M527" s="366"/>
    </row>
    <row r="528" spans="10:13" ht="15.75" customHeight="1">
      <c r="J528" s="365"/>
      <c r="K528" s="365"/>
      <c r="M528" s="366"/>
    </row>
    <row r="529" spans="10:13" ht="15.75" customHeight="1">
      <c r="J529" s="365"/>
      <c r="K529" s="365"/>
      <c r="M529" s="366"/>
    </row>
    <row r="530" spans="10:13" ht="15.75" customHeight="1">
      <c r="J530" s="365"/>
      <c r="K530" s="365"/>
      <c r="M530" s="366"/>
    </row>
    <row r="531" spans="10:13" ht="15.75" customHeight="1">
      <c r="J531" s="365"/>
      <c r="K531" s="365"/>
      <c r="M531" s="366"/>
    </row>
    <row r="532" spans="10:13" ht="15.75" customHeight="1">
      <c r="J532" s="365"/>
      <c r="K532" s="365"/>
      <c r="M532" s="366"/>
    </row>
    <row r="533" spans="10:13" ht="15.75" customHeight="1">
      <c r="J533" s="365"/>
      <c r="K533" s="365"/>
      <c r="M533" s="366"/>
    </row>
    <row r="534" spans="10:13" ht="15.75" customHeight="1">
      <c r="J534" s="365"/>
      <c r="K534" s="365"/>
      <c r="M534" s="366"/>
    </row>
    <row r="535" spans="10:13" ht="15.75" customHeight="1">
      <c r="J535" s="365"/>
      <c r="K535" s="365"/>
      <c r="M535" s="366"/>
    </row>
    <row r="536" spans="10:13" ht="15.75" customHeight="1">
      <c r="J536" s="365"/>
      <c r="K536" s="365"/>
      <c r="M536" s="366"/>
    </row>
    <row r="537" spans="10:13" ht="15.75" customHeight="1">
      <c r="J537" s="365"/>
      <c r="K537" s="365"/>
      <c r="M537" s="366"/>
    </row>
    <row r="538" spans="10:13" ht="15.75" customHeight="1">
      <c r="J538" s="365"/>
      <c r="K538" s="365"/>
      <c r="M538" s="366"/>
    </row>
    <row r="539" spans="10:13" ht="15.75" customHeight="1">
      <c r="J539" s="365"/>
      <c r="K539" s="365"/>
      <c r="M539" s="366"/>
    </row>
    <row r="540" spans="10:13" ht="15.75" customHeight="1">
      <c r="J540" s="365"/>
      <c r="K540" s="365"/>
      <c r="M540" s="366"/>
    </row>
    <row r="541" spans="10:13" ht="15.75" customHeight="1">
      <c r="J541" s="365"/>
      <c r="K541" s="365"/>
      <c r="M541" s="366"/>
    </row>
    <row r="542" spans="10:13" ht="15.75" customHeight="1">
      <c r="J542" s="365"/>
      <c r="K542" s="365"/>
      <c r="M542" s="366"/>
    </row>
    <row r="543" spans="10:13" ht="15.75" customHeight="1">
      <c r="J543" s="365"/>
      <c r="K543" s="365"/>
      <c r="M543" s="366"/>
    </row>
    <row r="544" spans="10:13" ht="15.75" customHeight="1">
      <c r="J544" s="365"/>
      <c r="K544" s="365"/>
      <c r="M544" s="366"/>
    </row>
    <row r="545" spans="10:13" ht="15.75" customHeight="1">
      <c r="J545" s="365"/>
      <c r="K545" s="365"/>
      <c r="M545" s="366"/>
    </row>
    <row r="546" spans="10:13" ht="15.75" customHeight="1">
      <c r="J546" s="365"/>
      <c r="K546" s="365"/>
      <c r="M546" s="366"/>
    </row>
    <row r="547" spans="10:13" ht="15.75" customHeight="1">
      <c r="J547" s="365"/>
      <c r="K547" s="365"/>
      <c r="M547" s="366"/>
    </row>
    <row r="548" spans="10:13" ht="15.75" customHeight="1">
      <c r="J548" s="365"/>
      <c r="K548" s="365"/>
      <c r="M548" s="366"/>
    </row>
    <row r="549" spans="10:13" ht="15.75" customHeight="1">
      <c r="J549" s="365"/>
      <c r="K549" s="365"/>
      <c r="M549" s="366"/>
    </row>
    <row r="550" spans="10:13" ht="15.75" customHeight="1">
      <c r="J550" s="365"/>
      <c r="K550" s="365"/>
      <c r="M550" s="366"/>
    </row>
    <row r="551" spans="10:13" ht="15.75" customHeight="1">
      <c r="J551" s="365"/>
      <c r="K551" s="365"/>
      <c r="M551" s="366"/>
    </row>
    <row r="552" spans="10:13" ht="15.75" customHeight="1">
      <c r="J552" s="365"/>
      <c r="K552" s="365"/>
      <c r="M552" s="366"/>
    </row>
    <row r="553" spans="10:13" ht="15.75" customHeight="1">
      <c r="J553" s="365"/>
      <c r="K553" s="365"/>
      <c r="M553" s="366"/>
    </row>
    <row r="554" spans="10:13" ht="15.75" customHeight="1">
      <c r="J554" s="365"/>
      <c r="K554" s="365"/>
      <c r="M554" s="366"/>
    </row>
    <row r="555" spans="10:13" ht="15.75" customHeight="1">
      <c r="J555" s="365"/>
      <c r="K555" s="365"/>
      <c r="M555" s="366"/>
    </row>
    <row r="556" spans="10:13" ht="15.75" customHeight="1">
      <c r="J556" s="365"/>
      <c r="K556" s="365"/>
      <c r="M556" s="366"/>
    </row>
    <row r="557" spans="10:13" ht="15.75" customHeight="1">
      <c r="J557" s="365"/>
      <c r="K557" s="365"/>
      <c r="M557" s="366"/>
    </row>
    <row r="558" spans="10:13" ht="15.75" customHeight="1">
      <c r="J558" s="365"/>
      <c r="K558" s="365"/>
      <c r="M558" s="366"/>
    </row>
    <row r="559" spans="10:13" ht="15.75" customHeight="1">
      <c r="J559" s="365"/>
      <c r="K559" s="365"/>
      <c r="M559" s="366"/>
    </row>
    <row r="560" spans="10:13" ht="15.75" customHeight="1">
      <c r="J560" s="365"/>
      <c r="K560" s="365"/>
      <c r="M560" s="366"/>
    </row>
    <row r="561" spans="10:13" ht="15.75" customHeight="1">
      <c r="J561" s="365"/>
      <c r="K561" s="365"/>
      <c r="M561" s="366"/>
    </row>
    <row r="562" spans="10:13" ht="15.75" customHeight="1">
      <c r="J562" s="365"/>
      <c r="K562" s="365"/>
      <c r="M562" s="366"/>
    </row>
    <row r="563" spans="10:13" ht="15.75" customHeight="1">
      <c r="J563" s="365"/>
      <c r="K563" s="365"/>
      <c r="M563" s="366"/>
    </row>
    <row r="564" spans="10:13" ht="15.75" customHeight="1">
      <c r="J564" s="365"/>
      <c r="K564" s="365"/>
      <c r="M564" s="366"/>
    </row>
    <row r="565" spans="10:13" ht="15.75" customHeight="1">
      <c r="J565" s="365"/>
      <c r="K565" s="365"/>
      <c r="M565" s="366"/>
    </row>
    <row r="566" spans="10:13" ht="15.75" customHeight="1">
      <c r="J566" s="365"/>
      <c r="K566" s="365"/>
      <c r="M566" s="366"/>
    </row>
    <row r="567" spans="10:13" ht="15.75" customHeight="1">
      <c r="J567" s="365"/>
      <c r="K567" s="365"/>
      <c r="M567" s="366"/>
    </row>
    <row r="568" spans="10:13" ht="15.75" customHeight="1">
      <c r="J568" s="365"/>
      <c r="K568" s="365"/>
      <c r="M568" s="366"/>
    </row>
    <row r="569" spans="10:13" ht="15.75" customHeight="1">
      <c r="J569" s="365"/>
      <c r="K569" s="365"/>
      <c r="M569" s="366"/>
    </row>
    <row r="570" spans="10:13" ht="15.75" customHeight="1">
      <c r="J570" s="365"/>
      <c r="K570" s="365"/>
      <c r="M570" s="366"/>
    </row>
    <row r="571" spans="10:13" ht="15.75" customHeight="1">
      <c r="J571" s="365"/>
      <c r="K571" s="365"/>
      <c r="M571" s="366"/>
    </row>
    <row r="572" spans="10:13" ht="15.75" customHeight="1">
      <c r="J572" s="365"/>
      <c r="K572" s="365"/>
      <c r="M572" s="366"/>
    </row>
    <row r="573" spans="10:13" ht="15.75" customHeight="1">
      <c r="J573" s="365"/>
      <c r="K573" s="365"/>
      <c r="M573" s="366"/>
    </row>
    <row r="574" spans="10:13" ht="15.75" customHeight="1">
      <c r="J574" s="365"/>
      <c r="K574" s="365"/>
      <c r="M574" s="366"/>
    </row>
    <row r="575" spans="10:13" ht="15.75" customHeight="1">
      <c r="J575" s="365"/>
      <c r="K575" s="365"/>
      <c r="M575" s="366"/>
    </row>
    <row r="576" spans="10:13" ht="15.75" customHeight="1">
      <c r="J576" s="365"/>
      <c r="K576" s="365"/>
      <c r="M576" s="366"/>
    </row>
    <row r="577" spans="10:13" ht="15.75" customHeight="1">
      <c r="J577" s="365"/>
      <c r="K577" s="365"/>
      <c r="M577" s="366"/>
    </row>
    <row r="578" spans="10:13" ht="15.75" customHeight="1">
      <c r="J578" s="365"/>
      <c r="K578" s="365"/>
      <c r="M578" s="366"/>
    </row>
    <row r="579" spans="10:13" ht="15.75" customHeight="1">
      <c r="J579" s="365"/>
      <c r="K579" s="365"/>
      <c r="M579" s="366"/>
    </row>
    <row r="580" spans="10:13" ht="15.75" customHeight="1">
      <c r="J580" s="365"/>
      <c r="K580" s="365"/>
      <c r="M580" s="366"/>
    </row>
    <row r="581" spans="10:13" ht="15.75" customHeight="1">
      <c r="J581" s="365"/>
      <c r="K581" s="365"/>
      <c r="M581" s="366"/>
    </row>
    <row r="582" spans="10:13" ht="15.75" customHeight="1">
      <c r="J582" s="365"/>
      <c r="K582" s="365"/>
      <c r="M582" s="366"/>
    </row>
    <row r="583" spans="10:13" ht="15.75" customHeight="1">
      <c r="J583" s="365"/>
      <c r="K583" s="365"/>
      <c r="M583" s="366"/>
    </row>
    <row r="584" spans="10:13" ht="15.75" customHeight="1">
      <c r="J584" s="365"/>
      <c r="K584" s="365"/>
      <c r="M584" s="366"/>
    </row>
    <row r="585" spans="10:13" ht="15.75" customHeight="1">
      <c r="J585" s="365"/>
      <c r="K585" s="365"/>
      <c r="M585" s="366"/>
    </row>
    <row r="586" spans="10:13" ht="15.75" customHeight="1">
      <c r="J586" s="365"/>
      <c r="K586" s="365"/>
      <c r="M586" s="366"/>
    </row>
    <row r="587" spans="10:13" ht="15.75" customHeight="1">
      <c r="J587" s="365"/>
      <c r="K587" s="365"/>
      <c r="M587" s="366"/>
    </row>
    <row r="588" spans="10:13" ht="15.75" customHeight="1">
      <c r="J588" s="365"/>
      <c r="K588" s="365"/>
      <c r="M588" s="366"/>
    </row>
    <row r="589" spans="10:13" ht="15.75" customHeight="1">
      <c r="J589" s="365"/>
      <c r="K589" s="365"/>
      <c r="M589" s="366"/>
    </row>
    <row r="590" spans="10:13" ht="15.75" customHeight="1">
      <c r="J590" s="365"/>
      <c r="K590" s="365"/>
      <c r="M590" s="366"/>
    </row>
    <row r="591" spans="10:13" ht="15.75" customHeight="1">
      <c r="J591" s="365"/>
      <c r="K591" s="365"/>
      <c r="M591" s="366"/>
    </row>
    <row r="592" spans="10:13" ht="15.75" customHeight="1">
      <c r="J592" s="365"/>
      <c r="K592" s="365"/>
      <c r="M592" s="366"/>
    </row>
    <row r="593" spans="10:13" ht="15.75" customHeight="1">
      <c r="J593" s="365"/>
      <c r="K593" s="365"/>
      <c r="M593" s="366"/>
    </row>
    <row r="594" spans="10:13" ht="15.75" customHeight="1">
      <c r="J594" s="365"/>
      <c r="K594" s="365"/>
      <c r="M594" s="366"/>
    </row>
    <row r="595" spans="10:13" ht="15.75" customHeight="1">
      <c r="J595" s="365"/>
      <c r="K595" s="365"/>
      <c r="M595" s="366"/>
    </row>
    <row r="596" spans="10:13" ht="15.75" customHeight="1">
      <c r="J596" s="365"/>
      <c r="K596" s="365"/>
      <c r="M596" s="366"/>
    </row>
    <row r="597" spans="10:13" ht="15.75" customHeight="1">
      <c r="J597" s="365"/>
      <c r="K597" s="365"/>
      <c r="M597" s="366"/>
    </row>
    <row r="598" spans="10:13" ht="15.75" customHeight="1">
      <c r="J598" s="365"/>
      <c r="K598" s="365"/>
      <c r="M598" s="366"/>
    </row>
    <row r="599" spans="10:13" ht="15.75" customHeight="1">
      <c r="J599" s="365"/>
      <c r="K599" s="365"/>
      <c r="M599" s="366"/>
    </row>
    <row r="600" spans="10:13" ht="15.75" customHeight="1">
      <c r="J600" s="365"/>
      <c r="K600" s="365"/>
      <c r="M600" s="366"/>
    </row>
    <row r="601" spans="10:13" ht="15.75" customHeight="1">
      <c r="J601" s="365"/>
      <c r="K601" s="365"/>
      <c r="M601" s="366"/>
    </row>
    <row r="602" spans="10:13" ht="15.75" customHeight="1">
      <c r="J602" s="365"/>
      <c r="K602" s="365"/>
      <c r="M602" s="366"/>
    </row>
    <row r="603" spans="10:13" ht="15.75" customHeight="1">
      <c r="J603" s="365"/>
      <c r="K603" s="365"/>
      <c r="M603" s="366"/>
    </row>
    <row r="604" spans="10:13" ht="15.75" customHeight="1">
      <c r="J604" s="365"/>
      <c r="K604" s="365"/>
      <c r="M604" s="366"/>
    </row>
    <row r="605" spans="10:13" ht="15.75" customHeight="1">
      <c r="J605" s="365"/>
      <c r="K605" s="365"/>
      <c r="M605" s="366"/>
    </row>
    <row r="606" spans="10:13" ht="15.75" customHeight="1">
      <c r="J606" s="365"/>
      <c r="K606" s="365"/>
      <c r="M606" s="366"/>
    </row>
    <row r="607" spans="10:13" ht="15.75" customHeight="1">
      <c r="J607" s="365"/>
      <c r="K607" s="365"/>
      <c r="M607" s="366"/>
    </row>
    <row r="608" spans="10:13" ht="15.75" customHeight="1">
      <c r="J608" s="365"/>
      <c r="K608" s="365"/>
      <c r="M608" s="366"/>
    </row>
    <row r="609" spans="10:13" ht="15.75" customHeight="1">
      <c r="J609" s="365"/>
      <c r="K609" s="365"/>
      <c r="M609" s="366"/>
    </row>
    <row r="610" spans="10:13" ht="15.75" customHeight="1">
      <c r="J610" s="365"/>
      <c r="K610" s="365"/>
      <c r="M610" s="366"/>
    </row>
    <row r="611" spans="10:13" ht="15.75" customHeight="1">
      <c r="J611" s="365"/>
      <c r="K611" s="365"/>
      <c r="M611" s="366"/>
    </row>
    <row r="612" spans="10:13" ht="15.75" customHeight="1">
      <c r="J612" s="365"/>
      <c r="K612" s="365"/>
      <c r="M612" s="366"/>
    </row>
    <row r="613" spans="10:13" ht="15.75" customHeight="1">
      <c r="J613" s="365"/>
      <c r="K613" s="365"/>
      <c r="M613" s="366"/>
    </row>
    <row r="614" spans="10:13" ht="15.75" customHeight="1">
      <c r="J614" s="365"/>
      <c r="K614" s="365"/>
      <c r="M614" s="366"/>
    </row>
    <row r="615" spans="10:13" ht="15.75" customHeight="1">
      <c r="J615" s="365"/>
      <c r="K615" s="365"/>
      <c r="M615" s="366"/>
    </row>
    <row r="616" spans="10:13" ht="15.75" customHeight="1">
      <c r="J616" s="365"/>
      <c r="K616" s="365"/>
      <c r="M616" s="366"/>
    </row>
    <row r="617" spans="10:13" ht="15.75" customHeight="1">
      <c r="J617" s="365"/>
      <c r="K617" s="365"/>
      <c r="M617" s="366"/>
    </row>
    <row r="618" spans="10:13" ht="15.75" customHeight="1">
      <c r="J618" s="365"/>
      <c r="K618" s="365"/>
      <c r="M618" s="366"/>
    </row>
    <row r="619" spans="10:13" ht="15.75" customHeight="1">
      <c r="J619" s="365"/>
      <c r="K619" s="365"/>
      <c r="M619" s="366"/>
    </row>
    <row r="620" spans="10:13" ht="15.75" customHeight="1">
      <c r="J620" s="365"/>
      <c r="K620" s="365"/>
      <c r="M620" s="366"/>
    </row>
    <row r="621" spans="10:13" ht="15.75" customHeight="1">
      <c r="J621" s="365"/>
      <c r="K621" s="365"/>
      <c r="M621" s="366"/>
    </row>
    <row r="622" spans="10:13" ht="15.75" customHeight="1">
      <c r="J622" s="365"/>
      <c r="K622" s="365"/>
      <c r="M622" s="366"/>
    </row>
    <row r="623" spans="10:13" ht="15.75" customHeight="1">
      <c r="J623" s="365"/>
      <c r="K623" s="365"/>
      <c r="M623" s="366"/>
    </row>
    <row r="624" spans="10:13" ht="15.75" customHeight="1">
      <c r="J624" s="365"/>
      <c r="K624" s="365"/>
      <c r="M624" s="366"/>
    </row>
    <row r="625" spans="10:13" ht="15.75" customHeight="1">
      <c r="J625" s="365"/>
      <c r="K625" s="365"/>
      <c r="M625" s="366"/>
    </row>
    <row r="626" spans="10:13" ht="15.75" customHeight="1">
      <c r="J626" s="365"/>
      <c r="K626" s="365"/>
      <c r="M626" s="366"/>
    </row>
    <row r="627" spans="10:13" ht="15.75" customHeight="1">
      <c r="J627" s="365"/>
      <c r="K627" s="365"/>
      <c r="M627" s="366"/>
    </row>
    <row r="628" spans="10:13" ht="15.75" customHeight="1">
      <c r="J628" s="365"/>
      <c r="K628" s="365"/>
      <c r="M628" s="366"/>
    </row>
    <row r="629" spans="10:13" ht="15.75" customHeight="1">
      <c r="J629" s="365"/>
      <c r="K629" s="365"/>
      <c r="M629" s="366"/>
    </row>
    <row r="630" spans="10:13" ht="15.75" customHeight="1">
      <c r="J630" s="365"/>
      <c r="K630" s="365"/>
      <c r="M630" s="366"/>
    </row>
    <row r="631" spans="10:13" ht="15.75" customHeight="1">
      <c r="J631" s="365"/>
      <c r="K631" s="365"/>
      <c r="M631" s="366"/>
    </row>
    <row r="632" spans="10:13" ht="15.75" customHeight="1">
      <c r="J632" s="365"/>
      <c r="K632" s="365"/>
      <c r="M632" s="366"/>
    </row>
    <row r="633" spans="10:13" ht="15.75" customHeight="1">
      <c r="J633" s="365"/>
      <c r="K633" s="365"/>
      <c r="M633" s="366"/>
    </row>
    <row r="634" spans="10:13" ht="15.75" customHeight="1">
      <c r="J634" s="365"/>
      <c r="K634" s="365"/>
      <c r="M634" s="366"/>
    </row>
    <row r="635" spans="10:13" ht="15.75" customHeight="1">
      <c r="J635" s="365"/>
      <c r="K635" s="365"/>
      <c r="M635" s="366"/>
    </row>
    <row r="636" spans="10:13" ht="15.75" customHeight="1">
      <c r="J636" s="365"/>
      <c r="K636" s="365"/>
      <c r="M636" s="366"/>
    </row>
    <row r="637" spans="10:13" ht="15.75" customHeight="1">
      <c r="J637" s="365"/>
      <c r="K637" s="365"/>
      <c r="M637" s="366"/>
    </row>
    <row r="638" spans="10:13" ht="15.75" customHeight="1">
      <c r="J638" s="365"/>
      <c r="K638" s="365"/>
      <c r="M638" s="366"/>
    </row>
    <row r="639" spans="10:13" ht="15.75" customHeight="1">
      <c r="J639" s="365"/>
      <c r="K639" s="365"/>
      <c r="M639" s="366"/>
    </row>
    <row r="640" spans="10:13" ht="15.75" customHeight="1">
      <c r="J640" s="365"/>
      <c r="K640" s="365"/>
      <c r="M640" s="366"/>
    </row>
    <row r="641" spans="10:13" ht="15.75" customHeight="1">
      <c r="J641" s="365"/>
      <c r="K641" s="365"/>
      <c r="M641" s="366"/>
    </row>
    <row r="642" spans="10:13" ht="15.75" customHeight="1">
      <c r="J642" s="365"/>
      <c r="K642" s="365"/>
      <c r="M642" s="366"/>
    </row>
    <row r="643" spans="10:13" ht="15.75" customHeight="1">
      <c r="J643" s="365"/>
      <c r="K643" s="365"/>
      <c r="M643" s="366"/>
    </row>
    <row r="644" spans="10:13" ht="15.75" customHeight="1">
      <c r="J644" s="365"/>
      <c r="K644" s="365"/>
      <c r="M644" s="366"/>
    </row>
    <row r="645" spans="10:13" ht="15.75" customHeight="1">
      <c r="J645" s="365"/>
      <c r="K645" s="365"/>
      <c r="M645" s="366"/>
    </row>
    <row r="646" spans="10:13" ht="15.75" customHeight="1">
      <c r="J646" s="365"/>
      <c r="K646" s="365"/>
      <c r="M646" s="366"/>
    </row>
    <row r="647" spans="10:13" ht="15.75" customHeight="1">
      <c r="J647" s="365"/>
      <c r="K647" s="365"/>
      <c r="M647" s="366"/>
    </row>
    <row r="648" spans="10:13" ht="15.75" customHeight="1">
      <c r="J648" s="365"/>
      <c r="K648" s="365"/>
      <c r="M648" s="366"/>
    </row>
    <row r="649" spans="10:13" ht="15.75" customHeight="1">
      <c r="J649" s="365"/>
      <c r="K649" s="365"/>
      <c r="M649" s="366"/>
    </row>
    <row r="650" spans="10:13" ht="15.75" customHeight="1">
      <c r="J650" s="365"/>
      <c r="K650" s="365"/>
      <c r="M650" s="366"/>
    </row>
    <row r="651" spans="10:13" ht="15.75" customHeight="1">
      <c r="J651" s="365"/>
      <c r="K651" s="365"/>
      <c r="M651" s="366"/>
    </row>
    <row r="652" spans="10:13" ht="15.75" customHeight="1">
      <c r="J652" s="365"/>
      <c r="K652" s="365"/>
      <c r="M652" s="366"/>
    </row>
    <row r="653" spans="10:13" ht="15.75" customHeight="1">
      <c r="J653" s="365"/>
      <c r="K653" s="365"/>
      <c r="M653" s="366"/>
    </row>
    <row r="654" spans="10:13" ht="15.75" customHeight="1">
      <c r="J654" s="365"/>
      <c r="K654" s="365"/>
      <c r="M654" s="366"/>
    </row>
    <row r="655" spans="10:13" ht="15.75" customHeight="1">
      <c r="J655" s="365"/>
      <c r="K655" s="365"/>
      <c r="M655" s="366"/>
    </row>
    <row r="656" spans="10:13" ht="15.75" customHeight="1">
      <c r="J656" s="365"/>
      <c r="K656" s="365"/>
      <c r="M656" s="366"/>
    </row>
    <row r="657" spans="10:13" ht="15.75" customHeight="1">
      <c r="J657" s="365"/>
      <c r="K657" s="365"/>
      <c r="M657" s="366"/>
    </row>
    <row r="658" spans="10:13" ht="15.75" customHeight="1">
      <c r="J658" s="365"/>
      <c r="K658" s="365"/>
      <c r="M658" s="366"/>
    </row>
    <row r="659" spans="10:13" ht="15.75" customHeight="1">
      <c r="J659" s="365"/>
      <c r="K659" s="365"/>
      <c r="M659" s="366"/>
    </row>
    <row r="660" spans="10:13" ht="15.75" customHeight="1">
      <c r="J660" s="365"/>
      <c r="K660" s="365"/>
      <c r="M660" s="366"/>
    </row>
    <row r="661" spans="10:13" ht="15.75" customHeight="1">
      <c r="J661" s="365"/>
      <c r="K661" s="365"/>
      <c r="M661" s="366"/>
    </row>
    <row r="662" spans="10:13" ht="15.75" customHeight="1">
      <c r="J662" s="365"/>
      <c r="K662" s="365"/>
      <c r="M662" s="366"/>
    </row>
    <row r="663" spans="10:13" ht="15.75" customHeight="1">
      <c r="J663" s="365"/>
      <c r="K663" s="365"/>
      <c r="M663" s="366"/>
    </row>
    <row r="664" spans="10:13" ht="15.75" customHeight="1">
      <c r="J664" s="365"/>
      <c r="K664" s="365"/>
      <c r="M664" s="366"/>
    </row>
    <row r="665" spans="10:13" ht="15.75" customHeight="1">
      <c r="J665" s="365"/>
      <c r="K665" s="365"/>
      <c r="M665" s="366"/>
    </row>
    <row r="666" spans="10:13" ht="15.75" customHeight="1">
      <c r="J666" s="365"/>
      <c r="K666" s="365"/>
      <c r="M666" s="366"/>
    </row>
    <row r="667" spans="10:13" ht="15.75" customHeight="1">
      <c r="J667" s="365"/>
      <c r="K667" s="365"/>
      <c r="M667" s="366"/>
    </row>
    <row r="668" spans="10:13" ht="15.75" customHeight="1">
      <c r="J668" s="365"/>
      <c r="K668" s="365"/>
      <c r="M668" s="366"/>
    </row>
    <row r="669" spans="10:13" ht="15.75" customHeight="1">
      <c r="J669" s="365"/>
      <c r="K669" s="365"/>
      <c r="M669" s="366"/>
    </row>
    <row r="670" spans="10:13" ht="15.75" customHeight="1">
      <c r="J670" s="365"/>
      <c r="K670" s="365"/>
      <c r="M670" s="366"/>
    </row>
    <row r="671" spans="10:13" ht="15.75" customHeight="1">
      <c r="J671" s="365"/>
      <c r="K671" s="365"/>
      <c r="M671" s="366"/>
    </row>
    <row r="672" spans="10:13" ht="15.75" customHeight="1">
      <c r="J672" s="365"/>
      <c r="K672" s="365"/>
      <c r="M672" s="366"/>
    </row>
    <row r="673" spans="10:13" ht="15.75" customHeight="1">
      <c r="J673" s="365"/>
      <c r="K673" s="365"/>
      <c r="M673" s="366"/>
    </row>
    <row r="674" spans="10:13" ht="15.75" customHeight="1">
      <c r="J674" s="365"/>
      <c r="K674" s="365"/>
      <c r="M674" s="366"/>
    </row>
    <row r="675" spans="10:13" ht="15.75" customHeight="1">
      <c r="J675" s="365"/>
      <c r="K675" s="365"/>
      <c r="M675" s="366"/>
    </row>
    <row r="676" spans="10:13" ht="15.75" customHeight="1">
      <c r="J676" s="365"/>
      <c r="K676" s="365"/>
      <c r="M676" s="366"/>
    </row>
    <row r="677" spans="10:13" ht="15.75" customHeight="1">
      <c r="J677" s="365"/>
      <c r="K677" s="365"/>
      <c r="M677" s="366"/>
    </row>
    <row r="678" spans="10:13" ht="15.75" customHeight="1">
      <c r="J678" s="365"/>
      <c r="K678" s="365"/>
      <c r="M678" s="366"/>
    </row>
    <row r="679" spans="10:13" ht="15.75" customHeight="1">
      <c r="J679" s="365"/>
      <c r="K679" s="365"/>
      <c r="M679" s="366"/>
    </row>
    <row r="680" spans="10:13" ht="15.75" customHeight="1">
      <c r="J680" s="365"/>
      <c r="K680" s="365"/>
      <c r="M680" s="366"/>
    </row>
    <row r="681" spans="10:13" ht="15.75" customHeight="1">
      <c r="J681" s="365"/>
      <c r="K681" s="365"/>
      <c r="M681" s="366"/>
    </row>
    <row r="682" spans="10:13" ht="15.75" customHeight="1">
      <c r="J682" s="365"/>
      <c r="K682" s="365"/>
      <c r="M682" s="366"/>
    </row>
    <row r="683" spans="10:13" ht="15.75" customHeight="1">
      <c r="J683" s="365"/>
      <c r="K683" s="365"/>
      <c r="M683" s="366"/>
    </row>
    <row r="684" spans="10:13" ht="15.75" customHeight="1">
      <c r="J684" s="365"/>
      <c r="K684" s="365"/>
      <c r="M684" s="366"/>
    </row>
    <row r="685" spans="10:13" ht="15.75" customHeight="1">
      <c r="J685" s="365"/>
      <c r="K685" s="365"/>
      <c r="M685" s="366"/>
    </row>
    <row r="686" spans="10:13" ht="15.75" customHeight="1">
      <c r="J686" s="365"/>
      <c r="K686" s="365"/>
      <c r="M686" s="366"/>
    </row>
    <row r="687" spans="10:13" ht="15.75" customHeight="1">
      <c r="J687" s="365"/>
      <c r="K687" s="365"/>
      <c r="M687" s="366"/>
    </row>
    <row r="688" spans="10:13" ht="15.75" customHeight="1">
      <c r="J688" s="365"/>
      <c r="K688" s="365"/>
      <c r="M688" s="366"/>
    </row>
    <row r="689" spans="10:13" ht="15.75" customHeight="1">
      <c r="J689" s="365"/>
      <c r="K689" s="365"/>
      <c r="M689" s="366"/>
    </row>
    <row r="690" spans="10:13" ht="15.75" customHeight="1">
      <c r="J690" s="365"/>
      <c r="K690" s="365"/>
      <c r="M690" s="366"/>
    </row>
    <row r="691" spans="10:13" ht="15.75" customHeight="1">
      <c r="J691" s="365"/>
      <c r="K691" s="365"/>
      <c r="M691" s="366"/>
    </row>
    <row r="692" spans="10:13" ht="15.75" customHeight="1">
      <c r="J692" s="365"/>
      <c r="K692" s="365"/>
      <c r="M692" s="366"/>
    </row>
    <row r="693" spans="10:13" ht="15.75" customHeight="1">
      <c r="J693" s="365"/>
      <c r="K693" s="365"/>
      <c r="M693" s="366"/>
    </row>
    <row r="694" spans="10:13" ht="15.75" customHeight="1">
      <c r="J694" s="365"/>
      <c r="K694" s="365"/>
      <c r="M694" s="366"/>
    </row>
    <row r="695" spans="10:13" ht="15.75" customHeight="1">
      <c r="J695" s="365"/>
      <c r="K695" s="365"/>
      <c r="M695" s="366"/>
    </row>
    <row r="696" spans="10:13" ht="15.75" customHeight="1">
      <c r="J696" s="365"/>
      <c r="K696" s="365"/>
      <c r="M696" s="366"/>
    </row>
    <row r="697" spans="10:13" ht="15.75" customHeight="1">
      <c r="J697" s="365"/>
      <c r="K697" s="365"/>
      <c r="M697" s="366"/>
    </row>
    <row r="698" spans="10:13" ht="15.75" customHeight="1">
      <c r="J698" s="365"/>
      <c r="K698" s="365"/>
      <c r="M698" s="366"/>
    </row>
    <row r="699" spans="10:13" ht="15.75" customHeight="1">
      <c r="J699" s="365"/>
      <c r="K699" s="365"/>
      <c r="M699" s="366"/>
    </row>
    <row r="700" spans="10:13" ht="15.75" customHeight="1">
      <c r="J700" s="365"/>
      <c r="K700" s="365"/>
      <c r="M700" s="366"/>
    </row>
    <row r="701" spans="10:13" ht="15.75" customHeight="1">
      <c r="J701" s="365"/>
      <c r="K701" s="365"/>
      <c r="M701" s="366"/>
    </row>
    <row r="702" spans="10:13" ht="15.75" customHeight="1">
      <c r="J702" s="365"/>
      <c r="K702" s="365"/>
      <c r="M702" s="366"/>
    </row>
    <row r="703" spans="10:13" ht="15.75" customHeight="1">
      <c r="J703" s="365"/>
      <c r="K703" s="365"/>
      <c r="M703" s="366"/>
    </row>
    <row r="704" spans="10:13" ht="15.75" customHeight="1">
      <c r="J704" s="365"/>
      <c r="K704" s="365"/>
      <c r="M704" s="366"/>
    </row>
    <row r="705" spans="10:13" ht="15.75" customHeight="1">
      <c r="J705" s="365"/>
      <c r="K705" s="365"/>
      <c r="M705" s="366"/>
    </row>
    <row r="706" spans="10:13" ht="15.75" customHeight="1">
      <c r="J706" s="365"/>
      <c r="K706" s="365"/>
      <c r="M706" s="366"/>
    </row>
    <row r="707" spans="10:13" ht="15.75" customHeight="1">
      <c r="J707" s="365"/>
      <c r="K707" s="365"/>
      <c r="M707" s="366"/>
    </row>
    <row r="708" spans="10:13" ht="15.75" customHeight="1">
      <c r="J708" s="365"/>
      <c r="K708" s="365"/>
      <c r="M708" s="366"/>
    </row>
    <row r="709" spans="10:13" ht="15.75" customHeight="1">
      <c r="J709" s="365"/>
      <c r="K709" s="365"/>
      <c r="M709" s="366"/>
    </row>
    <row r="710" spans="10:13" ht="15.75" customHeight="1">
      <c r="J710" s="365"/>
      <c r="K710" s="365"/>
      <c r="M710" s="366"/>
    </row>
    <row r="711" spans="10:13" ht="15.75" customHeight="1">
      <c r="J711" s="365"/>
      <c r="K711" s="365"/>
      <c r="M711" s="366"/>
    </row>
    <row r="712" spans="10:13" ht="15.75" customHeight="1">
      <c r="J712" s="365"/>
      <c r="K712" s="365"/>
      <c r="M712" s="366"/>
    </row>
    <row r="713" spans="10:13" ht="15.75" customHeight="1">
      <c r="J713" s="365"/>
      <c r="K713" s="365"/>
      <c r="M713" s="366"/>
    </row>
    <row r="714" spans="10:13" ht="15.75" customHeight="1">
      <c r="J714" s="365"/>
      <c r="K714" s="365"/>
      <c r="M714" s="366"/>
    </row>
    <row r="715" spans="10:13" ht="15.75" customHeight="1">
      <c r="J715" s="365"/>
      <c r="K715" s="365"/>
      <c r="M715" s="366"/>
    </row>
    <row r="716" spans="10:13" ht="15.75" customHeight="1">
      <c r="J716" s="365"/>
      <c r="K716" s="365"/>
      <c r="M716" s="366"/>
    </row>
    <row r="717" spans="10:13" ht="15.75" customHeight="1">
      <c r="J717" s="365"/>
      <c r="K717" s="365"/>
      <c r="M717" s="366"/>
    </row>
    <row r="718" spans="10:13" ht="15.75" customHeight="1">
      <c r="J718" s="365"/>
      <c r="K718" s="365"/>
      <c r="M718" s="366"/>
    </row>
    <row r="719" spans="10:13" ht="15.75" customHeight="1">
      <c r="J719" s="365"/>
      <c r="K719" s="365"/>
      <c r="M719" s="366"/>
    </row>
    <row r="720" spans="10:13" ht="15.75" customHeight="1">
      <c r="J720" s="365"/>
      <c r="K720" s="365"/>
      <c r="M720" s="366"/>
    </row>
    <row r="721" spans="10:13" ht="15.75" customHeight="1">
      <c r="J721" s="365"/>
      <c r="K721" s="365"/>
      <c r="M721" s="366"/>
    </row>
    <row r="722" spans="10:13" ht="15.75" customHeight="1">
      <c r="J722" s="365"/>
      <c r="K722" s="365"/>
      <c r="M722" s="366"/>
    </row>
    <row r="723" spans="10:13" ht="15.75" customHeight="1">
      <c r="J723" s="365"/>
      <c r="K723" s="365"/>
      <c r="M723" s="366"/>
    </row>
    <row r="724" spans="10:13" ht="15.75" customHeight="1">
      <c r="J724" s="365"/>
      <c r="K724" s="365"/>
      <c r="M724" s="366"/>
    </row>
    <row r="725" spans="10:13" ht="15.75" customHeight="1">
      <c r="J725" s="365"/>
      <c r="K725" s="365"/>
      <c r="M725" s="366"/>
    </row>
    <row r="726" spans="10:13" ht="15.75" customHeight="1">
      <c r="J726" s="365"/>
      <c r="K726" s="365"/>
      <c r="M726" s="366"/>
    </row>
    <row r="727" spans="10:13" ht="15.75" customHeight="1">
      <c r="J727" s="365"/>
      <c r="K727" s="365"/>
      <c r="M727" s="366"/>
    </row>
    <row r="728" spans="10:13" ht="15.75" customHeight="1">
      <c r="J728" s="365"/>
      <c r="K728" s="365"/>
      <c r="M728" s="366"/>
    </row>
    <row r="729" spans="10:13" ht="15.75" customHeight="1">
      <c r="J729" s="365"/>
      <c r="K729" s="365"/>
      <c r="M729" s="366"/>
    </row>
    <row r="730" spans="10:13" ht="15.75" customHeight="1">
      <c r="J730" s="365"/>
      <c r="K730" s="365"/>
      <c r="M730" s="366"/>
    </row>
    <row r="731" spans="10:13" ht="15.75" customHeight="1">
      <c r="J731" s="365"/>
      <c r="K731" s="365"/>
      <c r="M731" s="366"/>
    </row>
    <row r="732" spans="10:13" ht="15.75" customHeight="1">
      <c r="J732" s="365"/>
      <c r="K732" s="365"/>
      <c r="M732" s="366"/>
    </row>
    <row r="733" spans="10:13" ht="15.75" customHeight="1">
      <c r="J733" s="365"/>
      <c r="K733" s="365"/>
      <c r="M733" s="366"/>
    </row>
    <row r="734" spans="10:13" ht="15.75" customHeight="1">
      <c r="J734" s="365"/>
      <c r="K734" s="365"/>
      <c r="M734" s="366"/>
    </row>
    <row r="735" spans="10:13" ht="15.75" customHeight="1">
      <c r="J735" s="365"/>
      <c r="K735" s="365"/>
      <c r="M735" s="366"/>
    </row>
    <row r="736" spans="10:13" ht="15.75" customHeight="1">
      <c r="J736" s="365"/>
      <c r="K736" s="365"/>
      <c r="M736" s="366"/>
    </row>
    <row r="737" spans="10:13" ht="15.75" customHeight="1">
      <c r="J737" s="365"/>
      <c r="K737" s="365"/>
      <c r="M737" s="366"/>
    </row>
    <row r="738" spans="10:13" ht="15.75" customHeight="1">
      <c r="J738" s="365"/>
      <c r="K738" s="365"/>
      <c r="M738" s="366"/>
    </row>
    <row r="739" spans="10:13" ht="15.75" customHeight="1">
      <c r="J739" s="365"/>
      <c r="K739" s="365"/>
      <c r="M739" s="366"/>
    </row>
    <row r="740" spans="10:13" ht="15.75" customHeight="1">
      <c r="J740" s="365"/>
      <c r="K740" s="365"/>
      <c r="M740" s="366"/>
    </row>
    <row r="741" spans="10:13" ht="15.75" customHeight="1">
      <c r="J741" s="365"/>
      <c r="K741" s="365"/>
      <c r="M741" s="366"/>
    </row>
    <row r="742" spans="10:13" ht="15.75" customHeight="1">
      <c r="J742" s="365"/>
      <c r="K742" s="365"/>
      <c r="M742" s="366"/>
    </row>
    <row r="743" spans="10:13" ht="15.75" customHeight="1">
      <c r="J743" s="365"/>
      <c r="K743" s="365"/>
      <c r="M743" s="366"/>
    </row>
    <row r="744" spans="10:13" ht="15.75" customHeight="1">
      <c r="J744" s="365"/>
      <c r="K744" s="365"/>
      <c r="M744" s="366"/>
    </row>
    <row r="745" spans="10:13" ht="15.75" customHeight="1">
      <c r="J745" s="365"/>
      <c r="K745" s="365"/>
      <c r="M745" s="366"/>
    </row>
    <row r="746" spans="10:13" ht="15.75" customHeight="1">
      <c r="J746" s="365"/>
      <c r="K746" s="365"/>
      <c r="M746" s="366"/>
    </row>
    <row r="747" spans="10:13" ht="15.75" customHeight="1">
      <c r="J747" s="365"/>
      <c r="K747" s="365"/>
      <c r="M747" s="366"/>
    </row>
    <row r="748" spans="10:13" ht="15.75" customHeight="1">
      <c r="J748" s="365"/>
      <c r="K748" s="365"/>
      <c r="M748" s="366"/>
    </row>
    <row r="749" spans="10:13" ht="15.75" customHeight="1">
      <c r="J749" s="365"/>
      <c r="K749" s="365"/>
      <c r="M749" s="366"/>
    </row>
    <row r="750" spans="10:13" ht="15.75" customHeight="1">
      <c r="J750" s="365"/>
      <c r="K750" s="365"/>
      <c r="M750" s="366"/>
    </row>
    <row r="751" spans="10:13" ht="15.75" customHeight="1">
      <c r="J751" s="365"/>
      <c r="K751" s="365"/>
      <c r="M751" s="366"/>
    </row>
    <row r="752" spans="10:13" ht="15.75" customHeight="1">
      <c r="J752" s="365"/>
      <c r="K752" s="365"/>
      <c r="M752" s="366"/>
    </row>
    <row r="753" spans="10:13" ht="15.75" customHeight="1">
      <c r="J753" s="365"/>
      <c r="K753" s="365"/>
      <c r="M753" s="366"/>
    </row>
    <row r="754" spans="10:13" ht="15.75" customHeight="1">
      <c r="J754" s="365"/>
      <c r="K754" s="365"/>
      <c r="M754" s="366"/>
    </row>
    <row r="755" spans="10:13" ht="15.75" customHeight="1">
      <c r="J755" s="365"/>
      <c r="K755" s="365"/>
      <c r="M755" s="366"/>
    </row>
    <row r="756" spans="10:13" ht="15.75" customHeight="1">
      <c r="J756" s="365"/>
      <c r="K756" s="365"/>
      <c r="M756" s="366"/>
    </row>
    <row r="757" spans="10:13" ht="15.75" customHeight="1">
      <c r="J757" s="365"/>
      <c r="K757" s="365"/>
      <c r="M757" s="366"/>
    </row>
    <row r="758" spans="10:13" ht="15.75" customHeight="1">
      <c r="J758" s="365"/>
      <c r="K758" s="365"/>
      <c r="M758" s="366"/>
    </row>
    <row r="759" spans="10:13" ht="15.75" customHeight="1">
      <c r="J759" s="365"/>
      <c r="K759" s="365"/>
      <c r="M759" s="366"/>
    </row>
    <row r="760" spans="10:13" ht="15.75" customHeight="1">
      <c r="J760" s="365"/>
      <c r="K760" s="365"/>
      <c r="M760" s="366"/>
    </row>
    <row r="761" spans="10:13" ht="15.75" customHeight="1">
      <c r="J761" s="365"/>
      <c r="K761" s="365"/>
      <c r="M761" s="366"/>
    </row>
    <row r="762" spans="10:13" ht="15.75" customHeight="1">
      <c r="J762" s="365"/>
      <c r="K762" s="365"/>
      <c r="M762" s="366"/>
    </row>
    <row r="763" spans="10:13" ht="15.75" customHeight="1">
      <c r="J763" s="365"/>
      <c r="K763" s="365"/>
      <c r="M763" s="366"/>
    </row>
    <row r="764" spans="10:13" ht="15.75" customHeight="1">
      <c r="J764" s="365"/>
      <c r="K764" s="365"/>
      <c r="M764" s="366"/>
    </row>
    <row r="765" spans="10:13" ht="15.75" customHeight="1">
      <c r="J765" s="365"/>
      <c r="K765" s="365"/>
      <c r="M765" s="366"/>
    </row>
    <row r="766" spans="10:13" ht="15.75" customHeight="1">
      <c r="J766" s="365"/>
      <c r="K766" s="365"/>
      <c r="M766" s="366"/>
    </row>
    <row r="767" spans="10:13" ht="15.75" customHeight="1">
      <c r="J767" s="365"/>
      <c r="K767" s="365"/>
      <c r="M767" s="366"/>
    </row>
    <row r="768" spans="10:13" ht="15.75" customHeight="1">
      <c r="J768" s="365"/>
      <c r="K768" s="365"/>
      <c r="M768" s="366"/>
    </row>
    <row r="769" spans="10:13" ht="15.75" customHeight="1">
      <c r="J769" s="365"/>
      <c r="K769" s="365"/>
      <c r="M769" s="366"/>
    </row>
    <row r="770" spans="10:13" ht="15.75" customHeight="1">
      <c r="J770" s="365"/>
      <c r="K770" s="365"/>
      <c r="M770" s="366"/>
    </row>
    <row r="771" spans="10:13" ht="15.75" customHeight="1">
      <c r="J771" s="365"/>
      <c r="K771" s="365"/>
      <c r="M771" s="366"/>
    </row>
    <row r="772" spans="10:13" ht="15.75" customHeight="1">
      <c r="J772" s="365"/>
      <c r="K772" s="365"/>
      <c r="M772" s="366"/>
    </row>
    <row r="773" spans="10:13" ht="15.75" customHeight="1">
      <c r="J773" s="365"/>
      <c r="K773" s="365"/>
      <c r="M773" s="366"/>
    </row>
    <row r="774" spans="10:13" ht="15.75" customHeight="1">
      <c r="J774" s="365"/>
      <c r="K774" s="365"/>
      <c r="M774" s="366"/>
    </row>
    <row r="775" spans="10:13" ht="15.75" customHeight="1">
      <c r="J775" s="365"/>
      <c r="K775" s="365"/>
      <c r="M775" s="366"/>
    </row>
    <row r="776" spans="10:13" ht="15.75" customHeight="1">
      <c r="J776" s="365"/>
      <c r="K776" s="365"/>
      <c r="M776" s="366"/>
    </row>
    <row r="777" spans="10:13" ht="15.75" customHeight="1">
      <c r="J777" s="365"/>
      <c r="K777" s="365"/>
      <c r="M777" s="366"/>
    </row>
    <row r="778" spans="10:13" ht="15.75" customHeight="1">
      <c r="J778" s="365"/>
      <c r="K778" s="365"/>
      <c r="M778" s="366"/>
    </row>
    <row r="779" spans="10:13" ht="15.75" customHeight="1">
      <c r="J779" s="365"/>
      <c r="K779" s="365"/>
      <c r="M779" s="366"/>
    </row>
    <row r="780" spans="10:13" ht="15.75" customHeight="1">
      <c r="J780" s="365"/>
      <c r="K780" s="365"/>
      <c r="M780" s="366"/>
    </row>
    <row r="781" spans="10:13" ht="15.75" customHeight="1">
      <c r="J781" s="365"/>
      <c r="K781" s="365"/>
      <c r="M781" s="366"/>
    </row>
    <row r="782" spans="10:13" ht="15.75" customHeight="1">
      <c r="J782" s="365"/>
      <c r="K782" s="365"/>
      <c r="M782" s="366"/>
    </row>
    <row r="783" spans="10:13" ht="15.75" customHeight="1">
      <c r="J783" s="365"/>
      <c r="K783" s="365"/>
      <c r="M783" s="366"/>
    </row>
    <row r="784" spans="10:13" ht="15.75" customHeight="1">
      <c r="J784" s="365"/>
      <c r="K784" s="365"/>
      <c r="M784" s="366"/>
    </row>
    <row r="785" spans="10:13" ht="15.75" customHeight="1">
      <c r="J785" s="365"/>
      <c r="K785" s="365"/>
      <c r="M785" s="366"/>
    </row>
    <row r="786" spans="10:13" ht="15.75" customHeight="1">
      <c r="J786" s="365"/>
      <c r="K786" s="365"/>
      <c r="M786" s="366"/>
    </row>
    <row r="787" spans="10:13" ht="15.75" customHeight="1">
      <c r="J787" s="365"/>
      <c r="K787" s="365"/>
      <c r="M787" s="366"/>
    </row>
    <row r="788" spans="10:13" ht="15.75" customHeight="1">
      <c r="J788" s="365"/>
      <c r="K788" s="365"/>
      <c r="M788" s="366"/>
    </row>
    <row r="789" spans="10:13" ht="15.75" customHeight="1">
      <c r="J789" s="365"/>
      <c r="K789" s="365"/>
      <c r="M789" s="366"/>
    </row>
    <row r="790" spans="10:13" ht="15.75" customHeight="1">
      <c r="J790" s="365"/>
      <c r="K790" s="365"/>
      <c r="M790" s="366"/>
    </row>
    <row r="791" spans="10:13" ht="15.75" customHeight="1">
      <c r="J791" s="365"/>
      <c r="K791" s="365"/>
      <c r="M791" s="366"/>
    </row>
    <row r="792" spans="10:13" ht="15.75" customHeight="1">
      <c r="J792" s="365"/>
      <c r="K792" s="365"/>
      <c r="M792" s="366"/>
    </row>
    <row r="793" spans="10:13" ht="15.75" customHeight="1">
      <c r="J793" s="365"/>
      <c r="K793" s="365"/>
      <c r="M793" s="366"/>
    </row>
    <row r="794" spans="10:13" ht="15.75" customHeight="1">
      <c r="J794" s="365"/>
      <c r="K794" s="365"/>
      <c r="M794" s="366"/>
    </row>
    <row r="795" spans="10:13" ht="15.75" customHeight="1">
      <c r="J795" s="365"/>
      <c r="K795" s="365"/>
      <c r="M795" s="366"/>
    </row>
    <row r="796" spans="10:13" ht="15.75" customHeight="1">
      <c r="J796" s="365"/>
      <c r="K796" s="365"/>
      <c r="M796" s="366"/>
    </row>
    <row r="797" spans="10:13" ht="15.75" customHeight="1">
      <c r="J797" s="365"/>
      <c r="K797" s="365"/>
      <c r="M797" s="366"/>
    </row>
    <row r="798" spans="10:13" ht="15.75" customHeight="1">
      <c r="J798" s="365"/>
      <c r="K798" s="365"/>
      <c r="M798" s="366"/>
    </row>
    <row r="799" spans="10:13" ht="15.75" customHeight="1">
      <c r="J799" s="365"/>
      <c r="K799" s="365"/>
      <c r="M799" s="366"/>
    </row>
    <row r="800" spans="10:13" ht="15.75" customHeight="1">
      <c r="J800" s="365"/>
      <c r="K800" s="365"/>
      <c r="M800" s="366"/>
    </row>
    <row r="801" spans="10:13" ht="15.75" customHeight="1">
      <c r="J801" s="365"/>
      <c r="K801" s="365"/>
      <c r="M801" s="366"/>
    </row>
    <row r="802" spans="10:13" ht="15.75" customHeight="1">
      <c r="J802" s="365"/>
      <c r="K802" s="365"/>
      <c r="M802" s="366"/>
    </row>
    <row r="803" spans="10:13" ht="15.75" customHeight="1">
      <c r="J803" s="365"/>
      <c r="K803" s="365"/>
      <c r="M803" s="366"/>
    </row>
    <row r="804" spans="10:13" ht="15.75" customHeight="1">
      <c r="J804" s="365"/>
      <c r="K804" s="365"/>
      <c r="M804" s="366"/>
    </row>
    <row r="805" spans="10:13" ht="15.75" customHeight="1">
      <c r="J805" s="365"/>
      <c r="K805" s="365"/>
      <c r="M805" s="366"/>
    </row>
    <row r="806" spans="10:13" ht="15.75" customHeight="1">
      <c r="J806" s="365"/>
      <c r="K806" s="365"/>
      <c r="M806" s="366"/>
    </row>
    <row r="807" spans="10:13" ht="15.75" customHeight="1">
      <c r="J807" s="365"/>
      <c r="K807" s="365"/>
      <c r="M807" s="366"/>
    </row>
    <row r="808" spans="10:13" ht="15.75" customHeight="1">
      <c r="J808" s="365"/>
      <c r="K808" s="365"/>
      <c r="M808" s="366"/>
    </row>
    <row r="809" spans="10:13" ht="15.75" customHeight="1">
      <c r="J809" s="365"/>
      <c r="K809" s="365"/>
      <c r="M809" s="366"/>
    </row>
    <row r="810" spans="10:13" ht="15.75" customHeight="1">
      <c r="J810" s="365"/>
      <c r="K810" s="365"/>
      <c r="M810" s="366"/>
    </row>
    <row r="811" spans="10:13" ht="15.75" customHeight="1">
      <c r="J811" s="365"/>
      <c r="K811" s="365"/>
      <c r="M811" s="366"/>
    </row>
    <row r="812" spans="10:13" ht="15.75" customHeight="1">
      <c r="J812" s="365"/>
      <c r="K812" s="365"/>
      <c r="M812" s="366"/>
    </row>
    <row r="813" spans="10:13" ht="15.75" customHeight="1">
      <c r="J813" s="365"/>
      <c r="K813" s="365"/>
      <c r="M813" s="366"/>
    </row>
    <row r="814" spans="10:13" ht="15.75" customHeight="1">
      <c r="J814" s="365"/>
      <c r="K814" s="365"/>
      <c r="M814" s="366"/>
    </row>
    <row r="815" spans="10:13" ht="15.75" customHeight="1">
      <c r="J815" s="365"/>
      <c r="K815" s="365"/>
      <c r="M815" s="366"/>
    </row>
    <row r="816" spans="10:13" ht="15.75" customHeight="1">
      <c r="J816" s="365"/>
      <c r="K816" s="365"/>
      <c r="M816" s="366"/>
    </row>
    <row r="817" spans="10:13" ht="15.75" customHeight="1">
      <c r="J817" s="365"/>
      <c r="K817" s="365"/>
      <c r="M817" s="366"/>
    </row>
    <row r="818" spans="10:13" ht="15.75" customHeight="1">
      <c r="J818" s="365"/>
      <c r="K818" s="365"/>
      <c r="M818" s="366"/>
    </row>
    <row r="819" spans="10:13" ht="15.75" customHeight="1">
      <c r="J819" s="365"/>
      <c r="K819" s="365"/>
      <c r="M819" s="366"/>
    </row>
    <row r="820" spans="10:13" ht="15.75" customHeight="1">
      <c r="J820" s="365"/>
      <c r="K820" s="365"/>
      <c r="M820" s="366"/>
    </row>
    <row r="821" spans="10:13" ht="15.75" customHeight="1">
      <c r="J821" s="365"/>
      <c r="K821" s="365"/>
      <c r="M821" s="366"/>
    </row>
    <row r="822" spans="10:13" ht="15.75" customHeight="1">
      <c r="J822" s="365"/>
      <c r="K822" s="365"/>
      <c r="M822" s="366"/>
    </row>
    <row r="823" spans="10:13" ht="15.75" customHeight="1">
      <c r="J823" s="365"/>
      <c r="K823" s="365"/>
      <c r="M823" s="366"/>
    </row>
    <row r="824" spans="10:13" ht="15.75" customHeight="1">
      <c r="J824" s="365"/>
      <c r="K824" s="365"/>
      <c r="M824" s="366"/>
    </row>
    <row r="825" spans="10:13" ht="15.75" customHeight="1">
      <c r="J825" s="365"/>
      <c r="K825" s="365"/>
      <c r="M825" s="366"/>
    </row>
    <row r="826" spans="10:13" ht="15.75" customHeight="1">
      <c r="J826" s="365"/>
      <c r="K826" s="365"/>
      <c r="M826" s="366"/>
    </row>
    <row r="827" spans="10:13" ht="15.75" customHeight="1">
      <c r="J827" s="365"/>
      <c r="K827" s="365"/>
      <c r="M827" s="366"/>
    </row>
    <row r="828" spans="10:13" ht="15.75" customHeight="1">
      <c r="J828" s="365"/>
      <c r="K828" s="365"/>
      <c r="M828" s="366"/>
    </row>
    <row r="829" spans="10:13" ht="15.75" customHeight="1">
      <c r="J829" s="365"/>
      <c r="K829" s="365"/>
      <c r="M829" s="366"/>
    </row>
    <row r="830" spans="10:13" ht="15.75" customHeight="1">
      <c r="J830" s="365"/>
      <c r="K830" s="365"/>
      <c r="M830" s="366"/>
    </row>
    <row r="831" spans="10:13" ht="15.75" customHeight="1">
      <c r="J831" s="365"/>
      <c r="K831" s="365"/>
      <c r="M831" s="366"/>
    </row>
    <row r="832" spans="10:13" ht="15.75" customHeight="1">
      <c r="J832" s="365"/>
      <c r="K832" s="365"/>
      <c r="M832" s="366"/>
    </row>
    <row r="833" spans="10:13" ht="15.75" customHeight="1">
      <c r="J833" s="365"/>
      <c r="K833" s="365"/>
      <c r="M833" s="366"/>
    </row>
    <row r="834" spans="10:13" ht="15.75" customHeight="1">
      <c r="J834" s="365"/>
      <c r="K834" s="365"/>
      <c r="M834" s="366"/>
    </row>
    <row r="835" spans="10:13" ht="15.75" customHeight="1">
      <c r="J835" s="365"/>
      <c r="K835" s="365"/>
      <c r="M835" s="366"/>
    </row>
    <row r="836" spans="10:13" ht="15.75" customHeight="1">
      <c r="J836" s="365"/>
      <c r="K836" s="365"/>
      <c r="M836" s="366"/>
    </row>
    <row r="837" spans="10:13" ht="15.75" customHeight="1">
      <c r="J837" s="365"/>
      <c r="K837" s="365"/>
      <c r="M837" s="366"/>
    </row>
    <row r="838" spans="10:13" ht="15.75" customHeight="1">
      <c r="J838" s="365"/>
      <c r="K838" s="365"/>
      <c r="M838" s="366"/>
    </row>
    <row r="839" spans="10:13" ht="15.75" customHeight="1">
      <c r="J839" s="365"/>
      <c r="K839" s="365"/>
      <c r="M839" s="366"/>
    </row>
    <row r="840" spans="10:13" ht="15.75" customHeight="1">
      <c r="J840" s="365"/>
      <c r="K840" s="365"/>
      <c r="M840" s="366"/>
    </row>
    <row r="841" spans="10:13" ht="15.75" customHeight="1">
      <c r="J841" s="365"/>
      <c r="K841" s="365"/>
      <c r="M841" s="366"/>
    </row>
    <row r="842" spans="10:13" ht="15.75" customHeight="1">
      <c r="J842" s="365"/>
      <c r="K842" s="365"/>
      <c r="M842" s="366"/>
    </row>
    <row r="843" spans="10:13" ht="15.75" customHeight="1">
      <c r="J843" s="365"/>
      <c r="K843" s="365"/>
      <c r="M843" s="366"/>
    </row>
    <row r="844" spans="10:13" ht="15.75" customHeight="1">
      <c r="J844" s="365"/>
      <c r="K844" s="365"/>
      <c r="M844" s="366"/>
    </row>
    <row r="845" spans="10:13" ht="15.75" customHeight="1">
      <c r="J845" s="365"/>
      <c r="K845" s="365"/>
      <c r="M845" s="366"/>
    </row>
    <row r="846" spans="10:13" ht="15.75" customHeight="1">
      <c r="J846" s="365"/>
      <c r="K846" s="365"/>
      <c r="M846" s="366"/>
    </row>
    <row r="847" spans="10:13" ht="15.75" customHeight="1">
      <c r="J847" s="365"/>
      <c r="K847" s="365"/>
      <c r="M847" s="366"/>
    </row>
    <row r="848" spans="10:13" ht="15.75" customHeight="1">
      <c r="J848" s="365"/>
      <c r="K848" s="365"/>
      <c r="M848" s="366"/>
    </row>
    <row r="849" spans="10:13" ht="15.75" customHeight="1">
      <c r="J849" s="365"/>
      <c r="K849" s="365"/>
      <c r="M849" s="366"/>
    </row>
    <row r="850" spans="10:13" ht="15.75" customHeight="1">
      <c r="J850" s="365"/>
      <c r="K850" s="365"/>
      <c r="M850" s="366"/>
    </row>
    <row r="851" spans="10:13" ht="15.75" customHeight="1">
      <c r="J851" s="365"/>
      <c r="K851" s="365"/>
      <c r="M851" s="366"/>
    </row>
    <row r="852" spans="10:13" ht="15.75" customHeight="1">
      <c r="J852" s="365"/>
      <c r="K852" s="365"/>
      <c r="M852" s="366"/>
    </row>
    <row r="853" spans="10:13" ht="15.75" customHeight="1">
      <c r="J853" s="365"/>
      <c r="K853" s="365"/>
      <c r="M853" s="366"/>
    </row>
    <row r="854" spans="10:13" ht="15.75" customHeight="1">
      <c r="J854" s="365"/>
      <c r="K854" s="365"/>
      <c r="M854" s="366"/>
    </row>
    <row r="855" spans="10:13" ht="15.75" customHeight="1">
      <c r="J855" s="365"/>
      <c r="K855" s="365"/>
      <c r="M855" s="366"/>
    </row>
    <row r="856" spans="10:13" ht="15.75" customHeight="1">
      <c r="J856" s="365"/>
      <c r="K856" s="365"/>
      <c r="M856" s="366"/>
    </row>
    <row r="857" spans="10:13" ht="15.75" customHeight="1">
      <c r="J857" s="365"/>
      <c r="K857" s="365"/>
      <c r="M857" s="366"/>
    </row>
    <row r="858" spans="10:13" ht="15.75" customHeight="1">
      <c r="J858" s="365"/>
      <c r="K858" s="365"/>
      <c r="M858" s="366"/>
    </row>
    <row r="859" spans="10:13" ht="15.75" customHeight="1">
      <c r="J859" s="365"/>
      <c r="K859" s="365"/>
      <c r="M859" s="366"/>
    </row>
    <row r="860" spans="10:13" ht="15.75" customHeight="1">
      <c r="J860" s="365"/>
      <c r="K860" s="365"/>
      <c r="M860" s="366"/>
    </row>
    <row r="861" spans="10:13" ht="15.75" customHeight="1">
      <c r="J861" s="365"/>
      <c r="K861" s="365"/>
      <c r="M861" s="366"/>
    </row>
    <row r="862" spans="10:13" ht="15.75" customHeight="1">
      <c r="J862" s="365"/>
      <c r="K862" s="365"/>
      <c r="M862" s="366"/>
    </row>
    <row r="863" spans="10:13" ht="15.75" customHeight="1">
      <c r="J863" s="365"/>
      <c r="K863" s="365"/>
      <c r="M863" s="366"/>
    </row>
    <row r="864" spans="10:13" ht="15.75" customHeight="1">
      <c r="J864" s="365"/>
      <c r="K864" s="365"/>
      <c r="M864" s="366"/>
    </row>
    <row r="865" spans="10:13" ht="15.75" customHeight="1">
      <c r="J865" s="365"/>
      <c r="K865" s="365"/>
      <c r="M865" s="366"/>
    </row>
    <row r="866" spans="10:13" ht="15.75" customHeight="1">
      <c r="J866" s="365"/>
      <c r="K866" s="365"/>
      <c r="M866" s="366"/>
    </row>
    <row r="867" spans="10:13" ht="15.75" customHeight="1">
      <c r="J867" s="365"/>
      <c r="K867" s="365"/>
      <c r="M867" s="366"/>
    </row>
    <row r="868" spans="10:13" ht="15.75" customHeight="1">
      <c r="J868" s="365"/>
      <c r="K868" s="365"/>
      <c r="M868" s="366"/>
    </row>
    <row r="869" spans="10:13" ht="15.75" customHeight="1">
      <c r="J869" s="365"/>
      <c r="K869" s="365"/>
      <c r="M869" s="366"/>
    </row>
    <row r="870" spans="10:13" ht="15.75" customHeight="1">
      <c r="J870" s="365"/>
      <c r="K870" s="365"/>
      <c r="M870" s="366"/>
    </row>
    <row r="871" spans="10:13" ht="15.75" customHeight="1">
      <c r="J871" s="365"/>
      <c r="K871" s="365"/>
      <c r="M871" s="366"/>
    </row>
    <row r="872" spans="10:13" ht="15.75" customHeight="1">
      <c r="J872" s="365"/>
      <c r="K872" s="365"/>
      <c r="M872" s="366"/>
    </row>
    <row r="873" spans="10:13" ht="15.75" customHeight="1">
      <c r="J873" s="365"/>
      <c r="K873" s="365"/>
      <c r="M873" s="366"/>
    </row>
    <row r="874" spans="10:13" ht="15.75" customHeight="1">
      <c r="J874" s="365"/>
      <c r="K874" s="365"/>
      <c r="M874" s="366"/>
    </row>
    <row r="875" spans="10:13" ht="15.75" customHeight="1">
      <c r="J875" s="365"/>
      <c r="K875" s="365"/>
      <c r="M875" s="366"/>
    </row>
    <row r="876" spans="10:13" ht="15.75" customHeight="1">
      <c r="J876" s="365"/>
      <c r="K876" s="365"/>
      <c r="M876" s="366"/>
    </row>
    <row r="877" spans="10:13" ht="15.75" customHeight="1">
      <c r="J877" s="365"/>
      <c r="K877" s="365"/>
      <c r="M877" s="366"/>
    </row>
    <row r="878" spans="10:13" ht="15.75" customHeight="1">
      <c r="J878" s="365"/>
      <c r="K878" s="365"/>
      <c r="M878" s="366"/>
    </row>
    <row r="879" spans="10:13" ht="15.75" customHeight="1">
      <c r="J879" s="365"/>
      <c r="K879" s="365"/>
      <c r="M879" s="366"/>
    </row>
    <row r="880" spans="10:13" ht="15.75" customHeight="1">
      <c r="J880" s="365"/>
      <c r="K880" s="365"/>
      <c r="M880" s="366"/>
    </row>
    <row r="881" spans="10:13" ht="15.75" customHeight="1">
      <c r="J881" s="365"/>
      <c r="K881" s="365"/>
      <c r="M881" s="366"/>
    </row>
    <row r="882" spans="10:13" ht="15.75" customHeight="1">
      <c r="J882" s="365"/>
      <c r="K882" s="365"/>
      <c r="M882" s="366"/>
    </row>
    <row r="883" spans="10:13" ht="15.75" customHeight="1">
      <c r="J883" s="365"/>
      <c r="K883" s="365"/>
      <c r="M883" s="366"/>
    </row>
    <row r="884" spans="10:13" ht="15.75" customHeight="1">
      <c r="J884" s="365"/>
      <c r="K884" s="365"/>
      <c r="M884" s="366"/>
    </row>
    <row r="885" spans="10:13" ht="15.75" customHeight="1">
      <c r="J885" s="365"/>
      <c r="K885" s="365"/>
      <c r="M885" s="366"/>
    </row>
    <row r="886" spans="10:13" ht="15.75" customHeight="1">
      <c r="J886" s="365"/>
      <c r="K886" s="365"/>
      <c r="M886" s="366"/>
    </row>
    <row r="887" spans="10:13" ht="15.75" customHeight="1">
      <c r="J887" s="365"/>
      <c r="K887" s="365"/>
      <c r="M887" s="366"/>
    </row>
    <row r="888" spans="10:13" ht="15.75" customHeight="1">
      <c r="J888" s="365"/>
      <c r="K888" s="365"/>
      <c r="M888" s="366"/>
    </row>
    <row r="889" spans="10:13" ht="15.75" customHeight="1">
      <c r="J889" s="365"/>
      <c r="K889" s="365"/>
      <c r="M889" s="366"/>
    </row>
    <row r="890" spans="10:13" ht="15.75" customHeight="1">
      <c r="J890" s="365"/>
      <c r="K890" s="365"/>
      <c r="M890" s="366"/>
    </row>
    <row r="891" spans="10:13" ht="15.75" customHeight="1">
      <c r="J891" s="365"/>
      <c r="K891" s="365"/>
      <c r="M891" s="366"/>
    </row>
    <row r="892" spans="10:13" ht="15.75" customHeight="1">
      <c r="J892" s="365"/>
      <c r="K892" s="365"/>
      <c r="M892" s="366"/>
    </row>
    <row r="893" spans="10:13" ht="15.75" customHeight="1">
      <c r="J893" s="365"/>
      <c r="K893" s="365"/>
      <c r="M893" s="366"/>
    </row>
    <row r="894" spans="10:13" ht="15.75" customHeight="1">
      <c r="J894" s="365"/>
      <c r="K894" s="365"/>
      <c r="M894" s="366"/>
    </row>
    <row r="895" spans="10:13" ht="15.75" customHeight="1">
      <c r="J895" s="365"/>
      <c r="K895" s="365"/>
      <c r="M895" s="366"/>
    </row>
    <row r="896" spans="10:13" ht="15.75" customHeight="1">
      <c r="J896" s="365"/>
      <c r="K896" s="365"/>
      <c r="M896" s="366"/>
    </row>
    <row r="897" spans="10:13" ht="15.75" customHeight="1">
      <c r="J897" s="365"/>
      <c r="K897" s="365"/>
      <c r="M897" s="366"/>
    </row>
    <row r="898" spans="10:13" ht="15.75" customHeight="1">
      <c r="J898" s="365"/>
      <c r="K898" s="365"/>
      <c r="M898" s="366"/>
    </row>
    <row r="899" spans="10:13" ht="15.75" customHeight="1">
      <c r="J899" s="365"/>
      <c r="K899" s="365"/>
      <c r="M899" s="366"/>
    </row>
    <row r="900" spans="10:13" ht="15.75" customHeight="1">
      <c r="J900" s="365"/>
      <c r="K900" s="365"/>
      <c r="M900" s="366"/>
    </row>
    <row r="901" spans="10:13" ht="15.75" customHeight="1">
      <c r="J901" s="365"/>
      <c r="K901" s="365"/>
      <c r="M901" s="366"/>
    </row>
    <row r="902" spans="10:13" ht="15.75" customHeight="1">
      <c r="J902" s="365"/>
      <c r="K902" s="365"/>
      <c r="M902" s="366"/>
    </row>
    <row r="903" spans="10:13" ht="15.75" customHeight="1">
      <c r="J903" s="365"/>
      <c r="K903" s="365"/>
      <c r="M903" s="366"/>
    </row>
    <row r="904" spans="10:13" ht="15.75" customHeight="1">
      <c r="J904" s="365"/>
      <c r="K904" s="365"/>
      <c r="M904" s="366"/>
    </row>
    <row r="905" spans="10:13" ht="15.75" customHeight="1">
      <c r="J905" s="365"/>
      <c r="K905" s="365"/>
      <c r="M905" s="366"/>
    </row>
    <row r="906" spans="10:13" ht="15.75" customHeight="1">
      <c r="J906" s="365"/>
      <c r="K906" s="365"/>
      <c r="M906" s="366"/>
    </row>
    <row r="907" spans="10:13" ht="15.75" customHeight="1">
      <c r="J907" s="365"/>
      <c r="K907" s="365"/>
      <c r="M907" s="366"/>
    </row>
    <row r="908" spans="10:13" ht="15.75" customHeight="1">
      <c r="J908" s="365"/>
      <c r="K908" s="365"/>
      <c r="M908" s="366"/>
    </row>
    <row r="909" spans="10:13" ht="15.75" customHeight="1">
      <c r="J909" s="365"/>
      <c r="K909" s="365"/>
      <c r="M909" s="366"/>
    </row>
    <row r="910" spans="10:13" ht="15.75" customHeight="1">
      <c r="J910" s="365"/>
      <c r="K910" s="365"/>
      <c r="M910" s="366"/>
    </row>
    <row r="911" spans="10:13" ht="15.75" customHeight="1">
      <c r="J911" s="365"/>
      <c r="K911" s="365"/>
      <c r="M911" s="366"/>
    </row>
    <row r="912" spans="10:13" ht="15.75" customHeight="1">
      <c r="J912" s="365"/>
      <c r="K912" s="365"/>
      <c r="M912" s="366"/>
    </row>
    <row r="913" spans="10:13" ht="15.75" customHeight="1">
      <c r="J913" s="365"/>
      <c r="K913" s="365"/>
      <c r="M913" s="366"/>
    </row>
    <row r="914" spans="10:13" ht="15.75" customHeight="1">
      <c r="J914" s="365"/>
      <c r="K914" s="365"/>
      <c r="M914" s="366"/>
    </row>
    <row r="915" spans="10:13" ht="15.75" customHeight="1">
      <c r="J915" s="365"/>
      <c r="K915" s="365"/>
      <c r="M915" s="366"/>
    </row>
    <row r="916" spans="10:13" ht="15.75" customHeight="1">
      <c r="J916" s="365"/>
      <c r="K916" s="365"/>
      <c r="M916" s="366"/>
    </row>
    <row r="917" spans="10:13" ht="15.75" customHeight="1">
      <c r="J917" s="365"/>
      <c r="K917" s="365"/>
      <c r="M917" s="366"/>
    </row>
    <row r="918" spans="10:13" ht="15.75" customHeight="1">
      <c r="J918" s="365"/>
      <c r="K918" s="365"/>
      <c r="M918" s="366"/>
    </row>
    <row r="919" spans="10:13" ht="15.75" customHeight="1">
      <c r="J919" s="365"/>
      <c r="K919" s="365"/>
      <c r="M919" s="366"/>
    </row>
    <row r="920" spans="10:13" ht="15.75" customHeight="1">
      <c r="J920" s="365"/>
      <c r="K920" s="365"/>
      <c r="M920" s="366"/>
    </row>
    <row r="921" spans="10:13" ht="15.75" customHeight="1">
      <c r="J921" s="365"/>
      <c r="K921" s="365"/>
      <c r="M921" s="366"/>
    </row>
    <row r="922" spans="10:13" ht="15.75" customHeight="1">
      <c r="J922" s="365"/>
      <c r="K922" s="365"/>
      <c r="M922" s="366"/>
    </row>
    <row r="923" spans="10:13" ht="15.75" customHeight="1">
      <c r="J923" s="365"/>
      <c r="K923" s="365"/>
      <c r="M923" s="366"/>
    </row>
    <row r="924" spans="10:13" ht="15.75" customHeight="1">
      <c r="J924" s="365"/>
      <c r="K924" s="365"/>
      <c r="M924" s="366"/>
    </row>
    <row r="925" spans="10:13" ht="15.75" customHeight="1">
      <c r="J925" s="365"/>
      <c r="K925" s="365"/>
      <c r="M925" s="366"/>
    </row>
    <row r="926" spans="10:13" ht="15.75" customHeight="1">
      <c r="J926" s="365"/>
      <c r="K926" s="365"/>
      <c r="M926" s="366"/>
    </row>
    <row r="927" spans="10:13" ht="15.75" customHeight="1">
      <c r="J927" s="365"/>
      <c r="K927" s="365"/>
      <c r="M927" s="366"/>
    </row>
    <row r="928" spans="10:13" ht="15.75" customHeight="1">
      <c r="J928" s="365"/>
      <c r="K928" s="365"/>
      <c r="M928" s="366"/>
    </row>
    <row r="929" spans="10:13" ht="15.75" customHeight="1">
      <c r="J929" s="365"/>
      <c r="K929" s="365"/>
      <c r="M929" s="366"/>
    </row>
    <row r="930" spans="10:13" ht="15.75" customHeight="1">
      <c r="J930" s="365"/>
      <c r="K930" s="365"/>
      <c r="M930" s="366"/>
    </row>
    <row r="931" spans="10:13" ht="15.75" customHeight="1">
      <c r="J931" s="365"/>
      <c r="K931" s="365"/>
      <c r="M931" s="366"/>
    </row>
    <row r="932" spans="10:13" ht="15.75" customHeight="1">
      <c r="J932" s="365"/>
      <c r="K932" s="365"/>
      <c r="M932" s="366"/>
    </row>
    <row r="933" spans="10:13" ht="15.75" customHeight="1">
      <c r="J933" s="365"/>
      <c r="K933" s="365"/>
      <c r="M933" s="366"/>
    </row>
    <row r="934" spans="10:13" ht="15.75" customHeight="1">
      <c r="J934" s="365"/>
      <c r="K934" s="365"/>
      <c r="M934" s="366"/>
    </row>
    <row r="935" spans="10:13" ht="15.75" customHeight="1">
      <c r="J935" s="365"/>
      <c r="K935" s="365"/>
      <c r="M935" s="366"/>
    </row>
    <row r="936" spans="10:13" ht="15.75" customHeight="1">
      <c r="J936" s="365"/>
      <c r="K936" s="365"/>
      <c r="M936" s="366"/>
    </row>
    <row r="937" spans="10:13" ht="15.75" customHeight="1">
      <c r="J937" s="365"/>
      <c r="K937" s="365"/>
      <c r="M937" s="366"/>
    </row>
    <row r="938" spans="10:13" ht="15.75" customHeight="1">
      <c r="J938" s="365"/>
      <c r="K938" s="365"/>
      <c r="M938" s="366"/>
    </row>
    <row r="939" spans="10:13" ht="15.75" customHeight="1">
      <c r="J939" s="365"/>
      <c r="K939" s="365"/>
      <c r="M939" s="366"/>
    </row>
    <row r="940" spans="10:13" ht="15.75" customHeight="1">
      <c r="J940" s="365"/>
      <c r="K940" s="365"/>
      <c r="M940" s="366"/>
    </row>
    <row r="941" spans="10:13" ht="15.75" customHeight="1">
      <c r="J941" s="365"/>
      <c r="K941" s="365"/>
      <c r="M941" s="366"/>
    </row>
    <row r="942" spans="10:13" ht="15.75" customHeight="1">
      <c r="J942" s="365"/>
      <c r="K942" s="365"/>
      <c r="M942" s="366"/>
    </row>
    <row r="943" spans="10:13" ht="15.75" customHeight="1">
      <c r="J943" s="365"/>
      <c r="K943" s="365"/>
      <c r="M943" s="366"/>
    </row>
    <row r="944" spans="10:13" ht="15.75" customHeight="1">
      <c r="J944" s="365"/>
      <c r="K944" s="365"/>
      <c r="M944" s="366"/>
    </row>
    <row r="945" spans="10:13" ht="15.75" customHeight="1">
      <c r="J945" s="365"/>
      <c r="K945" s="365"/>
      <c r="M945" s="366"/>
    </row>
    <row r="946" spans="10:13" ht="15.75" customHeight="1">
      <c r="J946" s="365"/>
      <c r="K946" s="365"/>
      <c r="M946" s="366"/>
    </row>
    <row r="947" spans="10:13" ht="15.75" customHeight="1">
      <c r="J947" s="365"/>
      <c r="K947" s="365"/>
      <c r="M947" s="366"/>
    </row>
    <row r="948" spans="10:13" ht="15.75" customHeight="1">
      <c r="J948" s="365"/>
      <c r="K948" s="365"/>
      <c r="M948" s="366"/>
    </row>
    <row r="949" spans="10:13" ht="15.75" customHeight="1">
      <c r="J949" s="365"/>
      <c r="K949" s="365"/>
      <c r="M949" s="366"/>
    </row>
    <row r="950" spans="10:13" ht="15.75" customHeight="1">
      <c r="J950" s="365"/>
      <c r="K950" s="365"/>
      <c r="M950" s="366"/>
    </row>
    <row r="951" spans="10:13" ht="15.75" customHeight="1">
      <c r="J951" s="365"/>
      <c r="K951" s="365"/>
      <c r="M951" s="366"/>
    </row>
    <row r="952" spans="10:13" ht="15.75" customHeight="1">
      <c r="J952" s="365"/>
      <c r="K952" s="365"/>
      <c r="M952" s="366"/>
    </row>
    <row r="953" spans="10:13" ht="15.75" customHeight="1">
      <c r="J953" s="365"/>
      <c r="K953" s="365"/>
      <c r="M953" s="366"/>
    </row>
    <row r="954" spans="10:13" ht="15.75" customHeight="1">
      <c r="J954" s="365"/>
      <c r="K954" s="365"/>
      <c r="M954" s="366"/>
    </row>
    <row r="955" spans="10:13" ht="15.75" customHeight="1">
      <c r="J955" s="365"/>
      <c r="K955" s="365"/>
      <c r="M955" s="366"/>
    </row>
    <row r="956" spans="10:13" ht="15.75" customHeight="1">
      <c r="J956" s="365"/>
      <c r="K956" s="365"/>
      <c r="M956" s="366"/>
    </row>
    <row r="957" spans="10:13" ht="15.75" customHeight="1">
      <c r="J957" s="365"/>
      <c r="K957" s="365"/>
      <c r="M957" s="366"/>
    </row>
    <row r="958" spans="10:13" ht="15.75" customHeight="1">
      <c r="J958" s="365"/>
      <c r="K958" s="365"/>
      <c r="M958" s="366"/>
    </row>
    <row r="959" spans="10:13" ht="15.75" customHeight="1">
      <c r="J959" s="365"/>
      <c r="K959" s="365"/>
      <c r="M959" s="366"/>
    </row>
    <row r="960" spans="10:13" ht="15.75" customHeight="1">
      <c r="J960" s="365"/>
      <c r="K960" s="365"/>
      <c r="M960" s="366"/>
    </row>
    <row r="961" spans="10:13" ht="15.75" customHeight="1">
      <c r="J961" s="365"/>
      <c r="K961" s="365"/>
      <c r="M961" s="366"/>
    </row>
    <row r="962" spans="10:13" ht="15.75" customHeight="1">
      <c r="J962" s="365"/>
      <c r="K962" s="365"/>
      <c r="M962" s="366"/>
    </row>
    <row r="963" spans="10:13" ht="15.75" customHeight="1">
      <c r="J963" s="365"/>
      <c r="K963" s="365"/>
      <c r="M963" s="366"/>
    </row>
    <row r="964" spans="10:13" ht="15.75" customHeight="1">
      <c r="J964" s="365"/>
      <c r="K964" s="365"/>
      <c r="M964" s="366"/>
    </row>
    <row r="965" spans="10:13" ht="15.75" customHeight="1">
      <c r="J965" s="365"/>
      <c r="K965" s="365"/>
      <c r="M965" s="366"/>
    </row>
    <row r="966" spans="10:13" ht="15.75" customHeight="1">
      <c r="J966" s="365"/>
      <c r="K966" s="365"/>
      <c r="M966" s="366"/>
    </row>
    <row r="967" spans="10:13" ht="15.75" customHeight="1">
      <c r="J967" s="365"/>
      <c r="K967" s="365"/>
      <c r="M967" s="366"/>
    </row>
    <row r="968" spans="10:13" ht="15.75" customHeight="1">
      <c r="J968" s="365"/>
      <c r="K968" s="365"/>
      <c r="M968" s="366"/>
    </row>
    <row r="969" spans="10:13" ht="15.75" customHeight="1">
      <c r="J969" s="365"/>
      <c r="K969" s="365"/>
      <c r="M969" s="366"/>
    </row>
    <row r="970" spans="10:13" ht="15.75" customHeight="1">
      <c r="J970" s="365"/>
      <c r="K970" s="365"/>
      <c r="M970" s="366"/>
    </row>
    <row r="971" spans="10:13" ht="15.75" customHeight="1">
      <c r="J971" s="365"/>
      <c r="K971" s="365"/>
      <c r="M971" s="366"/>
    </row>
    <row r="972" spans="10:13" ht="15.75" customHeight="1">
      <c r="J972" s="365"/>
      <c r="K972" s="365"/>
      <c r="M972" s="366"/>
    </row>
    <row r="973" spans="10:13" ht="15.75" customHeight="1">
      <c r="J973" s="365"/>
      <c r="K973" s="365"/>
      <c r="M973" s="366"/>
    </row>
    <row r="974" spans="10:13" ht="15.75" customHeight="1">
      <c r="J974" s="365"/>
      <c r="K974" s="365"/>
      <c r="M974" s="366"/>
    </row>
    <row r="975" spans="10:13" ht="15.75" customHeight="1">
      <c r="J975" s="365"/>
      <c r="K975" s="365"/>
      <c r="M975" s="366"/>
    </row>
    <row r="976" spans="10:13" ht="15.75" customHeight="1">
      <c r="J976" s="365"/>
      <c r="K976" s="365"/>
      <c r="M976" s="366"/>
    </row>
    <row r="977" spans="10:13" ht="15.75" customHeight="1">
      <c r="J977" s="365"/>
      <c r="K977" s="365"/>
      <c r="M977" s="366"/>
    </row>
    <row r="978" spans="10:13" ht="15.75" customHeight="1">
      <c r="J978" s="365"/>
      <c r="K978" s="365"/>
      <c r="M978" s="366"/>
    </row>
    <row r="979" spans="10:13" ht="15.75" customHeight="1">
      <c r="J979" s="365"/>
      <c r="K979" s="365"/>
      <c r="M979" s="366"/>
    </row>
    <row r="980" spans="10:13" ht="15.75" customHeight="1">
      <c r="J980" s="365"/>
      <c r="K980" s="365"/>
      <c r="M980" s="366"/>
    </row>
    <row r="981" spans="10:13" ht="15.75" customHeight="1">
      <c r="J981" s="365"/>
      <c r="K981" s="365"/>
      <c r="M981" s="366"/>
    </row>
    <row r="982" spans="10:13" ht="15.75" customHeight="1">
      <c r="J982" s="365"/>
      <c r="K982" s="365"/>
      <c r="M982" s="366"/>
    </row>
    <row r="983" spans="10:13" ht="15.75" customHeight="1">
      <c r="J983" s="365"/>
      <c r="K983" s="365"/>
      <c r="M983" s="366"/>
    </row>
    <row r="984" spans="10:13" ht="15.75" customHeight="1">
      <c r="J984" s="365"/>
      <c r="K984" s="365"/>
      <c r="M984" s="366"/>
    </row>
    <row r="985" spans="10:13" ht="15.75" customHeight="1">
      <c r="J985" s="365"/>
      <c r="K985" s="365"/>
      <c r="M985" s="366"/>
    </row>
    <row r="986" spans="10:13" ht="15.75" customHeight="1">
      <c r="J986" s="365"/>
      <c r="K986" s="365"/>
      <c r="M986" s="366"/>
    </row>
    <row r="987" spans="10:13" ht="15.75" customHeight="1">
      <c r="J987" s="365"/>
      <c r="K987" s="365"/>
      <c r="M987" s="366"/>
    </row>
    <row r="988" spans="10:13" ht="15.75" customHeight="1">
      <c r="J988" s="365"/>
      <c r="K988" s="365"/>
      <c r="M988" s="366"/>
    </row>
    <row r="989" spans="10:13" ht="15.75" customHeight="1">
      <c r="J989" s="365"/>
      <c r="K989" s="365"/>
      <c r="M989" s="366"/>
    </row>
    <row r="990" spans="10:13" ht="15.75" customHeight="1">
      <c r="J990" s="365"/>
      <c r="K990" s="365"/>
      <c r="M990" s="366"/>
    </row>
    <row r="991" spans="10:13" ht="15.75" customHeight="1">
      <c r="J991" s="365"/>
      <c r="K991" s="365"/>
      <c r="M991" s="366"/>
    </row>
    <row r="992" spans="10:13" ht="15.75" customHeight="1">
      <c r="J992" s="365"/>
      <c r="K992" s="365"/>
      <c r="M992" s="366"/>
    </row>
    <row r="993" spans="10:13" ht="15.75" customHeight="1">
      <c r="J993" s="365"/>
      <c r="K993" s="365"/>
      <c r="M993" s="366"/>
    </row>
    <row r="994" spans="10:13" ht="15.75" customHeight="1">
      <c r="J994" s="365"/>
      <c r="K994" s="365"/>
      <c r="M994" s="366"/>
    </row>
    <row r="995" spans="10:13" ht="15.75" customHeight="1">
      <c r="J995" s="365"/>
      <c r="K995" s="365"/>
      <c r="M995" s="366"/>
    </row>
    <row r="996" spans="10:13" ht="15.75" customHeight="1">
      <c r="J996" s="365"/>
      <c r="K996" s="365"/>
      <c r="M996" s="366"/>
    </row>
    <row r="997" spans="10:13" ht="15.75" customHeight="1">
      <c r="J997" s="365"/>
      <c r="K997" s="365"/>
      <c r="M997" s="366"/>
    </row>
    <row r="998" spans="10:13" ht="15.75" customHeight="1">
      <c r="J998" s="365"/>
      <c r="K998" s="365"/>
      <c r="M998" s="366"/>
    </row>
    <row r="999" spans="10:13" ht="15.75" customHeight="1">
      <c r="J999" s="365"/>
      <c r="K999" s="365"/>
      <c r="M999" s="366"/>
    </row>
    <row r="1000" spans="10:13" ht="15.75" customHeight="1">
      <c r="J1000" s="365"/>
      <c r="K1000" s="365"/>
      <c r="M1000" s="366"/>
    </row>
  </sheetData>
  <mergeCells count="10">
    <mergeCell ref="B2:D8"/>
    <mergeCell ref="E2:H3"/>
    <mergeCell ref="I2:J3"/>
    <mergeCell ref="K2:K3"/>
    <mergeCell ref="L2:N8"/>
    <mergeCell ref="E4:H4"/>
    <mergeCell ref="I4:K4"/>
    <mergeCell ref="E7:H8"/>
    <mergeCell ref="E5:H6"/>
    <mergeCell ref="I6:K6"/>
  </mergeCells>
  <pageMargins left="0.70866141732283472" right="0.70866141732283472" top="0.74803149606299213" bottom="0.74803149606299213"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sheetPr>
  <dimension ref="A1:Z1151"/>
  <sheetViews>
    <sheetView topLeftCell="A1114" zoomScale="85" zoomScaleNormal="85" workbookViewId="0">
      <selection activeCell="L1137" sqref="L1137:M1137"/>
    </sheetView>
  </sheetViews>
  <sheetFormatPr baseColWidth="10" defaultColWidth="14.42578125" defaultRowHeight="15" customHeight="1"/>
  <cols>
    <col min="1" max="1" width="15.28515625" customWidth="1"/>
    <col min="2" max="2" width="3.42578125" customWidth="1"/>
    <col min="3" max="3" width="19.5703125" customWidth="1"/>
    <col min="4" max="6" width="17.5703125" customWidth="1"/>
    <col min="7" max="7" width="12.5703125" customWidth="1"/>
    <col min="8" max="9" width="14.140625" customWidth="1"/>
    <col min="10" max="10" width="18.42578125" customWidth="1"/>
    <col min="11" max="11" width="16.5703125" customWidth="1"/>
    <col min="12" max="13" width="14.140625" customWidth="1"/>
    <col min="14" max="14" width="17.140625" customWidth="1"/>
    <col min="15" max="15" width="3.42578125" customWidth="1"/>
    <col min="16" max="17" width="11.42578125" customWidth="1"/>
  </cols>
  <sheetData>
    <row r="1" spans="1:26" ht="13.5" customHeight="1">
      <c r="A1" s="395" t="s">
        <v>941</v>
      </c>
      <c r="B1" s="184"/>
      <c r="C1" s="184"/>
      <c r="D1" s="184"/>
      <c r="E1" s="184"/>
      <c r="F1" s="184"/>
      <c r="G1" s="184"/>
      <c r="H1" s="184"/>
      <c r="I1" s="184"/>
      <c r="J1" s="184"/>
      <c r="K1" s="184"/>
      <c r="L1" s="184"/>
      <c r="M1" s="184"/>
      <c r="N1" s="184"/>
      <c r="O1" s="184"/>
      <c r="P1" s="1"/>
      <c r="Q1" s="1"/>
      <c r="R1" s="1"/>
      <c r="S1" s="1"/>
      <c r="T1" s="1"/>
      <c r="U1" s="1"/>
      <c r="V1" s="1"/>
      <c r="W1" s="1"/>
      <c r="X1" s="1"/>
      <c r="Y1" s="1"/>
      <c r="Z1" s="1"/>
    </row>
    <row r="2" spans="1:26" ht="13.5" customHeight="1">
      <c r="A2" s="395"/>
      <c r="B2" s="396"/>
      <c r="C2" s="397"/>
      <c r="D2" s="397"/>
      <c r="E2" s="397"/>
      <c r="F2" s="397"/>
      <c r="G2" s="397"/>
      <c r="H2" s="397"/>
      <c r="I2" s="397"/>
      <c r="J2" s="397"/>
      <c r="K2" s="397"/>
      <c r="L2" s="397"/>
      <c r="M2" s="397"/>
      <c r="N2" s="397"/>
      <c r="O2" s="398"/>
      <c r="P2" s="1"/>
      <c r="Q2" s="1"/>
      <c r="R2" s="1"/>
      <c r="S2" s="1"/>
      <c r="T2" s="1"/>
      <c r="U2" s="1"/>
      <c r="V2" s="1"/>
      <c r="W2" s="1"/>
      <c r="X2" s="1"/>
      <c r="Y2" s="1"/>
      <c r="Z2" s="1"/>
    </row>
    <row r="3" spans="1:26" ht="13.5" customHeight="1">
      <c r="A3" s="395"/>
      <c r="B3" s="399"/>
      <c r="C3" s="400"/>
      <c r="D3" s="401"/>
      <c r="E3" s="400"/>
      <c r="F3" s="184"/>
      <c r="G3" s="184"/>
      <c r="H3" s="184"/>
      <c r="I3" s="184"/>
      <c r="J3" s="184"/>
      <c r="K3" s="184"/>
      <c r="L3" s="184"/>
      <c r="M3" s="184"/>
      <c r="N3" s="184"/>
      <c r="O3" s="402"/>
      <c r="P3" s="1"/>
      <c r="Q3" s="1"/>
      <c r="R3" s="1"/>
      <c r="S3" s="1"/>
      <c r="T3" s="1"/>
      <c r="U3" s="1"/>
      <c r="V3" s="1"/>
      <c r="W3" s="1"/>
      <c r="X3" s="1"/>
      <c r="Y3" s="1"/>
      <c r="Z3" s="1"/>
    </row>
    <row r="4" spans="1:26" ht="13.5" customHeight="1">
      <c r="A4" s="395"/>
      <c r="B4" s="399"/>
      <c r="C4" s="39"/>
      <c r="D4" s="39"/>
      <c r="E4" s="39"/>
      <c r="F4" s="39"/>
      <c r="G4" s="39"/>
      <c r="H4" s="39"/>
      <c r="I4" s="39"/>
      <c r="J4" s="39"/>
      <c r="K4" s="39"/>
      <c r="L4" s="39"/>
      <c r="M4" s="39"/>
      <c r="N4" s="39"/>
      <c r="O4" s="402"/>
      <c r="P4" s="1"/>
      <c r="Q4" s="1"/>
      <c r="R4" s="1"/>
      <c r="S4" s="1"/>
      <c r="T4" s="1"/>
      <c r="U4" s="1"/>
      <c r="V4" s="1"/>
      <c r="W4" s="1"/>
      <c r="X4" s="1"/>
      <c r="Y4" s="1"/>
      <c r="Z4" s="1"/>
    </row>
    <row r="5" spans="1:26" ht="13.5" customHeight="1">
      <c r="A5" s="395"/>
      <c r="B5" s="399"/>
      <c r="C5" s="1124"/>
      <c r="D5" s="927"/>
      <c r="E5" s="1014" t="str">
        <f>+Datos!$C$9</f>
        <v>CONSEJO SUPERIOR  DE  JUDICATURA– DIRECCIÓN  EJECUTIVA  SECCIONAL  DE ADMINISTRACIÓN JUDICIAL DE BUCARAMANGA</v>
      </c>
      <c r="F5" s="926"/>
      <c r="G5" s="926"/>
      <c r="H5" s="926"/>
      <c r="I5" s="926"/>
      <c r="J5" s="926"/>
      <c r="K5" s="927"/>
      <c r="L5" s="925" t="s">
        <v>1</v>
      </c>
      <c r="M5" s="931"/>
      <c r="N5" s="933">
        <f>Datos!$C$4</f>
        <v>1</v>
      </c>
      <c r="O5" s="403"/>
      <c r="P5" s="1"/>
      <c r="Q5" s="1"/>
      <c r="R5" s="1"/>
      <c r="S5" s="1"/>
      <c r="T5" s="1"/>
      <c r="U5" s="1"/>
      <c r="V5" s="1"/>
      <c r="W5" s="1"/>
      <c r="X5" s="1"/>
      <c r="Y5" s="1"/>
      <c r="Z5" s="1"/>
    </row>
    <row r="6" spans="1:26" ht="13.5" customHeight="1">
      <c r="A6" s="395"/>
      <c r="B6" s="399"/>
      <c r="C6" s="920"/>
      <c r="D6" s="924"/>
      <c r="E6" s="920"/>
      <c r="F6" s="922"/>
      <c r="G6" s="922"/>
      <c r="H6" s="922"/>
      <c r="I6" s="922"/>
      <c r="J6" s="922"/>
      <c r="K6" s="924"/>
      <c r="L6" s="920"/>
      <c r="M6" s="932"/>
      <c r="N6" s="934"/>
      <c r="O6" s="403"/>
      <c r="P6" s="1"/>
      <c r="Q6" s="1"/>
      <c r="R6" s="1"/>
      <c r="S6" s="1"/>
      <c r="T6" s="1"/>
      <c r="U6" s="1"/>
      <c r="V6" s="1"/>
      <c r="W6" s="1"/>
      <c r="X6" s="1"/>
      <c r="Y6" s="1"/>
      <c r="Z6" s="1"/>
    </row>
    <row r="7" spans="1:26" ht="13.5" customHeight="1">
      <c r="A7" s="395"/>
      <c r="B7" s="399"/>
      <c r="C7" s="920"/>
      <c r="D7" s="924"/>
      <c r="E7" s="919" t="str">
        <f>Datos!$C$13</f>
        <v xml:space="preserve">BGA - 030 - 2026 </v>
      </c>
      <c r="F7" s="922"/>
      <c r="G7" s="922"/>
      <c r="H7" s="922"/>
      <c r="I7" s="922"/>
      <c r="J7" s="922"/>
      <c r="K7" s="922"/>
      <c r="L7" s="925" t="s">
        <v>29</v>
      </c>
      <c r="M7" s="926"/>
      <c r="N7" s="927"/>
      <c r="O7" s="403"/>
      <c r="P7" s="1"/>
      <c r="Q7" s="1"/>
      <c r="R7" s="1"/>
      <c r="S7" s="1"/>
      <c r="T7" s="1"/>
      <c r="U7" s="1"/>
      <c r="V7" s="1"/>
      <c r="W7" s="1"/>
      <c r="X7" s="1"/>
      <c r="Y7" s="1"/>
      <c r="Z7" s="1"/>
    </row>
    <row r="8" spans="1:26" ht="13.5" customHeight="1">
      <c r="A8" s="395"/>
      <c r="B8" s="399"/>
      <c r="C8" s="920"/>
      <c r="D8" s="924"/>
      <c r="E8" s="405"/>
      <c r="F8" s="406"/>
      <c r="G8" s="406"/>
      <c r="H8" s="406"/>
      <c r="I8" s="406"/>
      <c r="J8" s="406"/>
      <c r="K8" s="42"/>
      <c r="L8" s="919">
        <v>1</v>
      </c>
      <c r="M8" s="921" t="s">
        <v>30</v>
      </c>
      <c r="N8" s="923">
        <v>1</v>
      </c>
      <c r="O8" s="403"/>
      <c r="P8" s="1"/>
      <c r="Q8" s="1"/>
      <c r="R8" s="1"/>
      <c r="S8" s="1"/>
      <c r="T8" s="1"/>
      <c r="U8" s="1"/>
      <c r="V8" s="1"/>
      <c r="W8" s="1"/>
      <c r="X8" s="1"/>
      <c r="Y8" s="1"/>
      <c r="Z8" s="1"/>
    </row>
    <row r="9" spans="1:26" ht="13.5" customHeight="1">
      <c r="A9" s="395"/>
      <c r="B9" s="399"/>
      <c r="C9" s="920"/>
      <c r="D9" s="924"/>
      <c r="E9"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9" s="922"/>
      <c r="G9" s="922"/>
      <c r="H9" s="922"/>
      <c r="I9" s="922"/>
      <c r="J9" s="922"/>
      <c r="K9" s="922"/>
      <c r="L9" s="920"/>
      <c r="M9" s="922"/>
      <c r="N9" s="924"/>
      <c r="O9" s="403"/>
      <c r="P9" s="1"/>
      <c r="Q9" s="1"/>
      <c r="R9" s="1"/>
      <c r="S9" s="1"/>
      <c r="T9" s="1"/>
      <c r="U9" s="1"/>
      <c r="V9" s="1"/>
      <c r="W9" s="1"/>
      <c r="X9" s="1"/>
      <c r="Y9" s="1"/>
      <c r="Z9" s="1"/>
    </row>
    <row r="10" spans="1:26" ht="13.5" customHeight="1">
      <c r="A10" s="395"/>
      <c r="B10" s="399"/>
      <c r="C10" s="920"/>
      <c r="D10" s="924"/>
      <c r="E10" s="920"/>
      <c r="F10" s="922"/>
      <c r="G10" s="922"/>
      <c r="H10" s="922"/>
      <c r="I10" s="922"/>
      <c r="J10" s="922"/>
      <c r="K10" s="922"/>
      <c r="L10" s="925" t="s">
        <v>2</v>
      </c>
      <c r="M10" s="926"/>
      <c r="N10" s="927"/>
      <c r="O10" s="403"/>
      <c r="P10" s="1"/>
      <c r="Q10" s="1"/>
      <c r="R10" s="1"/>
      <c r="S10" s="1"/>
      <c r="T10" s="1"/>
      <c r="U10" s="1"/>
      <c r="V10" s="1"/>
      <c r="W10" s="1"/>
      <c r="X10" s="1"/>
      <c r="Y10" s="1"/>
      <c r="Z10" s="1"/>
    </row>
    <row r="11" spans="1:26" ht="12.75" customHeight="1">
      <c r="A11" s="395"/>
      <c r="B11" s="399"/>
      <c r="C11" s="920"/>
      <c r="D11" s="924"/>
      <c r="E11" s="407"/>
      <c r="F11" s="216"/>
      <c r="G11" s="216"/>
      <c r="H11" s="216"/>
      <c r="I11" s="216"/>
      <c r="J11" s="216"/>
      <c r="K11" s="216"/>
      <c r="L11" s="408" t="s">
        <v>3</v>
      </c>
      <c r="M11" s="409" t="s">
        <v>4</v>
      </c>
      <c r="N11" s="410" t="s">
        <v>5</v>
      </c>
      <c r="O11" s="403"/>
      <c r="P11" s="1"/>
      <c r="Q11" s="1"/>
      <c r="R11" s="1"/>
      <c r="S11" s="1"/>
      <c r="T11" s="1"/>
      <c r="U11" s="1"/>
      <c r="V11" s="1"/>
      <c r="W11" s="1"/>
      <c r="X11" s="1"/>
      <c r="Y11" s="1"/>
      <c r="Z11" s="1"/>
    </row>
    <row r="12" spans="1:26" ht="13.5" customHeight="1">
      <c r="A12" s="395"/>
      <c r="B12" s="399"/>
      <c r="C12" s="920"/>
      <c r="D12" s="924"/>
      <c r="E12" s="1125" t="s">
        <v>1186</v>
      </c>
      <c r="F12" s="945"/>
      <c r="G12" s="945"/>
      <c r="H12" s="945"/>
      <c r="I12" s="945"/>
      <c r="J12" s="945"/>
      <c r="K12" s="945"/>
      <c r="L12" s="928">
        <f>+Datos!C7</f>
        <v>19</v>
      </c>
      <c r="M12" s="935">
        <f>+Datos!D7</f>
        <v>6</v>
      </c>
      <c r="N12" s="937">
        <f>+Datos!E7</f>
        <v>2026</v>
      </c>
      <c r="O12" s="403"/>
      <c r="P12" s="1"/>
      <c r="Q12" s="1"/>
      <c r="R12" s="1"/>
      <c r="S12" s="1"/>
      <c r="T12" s="1"/>
      <c r="U12" s="1"/>
      <c r="V12" s="1"/>
      <c r="W12" s="1"/>
      <c r="X12" s="1"/>
      <c r="Y12" s="1"/>
      <c r="Z12" s="1"/>
    </row>
    <row r="13" spans="1:26" ht="13.5" customHeight="1">
      <c r="A13" s="395"/>
      <c r="B13" s="399"/>
      <c r="C13" s="929"/>
      <c r="D13" s="938"/>
      <c r="E13" s="929"/>
      <c r="F13" s="936"/>
      <c r="G13" s="936"/>
      <c r="H13" s="936"/>
      <c r="I13" s="936"/>
      <c r="J13" s="936"/>
      <c r="K13" s="936"/>
      <c r="L13" s="929"/>
      <c r="M13" s="936"/>
      <c r="N13" s="938"/>
      <c r="O13" s="403"/>
      <c r="P13" s="1"/>
      <c r="Q13" s="1"/>
      <c r="R13" s="1"/>
      <c r="S13" s="1"/>
      <c r="T13" s="1"/>
      <c r="U13" s="1"/>
      <c r="V13" s="1"/>
      <c r="W13" s="1"/>
      <c r="X13" s="1"/>
      <c r="Y13" s="1"/>
      <c r="Z13" s="1"/>
    </row>
    <row r="14" spans="1:26" ht="13.5" customHeight="1">
      <c r="A14" s="395"/>
      <c r="B14" s="399"/>
      <c r="C14" s="404"/>
      <c r="D14" s="38"/>
      <c r="E14" s="38"/>
      <c r="F14" s="38"/>
      <c r="G14" s="38"/>
      <c r="H14" s="38"/>
      <c r="I14" s="38"/>
      <c r="J14" s="38"/>
      <c r="K14" s="38"/>
      <c r="L14" s="39"/>
      <c r="M14" s="39"/>
      <c r="N14" s="40"/>
      <c r="O14" s="411"/>
      <c r="P14" s="1"/>
      <c r="Q14" s="1"/>
      <c r="R14" s="1"/>
      <c r="S14" s="1"/>
      <c r="T14" s="1"/>
      <c r="U14" s="1"/>
      <c r="V14" s="1"/>
      <c r="W14" s="1"/>
      <c r="X14" s="1"/>
      <c r="Y14" s="1"/>
      <c r="Z14" s="1"/>
    </row>
    <row r="15" spans="1:26" ht="21" customHeight="1">
      <c r="A15" s="395"/>
      <c r="B15" s="399"/>
      <c r="C15" s="412" t="s">
        <v>1187</v>
      </c>
      <c r="D15" s="1126" t="s">
        <v>1188</v>
      </c>
      <c r="E15" s="922"/>
      <c r="F15" s="922"/>
      <c r="G15" s="922"/>
      <c r="H15" s="922"/>
      <c r="I15" s="922"/>
      <c r="J15" s="922"/>
      <c r="K15" s="922"/>
      <c r="L15" s="922"/>
      <c r="M15" s="1"/>
      <c r="N15" s="413"/>
      <c r="O15" s="414"/>
      <c r="P15" s="1"/>
      <c r="Q15" s="1"/>
      <c r="R15" s="1"/>
      <c r="S15" s="1"/>
      <c r="T15" s="1"/>
      <c r="U15" s="1"/>
      <c r="V15" s="1"/>
      <c r="W15" s="1"/>
      <c r="X15" s="1"/>
      <c r="Y15" s="1"/>
      <c r="Z15" s="1"/>
    </row>
    <row r="16" spans="1:26" ht="21" customHeight="1">
      <c r="A16" s="395"/>
      <c r="B16" s="399"/>
      <c r="C16" s="412" t="s">
        <v>1189</v>
      </c>
      <c r="D16" s="1126" t="s">
        <v>1190</v>
      </c>
      <c r="E16" s="922"/>
      <c r="F16" s="922"/>
      <c r="G16" s="922"/>
      <c r="H16" s="922"/>
      <c r="I16" s="922"/>
      <c r="J16" s="922"/>
      <c r="K16" s="922"/>
      <c r="L16" s="922"/>
      <c r="M16" s="1"/>
      <c r="N16" s="413"/>
      <c r="O16" s="403"/>
      <c r="P16" s="1"/>
      <c r="Q16" s="1"/>
      <c r="R16" s="1"/>
      <c r="S16" s="1"/>
      <c r="T16" s="1"/>
      <c r="U16" s="1"/>
      <c r="V16" s="1"/>
      <c r="W16" s="1"/>
      <c r="X16" s="1"/>
      <c r="Y16" s="1"/>
      <c r="Z16" s="1"/>
    </row>
    <row r="17" spans="1:26" ht="13.5" customHeight="1">
      <c r="A17" s="395"/>
      <c r="B17" s="399"/>
      <c r="C17" s="415"/>
      <c r="D17" s="416"/>
      <c r="E17" s="416"/>
      <c r="F17" s="416"/>
      <c r="G17" s="416"/>
      <c r="H17" s="416"/>
      <c r="I17" s="416"/>
      <c r="J17" s="416"/>
      <c r="K17" s="416"/>
      <c r="L17" s="416"/>
      <c r="M17" s="416"/>
      <c r="N17" s="417"/>
      <c r="O17" s="402"/>
      <c r="P17" s="184"/>
      <c r="Q17" s="184"/>
      <c r="R17" s="1"/>
      <c r="S17" s="1"/>
      <c r="T17" s="1"/>
      <c r="U17" s="1"/>
      <c r="V17" s="1"/>
      <c r="W17" s="1"/>
      <c r="X17" s="1"/>
      <c r="Y17" s="1"/>
      <c r="Z17" s="1"/>
    </row>
    <row r="18" spans="1:26" ht="13.5" customHeight="1">
      <c r="A18" s="395"/>
      <c r="B18" s="399"/>
      <c r="C18" s="418"/>
      <c r="D18" s="39"/>
      <c r="E18" s="39"/>
      <c r="F18" s="39"/>
      <c r="G18" s="39"/>
      <c r="H18" s="39"/>
      <c r="I18" s="39"/>
      <c r="J18" s="39"/>
      <c r="K18" s="39"/>
      <c r="L18" s="39"/>
      <c r="M18" s="39"/>
      <c r="N18" s="40"/>
      <c r="O18" s="402"/>
      <c r="P18" s="184"/>
      <c r="Q18" s="184"/>
      <c r="R18" s="1"/>
      <c r="S18" s="1"/>
      <c r="T18" s="1"/>
      <c r="U18" s="1"/>
      <c r="V18" s="1"/>
      <c r="W18" s="1"/>
      <c r="X18" s="1"/>
      <c r="Y18" s="1"/>
      <c r="Z18" s="1"/>
    </row>
    <row r="19" spans="1:26" ht="13.5" customHeight="1">
      <c r="A19" s="395"/>
      <c r="B19" s="399"/>
      <c r="C19" s="925" t="s">
        <v>1191</v>
      </c>
      <c r="D19" s="926"/>
      <c r="E19" s="926"/>
      <c r="F19" s="926"/>
      <c r="G19" s="926"/>
      <c r="H19" s="926"/>
      <c r="I19" s="926"/>
      <c r="J19" s="926"/>
      <c r="K19" s="926"/>
      <c r="L19" s="926"/>
      <c r="M19" s="926"/>
      <c r="N19" s="927"/>
      <c r="O19" s="419"/>
      <c r="P19" s="184"/>
      <c r="Q19" s="184"/>
      <c r="R19" s="1"/>
      <c r="S19" s="1"/>
      <c r="T19" s="1"/>
      <c r="U19" s="1"/>
      <c r="V19" s="1"/>
      <c r="W19" s="1"/>
      <c r="X19" s="1"/>
      <c r="Y19" s="1"/>
      <c r="Z19" s="1"/>
    </row>
    <row r="20" spans="1:26" ht="13.5" customHeight="1">
      <c r="A20" s="395"/>
      <c r="B20" s="399"/>
      <c r="C20" s="418"/>
      <c r="D20" s="39"/>
      <c r="E20" s="39"/>
      <c r="F20" s="39"/>
      <c r="G20" s="39"/>
      <c r="H20" s="39"/>
      <c r="I20" s="39"/>
      <c r="J20" s="39"/>
      <c r="K20" s="39"/>
      <c r="L20" s="39"/>
      <c r="M20" s="39"/>
      <c r="N20" s="40"/>
      <c r="O20" s="402"/>
      <c r="P20" s="184"/>
      <c r="Q20" s="184"/>
      <c r="R20" s="1"/>
      <c r="S20" s="1"/>
      <c r="T20" s="1"/>
      <c r="U20" s="1"/>
      <c r="V20" s="1"/>
      <c r="W20" s="1"/>
      <c r="X20" s="1"/>
      <c r="Y20" s="1"/>
      <c r="Z20" s="1"/>
    </row>
    <row r="21" spans="1:26" ht="13.5" customHeight="1">
      <c r="A21" s="395"/>
      <c r="B21" s="399"/>
      <c r="C21" s="420" t="s">
        <v>965</v>
      </c>
      <c r="D21" s="1136" t="s">
        <v>17</v>
      </c>
      <c r="E21" s="1131"/>
      <c r="F21" s="1131"/>
      <c r="G21" s="1131"/>
      <c r="H21" s="1131"/>
      <c r="I21" s="1131"/>
      <c r="J21" s="1131"/>
      <c r="K21" s="1137"/>
      <c r="L21" s="1130" t="s">
        <v>1192</v>
      </c>
      <c r="M21" s="1137"/>
      <c r="N21" s="420" t="s">
        <v>950</v>
      </c>
      <c r="O21" s="419"/>
      <c r="P21" s="184"/>
      <c r="Q21" s="184"/>
      <c r="R21" s="1"/>
      <c r="S21" s="1"/>
      <c r="T21" s="1"/>
      <c r="U21" s="1"/>
      <c r="V21" s="1"/>
      <c r="W21" s="1"/>
      <c r="X21" s="1"/>
      <c r="Y21" s="1"/>
      <c r="Z21" s="1"/>
    </row>
    <row r="22" spans="1:26" ht="13.5" customHeight="1">
      <c r="A22" s="395"/>
      <c r="B22" s="421"/>
      <c r="C22" s="422" t="s">
        <v>1190</v>
      </c>
      <c r="D22" s="1138" t="s">
        <v>1193</v>
      </c>
      <c r="E22" s="979"/>
      <c r="F22" s="979"/>
      <c r="G22" s="979"/>
      <c r="H22" s="979"/>
      <c r="I22" s="979"/>
      <c r="J22" s="979"/>
      <c r="K22" s="980"/>
      <c r="L22" s="1138" t="s">
        <v>741</v>
      </c>
      <c r="M22" s="980"/>
      <c r="N22" s="423">
        <v>1</v>
      </c>
      <c r="O22" s="424"/>
      <c r="P22" s="425"/>
      <c r="Q22" s="54" t="s">
        <v>1194</v>
      </c>
      <c r="R22" s="1"/>
      <c r="S22" s="1"/>
      <c r="T22" s="1"/>
      <c r="U22" s="1"/>
      <c r="V22" s="1"/>
      <c r="W22" s="1"/>
      <c r="X22" s="1"/>
      <c r="Y22" s="1"/>
      <c r="Z22" s="1"/>
    </row>
    <row r="23" spans="1:26" ht="13.5" customHeight="1">
      <c r="A23" s="395"/>
      <c r="B23" s="399"/>
      <c r="C23" s="1129" t="s">
        <v>1195</v>
      </c>
      <c r="D23" s="926"/>
      <c r="E23" s="926"/>
      <c r="F23" s="926"/>
      <c r="G23" s="926"/>
      <c r="H23" s="926"/>
      <c r="I23" s="926"/>
      <c r="J23" s="926"/>
      <c r="K23" s="926"/>
      <c r="L23" s="926"/>
      <c r="M23" s="926"/>
      <c r="N23" s="927"/>
      <c r="O23" s="426"/>
      <c r="P23" s="184"/>
      <c r="Q23" s="184"/>
      <c r="R23" s="1"/>
      <c r="S23" s="1"/>
      <c r="T23" s="1"/>
      <c r="U23" s="1"/>
      <c r="V23" s="1"/>
      <c r="W23" s="1"/>
      <c r="X23" s="1"/>
      <c r="Y23" s="1"/>
      <c r="Z23" s="1"/>
    </row>
    <row r="24" spans="1:26" ht="13.5" customHeight="1">
      <c r="A24" s="395"/>
      <c r="B24" s="399"/>
      <c r="C24" s="920"/>
      <c r="D24" s="922"/>
      <c r="E24" s="922"/>
      <c r="F24" s="922"/>
      <c r="G24" s="922"/>
      <c r="H24" s="922"/>
      <c r="I24" s="922"/>
      <c r="J24" s="922"/>
      <c r="K24" s="922"/>
      <c r="L24" s="922"/>
      <c r="M24" s="922"/>
      <c r="N24" s="924"/>
      <c r="O24" s="426"/>
      <c r="P24" s="184"/>
      <c r="Q24" s="184"/>
      <c r="R24" s="1"/>
      <c r="S24" s="1"/>
      <c r="T24" s="1"/>
      <c r="U24" s="1"/>
      <c r="V24" s="1"/>
      <c r="W24" s="1"/>
      <c r="X24" s="1"/>
      <c r="Y24" s="1"/>
      <c r="Z24" s="1"/>
    </row>
    <row r="25" spans="1:26" ht="13.5" customHeight="1">
      <c r="A25" s="395"/>
      <c r="B25" s="399"/>
      <c r="C25" s="929"/>
      <c r="D25" s="936"/>
      <c r="E25" s="936"/>
      <c r="F25" s="936"/>
      <c r="G25" s="936"/>
      <c r="H25" s="936"/>
      <c r="I25" s="936"/>
      <c r="J25" s="936"/>
      <c r="K25" s="936"/>
      <c r="L25" s="936"/>
      <c r="M25" s="936"/>
      <c r="N25" s="938"/>
      <c r="O25" s="426"/>
      <c r="P25" s="184"/>
      <c r="Q25" s="184"/>
      <c r="R25" s="1"/>
      <c r="S25" s="1"/>
      <c r="T25" s="1"/>
      <c r="U25" s="1"/>
      <c r="V25" s="1"/>
      <c r="W25" s="1"/>
      <c r="X25" s="1"/>
      <c r="Y25" s="1"/>
      <c r="Z25" s="1"/>
    </row>
    <row r="26" spans="1:26" ht="13.5" customHeight="1">
      <c r="A26" s="395"/>
      <c r="B26" s="399"/>
      <c r="C26" s="1130" t="s">
        <v>17</v>
      </c>
      <c r="D26" s="1131"/>
      <c r="E26" s="1131"/>
      <c r="F26" s="1000"/>
      <c r="G26" s="1135" t="s">
        <v>1196</v>
      </c>
      <c r="H26" s="1000"/>
      <c r="I26" s="1139" t="s">
        <v>1197</v>
      </c>
      <c r="J26" s="1140"/>
      <c r="K26" s="427" t="s">
        <v>1198</v>
      </c>
      <c r="L26" s="1135" t="s">
        <v>1199</v>
      </c>
      <c r="M26" s="1000"/>
      <c r="N26" s="428" t="s">
        <v>1200</v>
      </c>
      <c r="O26" s="419"/>
      <c r="P26" s="184"/>
      <c r="Q26" s="184"/>
      <c r="R26" s="1"/>
      <c r="S26" s="1"/>
      <c r="T26" s="1"/>
      <c r="U26" s="1"/>
      <c r="V26" s="1"/>
      <c r="W26" s="1"/>
      <c r="X26" s="1"/>
      <c r="Y26" s="1"/>
      <c r="Z26" s="1"/>
    </row>
    <row r="27" spans="1:26" ht="13.5" customHeight="1">
      <c r="A27" s="395"/>
      <c r="B27" s="399"/>
      <c r="C27" s="1128" t="s">
        <v>1201</v>
      </c>
      <c r="D27" s="940"/>
      <c r="E27" s="940"/>
      <c r="F27" s="941"/>
      <c r="G27" s="1142"/>
      <c r="H27" s="941"/>
      <c r="I27" s="1142"/>
      <c r="J27" s="941"/>
      <c r="K27" s="429"/>
      <c r="L27" s="1143">
        <v>0.05</v>
      </c>
      <c r="M27" s="941"/>
      <c r="N27" s="430">
        <f>+L27*N58</f>
        <v>2506.411111111111</v>
      </c>
      <c r="O27" s="431"/>
      <c r="P27" s="184"/>
      <c r="Q27" s="184"/>
      <c r="R27" s="1"/>
      <c r="S27" s="1"/>
      <c r="T27" s="1"/>
      <c r="U27" s="1"/>
      <c r="V27" s="1"/>
      <c r="W27" s="1"/>
      <c r="X27" s="1"/>
      <c r="Y27" s="1"/>
      <c r="Z27" s="1"/>
    </row>
    <row r="28" spans="1:26" ht="13.5" customHeight="1">
      <c r="A28" s="395" t="str">
        <f t="array" ref="A28">IF(C28&lt;&gt;0,INDEX(CodEquipos,MATCH(C28,Equipos,0),),)</f>
        <v>EQ-01</v>
      </c>
      <c r="B28" s="399"/>
      <c r="C28" s="1128" t="s">
        <v>271</v>
      </c>
      <c r="D28" s="940"/>
      <c r="E28" s="940"/>
      <c r="F28" s="941"/>
      <c r="G28" s="1142"/>
      <c r="H28" s="941"/>
      <c r="I28" s="1142"/>
      <c r="J28" s="941"/>
      <c r="K28" s="432">
        <f>IF($A28&gt;0,(VLOOKUP($A28,TablaEquipos,7,FALSE)),"")</f>
        <v>13833.75</v>
      </c>
      <c r="L28" s="1141">
        <f>+L53/8</f>
        <v>1.125</v>
      </c>
      <c r="M28" s="941"/>
      <c r="N28" s="430">
        <f t="shared" ref="N28:N30" si="0">IF(L28&gt;0,K28/L28,"")</f>
        <v>12296.666666666666</v>
      </c>
      <c r="O28" s="431"/>
      <c r="P28" s="184"/>
      <c r="Q28" s="184"/>
      <c r="R28" s="1"/>
      <c r="S28" s="1"/>
      <c r="T28" s="1"/>
      <c r="U28" s="1"/>
      <c r="V28" s="1"/>
      <c r="W28" s="1"/>
      <c r="X28" s="1"/>
      <c r="Y28" s="1"/>
      <c r="Z28" s="1"/>
    </row>
    <row r="29" spans="1:26" ht="13.5" customHeight="1">
      <c r="A29" s="395">
        <f t="array" ref="A29">IF(C29&lt;&gt;0,INDEX(CodEquipos,MATCH(C29,Equipos,0),),)</f>
        <v>0</v>
      </c>
      <c r="B29" s="399"/>
      <c r="C29" s="1128"/>
      <c r="D29" s="940"/>
      <c r="E29" s="940"/>
      <c r="F29" s="941"/>
      <c r="G29" s="1142"/>
      <c r="H29" s="941"/>
      <c r="I29" s="1142"/>
      <c r="J29" s="941"/>
      <c r="K29" s="432" t="str">
        <f>IF($A29&gt;0,(VLOOKUP($A29,TablaEquipos,7,FALSE)),"")</f>
        <v/>
      </c>
      <c r="L29" s="1141"/>
      <c r="M29" s="941"/>
      <c r="N29" s="430" t="str">
        <f t="shared" si="0"/>
        <v/>
      </c>
      <c r="O29" s="431"/>
      <c r="P29" s="184"/>
      <c r="Q29" s="184"/>
      <c r="R29" s="1"/>
      <c r="S29" s="1"/>
      <c r="T29" s="1"/>
      <c r="U29" s="1"/>
      <c r="V29" s="1"/>
      <c r="W29" s="1"/>
      <c r="X29" s="1"/>
      <c r="Y29" s="1"/>
      <c r="Z29" s="1"/>
    </row>
    <row r="30" spans="1:26" ht="13.5" customHeight="1">
      <c r="A30" s="395">
        <f t="array" ref="A30">IF(C30&lt;&gt;0,INDEX(CodEquipos,MATCH(C30,Equipos,0),),)</f>
        <v>0</v>
      </c>
      <c r="B30" s="399"/>
      <c r="C30" s="1128"/>
      <c r="D30" s="940"/>
      <c r="E30" s="940"/>
      <c r="F30" s="941"/>
      <c r="G30" s="1144"/>
      <c r="H30" s="1145"/>
      <c r="I30" s="1142"/>
      <c r="J30" s="941"/>
      <c r="K30" s="432" t="str">
        <f>IF($A30&gt;0,(VLOOKUP($A30,TablaEquipos,7,FALSE)),"")</f>
        <v/>
      </c>
      <c r="L30" s="1141"/>
      <c r="M30" s="941"/>
      <c r="N30" s="430" t="str">
        <f t="shared" si="0"/>
        <v/>
      </c>
      <c r="O30" s="431"/>
      <c r="P30" s="184"/>
      <c r="Q30" s="184"/>
      <c r="R30" s="1"/>
      <c r="S30" s="1"/>
      <c r="T30" s="1"/>
      <c r="U30" s="1"/>
      <c r="V30" s="1"/>
      <c r="W30" s="1"/>
      <c r="X30" s="1"/>
      <c r="Y30" s="1"/>
      <c r="Z30" s="1"/>
    </row>
    <row r="31" spans="1:26" ht="13.5" customHeight="1">
      <c r="A31" s="395"/>
      <c r="B31" s="399"/>
      <c r="C31" s="1127" t="s">
        <v>1202</v>
      </c>
      <c r="D31" s="965"/>
      <c r="E31" s="965"/>
      <c r="F31" s="965"/>
      <c r="G31" s="965"/>
      <c r="H31" s="965"/>
      <c r="I31" s="965"/>
      <c r="J31" s="965"/>
      <c r="K31" s="965"/>
      <c r="L31" s="965"/>
      <c r="M31" s="966"/>
      <c r="N31" s="433">
        <f>+SUM(N27:N30)</f>
        <v>14803.077777777777</v>
      </c>
      <c r="O31" s="431"/>
      <c r="P31" s="184"/>
      <c r="Q31" s="184"/>
      <c r="R31" s="1"/>
      <c r="S31" s="1"/>
      <c r="T31" s="1"/>
      <c r="U31" s="1"/>
      <c r="V31" s="1"/>
      <c r="W31" s="1"/>
      <c r="X31" s="1"/>
      <c r="Y31" s="1"/>
      <c r="Z31" s="1"/>
    </row>
    <row r="32" spans="1:26" ht="13.5" customHeight="1">
      <c r="A32" s="395"/>
      <c r="B32" s="399"/>
      <c r="C32" s="1129" t="s">
        <v>1203</v>
      </c>
      <c r="D32" s="926"/>
      <c r="E32" s="926"/>
      <c r="F32" s="926"/>
      <c r="G32" s="926"/>
      <c r="H32" s="926"/>
      <c r="I32" s="926"/>
      <c r="J32" s="926"/>
      <c r="K32" s="926"/>
      <c r="L32" s="926"/>
      <c r="M32" s="926"/>
      <c r="N32" s="927"/>
      <c r="O32" s="426"/>
      <c r="P32" s="184"/>
      <c r="Q32" s="184"/>
      <c r="R32" s="1"/>
      <c r="S32" s="1"/>
      <c r="T32" s="1"/>
      <c r="U32" s="1"/>
      <c r="V32" s="1"/>
      <c r="W32" s="1"/>
      <c r="X32" s="1"/>
      <c r="Y32" s="1"/>
      <c r="Z32" s="1"/>
    </row>
    <row r="33" spans="1:26" ht="13.5" customHeight="1">
      <c r="A33" s="395"/>
      <c r="B33" s="399"/>
      <c r="C33" s="920"/>
      <c r="D33" s="922"/>
      <c r="E33" s="922"/>
      <c r="F33" s="922"/>
      <c r="G33" s="922"/>
      <c r="H33" s="922"/>
      <c r="I33" s="922"/>
      <c r="J33" s="922"/>
      <c r="K33" s="922"/>
      <c r="L33" s="922"/>
      <c r="M33" s="922"/>
      <c r="N33" s="924"/>
      <c r="O33" s="426"/>
      <c r="P33" s="184"/>
      <c r="Q33" s="1"/>
      <c r="R33" s="1"/>
      <c r="S33" s="1"/>
      <c r="T33" s="1"/>
      <c r="U33" s="1"/>
      <c r="V33" s="1"/>
      <c r="W33" s="1"/>
      <c r="X33" s="1"/>
      <c r="Y33" s="1"/>
      <c r="Z33" s="1"/>
    </row>
    <row r="34" spans="1:26" ht="13.5" customHeight="1">
      <c r="A34" s="395"/>
      <c r="B34" s="399"/>
      <c r="C34" s="929"/>
      <c r="D34" s="936"/>
      <c r="E34" s="936"/>
      <c r="F34" s="936"/>
      <c r="G34" s="936"/>
      <c r="H34" s="936"/>
      <c r="I34" s="936"/>
      <c r="J34" s="936"/>
      <c r="K34" s="936"/>
      <c r="L34" s="936"/>
      <c r="M34" s="936"/>
      <c r="N34" s="938"/>
      <c r="O34" s="426"/>
      <c r="P34" s="184"/>
      <c r="Q34" s="1"/>
      <c r="R34" s="1"/>
      <c r="S34" s="1"/>
      <c r="T34" s="1"/>
      <c r="U34" s="1"/>
      <c r="V34" s="1"/>
      <c r="W34" s="1"/>
      <c r="X34" s="1"/>
      <c r="Y34" s="1"/>
      <c r="Z34" s="1"/>
    </row>
    <row r="35" spans="1:26" ht="13.5" customHeight="1">
      <c r="A35" s="395"/>
      <c r="B35" s="399"/>
      <c r="C35" s="1130" t="s">
        <v>17</v>
      </c>
      <c r="D35" s="1131"/>
      <c r="E35" s="1131"/>
      <c r="F35" s="1131"/>
      <c r="G35" s="1131"/>
      <c r="H35" s="1131"/>
      <c r="I35" s="1000"/>
      <c r="J35" s="434" t="s">
        <v>1192</v>
      </c>
      <c r="K35" s="427" t="s">
        <v>950</v>
      </c>
      <c r="L35" s="1135" t="s">
        <v>1204</v>
      </c>
      <c r="M35" s="1000"/>
      <c r="N35" s="428" t="s">
        <v>1200</v>
      </c>
      <c r="O35" s="419"/>
      <c r="P35" s="184"/>
      <c r="Q35" s="1"/>
      <c r="R35" s="1"/>
      <c r="S35" s="1"/>
      <c r="T35" s="1"/>
      <c r="U35" s="1"/>
      <c r="V35" s="1"/>
      <c r="W35" s="1"/>
      <c r="X35" s="1"/>
      <c r="Y35" s="1"/>
      <c r="Z35" s="1"/>
    </row>
    <row r="36" spans="1:26" ht="13.5" customHeight="1">
      <c r="A36" s="395" t="str">
        <f t="array" ref="A36">IF(C36&lt;&gt;0,INDEX(CodMat,MATCH(C36,Materiales,0),),)</f>
        <v>MAT_C-01</v>
      </c>
      <c r="B36" s="399"/>
      <c r="C36" s="1128" t="s">
        <v>1205</v>
      </c>
      <c r="D36" s="940"/>
      <c r="E36" s="940"/>
      <c r="F36" s="940"/>
      <c r="G36" s="940"/>
      <c r="H36" s="940"/>
      <c r="I36" s="941"/>
      <c r="J36" s="435" t="str">
        <f>IF($A36&gt;0,(VLOOKUP($A36,TablaInsumos,5,FALSE)),"")</f>
        <v>LT</v>
      </c>
      <c r="K36" s="436">
        <v>210</v>
      </c>
      <c r="L36" s="1134">
        <f>IF($A36&gt;0,(VLOOKUP($A36,TablaInsumos,7,FALSE)),"")</f>
        <v>46</v>
      </c>
      <c r="M36" s="941"/>
      <c r="N36" s="430">
        <f t="shared" ref="N36:N40" si="1">IF(K36&gt;0,L36*K36,"")</f>
        <v>9660</v>
      </c>
      <c r="O36" s="431"/>
      <c r="P36" s="184"/>
      <c r="Q36" s="1"/>
      <c r="R36" s="1"/>
      <c r="S36" s="1"/>
      <c r="T36" s="1"/>
      <c r="U36" s="1"/>
      <c r="V36" s="1"/>
      <c r="W36" s="1"/>
      <c r="X36" s="1"/>
      <c r="Y36" s="1"/>
      <c r="Z36" s="1"/>
    </row>
    <row r="37" spans="1:26" ht="13.5" customHeight="1">
      <c r="A37" s="395" t="str">
        <f t="array" ref="A37">IF(C37&lt;&gt;0,INDEX(CodMat,MATCH(C37,Materiales,0),),)</f>
        <v>MAT_C-03</v>
      </c>
      <c r="B37" s="399"/>
      <c r="C37" s="1128" t="s">
        <v>1206</v>
      </c>
      <c r="D37" s="940"/>
      <c r="E37" s="940"/>
      <c r="F37" s="940"/>
      <c r="G37" s="940"/>
      <c r="H37" s="940"/>
      <c r="I37" s="941"/>
      <c r="J37" s="435" t="str">
        <f>IF($A37&gt;0,(VLOOKUP($A37,TablaInsumos,5,FALSE)),"")</f>
        <v>M3</v>
      </c>
      <c r="K37" s="436">
        <v>1.1000000000000001</v>
      </c>
      <c r="L37" s="1134">
        <f>IF($A37&gt;0,(VLOOKUP($A37,TablaInsumos,7,FALSE)),"")</f>
        <v>86414</v>
      </c>
      <c r="M37" s="941"/>
      <c r="N37" s="430">
        <f t="shared" si="1"/>
        <v>95055.400000000009</v>
      </c>
      <c r="O37" s="431"/>
      <c r="P37" s="184">
        <f>K37*0.75</f>
        <v>0.82500000000000007</v>
      </c>
      <c r="Q37" s="1"/>
      <c r="R37" s="1"/>
      <c r="S37" s="1"/>
      <c r="T37" s="1"/>
      <c r="U37" s="1"/>
      <c r="V37" s="1"/>
      <c r="W37" s="1"/>
      <c r="X37" s="1"/>
      <c r="Y37" s="1"/>
      <c r="Z37" s="1"/>
    </row>
    <row r="38" spans="1:26" ht="13.5" customHeight="1">
      <c r="A38" s="395" t="str">
        <f t="array" ref="A38">IF(C38&lt;&gt;0,INDEX(CodMat,MATCH(C38,Materiales,0),),)</f>
        <v>MAT_C-12</v>
      </c>
      <c r="B38" s="399"/>
      <c r="C38" s="1128" t="s">
        <v>1207</v>
      </c>
      <c r="D38" s="940"/>
      <c r="E38" s="940"/>
      <c r="F38" s="940"/>
      <c r="G38" s="940"/>
      <c r="H38" s="940"/>
      <c r="I38" s="941"/>
      <c r="J38" s="435" t="str">
        <f>IF($A38&gt;0,(VLOOKUP($A38,TablaInsumos,5,FALSE)),"")</f>
        <v>KG</v>
      </c>
      <c r="K38" s="436">
        <v>450</v>
      </c>
      <c r="L38" s="1134">
        <f>IF($A38&gt;0,(VLOOKUP($A38,TablaInsumos,7,FALSE)),"")</f>
        <v>1164</v>
      </c>
      <c r="M38" s="941"/>
      <c r="N38" s="430">
        <f t="shared" si="1"/>
        <v>523800</v>
      </c>
      <c r="O38" s="431"/>
      <c r="P38" s="437"/>
      <c r="Q38" s="1"/>
      <c r="R38" s="1"/>
      <c r="S38" s="1"/>
      <c r="T38" s="1"/>
      <c r="U38" s="1"/>
      <c r="V38" s="1"/>
      <c r="W38" s="1"/>
      <c r="X38" s="1"/>
      <c r="Y38" s="1"/>
      <c r="Z38" s="1"/>
    </row>
    <row r="39" spans="1:26" ht="13.5" customHeight="1">
      <c r="A39" s="395">
        <f t="array" ref="A39">IF(C39&lt;&gt;0,INDEX(CodMat,MATCH(C39,Materiales,0),),)</f>
        <v>0</v>
      </c>
      <c r="B39" s="399"/>
      <c r="C39" s="1128"/>
      <c r="D39" s="940"/>
      <c r="E39" s="940"/>
      <c r="F39" s="940"/>
      <c r="G39" s="940"/>
      <c r="H39" s="940"/>
      <c r="I39" s="941"/>
      <c r="J39" s="435" t="str">
        <f>IF($A39&gt;0,(VLOOKUP($A39,TablaInsumos,5,FALSE)),"")</f>
        <v/>
      </c>
      <c r="K39" s="436"/>
      <c r="L39" s="1134" t="str">
        <f>IF($A39&gt;0,(VLOOKUP($A39,TablaInsumos,7,FALSE)),"")</f>
        <v/>
      </c>
      <c r="M39" s="941"/>
      <c r="N39" s="430" t="str">
        <f t="shared" si="1"/>
        <v/>
      </c>
      <c r="O39" s="431"/>
      <c r="P39" s="184"/>
      <c r="Q39" s="1"/>
      <c r="R39" s="1"/>
      <c r="S39" s="1"/>
      <c r="T39" s="1"/>
      <c r="U39" s="1"/>
      <c r="V39" s="1"/>
      <c r="W39" s="1"/>
      <c r="X39" s="1"/>
      <c r="Y39" s="1"/>
      <c r="Z39" s="1"/>
    </row>
    <row r="40" spans="1:26" ht="13.5" customHeight="1">
      <c r="A40" s="395">
        <f t="array" ref="A40">IF(C40&lt;&gt;0,INDEX(CodMat,MATCH(C40,Materiales,0),),)</f>
        <v>0</v>
      </c>
      <c r="B40" s="399"/>
      <c r="C40" s="1128"/>
      <c r="D40" s="940"/>
      <c r="E40" s="940"/>
      <c r="F40" s="940"/>
      <c r="G40" s="940"/>
      <c r="H40" s="940"/>
      <c r="I40" s="941"/>
      <c r="J40" s="435" t="str">
        <f>IF($A40&gt;0,(VLOOKUP($A40,TablaInsumos,5,FALSE)),"")</f>
        <v/>
      </c>
      <c r="K40" s="436"/>
      <c r="L40" s="1134" t="str">
        <f>IF($A40&gt;0,(VLOOKUP($A40,TablaInsumos,7,FALSE)),"")</f>
        <v/>
      </c>
      <c r="M40" s="941"/>
      <c r="N40" s="430" t="str">
        <f t="shared" si="1"/>
        <v/>
      </c>
      <c r="O40" s="431"/>
      <c r="P40" s="184"/>
      <c r="Q40" s="1"/>
      <c r="R40" s="1"/>
      <c r="S40" s="1"/>
      <c r="T40" s="1"/>
      <c r="U40" s="1"/>
      <c r="V40" s="1"/>
      <c r="W40" s="1"/>
      <c r="X40" s="1"/>
      <c r="Y40" s="1"/>
      <c r="Z40" s="1"/>
    </row>
    <row r="41" spans="1:26" ht="13.5" customHeight="1">
      <c r="A41" s="395"/>
      <c r="B41" s="399"/>
      <c r="C41" s="1127" t="s">
        <v>1202</v>
      </c>
      <c r="D41" s="965"/>
      <c r="E41" s="965"/>
      <c r="F41" s="965"/>
      <c r="G41" s="965"/>
      <c r="H41" s="965"/>
      <c r="I41" s="965"/>
      <c r="J41" s="965"/>
      <c r="K41" s="965"/>
      <c r="L41" s="965"/>
      <c r="M41" s="966"/>
      <c r="N41" s="433">
        <f>+SUM(N36:N40)</f>
        <v>628515.4</v>
      </c>
      <c r="O41" s="431"/>
      <c r="P41" s="184"/>
      <c r="Q41" s="1"/>
      <c r="R41" s="1"/>
      <c r="S41" s="1"/>
      <c r="T41" s="1"/>
      <c r="U41" s="1"/>
      <c r="V41" s="1"/>
      <c r="W41" s="1"/>
      <c r="X41" s="1"/>
      <c r="Y41" s="1"/>
      <c r="Z41" s="1"/>
    </row>
    <row r="42" spans="1:26" ht="13.5" customHeight="1">
      <c r="A42" s="395"/>
      <c r="B42" s="399"/>
      <c r="C42" s="1129" t="s">
        <v>1208</v>
      </c>
      <c r="D42" s="926"/>
      <c r="E42" s="926"/>
      <c r="F42" s="926"/>
      <c r="G42" s="926"/>
      <c r="H42" s="926"/>
      <c r="I42" s="926"/>
      <c r="J42" s="926"/>
      <c r="K42" s="926"/>
      <c r="L42" s="926"/>
      <c r="M42" s="926"/>
      <c r="N42" s="927"/>
      <c r="O42" s="426"/>
      <c r="P42" s="184"/>
      <c r="Q42" s="1"/>
      <c r="R42" s="1"/>
      <c r="S42" s="1"/>
      <c r="T42" s="1"/>
      <c r="U42" s="1"/>
      <c r="V42" s="1"/>
      <c r="W42" s="1"/>
      <c r="X42" s="1"/>
      <c r="Y42" s="1"/>
      <c r="Z42" s="1"/>
    </row>
    <row r="43" spans="1:26" ht="13.5" customHeight="1">
      <c r="A43" s="395"/>
      <c r="B43" s="399"/>
      <c r="C43" s="920"/>
      <c r="D43" s="922"/>
      <c r="E43" s="922"/>
      <c r="F43" s="922"/>
      <c r="G43" s="922"/>
      <c r="H43" s="922"/>
      <c r="I43" s="922"/>
      <c r="J43" s="922"/>
      <c r="K43" s="922"/>
      <c r="L43" s="922"/>
      <c r="M43" s="922"/>
      <c r="N43" s="924"/>
      <c r="O43" s="426"/>
      <c r="P43" s="184"/>
      <c r="Q43" s="1"/>
      <c r="R43" s="1"/>
      <c r="S43" s="1"/>
      <c r="T43" s="1"/>
      <c r="U43" s="1"/>
      <c r="V43" s="1"/>
      <c r="W43" s="1"/>
      <c r="X43" s="1"/>
      <c r="Y43" s="1"/>
      <c r="Z43" s="1"/>
    </row>
    <row r="44" spans="1:26" ht="13.5" customHeight="1">
      <c r="A44" s="395"/>
      <c r="B44" s="399"/>
      <c r="C44" s="929"/>
      <c r="D44" s="936"/>
      <c r="E44" s="936"/>
      <c r="F44" s="936"/>
      <c r="G44" s="936"/>
      <c r="H44" s="936"/>
      <c r="I44" s="936"/>
      <c r="J44" s="936"/>
      <c r="K44" s="936"/>
      <c r="L44" s="936"/>
      <c r="M44" s="936"/>
      <c r="N44" s="938"/>
      <c r="O44" s="426"/>
      <c r="P44" s="184"/>
      <c r="Q44" s="1"/>
      <c r="R44" s="1"/>
      <c r="S44" s="1"/>
      <c r="T44" s="1"/>
      <c r="U44" s="1"/>
      <c r="V44" s="1"/>
      <c r="W44" s="1"/>
      <c r="X44" s="1"/>
      <c r="Y44" s="1"/>
      <c r="Z44" s="1"/>
    </row>
    <row r="45" spans="1:26" ht="13.5" customHeight="1">
      <c r="A45" s="395"/>
      <c r="B45" s="399"/>
      <c r="C45" s="1130" t="s">
        <v>1209</v>
      </c>
      <c r="D45" s="1131"/>
      <c r="E45" s="1131"/>
      <c r="F45" s="1131"/>
      <c r="G45" s="1131"/>
      <c r="H45" s="1132"/>
      <c r="I45" s="427" t="s">
        <v>1210</v>
      </c>
      <c r="J45" s="438" t="s">
        <v>1211</v>
      </c>
      <c r="K45" s="439" t="s">
        <v>1212</v>
      </c>
      <c r="L45" s="1135" t="s">
        <v>1213</v>
      </c>
      <c r="M45" s="1000"/>
      <c r="N45" s="428" t="s">
        <v>1200</v>
      </c>
      <c r="O45" s="419"/>
      <c r="P45" s="184"/>
      <c r="Q45" s="1"/>
      <c r="R45" s="1"/>
      <c r="S45" s="1"/>
      <c r="T45" s="1"/>
      <c r="U45" s="1"/>
      <c r="V45" s="1"/>
      <c r="W45" s="1"/>
      <c r="X45" s="1"/>
      <c r="Y45" s="1"/>
      <c r="Z45" s="1"/>
    </row>
    <row r="46" spans="1:26" ht="13.5" customHeight="1">
      <c r="A46" s="395" t="str">
        <f t="array" ref="A46">IF(C46&lt;&gt;0,INDEX(CodTransporte,MATCH(C46,Transporte,0),),)</f>
        <v>T-03</v>
      </c>
      <c r="B46" s="399"/>
      <c r="C46" s="1128" t="s">
        <v>859</v>
      </c>
      <c r="D46" s="940"/>
      <c r="E46" s="940"/>
      <c r="F46" s="940"/>
      <c r="G46" s="940"/>
      <c r="H46" s="940"/>
      <c r="I46" s="440">
        <f>+K37</f>
        <v>1.1000000000000001</v>
      </c>
      <c r="J46" s="441">
        <f>IF($A46&gt;0,(VLOOKUP($A46,TablaTransporte,6,FALSE)),"")</f>
        <v>50.849999999999994</v>
      </c>
      <c r="K46" s="442" t="str">
        <f>IF($A46&gt;0,(VLOOKUP($A46,TablaTransporte,5,FALSE)),"")</f>
        <v>M3-KM</v>
      </c>
      <c r="L46" s="1134">
        <f>IF($A46&gt;0,(VLOOKUP($A46,TablaTransporte,7,FALSE)),"")</f>
        <v>2332.3500491642089</v>
      </c>
      <c r="M46" s="941"/>
      <c r="N46" s="430">
        <f t="shared" ref="N46:N47" si="2">IF(I46&gt;0,J46*L46*I46,"")</f>
        <v>130460.00000000003</v>
      </c>
      <c r="O46" s="431"/>
      <c r="P46" s="184"/>
      <c r="Q46" s="1"/>
      <c r="R46" s="1"/>
      <c r="S46" s="1"/>
      <c r="T46" s="1"/>
      <c r="U46" s="1"/>
      <c r="V46" s="1"/>
      <c r="W46" s="1"/>
      <c r="X46" s="1"/>
      <c r="Y46" s="1"/>
      <c r="Z46" s="1"/>
    </row>
    <row r="47" spans="1:26" ht="13.5" customHeight="1">
      <c r="A47" s="395" t="str">
        <f t="array" ref="A47">IF(C47&lt;&gt;0,INDEX(CodTransporte,MATCH(C47,Transporte,0),),)</f>
        <v>T-02</v>
      </c>
      <c r="B47" s="399"/>
      <c r="C47" s="1128" t="s">
        <v>857</v>
      </c>
      <c r="D47" s="940"/>
      <c r="E47" s="940"/>
      <c r="F47" s="940"/>
      <c r="G47" s="940"/>
      <c r="H47" s="940"/>
      <c r="I47" s="440">
        <f>+(K38/50)*0.035</f>
        <v>0.31500000000000006</v>
      </c>
      <c r="J47" s="441">
        <f>IF($A47&gt;0,(VLOOKUP($A47,TablaTransporte,6,FALSE)),"")</f>
        <v>50.849999999999994</v>
      </c>
      <c r="K47" s="442" t="str">
        <f>IF($A47&gt;0,(VLOOKUP($A47,TablaTransporte,5,FALSE)),"")</f>
        <v>M3-KM</v>
      </c>
      <c r="L47" s="1134">
        <f>IF($A47&gt;0,(VLOOKUP($A47,TablaTransporte,7,FALSE)),"")</f>
        <v>2332.3500491642089</v>
      </c>
      <c r="M47" s="941"/>
      <c r="N47" s="430">
        <f t="shared" si="2"/>
        <v>37359.000000000015</v>
      </c>
      <c r="O47" s="431"/>
      <c r="P47" s="184"/>
      <c r="Q47" s="1"/>
      <c r="R47" s="1"/>
      <c r="S47" s="1"/>
      <c r="T47" s="1"/>
      <c r="U47" s="1"/>
      <c r="V47" s="1"/>
      <c r="W47" s="1"/>
      <c r="X47" s="1"/>
      <c r="Y47" s="1"/>
      <c r="Z47" s="1"/>
    </row>
    <row r="48" spans="1:26" ht="13.5" customHeight="1">
      <c r="A48" s="395"/>
      <c r="B48" s="399"/>
      <c r="C48" s="1127" t="s">
        <v>1202</v>
      </c>
      <c r="D48" s="965"/>
      <c r="E48" s="965"/>
      <c r="F48" s="965"/>
      <c r="G48" s="965"/>
      <c r="H48" s="965"/>
      <c r="I48" s="965"/>
      <c r="J48" s="965"/>
      <c r="K48" s="965"/>
      <c r="L48" s="965"/>
      <c r="M48" s="966"/>
      <c r="N48" s="433">
        <f>+SUM(N46:N47)</f>
        <v>167819.00000000006</v>
      </c>
      <c r="O48" s="431"/>
      <c r="P48" s="184"/>
      <c r="Q48" s="1"/>
      <c r="R48" s="1"/>
      <c r="S48" s="1"/>
      <c r="T48" s="1"/>
      <c r="U48" s="1"/>
      <c r="V48" s="1"/>
      <c r="W48" s="1"/>
      <c r="X48" s="1"/>
      <c r="Y48" s="1"/>
      <c r="Z48" s="1"/>
    </row>
    <row r="49" spans="1:26" ht="13.5" customHeight="1">
      <c r="A49" s="395"/>
      <c r="B49" s="399"/>
      <c r="C49" s="1129" t="s">
        <v>1214</v>
      </c>
      <c r="D49" s="926"/>
      <c r="E49" s="926"/>
      <c r="F49" s="926"/>
      <c r="G49" s="926"/>
      <c r="H49" s="926"/>
      <c r="I49" s="926"/>
      <c r="J49" s="926"/>
      <c r="K49" s="926"/>
      <c r="L49" s="926"/>
      <c r="M49" s="926"/>
      <c r="N49" s="927"/>
      <c r="O49" s="426"/>
      <c r="P49" s="1"/>
      <c r="Q49" s="1"/>
      <c r="R49" s="1"/>
      <c r="S49" s="1"/>
      <c r="T49" s="1"/>
      <c r="U49" s="1"/>
      <c r="V49" s="1"/>
      <c r="W49" s="1"/>
      <c r="X49" s="1"/>
      <c r="Y49" s="1"/>
      <c r="Z49" s="1"/>
    </row>
    <row r="50" spans="1:26" ht="13.5" customHeight="1">
      <c r="A50" s="395"/>
      <c r="B50" s="399"/>
      <c r="C50" s="920"/>
      <c r="D50" s="922"/>
      <c r="E50" s="922"/>
      <c r="F50" s="922"/>
      <c r="G50" s="922"/>
      <c r="H50" s="922"/>
      <c r="I50" s="922"/>
      <c r="J50" s="922"/>
      <c r="K50" s="922"/>
      <c r="L50" s="922"/>
      <c r="M50" s="922"/>
      <c r="N50" s="924"/>
      <c r="O50" s="426"/>
      <c r="P50" s="1"/>
      <c r="Q50" s="1"/>
      <c r="R50" s="1"/>
      <c r="S50" s="1"/>
      <c r="T50" s="1"/>
      <c r="U50" s="1"/>
      <c r="V50" s="1"/>
      <c r="W50" s="1"/>
      <c r="X50" s="1"/>
      <c r="Y50" s="1"/>
      <c r="Z50" s="1"/>
    </row>
    <row r="51" spans="1:26" ht="13.5" customHeight="1">
      <c r="A51" s="395"/>
      <c r="B51" s="399"/>
      <c r="C51" s="929"/>
      <c r="D51" s="936"/>
      <c r="E51" s="936"/>
      <c r="F51" s="936"/>
      <c r="G51" s="936"/>
      <c r="H51" s="936"/>
      <c r="I51" s="936"/>
      <c r="J51" s="936"/>
      <c r="K51" s="936"/>
      <c r="L51" s="936"/>
      <c r="M51" s="936"/>
      <c r="N51" s="938"/>
      <c r="O51" s="426"/>
      <c r="P51" s="1"/>
      <c r="Q51" s="1"/>
      <c r="R51" s="1"/>
      <c r="S51" s="1"/>
      <c r="T51" s="1"/>
      <c r="U51" s="1"/>
      <c r="V51" s="1"/>
      <c r="W51" s="1"/>
      <c r="X51" s="1"/>
      <c r="Y51" s="1"/>
      <c r="Z51" s="1"/>
    </row>
    <row r="52" spans="1:26" ht="13.5" customHeight="1">
      <c r="A52" s="395"/>
      <c r="B52" s="399"/>
      <c r="C52" s="1130" t="s">
        <v>1215</v>
      </c>
      <c r="D52" s="1131"/>
      <c r="E52" s="1131"/>
      <c r="F52" s="1131"/>
      <c r="G52" s="1131"/>
      <c r="H52" s="1132"/>
      <c r="I52" s="427" t="s">
        <v>1216</v>
      </c>
      <c r="J52" s="443" t="s">
        <v>1217</v>
      </c>
      <c r="K52" s="444" t="s">
        <v>1218</v>
      </c>
      <c r="L52" s="1133" t="s">
        <v>1199</v>
      </c>
      <c r="M52" s="1000"/>
      <c r="N52" s="445" t="s">
        <v>1200</v>
      </c>
      <c r="O52" s="446"/>
      <c r="P52" s="1"/>
      <c r="Q52" s="1"/>
      <c r="R52" s="1"/>
      <c r="S52" s="1"/>
      <c r="T52" s="1"/>
      <c r="U52" s="1"/>
      <c r="V52" s="1"/>
      <c r="W52" s="1"/>
      <c r="X52" s="1"/>
      <c r="Y52" s="1"/>
      <c r="Z52" s="1"/>
    </row>
    <row r="53" spans="1:26" ht="13.5" customHeight="1">
      <c r="A53" s="395" t="str">
        <f t="array" ref="A53">IF(C53&lt;&gt;0,INDEX(CodMO,MATCH(C53,MO,0),),)</f>
        <v>M.O-05</v>
      </c>
      <c r="B53" s="399"/>
      <c r="C53" s="1128" t="s">
        <v>139</v>
      </c>
      <c r="D53" s="940"/>
      <c r="E53" s="940"/>
      <c r="F53" s="940"/>
      <c r="G53" s="940"/>
      <c r="H53" s="940"/>
      <c r="I53" s="447">
        <f>IF($A53&gt;0,(VLOOKUP($A53,TablaMO,8,FALSE)),"")</f>
        <v>125030.16666666667</v>
      </c>
      <c r="J53" s="448">
        <f>IF($A53&gt;0,(VLOOKUP($A53,TablaMO,10,FALSE)),"")</f>
        <v>0.67071666666666663</v>
      </c>
      <c r="K53" s="447">
        <f>IF($A53&gt;0,(VLOOKUP($A53,TablaMO,11,FALSE)),"")</f>
        <v>208890</v>
      </c>
      <c r="L53" s="1146">
        <v>9</v>
      </c>
      <c r="M53" s="941"/>
      <c r="N53" s="430">
        <f t="shared" ref="N53:N57" si="3">IF(L53&gt;0,K53/L53,"")</f>
        <v>23210</v>
      </c>
      <c r="O53" s="449"/>
      <c r="P53" s="1"/>
      <c r="Q53" s="1"/>
      <c r="R53" s="1"/>
      <c r="S53" s="1"/>
      <c r="T53" s="1"/>
      <c r="U53" s="1"/>
      <c r="V53" s="1"/>
      <c r="W53" s="1"/>
      <c r="X53" s="1"/>
      <c r="Y53" s="1"/>
      <c r="Z53" s="1"/>
    </row>
    <row r="54" spans="1:26" ht="13.5" customHeight="1">
      <c r="A54" s="395" t="str">
        <f t="array" ref="A54">IF(C54&lt;&gt;0,INDEX(CodMO,MATCH(C54,MO,0),),)</f>
        <v>M.O-01</v>
      </c>
      <c r="B54" s="399"/>
      <c r="C54" s="1128" t="s">
        <v>130</v>
      </c>
      <c r="D54" s="940"/>
      <c r="E54" s="940"/>
      <c r="F54" s="940"/>
      <c r="G54" s="940"/>
      <c r="H54" s="940"/>
      <c r="I54" s="447">
        <f>IF($A54&gt;0,(VLOOKUP($A54,TablaMO,8,FALSE)),"")</f>
        <v>72503.016666666677</v>
      </c>
      <c r="J54" s="448">
        <f>IF($A54&gt;0,(VLOOKUP($A54,TablaMO,10,FALSE)),"")</f>
        <v>0.67071666666666663</v>
      </c>
      <c r="K54" s="447">
        <f>IF($A54&gt;0,(VLOOKUP($A54,TablaMO,11,FALSE)),"")</f>
        <v>121132</v>
      </c>
      <c r="L54" s="1146">
        <f>L53</f>
        <v>9</v>
      </c>
      <c r="M54" s="941"/>
      <c r="N54" s="430">
        <f t="shared" si="3"/>
        <v>13459.111111111111</v>
      </c>
      <c r="O54" s="449"/>
      <c r="P54" s="1"/>
      <c r="Q54" s="1"/>
      <c r="R54" s="1"/>
      <c r="S54" s="1"/>
      <c r="T54" s="1"/>
      <c r="U54" s="1"/>
      <c r="V54" s="1"/>
      <c r="W54" s="1"/>
      <c r="X54" s="1"/>
      <c r="Y54" s="1"/>
      <c r="Z54" s="1"/>
    </row>
    <row r="55" spans="1:26" ht="13.5" customHeight="1">
      <c r="A55" s="395" t="str">
        <f t="array" ref="A55">IF(C55&lt;&gt;0,INDEX(CodMO,MATCH(C55,MO,0),),)</f>
        <v>M.O-02</v>
      </c>
      <c r="B55" s="399"/>
      <c r="C55" s="1128" t="s">
        <v>133</v>
      </c>
      <c r="D55" s="940"/>
      <c r="E55" s="940"/>
      <c r="F55" s="940"/>
      <c r="G55" s="940"/>
      <c r="H55" s="940"/>
      <c r="I55" s="447">
        <f>IF($A55&gt;0,(VLOOKUP($A55,TablaMO,8,FALSE)),"")</f>
        <v>72503.016666666677</v>
      </c>
      <c r="J55" s="448">
        <f>IF($A55&gt;0,(VLOOKUP($A55,TablaMO,10,FALSE)),"")</f>
        <v>0.67071666666666663</v>
      </c>
      <c r="K55" s="447">
        <f>IF($A55&gt;0,(VLOOKUP($A55,TablaMO,11,FALSE)),"")</f>
        <v>121132</v>
      </c>
      <c r="L55" s="1146">
        <f>L53</f>
        <v>9</v>
      </c>
      <c r="M55" s="941"/>
      <c r="N55" s="430">
        <f t="shared" si="3"/>
        <v>13459.111111111111</v>
      </c>
      <c r="O55" s="449"/>
      <c r="P55" s="1"/>
      <c r="Q55" s="1"/>
      <c r="R55" s="1"/>
      <c r="S55" s="1"/>
      <c r="T55" s="1"/>
      <c r="U55" s="1"/>
      <c r="V55" s="1"/>
      <c r="W55" s="1"/>
      <c r="X55" s="1"/>
      <c r="Y55" s="1"/>
      <c r="Z55" s="1"/>
    </row>
    <row r="56" spans="1:26" ht="13.5" customHeight="1">
      <c r="A56" s="395">
        <f t="array" ref="A56">IF(C56&lt;&gt;0,INDEX(CodMO,MATCH(C56,MO,0),),)</f>
        <v>0</v>
      </c>
      <c r="B56" s="399"/>
      <c r="C56" s="1128"/>
      <c r="D56" s="940"/>
      <c r="E56" s="940"/>
      <c r="F56" s="940"/>
      <c r="G56" s="940"/>
      <c r="H56" s="940"/>
      <c r="I56" s="447" t="str">
        <f>IF($A56&gt;0,(VLOOKUP($A56,TablaMO,8,FALSE)),"")</f>
        <v/>
      </c>
      <c r="J56" s="448" t="str">
        <f>IF($A56&gt;0,(VLOOKUP($A56,TablaMO,10,FALSE)),"")</f>
        <v/>
      </c>
      <c r="K56" s="447" t="str">
        <f>IF($A56&gt;0,(VLOOKUP($A56,TablaMO,11,FALSE)),"")</f>
        <v/>
      </c>
      <c r="L56" s="1146"/>
      <c r="M56" s="941"/>
      <c r="N56" s="430" t="str">
        <f t="shared" si="3"/>
        <v/>
      </c>
      <c r="O56" s="449"/>
      <c r="P56" s="1"/>
      <c r="Q56" s="1"/>
      <c r="R56" s="1"/>
      <c r="S56" s="1"/>
      <c r="T56" s="1"/>
      <c r="U56" s="1"/>
      <c r="V56" s="1"/>
      <c r="W56" s="1"/>
      <c r="X56" s="1"/>
      <c r="Y56" s="1"/>
      <c r="Z56" s="1"/>
    </row>
    <row r="57" spans="1:26" ht="13.5" customHeight="1">
      <c r="A57" s="395">
        <f t="array" ref="A57">IF(C57&lt;&gt;0,INDEX(CodMO,MATCH(C57,MO,0),),)</f>
        <v>0</v>
      </c>
      <c r="B57" s="399"/>
      <c r="C57" s="1128"/>
      <c r="D57" s="940"/>
      <c r="E57" s="940"/>
      <c r="F57" s="940"/>
      <c r="G57" s="940"/>
      <c r="H57" s="940"/>
      <c r="I57" s="447" t="str">
        <f>IF($A57&gt;0,(VLOOKUP($A57,TablaMO,8,FALSE)),"")</f>
        <v/>
      </c>
      <c r="J57" s="448" t="str">
        <f>IF($A57&gt;0,(VLOOKUP($A57,TablaMO,10,FALSE)),"")</f>
        <v/>
      </c>
      <c r="K57" s="447" t="str">
        <f>IF($A57&gt;0,(VLOOKUP($A57,TablaMO,11,FALSE)),"")</f>
        <v/>
      </c>
      <c r="L57" s="1146"/>
      <c r="M57" s="941"/>
      <c r="N57" s="430" t="str">
        <f t="shared" si="3"/>
        <v/>
      </c>
      <c r="O57" s="449"/>
      <c r="P57" s="1"/>
      <c r="Q57" s="1"/>
      <c r="R57" s="1"/>
      <c r="S57" s="1"/>
      <c r="T57" s="1"/>
      <c r="U57" s="1"/>
      <c r="V57" s="1"/>
      <c r="W57" s="1"/>
      <c r="X57" s="1"/>
      <c r="Y57" s="1"/>
      <c r="Z57" s="1"/>
    </row>
    <row r="58" spans="1:26" ht="13.5" customHeight="1">
      <c r="A58" s="395"/>
      <c r="B58" s="399"/>
      <c r="C58" s="1127" t="s">
        <v>1202</v>
      </c>
      <c r="D58" s="965"/>
      <c r="E58" s="965"/>
      <c r="F58" s="965"/>
      <c r="G58" s="965"/>
      <c r="H58" s="965"/>
      <c r="I58" s="965"/>
      <c r="J58" s="965"/>
      <c r="K58" s="965"/>
      <c r="L58" s="965"/>
      <c r="M58" s="966"/>
      <c r="N58" s="433">
        <f>+SUM(N53:N57)</f>
        <v>50128.222222222219</v>
      </c>
      <c r="O58" s="431"/>
      <c r="P58" s="1"/>
      <c r="Q58" s="1"/>
      <c r="R58" s="1"/>
      <c r="S58" s="1"/>
      <c r="T58" s="1"/>
      <c r="U58" s="1"/>
      <c r="V58" s="1"/>
      <c r="W58" s="1"/>
      <c r="X58" s="1"/>
      <c r="Y58" s="1"/>
      <c r="Z58" s="1"/>
    </row>
    <row r="59" spans="1:26" ht="13.5" customHeight="1">
      <c r="A59" s="395"/>
      <c r="B59" s="399"/>
      <c r="C59" s="418"/>
      <c r="D59" s="39"/>
      <c r="E59" s="39"/>
      <c r="F59" s="39"/>
      <c r="G59" s="39"/>
      <c r="H59" s="39"/>
      <c r="I59" s="39"/>
      <c r="J59" s="39"/>
      <c r="K59" s="39"/>
      <c r="L59" s="39"/>
      <c r="M59" s="39"/>
      <c r="N59" s="40"/>
      <c r="O59" s="402"/>
      <c r="P59" s="1"/>
      <c r="Q59" s="1"/>
      <c r="R59" s="1"/>
      <c r="S59" s="1"/>
      <c r="T59" s="1"/>
      <c r="U59" s="1"/>
      <c r="V59" s="1"/>
      <c r="W59" s="1"/>
      <c r="X59" s="1"/>
      <c r="Y59" s="1"/>
      <c r="Z59" s="1"/>
    </row>
    <row r="60" spans="1:26" ht="13.5" customHeight="1">
      <c r="A60" s="395"/>
      <c r="B60" s="399"/>
      <c r="C60" s="1147" t="s">
        <v>1219</v>
      </c>
      <c r="D60" s="965"/>
      <c r="E60" s="965"/>
      <c r="F60" s="965"/>
      <c r="G60" s="965"/>
      <c r="H60" s="965"/>
      <c r="I60" s="965"/>
      <c r="J60" s="965"/>
      <c r="K60" s="965"/>
      <c r="L60" s="965"/>
      <c r="M60" s="966"/>
      <c r="N60" s="450">
        <f>+SUM(N58,N48,N41,N31)</f>
        <v>861265.70000000007</v>
      </c>
      <c r="O60" s="451"/>
      <c r="P60" s="1"/>
      <c r="Q60" s="1"/>
      <c r="R60" s="1"/>
      <c r="S60" s="1"/>
      <c r="T60" s="1"/>
      <c r="U60" s="1"/>
      <c r="V60" s="1"/>
      <c r="W60" s="1"/>
      <c r="X60" s="1"/>
      <c r="Y60" s="1"/>
      <c r="Z60" s="1"/>
    </row>
    <row r="61" spans="1:26" ht="13.5" customHeight="1">
      <c r="A61" s="395"/>
      <c r="B61" s="399"/>
      <c r="C61" s="1129" t="s">
        <v>1220</v>
      </c>
      <c r="D61" s="926"/>
      <c r="E61" s="926"/>
      <c r="F61" s="926"/>
      <c r="G61" s="926"/>
      <c r="H61" s="926"/>
      <c r="I61" s="926"/>
      <c r="J61" s="926"/>
      <c r="K61" s="926"/>
      <c r="L61" s="926"/>
      <c r="M61" s="926"/>
      <c r="N61" s="927"/>
      <c r="O61" s="426"/>
      <c r="P61" s="1"/>
      <c r="Q61" s="1"/>
      <c r="R61" s="1"/>
      <c r="S61" s="1"/>
      <c r="T61" s="1"/>
      <c r="U61" s="1"/>
      <c r="V61" s="1"/>
      <c r="W61" s="1"/>
      <c r="X61" s="1"/>
      <c r="Y61" s="1"/>
      <c r="Z61" s="1"/>
    </row>
    <row r="62" spans="1:26" ht="13.5" customHeight="1">
      <c r="A62" s="395"/>
      <c r="B62" s="399"/>
      <c r="C62" s="920"/>
      <c r="D62" s="922"/>
      <c r="E62" s="922"/>
      <c r="F62" s="922"/>
      <c r="G62" s="922"/>
      <c r="H62" s="922"/>
      <c r="I62" s="922"/>
      <c r="J62" s="922"/>
      <c r="K62" s="922"/>
      <c r="L62" s="922"/>
      <c r="M62" s="922"/>
      <c r="N62" s="924"/>
      <c r="O62" s="426"/>
      <c r="P62" s="1"/>
      <c r="Q62" s="1"/>
      <c r="R62" s="1"/>
      <c r="S62" s="1"/>
      <c r="T62" s="1"/>
      <c r="U62" s="1"/>
      <c r="V62" s="1"/>
      <c r="W62" s="1"/>
      <c r="X62" s="1"/>
      <c r="Y62" s="1"/>
      <c r="Z62" s="1"/>
    </row>
    <row r="63" spans="1:26" ht="13.5" customHeight="1">
      <c r="A63" s="395"/>
      <c r="B63" s="399"/>
      <c r="C63" s="929"/>
      <c r="D63" s="936"/>
      <c r="E63" s="936"/>
      <c r="F63" s="936"/>
      <c r="G63" s="936"/>
      <c r="H63" s="936"/>
      <c r="I63" s="936"/>
      <c r="J63" s="936"/>
      <c r="K63" s="936"/>
      <c r="L63" s="936"/>
      <c r="M63" s="936"/>
      <c r="N63" s="938"/>
      <c r="O63" s="426"/>
      <c r="P63" s="1"/>
      <c r="Q63" s="1"/>
      <c r="R63" s="1"/>
      <c r="S63" s="1"/>
      <c r="T63" s="1"/>
      <c r="U63" s="1"/>
      <c r="V63" s="1"/>
      <c r="W63" s="1"/>
      <c r="X63" s="1"/>
      <c r="Y63" s="1"/>
      <c r="Z63" s="1"/>
    </row>
    <row r="64" spans="1:26" ht="13.5" customHeight="1">
      <c r="A64" s="395"/>
      <c r="B64" s="399"/>
      <c r="C64" s="1130" t="s">
        <v>1221</v>
      </c>
      <c r="D64" s="1131"/>
      <c r="E64" s="1131"/>
      <c r="F64" s="1131"/>
      <c r="G64" s="1131"/>
      <c r="H64" s="1132"/>
      <c r="I64" s="438"/>
      <c r="J64" s="438"/>
      <c r="K64" s="438"/>
      <c r="L64" s="1133" t="s">
        <v>1222</v>
      </c>
      <c r="M64" s="1000"/>
      <c r="N64" s="445" t="s">
        <v>1223</v>
      </c>
      <c r="O64" s="446"/>
      <c r="P64" s="1"/>
      <c r="Q64" s="1"/>
      <c r="R64" s="1"/>
      <c r="S64" s="1"/>
      <c r="T64" s="1"/>
      <c r="U64" s="1"/>
      <c r="V64" s="1"/>
      <c r="W64" s="1"/>
      <c r="X64" s="1"/>
      <c r="Y64" s="1"/>
      <c r="Z64" s="1"/>
    </row>
    <row r="65" spans="1:26" ht="13.5" customHeight="1">
      <c r="A65" s="1"/>
      <c r="B65" s="399"/>
      <c r="C65" s="1128" t="s">
        <v>19</v>
      </c>
      <c r="D65" s="940"/>
      <c r="E65" s="940"/>
      <c r="F65" s="940"/>
      <c r="G65" s="940"/>
      <c r="H65" s="940"/>
      <c r="I65" s="452"/>
      <c r="J65" s="452"/>
      <c r="K65" s="452"/>
      <c r="L65" s="1148">
        <f>+Datos!$E$18</f>
        <v>0.25</v>
      </c>
      <c r="M65" s="941"/>
      <c r="N65" s="430">
        <f>+L65*N60</f>
        <v>215316.42500000002</v>
      </c>
      <c r="O65" s="453"/>
      <c r="P65" s="1"/>
      <c r="Q65" s="1"/>
      <c r="R65" s="1"/>
      <c r="S65" s="1"/>
      <c r="T65" s="1"/>
      <c r="U65" s="1"/>
      <c r="V65" s="1"/>
      <c r="W65" s="1"/>
      <c r="X65" s="1"/>
      <c r="Y65" s="1"/>
      <c r="Z65" s="1"/>
    </row>
    <row r="66" spans="1:26" ht="13.5" customHeight="1">
      <c r="A66" s="1"/>
      <c r="B66" s="399"/>
      <c r="C66" s="454" t="s">
        <v>20</v>
      </c>
      <c r="D66" s="455"/>
      <c r="E66" s="455"/>
      <c r="F66" s="455"/>
      <c r="G66" s="455"/>
      <c r="H66" s="455"/>
      <c r="I66" s="452"/>
      <c r="J66" s="452"/>
      <c r="K66" s="452"/>
      <c r="L66" s="1148">
        <f>+Datos!$E$19</f>
        <v>0.01</v>
      </c>
      <c r="M66" s="941"/>
      <c r="N66" s="430">
        <f>+L66*N60</f>
        <v>8612.6570000000011</v>
      </c>
      <c r="O66" s="453"/>
      <c r="P66" s="1"/>
      <c r="Q66" s="1"/>
      <c r="R66" s="1"/>
      <c r="S66" s="1"/>
      <c r="T66" s="1"/>
      <c r="U66" s="1"/>
      <c r="V66" s="1"/>
      <c r="W66" s="1"/>
      <c r="X66" s="1"/>
      <c r="Y66" s="1"/>
      <c r="Z66" s="1"/>
    </row>
    <row r="67" spans="1:26" ht="13.5" customHeight="1">
      <c r="A67" s="1"/>
      <c r="B67" s="399"/>
      <c r="C67" s="456" t="s">
        <v>21</v>
      </c>
      <c r="D67" s="457"/>
      <c r="E67" s="457"/>
      <c r="F67" s="457"/>
      <c r="G67" s="457"/>
      <c r="H67" s="457"/>
      <c r="I67" s="458"/>
      <c r="J67" s="458"/>
      <c r="K67" s="458"/>
      <c r="L67" s="1148">
        <f>+Datos!$E$20</f>
        <v>0.05</v>
      </c>
      <c r="M67" s="941"/>
      <c r="N67" s="430">
        <f>+L67*N60</f>
        <v>43063.285000000003</v>
      </c>
      <c r="O67" s="453"/>
      <c r="P67" s="1"/>
      <c r="Q67" s="1"/>
      <c r="R67" s="1"/>
      <c r="S67" s="1"/>
      <c r="T67" s="1"/>
      <c r="U67" s="1"/>
      <c r="V67" s="1"/>
      <c r="W67" s="1"/>
      <c r="X67" s="1"/>
      <c r="Y67" s="1"/>
      <c r="Z67" s="1"/>
    </row>
    <row r="68" spans="1:26" ht="13.5" customHeight="1">
      <c r="A68" s="1"/>
      <c r="B68" s="399"/>
      <c r="C68" s="1127" t="s">
        <v>1202</v>
      </c>
      <c r="D68" s="965"/>
      <c r="E68" s="965"/>
      <c r="F68" s="965"/>
      <c r="G68" s="965"/>
      <c r="H68" s="965"/>
      <c r="I68" s="965"/>
      <c r="J68" s="965"/>
      <c r="K68" s="965"/>
      <c r="L68" s="965"/>
      <c r="M68" s="966"/>
      <c r="N68" s="433">
        <f>+SUM(N65:N67)</f>
        <v>266992.36700000003</v>
      </c>
      <c r="O68" s="453"/>
      <c r="P68" s="1"/>
      <c r="Q68" s="1"/>
      <c r="R68" s="1"/>
      <c r="S68" s="1"/>
      <c r="T68" s="1"/>
      <c r="U68" s="1"/>
      <c r="V68" s="1"/>
      <c r="W68" s="1"/>
      <c r="X68" s="1"/>
      <c r="Y68" s="1"/>
      <c r="Z68" s="1"/>
    </row>
    <row r="69" spans="1:26" ht="13.5" customHeight="1">
      <c r="A69" s="1"/>
      <c r="B69" s="399"/>
      <c r="C69" s="418"/>
      <c r="D69" s="39"/>
      <c r="E69" s="39"/>
      <c r="F69" s="39"/>
      <c r="G69" s="39"/>
      <c r="H69" s="39"/>
      <c r="I69" s="39"/>
      <c r="J69" s="39"/>
      <c r="K69" s="39"/>
      <c r="L69" s="39"/>
      <c r="M69" s="39"/>
      <c r="N69" s="40"/>
      <c r="O69" s="402"/>
      <c r="P69" s="1"/>
      <c r="Q69" s="1"/>
      <c r="R69" s="1"/>
      <c r="S69" s="1"/>
      <c r="T69" s="1"/>
      <c r="U69" s="1"/>
      <c r="V69" s="1"/>
      <c r="W69" s="1"/>
      <c r="X69" s="1"/>
      <c r="Y69" s="1"/>
      <c r="Z69" s="1"/>
    </row>
    <row r="70" spans="1:26" ht="13.5" customHeight="1">
      <c r="A70" s="1"/>
      <c r="B70" s="399"/>
      <c r="C70" s="1147" t="s">
        <v>1224</v>
      </c>
      <c r="D70" s="965"/>
      <c r="E70" s="965"/>
      <c r="F70" s="965"/>
      <c r="G70" s="965"/>
      <c r="H70" s="965"/>
      <c r="I70" s="965"/>
      <c r="J70" s="965"/>
      <c r="K70" s="965"/>
      <c r="L70" s="965"/>
      <c r="M70" s="966"/>
      <c r="N70" s="459">
        <f>+ROUND(SUM(N68,N60),0)</f>
        <v>1128258</v>
      </c>
      <c r="O70" s="453"/>
      <c r="P70" s="1"/>
      <c r="Q70" s="1"/>
      <c r="R70" s="1"/>
      <c r="S70" s="1"/>
      <c r="T70" s="1"/>
      <c r="U70" s="1"/>
      <c r="V70" s="1"/>
      <c r="W70" s="1"/>
      <c r="X70" s="1"/>
      <c r="Y70" s="1"/>
      <c r="Z70" s="1"/>
    </row>
    <row r="71" spans="1:26" ht="13.5" customHeight="1">
      <c r="A71" s="1"/>
      <c r="B71" s="399"/>
      <c r="C71" s="460"/>
      <c r="D71" s="461"/>
      <c r="E71" s="461"/>
      <c r="F71" s="461"/>
      <c r="G71" s="461"/>
      <c r="H71" s="461"/>
      <c r="I71" s="461"/>
      <c r="J71" s="461"/>
      <c r="K71" s="461"/>
      <c r="L71" s="461"/>
      <c r="M71" s="461"/>
      <c r="N71" s="462"/>
      <c r="O71" s="402"/>
      <c r="P71" s="1"/>
      <c r="Q71" s="1"/>
      <c r="R71" s="1"/>
      <c r="S71" s="1"/>
      <c r="T71" s="1"/>
      <c r="U71" s="1"/>
      <c r="V71" s="1"/>
      <c r="W71" s="1"/>
      <c r="X71" s="1"/>
      <c r="Y71" s="1"/>
      <c r="Z71" s="1"/>
    </row>
    <row r="72" spans="1:26" ht="13.5" customHeight="1">
      <c r="A72" s="1"/>
      <c r="B72" s="399"/>
      <c r="C72" s="418"/>
      <c r="D72" s="39"/>
      <c r="E72" s="39"/>
      <c r="F72" s="39"/>
      <c r="G72" s="39"/>
      <c r="H72" s="39"/>
      <c r="I72" s="39"/>
      <c r="J72" s="39"/>
      <c r="K72" s="39"/>
      <c r="L72" s="39"/>
      <c r="M72" s="39"/>
      <c r="N72" s="40"/>
      <c r="O72" s="402"/>
      <c r="P72" s="1"/>
      <c r="Q72" s="1"/>
      <c r="R72" s="1"/>
      <c r="S72" s="1"/>
      <c r="T72" s="1"/>
      <c r="U72" s="1"/>
      <c r="V72" s="1"/>
      <c r="W72" s="1"/>
      <c r="X72" s="1"/>
      <c r="Y72" s="1"/>
      <c r="Z72" s="1"/>
    </row>
    <row r="73" spans="1:26" ht="13.5" customHeight="1">
      <c r="A73" s="1"/>
      <c r="B73" s="399"/>
      <c r="C73" s="418"/>
      <c r="D73" s="39"/>
      <c r="E73" s="39"/>
      <c r="F73" s="39"/>
      <c r="G73" s="39"/>
      <c r="H73" s="39"/>
      <c r="I73" s="39"/>
      <c r="J73" s="39"/>
      <c r="K73" s="39"/>
      <c r="L73" s="39"/>
      <c r="M73" s="39"/>
      <c r="N73" s="40"/>
      <c r="O73" s="402"/>
      <c r="P73" s="1"/>
      <c r="Q73" s="1"/>
      <c r="R73" s="1"/>
      <c r="S73" s="1"/>
      <c r="T73" s="1"/>
      <c r="U73" s="1"/>
      <c r="V73" s="1"/>
      <c r="W73" s="1"/>
      <c r="X73" s="1"/>
      <c r="Y73" s="1"/>
      <c r="Z73" s="1"/>
    </row>
    <row r="74" spans="1:26" ht="13.5" customHeight="1">
      <c r="A74" s="1"/>
      <c r="B74" s="399"/>
      <c r="C74" s="418"/>
      <c r="D74" s="463"/>
      <c r="E74" s="463"/>
      <c r="F74" s="463"/>
      <c r="G74" s="184"/>
      <c r="H74" s="184"/>
      <c r="I74" s="184"/>
      <c r="J74" s="463"/>
      <c r="K74" s="463"/>
      <c r="L74" s="463"/>
      <c r="M74" s="463"/>
      <c r="N74" s="40"/>
      <c r="O74" s="402"/>
      <c r="P74" s="1"/>
      <c r="Q74" s="1"/>
      <c r="R74" s="1"/>
      <c r="S74" s="1"/>
      <c r="T74" s="1"/>
      <c r="U74" s="1"/>
      <c r="V74" s="1"/>
      <c r="W74" s="1"/>
      <c r="X74" s="1"/>
      <c r="Y74" s="1"/>
      <c r="Z74" s="1"/>
    </row>
    <row r="75" spans="1:26" ht="13.5" customHeight="1">
      <c r="A75" s="1"/>
      <c r="B75" s="399"/>
      <c r="C75" s="418"/>
      <c r="D75" s="39" t="s">
        <v>1225</v>
      </c>
      <c r="E75" s="39"/>
      <c r="F75" s="39"/>
      <c r="G75" s="184"/>
      <c r="H75" s="184"/>
      <c r="I75" s="184"/>
      <c r="J75" s="39" t="s">
        <v>1225</v>
      </c>
      <c r="K75" s="39"/>
      <c r="L75" s="39"/>
      <c r="M75" s="39"/>
      <c r="N75" s="40"/>
      <c r="O75" s="464"/>
      <c r="P75" s="1"/>
      <c r="Q75" s="1"/>
      <c r="R75" s="1"/>
      <c r="S75" s="1"/>
      <c r="T75" s="1"/>
      <c r="U75" s="1"/>
      <c r="V75" s="1"/>
      <c r="W75" s="1"/>
      <c r="X75" s="1"/>
      <c r="Y75" s="1"/>
      <c r="Z75" s="1"/>
    </row>
    <row r="76" spans="1:26" ht="13.5" customHeight="1">
      <c r="A76" s="1"/>
      <c r="B76" s="399"/>
      <c r="C76" s="418"/>
      <c r="D76" s="39" t="s">
        <v>1226</v>
      </c>
      <c r="E76" s="39"/>
      <c r="F76" s="39"/>
      <c r="G76" s="184"/>
      <c r="H76" s="184"/>
      <c r="I76" s="184"/>
      <c r="J76" s="39" t="s">
        <v>1227</v>
      </c>
      <c r="K76" s="39"/>
      <c r="L76" s="39"/>
      <c r="M76" s="39"/>
      <c r="N76" s="40"/>
      <c r="O76" s="464"/>
      <c r="P76" s="1"/>
      <c r="Q76" s="1"/>
      <c r="R76" s="1"/>
      <c r="S76" s="1"/>
      <c r="T76" s="1"/>
      <c r="U76" s="1"/>
      <c r="V76" s="1"/>
      <c r="W76" s="1"/>
      <c r="X76" s="1"/>
      <c r="Y76" s="1"/>
      <c r="Z76" s="1"/>
    </row>
    <row r="77" spans="1:26" ht="13.5" customHeight="1">
      <c r="A77" s="1"/>
      <c r="B77" s="399"/>
      <c r="C77" s="404"/>
      <c r="D77" s="39" t="s">
        <v>1228</v>
      </c>
      <c r="E77" s="42"/>
      <c r="F77" s="42"/>
      <c r="G77" s="184"/>
      <c r="H77" s="184"/>
      <c r="I77" s="184"/>
      <c r="J77" s="39" t="s">
        <v>1228</v>
      </c>
      <c r="K77" s="42"/>
      <c r="L77" s="42"/>
      <c r="M77" s="42"/>
      <c r="N77" s="43"/>
      <c r="O77" s="465"/>
      <c r="P77" s="1"/>
      <c r="Q77" s="1"/>
      <c r="R77" s="1"/>
      <c r="S77" s="1"/>
      <c r="T77" s="1"/>
      <c r="U77" s="1"/>
      <c r="V77" s="1"/>
      <c r="W77" s="1"/>
      <c r="X77" s="1"/>
      <c r="Y77" s="1"/>
      <c r="Z77" s="1"/>
    </row>
    <row r="78" spans="1:26" ht="13.5" customHeight="1">
      <c r="A78" s="1"/>
      <c r="B78" s="399"/>
      <c r="C78" s="418"/>
      <c r="D78" s="39"/>
      <c r="E78" s="39"/>
      <c r="F78" s="39"/>
      <c r="G78" s="39" t="s">
        <v>1229</v>
      </c>
      <c r="H78" s="39"/>
      <c r="I78" s="39"/>
      <c r="J78" s="39"/>
      <c r="K78" s="39"/>
      <c r="L78" s="39"/>
      <c r="M78" s="39"/>
      <c r="N78" s="40"/>
      <c r="O78" s="402"/>
      <c r="P78" s="1"/>
      <c r="Q78" s="1"/>
      <c r="R78" s="1"/>
      <c r="S78" s="1"/>
      <c r="T78" s="1"/>
      <c r="U78" s="1"/>
      <c r="V78" s="1"/>
      <c r="W78" s="1"/>
      <c r="X78" s="1"/>
      <c r="Y78" s="1"/>
      <c r="Z78" s="1"/>
    </row>
    <row r="79" spans="1:26" ht="17.25" customHeight="1">
      <c r="A79" s="1"/>
      <c r="B79" s="399"/>
      <c r="C79" s="466"/>
      <c r="D79" s="467"/>
      <c r="E79" s="467"/>
      <c r="F79" s="39"/>
      <c r="G79" s="39"/>
      <c r="H79" s="39"/>
      <c r="I79" s="39"/>
      <c r="J79" s="1149"/>
      <c r="K79" s="922"/>
      <c r="L79" s="922"/>
      <c r="M79" s="922"/>
      <c r="N79" s="924"/>
      <c r="O79" s="468"/>
      <c r="P79" s="1"/>
      <c r="Q79" s="1"/>
      <c r="R79" s="1"/>
      <c r="S79" s="1"/>
      <c r="T79" s="1"/>
      <c r="U79" s="1"/>
      <c r="V79" s="1"/>
      <c r="W79" s="1"/>
      <c r="X79" s="1"/>
      <c r="Y79" s="1"/>
      <c r="Z79" s="1"/>
    </row>
    <row r="80" spans="1:26" ht="18.75" customHeight="1">
      <c r="A80" s="1"/>
      <c r="B80" s="399"/>
      <c r="C80" s="1150"/>
      <c r="D80" s="936"/>
      <c r="E80" s="936"/>
      <c r="F80" s="416"/>
      <c r="G80" s="416"/>
      <c r="H80" s="416"/>
      <c r="I80" s="416"/>
      <c r="J80" s="936"/>
      <c r="K80" s="936"/>
      <c r="L80" s="936"/>
      <c r="M80" s="936"/>
      <c r="N80" s="938"/>
      <c r="O80" s="468"/>
      <c r="P80" s="1"/>
      <c r="Q80" s="1"/>
      <c r="R80" s="1"/>
      <c r="S80" s="1"/>
      <c r="T80" s="1"/>
      <c r="U80" s="1"/>
      <c r="V80" s="1"/>
      <c r="W80" s="1"/>
      <c r="X80" s="1"/>
      <c r="Y80" s="1"/>
      <c r="Z80" s="1"/>
    </row>
    <row r="81" spans="1:26" ht="13.5" customHeight="1">
      <c r="A81" s="1"/>
      <c r="B81" s="469"/>
      <c r="C81" s="470"/>
      <c r="D81" s="470"/>
      <c r="E81" s="470"/>
      <c r="F81" s="470"/>
      <c r="G81" s="470"/>
      <c r="H81" s="470"/>
      <c r="I81" s="470"/>
      <c r="J81" s="470"/>
      <c r="K81" s="470"/>
      <c r="L81" s="470"/>
      <c r="M81" s="470"/>
      <c r="N81" s="470"/>
      <c r="O81" s="471"/>
      <c r="P81" s="1"/>
      <c r="Q81" s="1"/>
      <c r="R81" s="1"/>
      <c r="S81" s="1"/>
      <c r="T81" s="1"/>
      <c r="U81" s="1"/>
      <c r="V81" s="1"/>
      <c r="W81" s="1"/>
      <c r="X81" s="1"/>
      <c r="Y81" s="1"/>
      <c r="Z81" s="1"/>
    </row>
    <row r="82" spans="1:26" ht="13.5" customHeight="1">
      <c r="A82" s="1"/>
      <c r="B82" s="184"/>
      <c r="C82" s="184"/>
      <c r="D82" s="184"/>
      <c r="E82" s="184"/>
      <c r="F82" s="184"/>
      <c r="G82" s="184"/>
      <c r="H82" s="184"/>
      <c r="I82" s="184"/>
      <c r="J82" s="184"/>
      <c r="K82" s="184"/>
      <c r="L82" s="184"/>
      <c r="M82" s="184"/>
      <c r="N82" s="184"/>
      <c r="O82" s="184"/>
      <c r="P82" s="1"/>
      <c r="Q82" s="1"/>
      <c r="R82" s="1"/>
      <c r="S82" s="1"/>
      <c r="T82" s="1"/>
      <c r="U82" s="1"/>
      <c r="V82" s="1"/>
      <c r="W82" s="1"/>
      <c r="X82" s="1"/>
      <c r="Y82" s="1"/>
      <c r="Z82" s="1"/>
    </row>
    <row r="83" spans="1:26" ht="13.5" customHeight="1">
      <c r="A83" s="1"/>
      <c r="B83" s="184"/>
      <c r="C83" s="184"/>
      <c r="D83" s="184"/>
      <c r="E83" s="184"/>
      <c r="F83" s="184"/>
      <c r="G83" s="184"/>
      <c r="H83" s="184"/>
      <c r="I83" s="184"/>
      <c r="J83" s="184"/>
      <c r="K83" s="184"/>
      <c r="L83" s="184"/>
      <c r="M83" s="184"/>
      <c r="N83" s="184"/>
      <c r="O83" s="184"/>
      <c r="P83" s="1"/>
      <c r="Q83" s="1"/>
      <c r="R83" s="1"/>
      <c r="S83" s="1"/>
      <c r="T83" s="1"/>
      <c r="U83" s="1"/>
      <c r="V83" s="1"/>
      <c r="W83" s="1"/>
      <c r="X83" s="1"/>
      <c r="Y83" s="1"/>
      <c r="Z83" s="1"/>
    </row>
    <row r="84" spans="1:26" ht="13.5" customHeight="1">
      <c r="A84" s="1"/>
      <c r="B84" s="396"/>
      <c r="C84" s="397"/>
      <c r="D84" s="397"/>
      <c r="E84" s="397"/>
      <c r="F84" s="397"/>
      <c r="G84" s="397"/>
      <c r="H84" s="397"/>
      <c r="I84" s="397"/>
      <c r="J84" s="397"/>
      <c r="K84" s="397"/>
      <c r="L84" s="397"/>
      <c r="M84" s="397"/>
      <c r="N84" s="397"/>
      <c r="O84" s="398"/>
      <c r="P84" s="1"/>
      <c r="Q84" s="1"/>
      <c r="R84" s="1"/>
      <c r="S84" s="1"/>
      <c r="T84" s="1"/>
      <c r="U84" s="1"/>
      <c r="V84" s="1"/>
      <c r="W84" s="1"/>
      <c r="X84" s="1"/>
      <c r="Y84" s="1"/>
      <c r="Z84" s="1"/>
    </row>
    <row r="85" spans="1:26" ht="13.5" customHeight="1">
      <c r="A85" s="1"/>
      <c r="B85" s="399"/>
      <c r="C85" s="400"/>
      <c r="D85" s="401"/>
      <c r="E85" s="400"/>
      <c r="F85" s="184"/>
      <c r="G85" s="184"/>
      <c r="H85" s="184"/>
      <c r="I85" s="184"/>
      <c r="J85" s="184"/>
      <c r="K85" s="184"/>
      <c r="L85" s="184"/>
      <c r="M85" s="184"/>
      <c r="N85" s="184"/>
      <c r="O85" s="402"/>
      <c r="P85" s="1"/>
      <c r="Q85" s="1"/>
      <c r="R85" s="1"/>
      <c r="S85" s="1"/>
      <c r="T85" s="1"/>
      <c r="U85" s="1"/>
      <c r="V85" s="1"/>
      <c r="W85" s="1"/>
      <c r="X85" s="1"/>
      <c r="Y85" s="1"/>
      <c r="Z85" s="1"/>
    </row>
    <row r="86" spans="1:26" ht="13.5" customHeight="1">
      <c r="A86" s="1"/>
      <c r="B86" s="399"/>
      <c r="C86" s="39"/>
      <c r="D86" s="39"/>
      <c r="E86" s="39"/>
      <c r="F86" s="39"/>
      <c r="G86" s="39"/>
      <c r="H86" s="39"/>
      <c r="I86" s="39"/>
      <c r="J86" s="39"/>
      <c r="K86" s="39"/>
      <c r="L86" s="39"/>
      <c r="M86" s="39"/>
      <c r="N86" s="39"/>
      <c r="O86" s="402"/>
      <c r="P86" s="1"/>
      <c r="Q86" s="1"/>
      <c r="R86" s="1"/>
      <c r="S86" s="1"/>
      <c r="T86" s="1"/>
      <c r="U86" s="1"/>
      <c r="V86" s="1"/>
      <c r="W86" s="1"/>
      <c r="X86" s="1"/>
      <c r="Y86" s="1"/>
      <c r="Z86" s="1"/>
    </row>
    <row r="87" spans="1:26" ht="13.5" customHeight="1">
      <c r="A87" s="1"/>
      <c r="B87" s="399"/>
      <c r="C87" s="1124"/>
      <c r="D87" s="927"/>
      <c r="E87" s="1014" t="str">
        <f>+Datos!$C$9</f>
        <v>CONSEJO SUPERIOR  DE  JUDICATURA– DIRECCIÓN  EJECUTIVA  SECCIONAL  DE ADMINISTRACIÓN JUDICIAL DE BUCARAMANGA</v>
      </c>
      <c r="F87" s="926"/>
      <c r="G87" s="926"/>
      <c r="H87" s="926"/>
      <c r="I87" s="926"/>
      <c r="J87" s="926"/>
      <c r="K87" s="927"/>
      <c r="L87" s="925" t="s">
        <v>1</v>
      </c>
      <c r="M87" s="931"/>
      <c r="N87" s="933">
        <f>Datos!$C$4</f>
        <v>1</v>
      </c>
      <c r="O87" s="403"/>
      <c r="P87" s="1"/>
      <c r="Q87" s="1"/>
      <c r="R87" s="1"/>
      <c r="S87" s="1"/>
      <c r="T87" s="1"/>
      <c r="U87" s="1"/>
      <c r="V87" s="1"/>
      <c r="W87" s="1"/>
      <c r="X87" s="1"/>
      <c r="Y87" s="1"/>
      <c r="Z87" s="1"/>
    </row>
    <row r="88" spans="1:26" ht="13.5" customHeight="1">
      <c r="A88" s="1"/>
      <c r="B88" s="399"/>
      <c r="C88" s="920"/>
      <c r="D88" s="924"/>
      <c r="E88" s="920"/>
      <c r="F88" s="922"/>
      <c r="G88" s="922"/>
      <c r="H88" s="922"/>
      <c r="I88" s="922"/>
      <c r="J88" s="922"/>
      <c r="K88" s="924"/>
      <c r="L88" s="920"/>
      <c r="M88" s="932"/>
      <c r="N88" s="934"/>
      <c r="O88" s="403"/>
      <c r="P88" s="1"/>
      <c r="Q88" s="1"/>
      <c r="R88" s="1"/>
      <c r="S88" s="1"/>
      <c r="T88" s="1"/>
      <c r="U88" s="1"/>
      <c r="V88" s="1"/>
      <c r="W88" s="1"/>
      <c r="X88" s="1"/>
      <c r="Y88" s="1"/>
      <c r="Z88" s="1"/>
    </row>
    <row r="89" spans="1:26" ht="13.5" customHeight="1">
      <c r="A89" s="1"/>
      <c r="B89" s="399"/>
      <c r="C89" s="920"/>
      <c r="D89" s="924"/>
      <c r="E89" s="919" t="str">
        <f>Datos!$C$13</f>
        <v xml:space="preserve">BGA - 030 - 2026 </v>
      </c>
      <c r="F89" s="922"/>
      <c r="G89" s="922"/>
      <c r="H89" s="922"/>
      <c r="I89" s="922"/>
      <c r="J89" s="922"/>
      <c r="K89" s="922"/>
      <c r="L89" s="925" t="s">
        <v>29</v>
      </c>
      <c r="M89" s="926"/>
      <c r="N89" s="927"/>
      <c r="O89" s="403"/>
      <c r="P89" s="1"/>
      <c r="Q89" s="1"/>
      <c r="R89" s="1"/>
      <c r="S89" s="1"/>
      <c r="T89" s="1"/>
      <c r="U89" s="1"/>
      <c r="V89" s="1"/>
      <c r="W89" s="1"/>
      <c r="X89" s="1"/>
      <c r="Y89" s="1"/>
      <c r="Z89" s="1"/>
    </row>
    <row r="90" spans="1:26" ht="13.5" customHeight="1">
      <c r="A90" s="1"/>
      <c r="B90" s="399"/>
      <c r="C90" s="920"/>
      <c r="D90" s="924"/>
      <c r="E90" s="405"/>
      <c r="F90" s="406"/>
      <c r="G90" s="406"/>
      <c r="H90" s="406"/>
      <c r="I90" s="406"/>
      <c r="J90" s="406"/>
      <c r="K90" s="42"/>
      <c r="L90" s="919">
        <v>1</v>
      </c>
      <c r="M90" s="921" t="s">
        <v>30</v>
      </c>
      <c r="N90" s="923">
        <v>1</v>
      </c>
      <c r="O90" s="403"/>
      <c r="P90" s="1"/>
      <c r="Q90" s="1"/>
      <c r="R90" s="1"/>
      <c r="S90" s="1"/>
      <c r="T90" s="1"/>
      <c r="U90" s="1"/>
      <c r="V90" s="1"/>
      <c r="W90" s="1"/>
      <c r="X90" s="1"/>
      <c r="Y90" s="1"/>
      <c r="Z90" s="1"/>
    </row>
    <row r="91" spans="1:26" ht="12.75" customHeight="1">
      <c r="A91" s="1"/>
      <c r="B91" s="399"/>
      <c r="C91" s="920"/>
      <c r="D91" s="924"/>
      <c r="E91"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91" s="922"/>
      <c r="G91" s="922"/>
      <c r="H91" s="922"/>
      <c r="I91" s="922"/>
      <c r="J91" s="922"/>
      <c r="K91" s="922"/>
      <c r="L91" s="920"/>
      <c r="M91" s="922"/>
      <c r="N91" s="924"/>
      <c r="O91" s="403"/>
      <c r="P91" s="1"/>
      <c r="Q91" s="1"/>
      <c r="R91" s="1"/>
      <c r="S91" s="1"/>
      <c r="T91" s="1"/>
      <c r="U91" s="1"/>
      <c r="V91" s="1"/>
      <c r="W91" s="1"/>
      <c r="X91" s="1"/>
      <c r="Y91" s="1"/>
      <c r="Z91" s="1"/>
    </row>
    <row r="92" spans="1:26" ht="13.5" customHeight="1">
      <c r="A92" s="1"/>
      <c r="B92" s="399"/>
      <c r="C92" s="920"/>
      <c r="D92" s="924"/>
      <c r="E92" s="920"/>
      <c r="F92" s="922"/>
      <c r="G92" s="922"/>
      <c r="H92" s="922"/>
      <c r="I92" s="922"/>
      <c r="J92" s="922"/>
      <c r="K92" s="922"/>
      <c r="L92" s="925" t="s">
        <v>2</v>
      </c>
      <c r="M92" s="926"/>
      <c r="N92" s="927"/>
      <c r="O92" s="403"/>
      <c r="P92" s="1"/>
      <c r="Q92" s="1"/>
      <c r="R92" s="1"/>
      <c r="S92" s="1"/>
      <c r="T92" s="1"/>
      <c r="U92" s="1"/>
      <c r="V92" s="1"/>
      <c r="W92" s="1"/>
      <c r="X92" s="1"/>
      <c r="Y92" s="1"/>
      <c r="Z92" s="1"/>
    </row>
    <row r="93" spans="1:26" ht="13.5" customHeight="1">
      <c r="A93" s="1"/>
      <c r="B93" s="399"/>
      <c r="C93" s="920"/>
      <c r="D93" s="924"/>
      <c r="E93" s="407"/>
      <c r="F93" s="216"/>
      <c r="G93" s="216"/>
      <c r="H93" s="216"/>
      <c r="I93" s="216"/>
      <c r="J93" s="216"/>
      <c r="K93" s="216"/>
      <c r="L93" s="408" t="s">
        <v>3</v>
      </c>
      <c r="M93" s="409" t="s">
        <v>4</v>
      </c>
      <c r="N93" s="410" t="s">
        <v>5</v>
      </c>
      <c r="O93" s="403"/>
      <c r="P93" s="1"/>
      <c r="Q93" s="1"/>
      <c r="R93" s="1"/>
      <c r="S93" s="1"/>
      <c r="T93" s="1"/>
      <c r="U93" s="1"/>
      <c r="V93" s="1"/>
      <c r="W93" s="1"/>
      <c r="X93" s="1"/>
      <c r="Y93" s="1"/>
      <c r="Z93" s="1"/>
    </row>
    <row r="94" spans="1:26" ht="13.5" customHeight="1">
      <c r="A94" s="1"/>
      <c r="B94" s="399"/>
      <c r="C94" s="920"/>
      <c r="D94" s="924"/>
      <c r="E94" s="1125" t="s">
        <v>1186</v>
      </c>
      <c r="F94" s="945"/>
      <c r="G94" s="945"/>
      <c r="H94" s="945"/>
      <c r="I94" s="945"/>
      <c r="J94" s="945"/>
      <c r="K94" s="945"/>
      <c r="L94" s="928">
        <f>+Datos!C89</f>
        <v>0</v>
      </c>
      <c r="M94" s="935">
        <f>+Datos!D89</f>
        <v>0</v>
      </c>
      <c r="N94" s="937">
        <f>+Datos!E89</f>
        <v>0</v>
      </c>
      <c r="O94" s="411"/>
      <c r="P94" s="1"/>
      <c r="Q94" s="1"/>
      <c r="R94" s="1"/>
      <c r="S94" s="1"/>
      <c r="T94" s="1"/>
      <c r="U94" s="1"/>
      <c r="V94" s="1"/>
      <c r="W94" s="1"/>
      <c r="X94" s="1"/>
      <c r="Y94" s="1"/>
      <c r="Z94" s="1"/>
    </row>
    <row r="95" spans="1:26" ht="13.5" customHeight="1">
      <c r="A95" s="1"/>
      <c r="B95" s="399"/>
      <c r="C95" s="929"/>
      <c r="D95" s="938"/>
      <c r="E95" s="929"/>
      <c r="F95" s="936"/>
      <c r="G95" s="936"/>
      <c r="H95" s="936"/>
      <c r="I95" s="936"/>
      <c r="J95" s="936"/>
      <c r="K95" s="936"/>
      <c r="L95" s="929"/>
      <c r="M95" s="936"/>
      <c r="N95" s="938"/>
      <c r="O95" s="403"/>
      <c r="P95" s="1"/>
      <c r="Q95" s="1"/>
      <c r="R95" s="1"/>
      <c r="S95" s="1"/>
      <c r="T95" s="1"/>
      <c r="U95" s="1"/>
      <c r="V95" s="1"/>
      <c r="W95" s="1"/>
      <c r="X95" s="1"/>
      <c r="Y95" s="1"/>
      <c r="Z95" s="1"/>
    </row>
    <row r="96" spans="1:26" ht="13.5" customHeight="1">
      <c r="A96" s="1"/>
      <c r="B96" s="399"/>
      <c r="C96" s="404"/>
      <c r="D96" s="38"/>
      <c r="E96" s="38"/>
      <c r="F96" s="38"/>
      <c r="G96" s="38"/>
      <c r="H96" s="38"/>
      <c r="I96" s="38"/>
      <c r="J96" s="38"/>
      <c r="K96" s="38"/>
      <c r="L96" s="39"/>
      <c r="M96" s="39"/>
      <c r="N96" s="40"/>
      <c r="O96" s="414"/>
      <c r="P96" s="1"/>
      <c r="Q96" s="1"/>
      <c r="R96" s="1"/>
      <c r="S96" s="1"/>
      <c r="T96" s="1"/>
      <c r="U96" s="1"/>
      <c r="V96" s="1"/>
      <c r="W96" s="1"/>
      <c r="X96" s="1"/>
      <c r="Y96" s="1"/>
      <c r="Z96" s="1"/>
    </row>
    <row r="97" spans="1:26" ht="18" customHeight="1">
      <c r="A97" s="395"/>
      <c r="B97" s="399"/>
      <c r="C97" s="412" t="s">
        <v>1187</v>
      </c>
      <c r="D97" s="1126" t="s">
        <v>1188</v>
      </c>
      <c r="E97" s="922"/>
      <c r="F97" s="922"/>
      <c r="G97" s="922"/>
      <c r="H97" s="922"/>
      <c r="I97" s="922"/>
      <c r="J97" s="922"/>
      <c r="K97" s="922"/>
      <c r="L97" s="922"/>
      <c r="M97" s="1"/>
      <c r="N97" s="413"/>
      <c r="O97" s="414"/>
      <c r="P97" s="1"/>
      <c r="Q97" s="1"/>
      <c r="R97" s="1"/>
      <c r="S97" s="1"/>
      <c r="T97" s="1"/>
      <c r="U97" s="1"/>
      <c r="V97" s="1"/>
      <c r="W97" s="1"/>
      <c r="X97" s="1"/>
      <c r="Y97" s="1"/>
      <c r="Z97" s="1"/>
    </row>
    <row r="98" spans="1:26" ht="13.5" customHeight="1">
      <c r="A98" s="395"/>
      <c r="B98" s="399"/>
      <c r="C98" s="412" t="s">
        <v>1189</v>
      </c>
      <c r="D98" s="1126" t="s">
        <v>1190</v>
      </c>
      <c r="E98" s="922"/>
      <c r="F98" s="922"/>
      <c r="G98" s="922"/>
      <c r="H98" s="922"/>
      <c r="I98" s="922"/>
      <c r="J98" s="922"/>
      <c r="K98" s="922"/>
      <c r="L98" s="922"/>
      <c r="M98" s="1"/>
      <c r="N98" s="413"/>
      <c r="O98" s="403"/>
      <c r="P98" s="1"/>
      <c r="Q98" s="1"/>
      <c r="R98" s="1"/>
      <c r="S98" s="1"/>
      <c r="T98" s="1"/>
      <c r="U98" s="1"/>
      <c r="V98" s="1"/>
      <c r="W98" s="1"/>
      <c r="X98" s="1"/>
      <c r="Y98" s="1"/>
      <c r="Z98" s="1"/>
    </row>
    <row r="99" spans="1:26" ht="13.5" customHeight="1">
      <c r="A99" s="395"/>
      <c r="B99" s="399"/>
      <c r="C99" s="415"/>
      <c r="D99" s="416"/>
      <c r="E99" s="416"/>
      <c r="F99" s="416"/>
      <c r="G99" s="416"/>
      <c r="H99" s="416"/>
      <c r="I99" s="416"/>
      <c r="J99" s="416"/>
      <c r="K99" s="416"/>
      <c r="L99" s="416"/>
      <c r="M99" s="416"/>
      <c r="N99" s="417"/>
      <c r="O99" s="403"/>
      <c r="P99" s="1"/>
      <c r="Q99" s="1"/>
      <c r="R99" s="1"/>
      <c r="S99" s="1"/>
      <c r="T99" s="1"/>
      <c r="U99" s="1"/>
      <c r="V99" s="1"/>
      <c r="W99" s="1"/>
      <c r="X99" s="1"/>
      <c r="Y99" s="1"/>
      <c r="Z99" s="1"/>
    </row>
    <row r="100" spans="1:26" ht="13.5" customHeight="1">
      <c r="A100" s="395"/>
      <c r="B100" s="399"/>
      <c r="C100" s="418"/>
      <c r="D100" s="39"/>
      <c r="E100" s="39"/>
      <c r="F100" s="39"/>
      <c r="G100" s="39"/>
      <c r="H100" s="39"/>
      <c r="I100" s="39"/>
      <c r="J100" s="39"/>
      <c r="K100" s="39"/>
      <c r="L100" s="39"/>
      <c r="M100" s="39"/>
      <c r="N100" s="40"/>
      <c r="O100" s="402"/>
      <c r="P100" s="1"/>
      <c r="Q100" s="1"/>
      <c r="R100" s="1"/>
      <c r="S100" s="1"/>
      <c r="T100" s="1"/>
      <c r="U100" s="1"/>
      <c r="V100" s="1"/>
      <c r="W100" s="1"/>
      <c r="X100" s="1"/>
      <c r="Y100" s="1"/>
      <c r="Z100" s="1"/>
    </row>
    <row r="101" spans="1:26" ht="13.5" customHeight="1">
      <c r="A101" s="395"/>
      <c r="B101" s="399"/>
      <c r="C101" s="925" t="s">
        <v>1191</v>
      </c>
      <c r="D101" s="926"/>
      <c r="E101" s="926"/>
      <c r="F101" s="926"/>
      <c r="G101" s="926"/>
      <c r="H101" s="926"/>
      <c r="I101" s="926"/>
      <c r="J101" s="926"/>
      <c r="K101" s="926"/>
      <c r="L101" s="926"/>
      <c r="M101" s="926"/>
      <c r="N101" s="927"/>
      <c r="O101" s="402"/>
      <c r="P101" s="1"/>
      <c r="Q101" s="1"/>
      <c r="R101" s="1"/>
      <c r="S101" s="1"/>
      <c r="T101" s="1"/>
      <c r="U101" s="1"/>
      <c r="V101" s="1"/>
      <c r="W101" s="1"/>
      <c r="X101" s="1"/>
      <c r="Y101" s="1"/>
      <c r="Z101" s="1"/>
    </row>
    <row r="102" spans="1:26" ht="13.5" customHeight="1">
      <c r="A102" s="395"/>
      <c r="B102" s="399"/>
      <c r="C102" s="418"/>
      <c r="D102" s="39"/>
      <c r="E102" s="39"/>
      <c r="F102" s="39"/>
      <c r="G102" s="39"/>
      <c r="H102" s="39"/>
      <c r="I102" s="39"/>
      <c r="J102" s="39"/>
      <c r="K102" s="39"/>
      <c r="L102" s="39"/>
      <c r="M102" s="39"/>
      <c r="N102" s="40"/>
      <c r="O102" s="402"/>
      <c r="P102" s="1"/>
      <c r="Q102" s="1"/>
      <c r="R102" s="1"/>
      <c r="S102" s="1"/>
      <c r="T102" s="1"/>
      <c r="U102" s="1"/>
      <c r="V102" s="1"/>
      <c r="W102" s="1"/>
      <c r="X102" s="1"/>
      <c r="Y102" s="1"/>
      <c r="Z102" s="1"/>
    </row>
    <row r="103" spans="1:26" ht="13.5" customHeight="1">
      <c r="A103" s="395"/>
      <c r="B103" s="399"/>
      <c r="C103" s="420" t="s">
        <v>965</v>
      </c>
      <c r="D103" s="1136" t="s">
        <v>17</v>
      </c>
      <c r="E103" s="1131"/>
      <c r="F103" s="1131"/>
      <c r="G103" s="1131"/>
      <c r="H103" s="1131"/>
      <c r="I103" s="1131"/>
      <c r="J103" s="1131"/>
      <c r="K103" s="1137"/>
      <c r="L103" s="1130" t="s">
        <v>1192</v>
      </c>
      <c r="M103" s="1137"/>
      <c r="N103" s="420" t="s">
        <v>950</v>
      </c>
      <c r="O103" s="419"/>
      <c r="P103" s="1"/>
      <c r="Q103" s="1"/>
      <c r="R103" s="1"/>
      <c r="S103" s="1"/>
      <c r="T103" s="1"/>
      <c r="U103" s="1"/>
      <c r="V103" s="1"/>
      <c r="W103" s="1"/>
      <c r="X103" s="1"/>
      <c r="Y103" s="1"/>
      <c r="Z103" s="1"/>
    </row>
    <row r="104" spans="1:26" ht="13.5" customHeight="1">
      <c r="A104" s="395"/>
      <c r="B104" s="421"/>
      <c r="C104" s="422" t="s">
        <v>1190</v>
      </c>
      <c r="D104" s="1151" t="s">
        <v>1230</v>
      </c>
      <c r="E104" s="979"/>
      <c r="F104" s="979"/>
      <c r="G104" s="979"/>
      <c r="H104" s="979"/>
      <c r="I104" s="979"/>
      <c r="J104" s="979"/>
      <c r="K104" s="980"/>
      <c r="L104" s="1138" t="s">
        <v>741</v>
      </c>
      <c r="M104" s="980"/>
      <c r="N104" s="423">
        <v>1</v>
      </c>
      <c r="O104" s="424"/>
      <c r="P104" s="1"/>
      <c r="Q104" s="1"/>
      <c r="R104" s="1"/>
      <c r="S104" s="1"/>
      <c r="T104" s="1"/>
      <c r="U104" s="1"/>
      <c r="V104" s="1"/>
      <c r="W104" s="1"/>
      <c r="X104" s="1"/>
      <c r="Y104" s="1"/>
      <c r="Z104" s="1"/>
    </row>
    <row r="105" spans="1:26" ht="13.5" customHeight="1">
      <c r="A105" s="395"/>
      <c r="B105" s="399"/>
      <c r="C105" s="1129" t="s">
        <v>1195</v>
      </c>
      <c r="D105" s="926"/>
      <c r="E105" s="926"/>
      <c r="F105" s="926"/>
      <c r="G105" s="926"/>
      <c r="H105" s="926"/>
      <c r="I105" s="926"/>
      <c r="J105" s="926"/>
      <c r="K105" s="926"/>
      <c r="L105" s="926"/>
      <c r="M105" s="926"/>
      <c r="N105" s="927"/>
      <c r="O105" s="426"/>
      <c r="P105" s="1"/>
      <c r="Q105" s="1"/>
      <c r="R105" s="1"/>
      <c r="S105" s="1"/>
      <c r="T105" s="1"/>
      <c r="U105" s="1"/>
      <c r="V105" s="1"/>
      <c r="W105" s="1"/>
      <c r="X105" s="1"/>
      <c r="Y105" s="1"/>
      <c r="Z105" s="1"/>
    </row>
    <row r="106" spans="1:26" ht="13.5" customHeight="1">
      <c r="A106" s="395"/>
      <c r="B106" s="399"/>
      <c r="C106" s="920"/>
      <c r="D106" s="922"/>
      <c r="E106" s="922"/>
      <c r="F106" s="922"/>
      <c r="G106" s="922"/>
      <c r="H106" s="922"/>
      <c r="I106" s="922"/>
      <c r="J106" s="922"/>
      <c r="K106" s="922"/>
      <c r="L106" s="922"/>
      <c r="M106" s="922"/>
      <c r="N106" s="924"/>
      <c r="O106" s="426"/>
      <c r="P106" s="1"/>
      <c r="Q106" s="1"/>
      <c r="R106" s="1"/>
      <c r="S106" s="1"/>
      <c r="T106" s="1"/>
      <c r="U106" s="1"/>
      <c r="V106" s="1"/>
      <c r="W106" s="1"/>
      <c r="X106" s="1"/>
      <c r="Y106" s="1"/>
      <c r="Z106" s="1"/>
    </row>
    <row r="107" spans="1:26" ht="13.5" customHeight="1">
      <c r="A107" s="395"/>
      <c r="B107" s="399"/>
      <c r="C107" s="929"/>
      <c r="D107" s="936"/>
      <c r="E107" s="936"/>
      <c r="F107" s="936"/>
      <c r="G107" s="936"/>
      <c r="H107" s="936"/>
      <c r="I107" s="936"/>
      <c r="J107" s="936"/>
      <c r="K107" s="936"/>
      <c r="L107" s="936"/>
      <c r="M107" s="936"/>
      <c r="N107" s="938"/>
      <c r="O107" s="426"/>
      <c r="P107" s="1"/>
      <c r="Q107" s="1"/>
      <c r="R107" s="1"/>
      <c r="S107" s="1"/>
      <c r="T107" s="1"/>
      <c r="U107" s="1"/>
      <c r="V107" s="1"/>
      <c r="W107" s="1"/>
      <c r="X107" s="1"/>
      <c r="Y107" s="1"/>
      <c r="Z107" s="1"/>
    </row>
    <row r="108" spans="1:26" ht="13.5" customHeight="1">
      <c r="A108" s="395"/>
      <c r="B108" s="399"/>
      <c r="C108" s="1130" t="s">
        <v>17</v>
      </c>
      <c r="D108" s="1131"/>
      <c r="E108" s="1131"/>
      <c r="F108" s="1000"/>
      <c r="G108" s="1135" t="s">
        <v>1196</v>
      </c>
      <c r="H108" s="1000"/>
      <c r="I108" s="1139" t="s">
        <v>1197</v>
      </c>
      <c r="J108" s="1140"/>
      <c r="K108" s="427" t="s">
        <v>1198</v>
      </c>
      <c r="L108" s="1135" t="s">
        <v>1199</v>
      </c>
      <c r="M108" s="1000"/>
      <c r="N108" s="428" t="s">
        <v>1200</v>
      </c>
      <c r="O108" s="419"/>
      <c r="P108" s="1"/>
      <c r="Q108" s="1"/>
      <c r="R108" s="1"/>
      <c r="S108" s="1"/>
      <c r="T108" s="1"/>
      <c r="U108" s="1"/>
      <c r="V108" s="1"/>
      <c r="W108" s="1"/>
      <c r="X108" s="1"/>
      <c r="Y108" s="1"/>
      <c r="Z108" s="1"/>
    </row>
    <row r="109" spans="1:26" ht="13.5" customHeight="1">
      <c r="A109" s="395"/>
      <c r="B109" s="399"/>
      <c r="C109" s="1128" t="s">
        <v>1201</v>
      </c>
      <c r="D109" s="940"/>
      <c r="E109" s="940"/>
      <c r="F109" s="941"/>
      <c r="G109" s="1142"/>
      <c r="H109" s="941"/>
      <c r="I109" s="1142"/>
      <c r="J109" s="941"/>
      <c r="K109" s="429"/>
      <c r="L109" s="1148">
        <v>0.1</v>
      </c>
      <c r="M109" s="941"/>
      <c r="N109" s="430">
        <f>+L109*N140</f>
        <v>5639.4250000000002</v>
      </c>
      <c r="O109" s="431"/>
      <c r="P109" s="1"/>
      <c r="Q109" s="1"/>
      <c r="R109" s="1"/>
      <c r="S109" s="1"/>
      <c r="T109" s="1"/>
      <c r="U109" s="1"/>
      <c r="V109" s="1"/>
      <c r="W109" s="1"/>
      <c r="X109" s="1"/>
      <c r="Y109" s="1"/>
      <c r="Z109" s="1"/>
    </row>
    <row r="110" spans="1:26" ht="13.5" customHeight="1">
      <c r="A110" s="395" t="str">
        <f t="array" ref="A110">IF(C110&lt;&gt;0,INDEX(CodEquipos,MATCH(C110,Equipos,0),),)</f>
        <v>EQ-01</v>
      </c>
      <c r="B110" s="399"/>
      <c r="C110" s="1128" t="s">
        <v>271</v>
      </c>
      <c r="D110" s="940"/>
      <c r="E110" s="940"/>
      <c r="F110" s="941"/>
      <c r="G110" s="1142"/>
      <c r="H110" s="941"/>
      <c r="I110" s="1142"/>
      <c r="J110" s="941"/>
      <c r="K110" s="432">
        <f>IF($A110&gt;0,(VLOOKUP($A110,TablaEquipos,7,FALSE)),"")</f>
        <v>13833.75</v>
      </c>
      <c r="L110" s="1141">
        <f>+L135/8</f>
        <v>1</v>
      </c>
      <c r="M110" s="941"/>
      <c r="N110" s="430">
        <f t="shared" ref="N110:N112" si="4">IF(L110&gt;0,K110/L110,"")</f>
        <v>13833.75</v>
      </c>
      <c r="O110" s="431"/>
      <c r="P110" s="1"/>
      <c r="Q110" s="1"/>
      <c r="R110" s="1"/>
      <c r="S110" s="1"/>
      <c r="T110" s="1"/>
      <c r="U110" s="1"/>
      <c r="V110" s="1"/>
      <c r="W110" s="1"/>
      <c r="X110" s="1"/>
      <c r="Y110" s="1"/>
      <c r="Z110" s="1"/>
    </row>
    <row r="111" spans="1:26" ht="13.5" customHeight="1">
      <c r="A111" s="395">
        <f t="array" ref="A111">IF(C111&lt;&gt;0,INDEX(CodEquipos,MATCH(C111,Equipos,0),),)</f>
        <v>0</v>
      </c>
      <c r="B111" s="399"/>
      <c r="C111" s="1128"/>
      <c r="D111" s="940"/>
      <c r="E111" s="940"/>
      <c r="F111" s="941"/>
      <c r="G111" s="1142"/>
      <c r="H111" s="941"/>
      <c r="I111" s="1142"/>
      <c r="J111" s="941"/>
      <c r="K111" s="432" t="str">
        <f>IF($A111&gt;0,(VLOOKUP($A111,TablaEquipos,7,FALSE)),"")</f>
        <v/>
      </c>
      <c r="L111" s="1141"/>
      <c r="M111" s="941"/>
      <c r="N111" s="430" t="str">
        <f t="shared" si="4"/>
        <v/>
      </c>
      <c r="O111" s="431"/>
      <c r="P111" s="1"/>
      <c r="Q111" s="1"/>
      <c r="R111" s="1"/>
      <c r="S111" s="1"/>
      <c r="T111" s="1"/>
      <c r="U111" s="1"/>
      <c r="V111" s="1"/>
      <c r="W111" s="1"/>
      <c r="X111" s="1"/>
      <c r="Y111" s="1"/>
      <c r="Z111" s="1"/>
    </row>
    <row r="112" spans="1:26" ht="13.5" customHeight="1">
      <c r="A112" s="395">
        <f t="array" ref="A112">IF(C112&lt;&gt;0,INDEX(CodEquipos,MATCH(C112,Equipos,0),),)</f>
        <v>0</v>
      </c>
      <c r="B112" s="399"/>
      <c r="C112" s="1128"/>
      <c r="D112" s="940"/>
      <c r="E112" s="940"/>
      <c r="F112" s="941"/>
      <c r="G112" s="1144"/>
      <c r="H112" s="1145"/>
      <c r="I112" s="1142"/>
      <c r="J112" s="941"/>
      <c r="K112" s="432" t="str">
        <f>IF($A112&gt;0,(VLOOKUP($A112,TablaEquipos,7,FALSE)),"")</f>
        <v/>
      </c>
      <c r="L112" s="1141"/>
      <c r="M112" s="941"/>
      <c r="N112" s="430" t="str">
        <f t="shared" si="4"/>
        <v/>
      </c>
      <c r="O112" s="431"/>
      <c r="P112" s="1"/>
      <c r="Q112" s="1"/>
      <c r="R112" s="1"/>
      <c r="S112" s="1"/>
      <c r="T112" s="1"/>
      <c r="U112" s="1"/>
      <c r="V112" s="1"/>
      <c r="W112" s="1"/>
      <c r="X112" s="1"/>
      <c r="Y112" s="1"/>
      <c r="Z112" s="1"/>
    </row>
    <row r="113" spans="1:26" ht="13.5" customHeight="1">
      <c r="A113" s="395"/>
      <c r="B113" s="399"/>
      <c r="C113" s="1127" t="s">
        <v>1202</v>
      </c>
      <c r="D113" s="965"/>
      <c r="E113" s="965"/>
      <c r="F113" s="965"/>
      <c r="G113" s="965"/>
      <c r="H113" s="965"/>
      <c r="I113" s="965"/>
      <c r="J113" s="965"/>
      <c r="K113" s="965"/>
      <c r="L113" s="965"/>
      <c r="M113" s="966"/>
      <c r="N113" s="433">
        <f>+SUM(N109:N112)</f>
        <v>19473.174999999999</v>
      </c>
      <c r="O113" s="431"/>
      <c r="P113" s="1"/>
      <c r="Q113" s="1"/>
      <c r="R113" s="1"/>
      <c r="S113" s="1"/>
      <c r="T113" s="1"/>
      <c r="U113" s="1"/>
      <c r="V113" s="1"/>
      <c r="W113" s="1"/>
      <c r="X113" s="1"/>
      <c r="Y113" s="1"/>
      <c r="Z113" s="1"/>
    </row>
    <row r="114" spans="1:26" ht="13.5" customHeight="1">
      <c r="A114" s="395"/>
      <c r="B114" s="399"/>
      <c r="C114" s="1129" t="s">
        <v>1203</v>
      </c>
      <c r="D114" s="926"/>
      <c r="E114" s="926"/>
      <c r="F114" s="926"/>
      <c r="G114" s="926"/>
      <c r="H114" s="926"/>
      <c r="I114" s="926"/>
      <c r="J114" s="926"/>
      <c r="K114" s="926"/>
      <c r="L114" s="926"/>
      <c r="M114" s="926"/>
      <c r="N114" s="927"/>
      <c r="O114" s="426"/>
      <c r="P114" s="1"/>
      <c r="Q114" s="1"/>
      <c r="R114" s="1"/>
      <c r="S114" s="1"/>
      <c r="T114" s="1"/>
      <c r="U114" s="1"/>
      <c r="V114" s="1"/>
      <c r="W114" s="1"/>
      <c r="X114" s="1"/>
      <c r="Y114" s="1"/>
      <c r="Z114" s="1"/>
    </row>
    <row r="115" spans="1:26" ht="13.5" customHeight="1">
      <c r="A115" s="395"/>
      <c r="B115" s="399"/>
      <c r="C115" s="920"/>
      <c r="D115" s="922"/>
      <c r="E115" s="922"/>
      <c r="F115" s="922"/>
      <c r="G115" s="922"/>
      <c r="H115" s="922"/>
      <c r="I115" s="922"/>
      <c r="J115" s="922"/>
      <c r="K115" s="922"/>
      <c r="L115" s="922"/>
      <c r="M115" s="922"/>
      <c r="N115" s="924"/>
      <c r="O115" s="426"/>
      <c r="P115" s="1"/>
      <c r="Q115" s="1"/>
      <c r="R115" s="1"/>
      <c r="S115" s="1"/>
      <c r="T115" s="1"/>
      <c r="U115" s="1"/>
      <c r="V115" s="1"/>
      <c r="W115" s="1"/>
      <c r="X115" s="1"/>
      <c r="Y115" s="1"/>
      <c r="Z115" s="1"/>
    </row>
    <row r="116" spans="1:26" ht="13.5" customHeight="1">
      <c r="A116" s="395"/>
      <c r="B116" s="399"/>
      <c r="C116" s="929"/>
      <c r="D116" s="936"/>
      <c r="E116" s="936"/>
      <c r="F116" s="936"/>
      <c r="G116" s="936"/>
      <c r="H116" s="936"/>
      <c r="I116" s="936"/>
      <c r="J116" s="936"/>
      <c r="K116" s="936"/>
      <c r="L116" s="936"/>
      <c r="M116" s="936"/>
      <c r="N116" s="938"/>
      <c r="O116" s="426"/>
      <c r="P116" s="1"/>
      <c r="Q116" s="1"/>
      <c r="R116" s="1"/>
      <c r="S116" s="1"/>
      <c r="T116" s="1"/>
      <c r="U116" s="1"/>
      <c r="V116" s="1"/>
      <c r="W116" s="1"/>
      <c r="X116" s="1"/>
      <c r="Y116" s="1"/>
      <c r="Z116" s="1"/>
    </row>
    <row r="117" spans="1:26" ht="13.5" customHeight="1">
      <c r="A117" s="395"/>
      <c r="B117" s="399"/>
      <c r="C117" s="1130" t="s">
        <v>17</v>
      </c>
      <c r="D117" s="1131"/>
      <c r="E117" s="1131"/>
      <c r="F117" s="1131"/>
      <c r="G117" s="1131"/>
      <c r="H117" s="1131"/>
      <c r="I117" s="1000"/>
      <c r="J117" s="434" t="s">
        <v>1192</v>
      </c>
      <c r="K117" s="427" t="s">
        <v>950</v>
      </c>
      <c r="L117" s="1135" t="s">
        <v>1204</v>
      </c>
      <c r="M117" s="1000"/>
      <c r="N117" s="428" t="s">
        <v>1200</v>
      </c>
      <c r="O117" s="419"/>
      <c r="P117" s="1"/>
      <c r="Q117" s="1"/>
      <c r="R117" s="1"/>
      <c r="S117" s="1"/>
      <c r="T117" s="1"/>
      <c r="U117" s="1"/>
      <c r="V117" s="1"/>
      <c r="W117" s="1"/>
      <c r="X117" s="1"/>
      <c r="Y117" s="1"/>
      <c r="Z117" s="1"/>
    </row>
    <row r="118" spans="1:26" ht="13.5" customHeight="1">
      <c r="A118" s="395" t="str">
        <f t="array" ref="A118">IF(C118&lt;&gt;0,INDEX(CodMat,MATCH(C118,Materiales,0),),)</f>
        <v>MAT_C-01</v>
      </c>
      <c r="B118" s="399"/>
      <c r="C118" s="1128" t="s">
        <v>1205</v>
      </c>
      <c r="D118" s="940"/>
      <c r="E118" s="940"/>
      <c r="F118" s="940"/>
      <c r="G118" s="940"/>
      <c r="H118" s="940"/>
      <c r="I118" s="941"/>
      <c r="J118" s="435" t="str">
        <f>IF($A118&gt;0,(VLOOKUP($A118,TablaInsumos,5,FALSE)),"")</f>
        <v>LT</v>
      </c>
      <c r="K118" s="436">
        <v>194</v>
      </c>
      <c r="L118" s="1134">
        <f>IF($A118&gt;0,(VLOOKUP($A118,TablaInsumos,7,FALSE)),"")</f>
        <v>46</v>
      </c>
      <c r="M118" s="941"/>
      <c r="N118" s="430">
        <f t="shared" ref="N118:N122" si="5">IF(K118&gt;0,L118*K118,"")</f>
        <v>8924</v>
      </c>
      <c r="O118" s="431"/>
      <c r="P118" s="1"/>
      <c r="Q118" s="1"/>
      <c r="R118" s="1"/>
      <c r="S118" s="1"/>
      <c r="T118" s="1"/>
      <c r="U118" s="1"/>
      <c r="V118" s="1"/>
      <c r="W118" s="1"/>
      <c r="X118" s="1"/>
      <c r="Y118" s="1"/>
      <c r="Z118" s="1"/>
    </row>
    <row r="119" spans="1:26" ht="13.5" customHeight="1">
      <c r="A119" s="395" t="str">
        <f t="array" ref="A119">IF(C119&lt;&gt;0,INDEX(CodMat,MATCH(C119,Materiales,0),),)</f>
        <v>MAT_C-03</v>
      </c>
      <c r="B119" s="399"/>
      <c r="C119" s="1128" t="s">
        <v>1206</v>
      </c>
      <c r="D119" s="940"/>
      <c r="E119" s="940"/>
      <c r="F119" s="940"/>
      <c r="G119" s="940"/>
      <c r="H119" s="940"/>
      <c r="I119" s="941"/>
      <c r="J119" s="435" t="str">
        <f>IF($A119&gt;0,(VLOOKUP($A119,TablaInsumos,5,FALSE)),"")</f>
        <v>M3</v>
      </c>
      <c r="K119" s="436">
        <v>1.1599999999999999</v>
      </c>
      <c r="L119" s="1134">
        <f>IF($A119&gt;0,(VLOOKUP($A119,TablaInsumos,7,FALSE)),"")</f>
        <v>86414</v>
      </c>
      <c r="M119" s="941"/>
      <c r="N119" s="430">
        <f t="shared" si="5"/>
        <v>100240.23999999999</v>
      </c>
      <c r="O119" s="431"/>
      <c r="P119" s="1"/>
      <c r="Q119" s="1"/>
      <c r="R119" s="1"/>
      <c r="S119" s="1"/>
      <c r="T119" s="1"/>
      <c r="U119" s="1"/>
      <c r="V119" s="1"/>
      <c r="W119" s="1"/>
      <c r="X119" s="1"/>
      <c r="Y119" s="1"/>
      <c r="Z119" s="1"/>
    </row>
    <row r="120" spans="1:26" ht="13.5" customHeight="1">
      <c r="A120" s="395" t="str">
        <f t="array" ref="A120">IF(C120&lt;&gt;0,INDEX(CodMat,MATCH(C120,Materiales,0),),)</f>
        <v>MAT_C-12</v>
      </c>
      <c r="B120" s="399"/>
      <c r="C120" s="1128" t="s">
        <v>1207</v>
      </c>
      <c r="D120" s="940"/>
      <c r="E120" s="940"/>
      <c r="F120" s="940"/>
      <c r="G120" s="940"/>
      <c r="H120" s="940"/>
      <c r="I120" s="941"/>
      <c r="J120" s="435" t="str">
        <f>IF($A120&gt;0,(VLOOKUP($A120,TablaInsumos,5,FALSE)),"")</f>
        <v>KG</v>
      </c>
      <c r="K120" s="436">
        <v>375</v>
      </c>
      <c r="L120" s="1134">
        <f>IF($A120&gt;0,(VLOOKUP($A120,TablaInsumos,7,FALSE)),"")</f>
        <v>1164</v>
      </c>
      <c r="M120" s="941"/>
      <c r="N120" s="430">
        <f t="shared" si="5"/>
        <v>436500</v>
      </c>
      <c r="O120" s="431"/>
      <c r="P120" s="1"/>
      <c r="Q120" s="1"/>
      <c r="R120" s="1"/>
      <c r="S120" s="1"/>
      <c r="T120" s="1"/>
      <c r="U120" s="1"/>
      <c r="V120" s="1"/>
      <c r="W120" s="1"/>
      <c r="X120" s="1"/>
      <c r="Y120" s="1"/>
      <c r="Z120" s="1"/>
    </row>
    <row r="121" spans="1:26" ht="13.5" customHeight="1">
      <c r="A121" s="395"/>
      <c r="B121" s="399"/>
      <c r="C121" s="1128"/>
      <c r="D121" s="940"/>
      <c r="E121" s="940"/>
      <c r="F121" s="940"/>
      <c r="G121" s="940"/>
      <c r="H121" s="940"/>
      <c r="I121" s="941"/>
      <c r="J121" s="435" t="str">
        <f>IF($A121&gt;0,(VLOOKUP($A121,TablaInsumos,5,FALSE)),"")</f>
        <v/>
      </c>
      <c r="K121" s="436"/>
      <c r="L121" s="1134" t="str">
        <f>IF($A121&gt;0,(VLOOKUP($A121,TablaInsumos,7,FALSE)),"")</f>
        <v/>
      </c>
      <c r="M121" s="941"/>
      <c r="N121" s="430" t="str">
        <f t="shared" si="5"/>
        <v/>
      </c>
      <c r="O121" s="431"/>
      <c r="P121" s="1"/>
      <c r="Q121" s="1"/>
      <c r="R121" s="1"/>
      <c r="S121" s="1"/>
      <c r="T121" s="1"/>
      <c r="U121" s="1"/>
      <c r="V121" s="1"/>
      <c r="W121" s="1"/>
      <c r="X121" s="1"/>
      <c r="Y121" s="1"/>
      <c r="Z121" s="1"/>
    </row>
    <row r="122" spans="1:26" ht="13.5" customHeight="1">
      <c r="A122" s="395"/>
      <c r="B122" s="399"/>
      <c r="C122" s="1128"/>
      <c r="D122" s="940"/>
      <c r="E122" s="940"/>
      <c r="F122" s="940"/>
      <c r="G122" s="940"/>
      <c r="H122" s="940"/>
      <c r="I122" s="941"/>
      <c r="J122" s="435" t="str">
        <f>IF($A122&gt;0,(VLOOKUP($A122,TablaInsumos,5,FALSE)),"")</f>
        <v/>
      </c>
      <c r="K122" s="436"/>
      <c r="L122" s="1134" t="str">
        <f>IF($A122&gt;0,(VLOOKUP($A122,TablaInsumos,7,FALSE)),"")</f>
        <v/>
      </c>
      <c r="M122" s="941"/>
      <c r="N122" s="430" t="str">
        <f t="shared" si="5"/>
        <v/>
      </c>
      <c r="O122" s="431"/>
      <c r="P122" s="1"/>
      <c r="Q122" s="1"/>
      <c r="R122" s="1"/>
      <c r="S122" s="1"/>
      <c r="T122" s="1"/>
      <c r="U122" s="1"/>
      <c r="V122" s="1"/>
      <c r="W122" s="1"/>
      <c r="X122" s="1"/>
      <c r="Y122" s="1"/>
      <c r="Z122" s="1"/>
    </row>
    <row r="123" spans="1:26" ht="13.5" customHeight="1">
      <c r="A123" s="395"/>
      <c r="B123" s="399"/>
      <c r="C123" s="1127" t="s">
        <v>1202</v>
      </c>
      <c r="D123" s="965"/>
      <c r="E123" s="965"/>
      <c r="F123" s="965"/>
      <c r="G123" s="965"/>
      <c r="H123" s="965"/>
      <c r="I123" s="965"/>
      <c r="J123" s="965"/>
      <c r="K123" s="965"/>
      <c r="L123" s="965"/>
      <c r="M123" s="966"/>
      <c r="N123" s="433">
        <f>+SUM(N118:N122)</f>
        <v>545664.24</v>
      </c>
      <c r="O123" s="431"/>
      <c r="P123" s="1"/>
      <c r="Q123" s="1"/>
      <c r="R123" s="1"/>
      <c r="S123" s="1"/>
      <c r="T123" s="1"/>
      <c r="U123" s="1"/>
      <c r="V123" s="1"/>
      <c r="W123" s="1"/>
      <c r="X123" s="1"/>
      <c r="Y123" s="1"/>
      <c r="Z123" s="1"/>
    </row>
    <row r="124" spans="1:26" ht="13.5" customHeight="1">
      <c r="A124" s="395"/>
      <c r="B124" s="399"/>
      <c r="C124" s="1129" t="s">
        <v>1208</v>
      </c>
      <c r="D124" s="926"/>
      <c r="E124" s="926"/>
      <c r="F124" s="926"/>
      <c r="G124" s="926"/>
      <c r="H124" s="926"/>
      <c r="I124" s="926"/>
      <c r="J124" s="926"/>
      <c r="K124" s="926"/>
      <c r="L124" s="926"/>
      <c r="M124" s="926"/>
      <c r="N124" s="927"/>
      <c r="O124" s="426"/>
      <c r="P124" s="1"/>
      <c r="Q124" s="1"/>
      <c r="R124" s="1"/>
      <c r="S124" s="1"/>
      <c r="T124" s="1"/>
      <c r="U124" s="1"/>
      <c r="V124" s="1"/>
      <c r="W124" s="1"/>
      <c r="X124" s="1"/>
      <c r="Y124" s="1"/>
      <c r="Z124" s="1"/>
    </row>
    <row r="125" spans="1:26" ht="13.5" customHeight="1">
      <c r="A125" s="395"/>
      <c r="B125" s="399"/>
      <c r="C125" s="920"/>
      <c r="D125" s="922"/>
      <c r="E125" s="922"/>
      <c r="F125" s="922"/>
      <c r="G125" s="922"/>
      <c r="H125" s="922"/>
      <c r="I125" s="922"/>
      <c r="J125" s="922"/>
      <c r="K125" s="922"/>
      <c r="L125" s="922"/>
      <c r="M125" s="922"/>
      <c r="N125" s="924"/>
      <c r="O125" s="426"/>
      <c r="P125" s="1"/>
      <c r="Q125" s="1"/>
      <c r="R125" s="1"/>
      <c r="S125" s="1"/>
      <c r="T125" s="1"/>
      <c r="U125" s="1"/>
      <c r="V125" s="1"/>
      <c r="W125" s="1"/>
      <c r="X125" s="1"/>
      <c r="Y125" s="1"/>
      <c r="Z125" s="1"/>
    </row>
    <row r="126" spans="1:26" ht="13.5" customHeight="1">
      <c r="A126" s="395"/>
      <c r="B126" s="399"/>
      <c r="C126" s="929"/>
      <c r="D126" s="936"/>
      <c r="E126" s="936"/>
      <c r="F126" s="936"/>
      <c r="G126" s="936"/>
      <c r="H126" s="936"/>
      <c r="I126" s="936"/>
      <c r="J126" s="936"/>
      <c r="K126" s="936"/>
      <c r="L126" s="936"/>
      <c r="M126" s="936"/>
      <c r="N126" s="938"/>
      <c r="O126" s="426"/>
      <c r="P126" s="1"/>
      <c r="Q126" s="1"/>
      <c r="R126" s="1"/>
      <c r="S126" s="1"/>
      <c r="T126" s="1"/>
      <c r="U126" s="1"/>
      <c r="V126" s="1"/>
      <c r="W126" s="1"/>
      <c r="X126" s="1"/>
      <c r="Y126" s="1"/>
      <c r="Z126" s="1"/>
    </row>
    <row r="127" spans="1:26" ht="13.5" customHeight="1">
      <c r="A127" s="395"/>
      <c r="B127" s="399"/>
      <c r="C127" s="1130" t="s">
        <v>1209</v>
      </c>
      <c r="D127" s="1131"/>
      <c r="E127" s="1131"/>
      <c r="F127" s="1131"/>
      <c r="G127" s="1131"/>
      <c r="H127" s="1132"/>
      <c r="I127" s="427" t="s">
        <v>1210</v>
      </c>
      <c r="J127" s="438" t="s">
        <v>1211</v>
      </c>
      <c r="K127" s="439" t="s">
        <v>1231</v>
      </c>
      <c r="L127" s="1135" t="s">
        <v>1213</v>
      </c>
      <c r="M127" s="1000"/>
      <c r="N127" s="428" t="s">
        <v>1200</v>
      </c>
      <c r="O127" s="419"/>
      <c r="P127" s="1"/>
      <c r="Q127" s="1"/>
      <c r="R127" s="1"/>
      <c r="S127" s="1"/>
      <c r="T127" s="1"/>
      <c r="U127" s="1"/>
      <c r="V127" s="1"/>
      <c r="W127" s="1"/>
      <c r="X127" s="1"/>
      <c r="Y127" s="1"/>
      <c r="Z127" s="1"/>
    </row>
    <row r="128" spans="1:26" ht="13.5" customHeight="1">
      <c r="A128" s="395" t="str">
        <f t="array" ref="A128">IF(C128&lt;&gt;0,INDEX(CodTransporte,MATCH(C128,Transporte,0),),)</f>
        <v>T-03</v>
      </c>
      <c r="B128" s="399"/>
      <c r="C128" s="1128" t="s">
        <v>859</v>
      </c>
      <c r="D128" s="940"/>
      <c r="E128" s="940"/>
      <c r="F128" s="940"/>
      <c r="G128" s="940"/>
      <c r="H128" s="940"/>
      <c r="I128" s="440">
        <f>+K119</f>
        <v>1.1599999999999999</v>
      </c>
      <c r="J128" s="441">
        <f>IF($A128&gt;0,(VLOOKUP($A128,TablaTransporte,6,FALSE)),"")</f>
        <v>50.849999999999994</v>
      </c>
      <c r="K128" s="442" t="str">
        <f>IF($A128&gt;0,(VLOOKUP($A128,TablaTransporte,5,FALSE)),"")</f>
        <v>M3-KM</v>
      </c>
      <c r="L128" s="1134">
        <f>IF($A128&gt;0,(VLOOKUP($A128,TablaTransporte,7,FALSE)),"")</f>
        <v>2332.3500491642089</v>
      </c>
      <c r="M128" s="941"/>
      <c r="N128" s="430">
        <f t="shared" ref="N128:N129" si="6">IF(I128&gt;0,J128*L128*I128,"")</f>
        <v>137576</v>
      </c>
      <c r="O128" s="431"/>
      <c r="P128" s="1"/>
      <c r="Q128" s="1"/>
      <c r="R128" s="1"/>
      <c r="S128" s="1"/>
      <c r="T128" s="1"/>
      <c r="U128" s="1"/>
      <c r="V128" s="1"/>
      <c r="W128" s="1"/>
      <c r="X128" s="1"/>
      <c r="Y128" s="1"/>
      <c r="Z128" s="1"/>
    </row>
    <row r="129" spans="1:26" ht="13.5" customHeight="1">
      <c r="A129" s="395" t="str">
        <f t="array" ref="A129">IF(C129&lt;&gt;0,INDEX(CodTransporte,MATCH(C129,Transporte,0),),)</f>
        <v>T-02</v>
      </c>
      <c r="B129" s="399"/>
      <c r="C129" s="1128" t="s">
        <v>857</v>
      </c>
      <c r="D129" s="940"/>
      <c r="E129" s="940"/>
      <c r="F129" s="940"/>
      <c r="G129" s="940"/>
      <c r="H129" s="940"/>
      <c r="I129" s="440">
        <f>+(K120/50)*0.035</f>
        <v>0.26250000000000001</v>
      </c>
      <c r="J129" s="441">
        <f>IF($A129&gt;0,(VLOOKUP($A129,TablaTransporte,6,FALSE)),"")</f>
        <v>50.849999999999994</v>
      </c>
      <c r="K129" s="442" t="str">
        <f>IF($A129&gt;0,(VLOOKUP($A129,TablaTransporte,5,FALSE)),"")</f>
        <v>M3-KM</v>
      </c>
      <c r="L129" s="1134">
        <f>IF($A129&gt;0,(VLOOKUP($A129,TablaTransporte,7,FALSE)),"")</f>
        <v>2332.3500491642089</v>
      </c>
      <c r="M129" s="941"/>
      <c r="N129" s="430">
        <f t="shared" si="6"/>
        <v>31132.500000000004</v>
      </c>
      <c r="O129" s="431"/>
      <c r="P129" s="1"/>
      <c r="Q129" s="1"/>
      <c r="R129" s="1"/>
      <c r="S129" s="1"/>
      <c r="T129" s="1"/>
      <c r="U129" s="1"/>
      <c r="V129" s="1"/>
      <c r="W129" s="1"/>
      <c r="X129" s="1"/>
      <c r="Y129" s="1"/>
      <c r="Z129" s="1"/>
    </row>
    <row r="130" spans="1:26" ht="13.5" customHeight="1">
      <c r="A130" s="395"/>
      <c r="B130" s="399"/>
      <c r="C130" s="1127" t="s">
        <v>1202</v>
      </c>
      <c r="D130" s="965"/>
      <c r="E130" s="965"/>
      <c r="F130" s="965"/>
      <c r="G130" s="965"/>
      <c r="H130" s="965"/>
      <c r="I130" s="965"/>
      <c r="J130" s="965"/>
      <c r="K130" s="965"/>
      <c r="L130" s="965"/>
      <c r="M130" s="966"/>
      <c r="N130" s="433">
        <f>+SUM(N128:N129)</f>
        <v>168708.5</v>
      </c>
      <c r="O130" s="431"/>
      <c r="P130" s="1"/>
      <c r="Q130" s="1"/>
      <c r="R130" s="1"/>
      <c r="S130" s="1"/>
      <c r="T130" s="1"/>
      <c r="U130" s="1"/>
      <c r="V130" s="1"/>
      <c r="W130" s="1"/>
      <c r="X130" s="1"/>
      <c r="Y130" s="1"/>
      <c r="Z130" s="1"/>
    </row>
    <row r="131" spans="1:26" ht="13.5" customHeight="1">
      <c r="A131" s="395"/>
      <c r="B131" s="399"/>
      <c r="C131" s="1129" t="s">
        <v>1214</v>
      </c>
      <c r="D131" s="926"/>
      <c r="E131" s="926"/>
      <c r="F131" s="926"/>
      <c r="G131" s="926"/>
      <c r="H131" s="926"/>
      <c r="I131" s="926"/>
      <c r="J131" s="926"/>
      <c r="K131" s="926"/>
      <c r="L131" s="926"/>
      <c r="M131" s="926"/>
      <c r="N131" s="927"/>
      <c r="O131" s="426"/>
      <c r="P131" s="1"/>
      <c r="Q131" s="1"/>
      <c r="R131" s="1"/>
      <c r="S131" s="1"/>
      <c r="T131" s="1"/>
      <c r="U131" s="1"/>
      <c r="V131" s="1"/>
      <c r="W131" s="1"/>
      <c r="X131" s="1"/>
      <c r="Y131" s="1"/>
      <c r="Z131" s="1"/>
    </row>
    <row r="132" spans="1:26" ht="13.5" customHeight="1">
      <c r="A132" s="395"/>
      <c r="B132" s="399"/>
      <c r="C132" s="920"/>
      <c r="D132" s="922"/>
      <c r="E132" s="922"/>
      <c r="F132" s="922"/>
      <c r="G132" s="922"/>
      <c r="H132" s="922"/>
      <c r="I132" s="922"/>
      <c r="J132" s="922"/>
      <c r="K132" s="922"/>
      <c r="L132" s="922"/>
      <c r="M132" s="922"/>
      <c r="N132" s="924"/>
      <c r="O132" s="426"/>
      <c r="P132" s="1"/>
      <c r="Q132" s="1"/>
      <c r="R132" s="1"/>
      <c r="S132" s="1"/>
      <c r="T132" s="1"/>
      <c r="U132" s="1"/>
      <c r="V132" s="1"/>
      <c r="W132" s="1"/>
      <c r="X132" s="1"/>
      <c r="Y132" s="1"/>
      <c r="Z132" s="1"/>
    </row>
    <row r="133" spans="1:26" ht="13.5" customHeight="1">
      <c r="A133" s="395"/>
      <c r="B133" s="399"/>
      <c r="C133" s="929"/>
      <c r="D133" s="936"/>
      <c r="E133" s="936"/>
      <c r="F133" s="936"/>
      <c r="G133" s="936"/>
      <c r="H133" s="936"/>
      <c r="I133" s="936"/>
      <c r="J133" s="936"/>
      <c r="K133" s="936"/>
      <c r="L133" s="936"/>
      <c r="M133" s="936"/>
      <c r="N133" s="938"/>
      <c r="O133" s="426"/>
      <c r="P133" s="1"/>
      <c r="Q133" s="1"/>
      <c r="R133" s="1"/>
      <c r="S133" s="1"/>
      <c r="T133" s="1"/>
      <c r="U133" s="1"/>
      <c r="V133" s="1"/>
      <c r="W133" s="1"/>
      <c r="X133" s="1"/>
      <c r="Y133" s="1"/>
      <c r="Z133" s="1"/>
    </row>
    <row r="134" spans="1:26" ht="13.5" customHeight="1">
      <c r="A134" s="395"/>
      <c r="B134" s="399"/>
      <c r="C134" s="1130" t="s">
        <v>1215</v>
      </c>
      <c r="D134" s="1131"/>
      <c r="E134" s="1131"/>
      <c r="F134" s="1131"/>
      <c r="G134" s="1131"/>
      <c r="H134" s="1132"/>
      <c r="I134" s="427" t="s">
        <v>1216</v>
      </c>
      <c r="J134" s="443" t="s">
        <v>1217</v>
      </c>
      <c r="K134" s="444" t="s">
        <v>1218</v>
      </c>
      <c r="L134" s="1133" t="s">
        <v>1199</v>
      </c>
      <c r="M134" s="1000"/>
      <c r="N134" s="445" t="s">
        <v>1200</v>
      </c>
      <c r="O134" s="446"/>
      <c r="P134" s="1"/>
      <c r="Q134" s="1"/>
      <c r="R134" s="1"/>
      <c r="S134" s="1"/>
      <c r="T134" s="1"/>
      <c r="U134" s="1"/>
      <c r="V134" s="1"/>
      <c r="W134" s="1"/>
      <c r="X134" s="1"/>
      <c r="Y134" s="1"/>
      <c r="Z134" s="1"/>
    </row>
    <row r="135" spans="1:26" ht="13.5" customHeight="1">
      <c r="A135" s="395" t="str">
        <f t="array" ref="A135">IF(C135&lt;&gt;0,INDEX(CodMO,MATCH(C135,MO,0),),)</f>
        <v>M.O-05</v>
      </c>
      <c r="B135" s="399"/>
      <c r="C135" s="1128" t="s">
        <v>139</v>
      </c>
      <c r="D135" s="940"/>
      <c r="E135" s="940"/>
      <c r="F135" s="940"/>
      <c r="G135" s="940"/>
      <c r="H135" s="940"/>
      <c r="I135" s="447">
        <f>IF($A135&gt;0,(VLOOKUP($A135,TablaMO,8,FALSE)),"")</f>
        <v>125030.16666666667</v>
      </c>
      <c r="J135" s="448">
        <f>IF($A135&gt;0,(VLOOKUP($A135,TablaMO,10,FALSE)),"")</f>
        <v>0.67071666666666663</v>
      </c>
      <c r="K135" s="447">
        <f>IF($A135&gt;0,(VLOOKUP($A135,TablaMO,11,FALSE)),"")</f>
        <v>208890</v>
      </c>
      <c r="L135" s="1146">
        <v>8</v>
      </c>
      <c r="M135" s="941"/>
      <c r="N135" s="430">
        <f t="shared" ref="N135:N139" si="7">IF(L135&gt;0,K135/L135,"")</f>
        <v>26111.25</v>
      </c>
      <c r="O135" s="449"/>
      <c r="P135" s="1"/>
      <c r="Q135" s="1"/>
      <c r="R135" s="1"/>
      <c r="S135" s="1"/>
      <c r="T135" s="1"/>
      <c r="U135" s="1"/>
      <c r="V135" s="1"/>
      <c r="W135" s="1"/>
      <c r="X135" s="1"/>
      <c r="Y135" s="1"/>
      <c r="Z135" s="1"/>
    </row>
    <row r="136" spans="1:26" ht="13.5" customHeight="1">
      <c r="A136" s="395" t="str">
        <f t="array" ref="A136">IF(C136&lt;&gt;0,INDEX(CodMO,MATCH(C136,MO,0),),)</f>
        <v>M.O-01</v>
      </c>
      <c r="B136" s="399"/>
      <c r="C136" s="1128" t="s">
        <v>130</v>
      </c>
      <c r="D136" s="940"/>
      <c r="E136" s="940"/>
      <c r="F136" s="940"/>
      <c r="G136" s="940"/>
      <c r="H136" s="940"/>
      <c r="I136" s="447">
        <f>IF($A136&gt;0,(VLOOKUP($A136,TablaMO,8,FALSE)),"")</f>
        <v>72503.016666666677</v>
      </c>
      <c r="J136" s="448">
        <f>IF($A136&gt;0,(VLOOKUP($A136,TablaMO,10,FALSE)),"")</f>
        <v>0.67071666666666663</v>
      </c>
      <c r="K136" s="447">
        <f>IF($A136&gt;0,(VLOOKUP($A136,TablaMO,11,FALSE)),"")</f>
        <v>121132</v>
      </c>
      <c r="L136" s="1146">
        <f>L135</f>
        <v>8</v>
      </c>
      <c r="M136" s="941"/>
      <c r="N136" s="430">
        <f t="shared" si="7"/>
        <v>15141.5</v>
      </c>
      <c r="O136" s="449"/>
      <c r="P136" s="1"/>
      <c r="Q136" s="1"/>
      <c r="R136" s="1"/>
      <c r="S136" s="1"/>
      <c r="T136" s="1"/>
      <c r="U136" s="1"/>
      <c r="V136" s="1"/>
      <c r="W136" s="1"/>
      <c r="X136" s="1"/>
      <c r="Y136" s="1"/>
      <c r="Z136" s="1"/>
    </row>
    <row r="137" spans="1:26" ht="13.5" customHeight="1">
      <c r="A137" s="395" t="str">
        <f t="array" ref="A137">IF(C137&lt;&gt;0,INDEX(CodMO,MATCH(C137,MO,0),),)</f>
        <v>M.O-02</v>
      </c>
      <c r="B137" s="399"/>
      <c r="C137" s="1128" t="s">
        <v>133</v>
      </c>
      <c r="D137" s="940"/>
      <c r="E137" s="940"/>
      <c r="F137" s="940"/>
      <c r="G137" s="940"/>
      <c r="H137" s="940"/>
      <c r="I137" s="447">
        <f>IF($A137&gt;0,(VLOOKUP($A137,TablaMO,8,FALSE)),"")</f>
        <v>72503.016666666677</v>
      </c>
      <c r="J137" s="448">
        <f>IF($A137&gt;0,(VLOOKUP($A137,TablaMO,10,FALSE)),"")</f>
        <v>0.67071666666666663</v>
      </c>
      <c r="K137" s="447">
        <f>IF($A137&gt;0,(VLOOKUP($A137,TablaMO,11,FALSE)),"")</f>
        <v>121132</v>
      </c>
      <c r="L137" s="1146">
        <f>L135</f>
        <v>8</v>
      </c>
      <c r="M137" s="941"/>
      <c r="N137" s="430">
        <f t="shared" si="7"/>
        <v>15141.5</v>
      </c>
      <c r="O137" s="449"/>
      <c r="P137" s="1"/>
      <c r="Q137" s="1"/>
      <c r="R137" s="1"/>
      <c r="S137" s="1"/>
      <c r="T137" s="1"/>
      <c r="U137" s="1"/>
      <c r="V137" s="1"/>
      <c r="W137" s="1"/>
      <c r="X137" s="1"/>
      <c r="Y137" s="1"/>
      <c r="Z137" s="1"/>
    </row>
    <row r="138" spans="1:26" ht="13.5" customHeight="1">
      <c r="A138" s="395">
        <f t="array" ref="A138">IF(C138&lt;&gt;0,INDEX(CodMO,MATCH(C138,MO,0),),)</f>
        <v>0</v>
      </c>
      <c r="B138" s="399"/>
      <c r="C138" s="1128"/>
      <c r="D138" s="940"/>
      <c r="E138" s="940"/>
      <c r="F138" s="940"/>
      <c r="G138" s="940"/>
      <c r="H138" s="940"/>
      <c r="I138" s="447" t="str">
        <f>IF($A138&gt;0,(VLOOKUP($A138,TablaMO,8,FALSE)),"")</f>
        <v/>
      </c>
      <c r="J138" s="448" t="str">
        <f>IF($A138&gt;0,(VLOOKUP($A138,TablaMO,10,FALSE)),"")</f>
        <v/>
      </c>
      <c r="K138" s="447" t="str">
        <f>IF($A138&gt;0,(VLOOKUP($A138,TablaMO,11,FALSE)),"")</f>
        <v/>
      </c>
      <c r="L138" s="1146"/>
      <c r="M138" s="941"/>
      <c r="N138" s="430" t="str">
        <f t="shared" si="7"/>
        <v/>
      </c>
      <c r="O138" s="449"/>
      <c r="P138" s="1"/>
      <c r="Q138" s="1"/>
      <c r="R138" s="1"/>
      <c r="S138" s="1"/>
      <c r="T138" s="1"/>
      <c r="U138" s="1"/>
      <c r="V138" s="1"/>
      <c r="W138" s="1"/>
      <c r="X138" s="1"/>
      <c r="Y138" s="1"/>
      <c r="Z138" s="1"/>
    </row>
    <row r="139" spans="1:26" ht="13.5" customHeight="1">
      <c r="A139" s="395">
        <f t="array" ref="A139">IF(C139&lt;&gt;0,INDEX(CodMO,MATCH(C139,MO,0),),)</f>
        <v>0</v>
      </c>
      <c r="B139" s="399"/>
      <c r="C139" s="1128"/>
      <c r="D139" s="940"/>
      <c r="E139" s="940"/>
      <c r="F139" s="940"/>
      <c r="G139" s="940"/>
      <c r="H139" s="940"/>
      <c r="I139" s="447" t="str">
        <f>IF($A139&gt;0,(VLOOKUP($A139,TablaMO,8,FALSE)),"")</f>
        <v/>
      </c>
      <c r="J139" s="448" t="str">
        <f>IF($A139&gt;0,(VLOOKUP($A139,TablaMO,10,FALSE)),"")</f>
        <v/>
      </c>
      <c r="K139" s="447" t="str">
        <f>IF($A139&gt;0,(VLOOKUP($A139,TablaMO,11,FALSE)),"")</f>
        <v/>
      </c>
      <c r="L139" s="1146"/>
      <c r="M139" s="941"/>
      <c r="N139" s="430" t="str">
        <f t="shared" si="7"/>
        <v/>
      </c>
      <c r="O139" s="449"/>
      <c r="P139" s="1"/>
      <c r="Q139" s="1"/>
      <c r="R139" s="1"/>
      <c r="S139" s="1"/>
      <c r="T139" s="1"/>
      <c r="U139" s="1"/>
      <c r="V139" s="1"/>
      <c r="W139" s="1"/>
      <c r="X139" s="1"/>
      <c r="Y139" s="1"/>
      <c r="Z139" s="1"/>
    </row>
    <row r="140" spans="1:26" ht="13.5" customHeight="1">
      <c r="A140" s="395"/>
      <c r="B140" s="399"/>
      <c r="C140" s="1127" t="s">
        <v>1202</v>
      </c>
      <c r="D140" s="965"/>
      <c r="E140" s="965"/>
      <c r="F140" s="965"/>
      <c r="G140" s="965"/>
      <c r="H140" s="965"/>
      <c r="I140" s="965"/>
      <c r="J140" s="965"/>
      <c r="K140" s="965"/>
      <c r="L140" s="965"/>
      <c r="M140" s="966"/>
      <c r="N140" s="433">
        <f>+SUM(N135:N139)</f>
        <v>56394.25</v>
      </c>
      <c r="O140" s="431"/>
      <c r="P140" s="1"/>
      <c r="Q140" s="1"/>
      <c r="R140" s="1"/>
      <c r="S140" s="1"/>
      <c r="T140" s="1"/>
      <c r="U140" s="1"/>
      <c r="V140" s="1"/>
      <c r="W140" s="1"/>
      <c r="X140" s="1"/>
      <c r="Y140" s="1"/>
      <c r="Z140" s="1"/>
    </row>
    <row r="141" spans="1:26" ht="13.5" customHeight="1">
      <c r="A141" s="395"/>
      <c r="B141" s="399"/>
      <c r="C141" s="418"/>
      <c r="D141" s="39"/>
      <c r="E141" s="39"/>
      <c r="F141" s="39"/>
      <c r="G141" s="39"/>
      <c r="H141" s="39"/>
      <c r="I141" s="39"/>
      <c r="J141" s="39"/>
      <c r="K141" s="39"/>
      <c r="L141" s="39"/>
      <c r="M141" s="39"/>
      <c r="N141" s="40"/>
      <c r="O141" s="402"/>
      <c r="P141" s="1"/>
      <c r="Q141" s="1"/>
      <c r="R141" s="1"/>
      <c r="S141" s="1"/>
      <c r="T141" s="1"/>
      <c r="U141" s="1"/>
      <c r="V141" s="1"/>
      <c r="W141" s="1"/>
      <c r="X141" s="1"/>
      <c r="Y141" s="1"/>
      <c r="Z141" s="1"/>
    </row>
    <row r="142" spans="1:26" ht="13.5" customHeight="1">
      <c r="A142" s="395"/>
      <c r="B142" s="399"/>
      <c r="C142" s="1147" t="s">
        <v>1219</v>
      </c>
      <c r="D142" s="965"/>
      <c r="E142" s="965"/>
      <c r="F142" s="965"/>
      <c r="G142" s="965"/>
      <c r="H142" s="965"/>
      <c r="I142" s="965"/>
      <c r="J142" s="965"/>
      <c r="K142" s="965"/>
      <c r="L142" s="965"/>
      <c r="M142" s="966"/>
      <c r="N142" s="450">
        <f>+SUM(N140,N130,N123,N113)</f>
        <v>790240.16500000004</v>
      </c>
      <c r="O142" s="451"/>
      <c r="P142" s="1"/>
      <c r="Q142" s="1"/>
      <c r="R142" s="1"/>
      <c r="S142" s="1"/>
      <c r="T142" s="1"/>
      <c r="U142" s="1"/>
      <c r="V142" s="1"/>
      <c r="W142" s="1"/>
      <c r="X142" s="1"/>
      <c r="Y142" s="1"/>
      <c r="Z142" s="1"/>
    </row>
    <row r="143" spans="1:26" ht="13.5" customHeight="1">
      <c r="A143" s="395"/>
      <c r="B143" s="399"/>
      <c r="C143" s="1129" t="s">
        <v>1220</v>
      </c>
      <c r="D143" s="926"/>
      <c r="E143" s="926"/>
      <c r="F143" s="926"/>
      <c r="G143" s="926"/>
      <c r="H143" s="926"/>
      <c r="I143" s="926"/>
      <c r="J143" s="926"/>
      <c r="K143" s="926"/>
      <c r="L143" s="926"/>
      <c r="M143" s="926"/>
      <c r="N143" s="927"/>
      <c r="O143" s="426"/>
      <c r="P143" s="1"/>
      <c r="Q143" s="1"/>
      <c r="R143" s="1"/>
      <c r="S143" s="1"/>
      <c r="T143" s="1"/>
      <c r="U143" s="1"/>
      <c r="V143" s="1"/>
      <c r="W143" s="1"/>
      <c r="X143" s="1"/>
      <c r="Y143" s="1"/>
      <c r="Z143" s="1"/>
    </row>
    <row r="144" spans="1:26" ht="13.5" customHeight="1">
      <c r="A144" s="395"/>
      <c r="B144" s="399"/>
      <c r="C144" s="920"/>
      <c r="D144" s="922"/>
      <c r="E144" s="922"/>
      <c r="F144" s="922"/>
      <c r="G144" s="922"/>
      <c r="H144" s="922"/>
      <c r="I144" s="922"/>
      <c r="J144" s="922"/>
      <c r="K144" s="922"/>
      <c r="L144" s="922"/>
      <c r="M144" s="922"/>
      <c r="N144" s="924"/>
      <c r="O144" s="426"/>
      <c r="P144" s="1"/>
      <c r="Q144" s="1"/>
      <c r="R144" s="1"/>
      <c r="S144" s="1"/>
      <c r="T144" s="1"/>
      <c r="U144" s="1"/>
      <c r="V144" s="1"/>
      <c r="W144" s="1"/>
      <c r="X144" s="1"/>
      <c r="Y144" s="1"/>
      <c r="Z144" s="1"/>
    </row>
    <row r="145" spans="1:26" ht="13.5" customHeight="1">
      <c r="A145" s="1"/>
      <c r="B145" s="399"/>
      <c r="C145" s="929"/>
      <c r="D145" s="936"/>
      <c r="E145" s="936"/>
      <c r="F145" s="936"/>
      <c r="G145" s="936"/>
      <c r="H145" s="936"/>
      <c r="I145" s="936"/>
      <c r="J145" s="936"/>
      <c r="K145" s="936"/>
      <c r="L145" s="936"/>
      <c r="M145" s="936"/>
      <c r="N145" s="938"/>
      <c r="O145" s="426"/>
      <c r="P145" s="1"/>
      <c r="Q145" s="1"/>
      <c r="R145" s="1"/>
      <c r="S145" s="1"/>
      <c r="T145" s="1"/>
      <c r="U145" s="1"/>
      <c r="V145" s="1"/>
      <c r="W145" s="1"/>
      <c r="X145" s="1"/>
      <c r="Y145" s="1"/>
      <c r="Z145" s="1"/>
    </row>
    <row r="146" spans="1:26" ht="13.5" customHeight="1">
      <c r="A146" s="1"/>
      <c r="B146" s="399"/>
      <c r="C146" s="1130" t="s">
        <v>1221</v>
      </c>
      <c r="D146" s="1131"/>
      <c r="E146" s="1131"/>
      <c r="F146" s="1131"/>
      <c r="G146" s="1131"/>
      <c r="H146" s="1132"/>
      <c r="I146" s="438"/>
      <c r="J146" s="438"/>
      <c r="K146" s="438"/>
      <c r="L146" s="1133" t="s">
        <v>1222</v>
      </c>
      <c r="M146" s="1000"/>
      <c r="N146" s="445" t="s">
        <v>1223</v>
      </c>
      <c r="O146" s="446"/>
      <c r="P146" s="1"/>
      <c r="Q146" s="1"/>
      <c r="R146" s="1"/>
      <c r="S146" s="1"/>
      <c r="T146" s="1"/>
      <c r="U146" s="1"/>
      <c r="V146" s="1"/>
      <c r="W146" s="1"/>
      <c r="X146" s="1"/>
      <c r="Y146" s="1"/>
      <c r="Z146" s="1"/>
    </row>
    <row r="147" spans="1:26" ht="13.5" customHeight="1">
      <c r="A147" s="1"/>
      <c r="B147" s="399"/>
      <c r="C147" s="1128" t="s">
        <v>19</v>
      </c>
      <c r="D147" s="940"/>
      <c r="E147" s="940"/>
      <c r="F147" s="940"/>
      <c r="G147" s="940"/>
      <c r="H147" s="940"/>
      <c r="I147" s="452"/>
      <c r="J147" s="452"/>
      <c r="K147" s="452"/>
      <c r="L147" s="1148">
        <f>+Datos!$E$18</f>
        <v>0.25</v>
      </c>
      <c r="M147" s="941"/>
      <c r="N147" s="430">
        <f>+L147*N142</f>
        <v>197560.04125000001</v>
      </c>
      <c r="O147" s="453"/>
      <c r="P147" s="1"/>
      <c r="Q147" s="1"/>
      <c r="R147" s="1"/>
      <c r="S147" s="1"/>
      <c r="T147" s="1"/>
      <c r="U147" s="1"/>
      <c r="V147" s="1"/>
      <c r="W147" s="1"/>
      <c r="X147" s="1"/>
      <c r="Y147" s="1"/>
      <c r="Z147" s="1"/>
    </row>
    <row r="148" spans="1:26" ht="13.5" customHeight="1">
      <c r="A148" s="1"/>
      <c r="B148" s="399"/>
      <c r="C148" s="454" t="s">
        <v>20</v>
      </c>
      <c r="D148" s="455"/>
      <c r="E148" s="455"/>
      <c r="F148" s="455"/>
      <c r="G148" s="455"/>
      <c r="H148" s="455"/>
      <c r="I148" s="452"/>
      <c r="J148" s="452"/>
      <c r="K148" s="452"/>
      <c r="L148" s="1148">
        <f>+Datos!$E$19</f>
        <v>0.01</v>
      </c>
      <c r="M148" s="941"/>
      <c r="N148" s="430">
        <f>+L148*N142</f>
        <v>7902.4016500000007</v>
      </c>
      <c r="O148" s="453"/>
      <c r="P148" s="1"/>
      <c r="Q148" s="1"/>
      <c r="R148" s="1"/>
      <c r="S148" s="1"/>
      <c r="T148" s="1"/>
      <c r="U148" s="1"/>
      <c r="V148" s="1"/>
      <c r="W148" s="1"/>
      <c r="X148" s="1"/>
      <c r="Y148" s="1"/>
      <c r="Z148" s="1"/>
    </row>
    <row r="149" spans="1:26" ht="13.5" customHeight="1">
      <c r="A149" s="1"/>
      <c r="B149" s="399"/>
      <c r="C149" s="456" t="s">
        <v>21</v>
      </c>
      <c r="D149" s="457"/>
      <c r="E149" s="457"/>
      <c r="F149" s="457"/>
      <c r="G149" s="457"/>
      <c r="H149" s="457"/>
      <c r="I149" s="458"/>
      <c r="J149" s="458"/>
      <c r="K149" s="458"/>
      <c r="L149" s="1148">
        <f>+Datos!$E$20</f>
        <v>0.05</v>
      </c>
      <c r="M149" s="941"/>
      <c r="N149" s="430">
        <f>+L149*N142</f>
        <v>39512.008250000006</v>
      </c>
      <c r="O149" s="453"/>
      <c r="P149" s="1"/>
      <c r="Q149" s="1"/>
      <c r="R149" s="1"/>
      <c r="S149" s="1"/>
      <c r="T149" s="1"/>
      <c r="U149" s="1"/>
      <c r="V149" s="1"/>
      <c r="W149" s="1"/>
      <c r="X149" s="1"/>
      <c r="Y149" s="1"/>
      <c r="Z149" s="1"/>
    </row>
    <row r="150" spans="1:26" ht="13.5" customHeight="1">
      <c r="A150" s="1"/>
      <c r="B150" s="399"/>
      <c r="C150" s="1127" t="s">
        <v>1202</v>
      </c>
      <c r="D150" s="965"/>
      <c r="E150" s="965"/>
      <c r="F150" s="965"/>
      <c r="G150" s="965"/>
      <c r="H150" s="965"/>
      <c r="I150" s="965"/>
      <c r="J150" s="965"/>
      <c r="K150" s="965"/>
      <c r="L150" s="965"/>
      <c r="M150" s="966"/>
      <c r="N150" s="433">
        <f>+SUM(N147:N149)</f>
        <v>244974.45115000004</v>
      </c>
      <c r="O150" s="453"/>
      <c r="P150" s="1"/>
      <c r="Q150" s="1"/>
      <c r="R150" s="1"/>
      <c r="S150" s="1"/>
      <c r="T150" s="1"/>
      <c r="U150" s="1"/>
      <c r="V150" s="1"/>
      <c r="W150" s="1"/>
      <c r="X150" s="1"/>
      <c r="Y150" s="1"/>
      <c r="Z150" s="1"/>
    </row>
    <row r="151" spans="1:26" ht="13.5" customHeight="1">
      <c r="A151" s="1"/>
      <c r="B151" s="399"/>
      <c r="C151" s="418"/>
      <c r="D151" s="39"/>
      <c r="E151" s="39"/>
      <c r="F151" s="39"/>
      <c r="G151" s="39"/>
      <c r="H151" s="39"/>
      <c r="I151" s="39"/>
      <c r="J151" s="39"/>
      <c r="K151" s="39"/>
      <c r="L151" s="39"/>
      <c r="M151" s="39"/>
      <c r="N151" s="40"/>
      <c r="O151" s="402"/>
      <c r="P151" s="1"/>
      <c r="Q151" s="1"/>
      <c r="R151" s="1"/>
      <c r="S151" s="1"/>
      <c r="T151" s="1"/>
      <c r="U151" s="1"/>
      <c r="V151" s="1"/>
      <c r="W151" s="1"/>
      <c r="X151" s="1"/>
      <c r="Y151" s="1"/>
      <c r="Z151" s="1"/>
    </row>
    <row r="152" spans="1:26" ht="13.5" customHeight="1">
      <c r="A152" s="1"/>
      <c r="B152" s="399"/>
      <c r="C152" s="1147" t="s">
        <v>1224</v>
      </c>
      <c r="D152" s="965"/>
      <c r="E152" s="965"/>
      <c r="F152" s="965"/>
      <c r="G152" s="965"/>
      <c r="H152" s="965"/>
      <c r="I152" s="965"/>
      <c r="J152" s="965"/>
      <c r="K152" s="965"/>
      <c r="L152" s="965"/>
      <c r="M152" s="966"/>
      <c r="N152" s="459">
        <f>+ROUND(SUM(N150,N142),0)</f>
        <v>1035215</v>
      </c>
      <c r="O152" s="453"/>
      <c r="P152" s="1"/>
      <c r="Q152" s="1"/>
      <c r="R152" s="1"/>
      <c r="S152" s="1"/>
      <c r="T152" s="1"/>
      <c r="U152" s="1"/>
      <c r="V152" s="1"/>
      <c r="W152" s="1"/>
      <c r="X152" s="1"/>
      <c r="Y152" s="1"/>
      <c r="Z152" s="1"/>
    </row>
    <row r="153" spans="1:26" ht="13.5" customHeight="1">
      <c r="A153" s="1"/>
      <c r="B153" s="399"/>
      <c r="C153" s="460"/>
      <c r="D153" s="461"/>
      <c r="E153" s="461"/>
      <c r="F153" s="461"/>
      <c r="G153" s="461"/>
      <c r="H153" s="461"/>
      <c r="I153" s="461"/>
      <c r="J153" s="461"/>
      <c r="K153" s="461"/>
      <c r="L153" s="461"/>
      <c r="M153" s="461"/>
      <c r="N153" s="462"/>
      <c r="O153" s="402"/>
      <c r="P153" s="1"/>
      <c r="Q153" s="1"/>
      <c r="R153" s="1"/>
      <c r="S153" s="1"/>
      <c r="T153" s="1"/>
      <c r="U153" s="1"/>
      <c r="V153" s="1"/>
      <c r="W153" s="1"/>
      <c r="X153" s="1"/>
      <c r="Y153" s="1"/>
      <c r="Z153" s="1"/>
    </row>
    <row r="154" spans="1:26" ht="13.5" customHeight="1">
      <c r="A154" s="1"/>
      <c r="B154" s="399"/>
      <c r="C154" s="418"/>
      <c r="D154" s="39"/>
      <c r="E154" s="39"/>
      <c r="F154" s="39"/>
      <c r="G154" s="39"/>
      <c r="H154" s="39"/>
      <c r="I154" s="39"/>
      <c r="J154" s="39"/>
      <c r="K154" s="39"/>
      <c r="L154" s="39"/>
      <c r="M154" s="39"/>
      <c r="N154" s="40"/>
      <c r="O154" s="402"/>
      <c r="P154" s="1"/>
      <c r="Q154" s="1"/>
      <c r="R154" s="1"/>
      <c r="S154" s="1"/>
      <c r="T154" s="1"/>
      <c r="U154" s="1"/>
      <c r="V154" s="1"/>
      <c r="W154" s="1"/>
      <c r="X154" s="1"/>
      <c r="Y154" s="1"/>
      <c r="Z154" s="1"/>
    </row>
    <row r="155" spans="1:26" ht="13.5" customHeight="1">
      <c r="A155" s="1"/>
      <c r="B155" s="399"/>
      <c r="C155" s="418"/>
      <c r="D155" s="39"/>
      <c r="E155" s="39"/>
      <c r="F155" s="39"/>
      <c r="G155" s="39"/>
      <c r="H155" s="39"/>
      <c r="I155" s="39"/>
      <c r="J155" s="39"/>
      <c r="K155" s="39"/>
      <c r="L155" s="39"/>
      <c r="M155" s="39"/>
      <c r="N155" s="40"/>
      <c r="O155" s="402"/>
      <c r="P155" s="1"/>
      <c r="Q155" s="1"/>
      <c r="R155" s="1"/>
      <c r="S155" s="1"/>
      <c r="T155" s="1"/>
      <c r="U155" s="1"/>
      <c r="V155" s="1"/>
      <c r="W155" s="1"/>
      <c r="X155" s="1"/>
      <c r="Y155" s="1"/>
      <c r="Z155" s="1"/>
    </row>
    <row r="156" spans="1:26" ht="13.5" customHeight="1">
      <c r="A156" s="1"/>
      <c r="B156" s="399"/>
      <c r="C156" s="418"/>
      <c r="D156" s="463"/>
      <c r="E156" s="463"/>
      <c r="F156" s="463"/>
      <c r="G156" s="184"/>
      <c r="H156" s="184"/>
      <c r="I156" s="184"/>
      <c r="J156" s="463"/>
      <c r="K156" s="463"/>
      <c r="L156" s="463"/>
      <c r="M156" s="463"/>
      <c r="N156" s="40"/>
      <c r="O156" s="402"/>
      <c r="P156" s="1"/>
      <c r="Q156" s="1"/>
      <c r="R156" s="1"/>
      <c r="S156" s="1"/>
      <c r="T156" s="1"/>
      <c r="U156" s="1"/>
      <c r="V156" s="1"/>
      <c r="W156" s="1"/>
      <c r="X156" s="1"/>
      <c r="Y156" s="1"/>
      <c r="Z156" s="1"/>
    </row>
    <row r="157" spans="1:26" ht="13.5" customHeight="1">
      <c r="A157" s="1"/>
      <c r="B157" s="399"/>
      <c r="C157" s="418"/>
      <c r="D157" s="39" t="s">
        <v>1225</v>
      </c>
      <c r="E157" s="39"/>
      <c r="F157" s="39"/>
      <c r="G157" s="184"/>
      <c r="H157" s="184"/>
      <c r="I157" s="184"/>
      <c r="J157" s="39" t="s">
        <v>1225</v>
      </c>
      <c r="K157" s="39"/>
      <c r="L157" s="39"/>
      <c r="M157" s="39"/>
      <c r="N157" s="40"/>
      <c r="O157" s="464"/>
      <c r="P157" s="1"/>
      <c r="Q157" s="1"/>
      <c r="R157" s="1"/>
      <c r="S157" s="1"/>
      <c r="T157" s="1"/>
      <c r="U157" s="1"/>
      <c r="V157" s="1"/>
      <c r="W157" s="1"/>
      <c r="X157" s="1"/>
      <c r="Y157" s="1"/>
      <c r="Z157" s="1"/>
    </row>
    <row r="158" spans="1:26" ht="13.5" customHeight="1">
      <c r="A158" s="1"/>
      <c r="B158" s="399"/>
      <c r="C158" s="418"/>
      <c r="D158" s="39" t="s">
        <v>1226</v>
      </c>
      <c r="E158" s="39"/>
      <c r="F158" s="39"/>
      <c r="G158" s="184"/>
      <c r="H158" s="184"/>
      <c r="I158" s="184"/>
      <c r="J158" s="39" t="s">
        <v>1227</v>
      </c>
      <c r="K158" s="39"/>
      <c r="L158" s="39"/>
      <c r="M158" s="39"/>
      <c r="N158" s="40"/>
      <c r="O158" s="464"/>
      <c r="P158" s="1"/>
      <c r="Q158" s="1"/>
      <c r="R158" s="1"/>
      <c r="S158" s="1"/>
      <c r="T158" s="1"/>
      <c r="U158" s="1"/>
      <c r="V158" s="1"/>
      <c r="W158" s="1"/>
      <c r="X158" s="1"/>
      <c r="Y158" s="1"/>
      <c r="Z158" s="1"/>
    </row>
    <row r="159" spans="1:26" ht="13.5" customHeight="1">
      <c r="A159" s="1"/>
      <c r="B159" s="399"/>
      <c r="C159" s="404"/>
      <c r="D159" s="39" t="s">
        <v>1228</v>
      </c>
      <c r="E159" s="42"/>
      <c r="F159" s="42"/>
      <c r="G159" s="184"/>
      <c r="H159" s="184"/>
      <c r="I159" s="184"/>
      <c r="J159" s="39" t="s">
        <v>1228</v>
      </c>
      <c r="K159" s="42"/>
      <c r="L159" s="42"/>
      <c r="M159" s="42"/>
      <c r="N159" s="43"/>
      <c r="O159" s="465"/>
      <c r="P159" s="1"/>
      <c r="Q159" s="1"/>
      <c r="R159" s="1"/>
      <c r="S159" s="1"/>
      <c r="T159" s="1"/>
      <c r="U159" s="1"/>
      <c r="V159" s="1"/>
      <c r="W159" s="1"/>
      <c r="X159" s="1"/>
      <c r="Y159" s="1"/>
      <c r="Z159" s="1"/>
    </row>
    <row r="160" spans="1:26" ht="13.5" customHeight="1">
      <c r="A160" s="1"/>
      <c r="B160" s="399"/>
      <c r="C160" s="418"/>
      <c r="D160" s="39"/>
      <c r="E160" s="39"/>
      <c r="F160" s="39"/>
      <c r="G160" s="39" t="s">
        <v>1229</v>
      </c>
      <c r="H160" s="39"/>
      <c r="I160" s="39"/>
      <c r="J160" s="39"/>
      <c r="K160" s="39"/>
      <c r="L160" s="39"/>
      <c r="M160" s="39"/>
      <c r="N160" s="40"/>
      <c r="O160" s="402"/>
      <c r="P160" s="1"/>
      <c r="Q160" s="1"/>
      <c r="R160" s="1"/>
      <c r="S160" s="1"/>
      <c r="T160" s="1"/>
      <c r="U160" s="1"/>
      <c r="V160" s="1"/>
      <c r="W160" s="1"/>
      <c r="X160" s="1"/>
      <c r="Y160" s="1"/>
      <c r="Z160" s="1"/>
    </row>
    <row r="161" spans="1:26" ht="17.25" customHeight="1">
      <c r="A161" s="1"/>
      <c r="B161" s="399"/>
      <c r="C161" s="466"/>
      <c r="D161" s="467"/>
      <c r="E161" s="467"/>
      <c r="F161" s="39"/>
      <c r="G161" s="39"/>
      <c r="H161" s="39"/>
      <c r="I161" s="39"/>
      <c r="J161" s="1149"/>
      <c r="K161" s="922"/>
      <c r="L161" s="922"/>
      <c r="M161" s="922"/>
      <c r="N161" s="924"/>
      <c r="O161" s="468"/>
      <c r="P161" s="1"/>
      <c r="Q161" s="1"/>
      <c r="R161" s="1"/>
      <c r="S161" s="1"/>
      <c r="T161" s="1"/>
      <c r="U161" s="1"/>
      <c r="V161" s="1"/>
      <c r="W161" s="1"/>
      <c r="X161" s="1"/>
      <c r="Y161" s="1"/>
      <c r="Z161" s="1"/>
    </row>
    <row r="162" spans="1:26" ht="18.75" customHeight="1">
      <c r="A162" s="1"/>
      <c r="B162" s="399"/>
      <c r="C162" s="1150"/>
      <c r="D162" s="936"/>
      <c r="E162" s="936"/>
      <c r="F162" s="416"/>
      <c r="G162" s="416"/>
      <c r="H162" s="416"/>
      <c r="I162" s="416"/>
      <c r="J162" s="936"/>
      <c r="K162" s="936"/>
      <c r="L162" s="936"/>
      <c r="M162" s="936"/>
      <c r="N162" s="938"/>
      <c r="O162" s="468"/>
      <c r="P162" s="1"/>
      <c r="Q162" s="1"/>
      <c r="R162" s="1"/>
      <c r="S162" s="1"/>
      <c r="T162" s="1"/>
      <c r="U162" s="1"/>
      <c r="V162" s="1"/>
      <c r="W162" s="1"/>
      <c r="X162" s="1"/>
      <c r="Y162" s="1"/>
      <c r="Z162" s="1"/>
    </row>
    <row r="163" spans="1:26" ht="13.5" customHeight="1">
      <c r="A163" s="1"/>
      <c r="B163" s="469"/>
      <c r="C163" s="470"/>
      <c r="D163" s="470"/>
      <c r="E163" s="470"/>
      <c r="F163" s="470"/>
      <c r="G163" s="470"/>
      <c r="H163" s="470"/>
      <c r="I163" s="470"/>
      <c r="J163" s="470"/>
      <c r="K163" s="470"/>
      <c r="L163" s="470"/>
      <c r="M163" s="470"/>
      <c r="N163" s="470"/>
      <c r="O163" s="471"/>
      <c r="P163" s="1"/>
      <c r="Q163" s="1"/>
      <c r="R163" s="1"/>
      <c r="S163" s="1"/>
      <c r="T163" s="1"/>
      <c r="U163" s="1"/>
      <c r="V163" s="1"/>
      <c r="W163" s="1"/>
      <c r="X163" s="1"/>
      <c r="Y163" s="1"/>
      <c r="Z163" s="1"/>
    </row>
    <row r="164" spans="1:26" ht="13.5" customHeight="1">
      <c r="A164" s="1"/>
      <c r="B164" s="184"/>
      <c r="C164" s="184"/>
      <c r="D164" s="184"/>
      <c r="E164" s="184"/>
      <c r="F164" s="184"/>
      <c r="G164" s="184"/>
      <c r="H164" s="184"/>
      <c r="I164" s="184"/>
      <c r="J164" s="184"/>
      <c r="K164" s="184"/>
      <c r="L164" s="184"/>
      <c r="M164" s="184"/>
      <c r="N164" s="184"/>
      <c r="O164" s="184"/>
      <c r="P164" s="1"/>
      <c r="Q164" s="1"/>
      <c r="R164" s="1"/>
      <c r="S164" s="1"/>
      <c r="T164" s="1"/>
      <c r="U164" s="1"/>
      <c r="V164" s="1"/>
      <c r="W164" s="1"/>
      <c r="X164" s="1"/>
      <c r="Y164" s="1"/>
      <c r="Z164" s="1"/>
    </row>
    <row r="165" spans="1:26" ht="13.5" customHeight="1">
      <c r="A165" s="1"/>
      <c r="B165" s="184"/>
      <c r="C165" s="184"/>
      <c r="D165" s="184"/>
      <c r="E165" s="184"/>
      <c r="F165" s="184"/>
      <c r="G165" s="184"/>
      <c r="H165" s="184"/>
      <c r="I165" s="184"/>
      <c r="J165" s="184"/>
      <c r="K165" s="184"/>
      <c r="L165" s="184"/>
      <c r="M165" s="184"/>
      <c r="N165" s="184"/>
      <c r="O165" s="184"/>
      <c r="P165" s="1"/>
      <c r="Q165" s="1"/>
      <c r="R165" s="1"/>
      <c r="S165" s="1"/>
      <c r="T165" s="1"/>
      <c r="U165" s="1"/>
      <c r="V165" s="1"/>
      <c r="W165" s="1"/>
      <c r="X165" s="1"/>
      <c r="Y165" s="1"/>
      <c r="Z165" s="1"/>
    </row>
    <row r="166" spans="1:26" ht="13.5" customHeight="1">
      <c r="A166" s="1"/>
      <c r="B166" s="396"/>
      <c r="C166" s="397"/>
      <c r="D166" s="397"/>
      <c r="E166" s="397"/>
      <c r="F166" s="397"/>
      <c r="G166" s="397"/>
      <c r="H166" s="397"/>
      <c r="I166" s="397"/>
      <c r="J166" s="397"/>
      <c r="K166" s="397"/>
      <c r="L166" s="397"/>
      <c r="M166" s="397"/>
      <c r="N166" s="397"/>
      <c r="O166" s="398"/>
      <c r="P166" s="1"/>
      <c r="Q166" s="1"/>
      <c r="R166" s="1"/>
      <c r="S166" s="1"/>
      <c r="T166" s="1"/>
      <c r="U166" s="1"/>
      <c r="V166" s="1"/>
      <c r="W166" s="1"/>
      <c r="X166" s="1"/>
      <c r="Y166" s="1"/>
      <c r="Z166" s="1"/>
    </row>
    <row r="167" spans="1:26" ht="13.5" customHeight="1">
      <c r="A167" s="1"/>
      <c r="B167" s="399"/>
      <c r="C167" s="400"/>
      <c r="D167" s="401"/>
      <c r="E167" s="400"/>
      <c r="F167" s="184"/>
      <c r="G167" s="184"/>
      <c r="H167" s="184"/>
      <c r="I167" s="184"/>
      <c r="J167" s="184"/>
      <c r="K167" s="184"/>
      <c r="L167" s="184"/>
      <c r="M167" s="184"/>
      <c r="N167" s="184"/>
      <c r="O167" s="402"/>
      <c r="P167" s="1"/>
      <c r="Q167" s="1"/>
      <c r="R167" s="1"/>
      <c r="S167" s="1"/>
      <c r="T167" s="1"/>
      <c r="U167" s="1"/>
      <c r="V167" s="1"/>
      <c r="W167" s="1"/>
      <c r="X167" s="1"/>
      <c r="Y167" s="1"/>
      <c r="Z167" s="1"/>
    </row>
    <row r="168" spans="1:26" ht="13.5" customHeight="1">
      <c r="A168" s="1"/>
      <c r="B168" s="399"/>
      <c r="C168" s="39"/>
      <c r="D168" s="39"/>
      <c r="E168" s="39"/>
      <c r="F168" s="39"/>
      <c r="G168" s="39"/>
      <c r="H168" s="39"/>
      <c r="I168" s="39"/>
      <c r="J168" s="39"/>
      <c r="K168" s="39"/>
      <c r="L168" s="39"/>
      <c r="M168" s="39"/>
      <c r="N168" s="39"/>
      <c r="O168" s="402"/>
      <c r="P168" s="1"/>
      <c r="Q168" s="1"/>
      <c r="R168" s="1"/>
      <c r="S168" s="1"/>
      <c r="T168" s="1"/>
      <c r="U168" s="1"/>
      <c r="V168" s="1"/>
      <c r="W168" s="1"/>
      <c r="X168" s="1"/>
      <c r="Y168" s="1"/>
      <c r="Z168" s="1"/>
    </row>
    <row r="169" spans="1:26" ht="13.5" customHeight="1">
      <c r="A169" s="1"/>
      <c r="B169" s="399"/>
      <c r="C169" s="1124"/>
      <c r="D169" s="927"/>
      <c r="E169" s="1014" t="str">
        <f>+Datos!$C$9</f>
        <v>CONSEJO SUPERIOR  DE  JUDICATURA– DIRECCIÓN  EJECUTIVA  SECCIONAL  DE ADMINISTRACIÓN JUDICIAL DE BUCARAMANGA</v>
      </c>
      <c r="F169" s="926"/>
      <c r="G169" s="926"/>
      <c r="H169" s="926"/>
      <c r="I169" s="926"/>
      <c r="J169" s="926"/>
      <c r="K169" s="927"/>
      <c r="L169" s="925" t="s">
        <v>1</v>
      </c>
      <c r="M169" s="931"/>
      <c r="N169" s="933">
        <f>Datos!$C$4</f>
        <v>1</v>
      </c>
      <c r="O169" s="403"/>
      <c r="P169" s="1"/>
      <c r="Q169" s="1"/>
      <c r="R169" s="1"/>
      <c r="S169" s="1"/>
      <c r="T169" s="1"/>
      <c r="U169" s="1"/>
      <c r="V169" s="1"/>
      <c r="W169" s="1"/>
      <c r="X169" s="1"/>
      <c r="Y169" s="1"/>
      <c r="Z169" s="1"/>
    </row>
    <row r="170" spans="1:26" ht="13.5" customHeight="1">
      <c r="A170" s="1"/>
      <c r="B170" s="399"/>
      <c r="C170" s="920"/>
      <c r="D170" s="924"/>
      <c r="E170" s="920"/>
      <c r="F170" s="922"/>
      <c r="G170" s="922"/>
      <c r="H170" s="922"/>
      <c r="I170" s="922"/>
      <c r="J170" s="922"/>
      <c r="K170" s="924"/>
      <c r="L170" s="920"/>
      <c r="M170" s="932"/>
      <c r="N170" s="934"/>
      <c r="O170" s="403"/>
      <c r="P170" s="1"/>
      <c r="Q170" s="1"/>
      <c r="R170" s="1"/>
      <c r="S170" s="1"/>
      <c r="T170" s="1"/>
      <c r="U170" s="1"/>
      <c r="V170" s="1"/>
      <c r="W170" s="1"/>
      <c r="X170" s="1"/>
      <c r="Y170" s="1"/>
      <c r="Z170" s="1"/>
    </row>
    <row r="171" spans="1:26" ht="13.5" customHeight="1">
      <c r="A171" s="1"/>
      <c r="B171" s="399"/>
      <c r="C171" s="920"/>
      <c r="D171" s="924"/>
      <c r="E171" s="919" t="str">
        <f>Datos!$C$13</f>
        <v xml:space="preserve">BGA - 030 - 2026 </v>
      </c>
      <c r="F171" s="922"/>
      <c r="G171" s="922"/>
      <c r="H171" s="922"/>
      <c r="I171" s="922"/>
      <c r="J171" s="922"/>
      <c r="K171" s="922"/>
      <c r="L171" s="925" t="s">
        <v>29</v>
      </c>
      <c r="M171" s="926"/>
      <c r="N171" s="927"/>
      <c r="O171" s="403"/>
      <c r="P171" s="1"/>
      <c r="Q171" s="1"/>
      <c r="R171" s="1"/>
      <c r="S171" s="1"/>
      <c r="T171" s="1"/>
      <c r="U171" s="1"/>
      <c r="V171" s="1"/>
      <c r="W171" s="1"/>
      <c r="X171" s="1"/>
      <c r="Y171" s="1"/>
      <c r="Z171" s="1"/>
    </row>
    <row r="172" spans="1:26" ht="13.5" customHeight="1">
      <c r="A172" s="1"/>
      <c r="B172" s="399"/>
      <c r="C172" s="920"/>
      <c r="D172" s="924"/>
      <c r="E172" s="405"/>
      <c r="F172" s="406"/>
      <c r="G172" s="406"/>
      <c r="H172" s="406"/>
      <c r="I172" s="406"/>
      <c r="J172" s="406"/>
      <c r="K172" s="42"/>
      <c r="L172" s="919">
        <v>1</v>
      </c>
      <c r="M172" s="921" t="s">
        <v>30</v>
      </c>
      <c r="N172" s="923">
        <v>1</v>
      </c>
      <c r="O172" s="403"/>
      <c r="P172" s="1"/>
      <c r="Q172" s="1"/>
      <c r="R172" s="1"/>
      <c r="S172" s="1"/>
      <c r="T172" s="1"/>
      <c r="U172" s="1"/>
      <c r="V172" s="1"/>
      <c r="W172" s="1"/>
      <c r="X172" s="1"/>
      <c r="Y172" s="1"/>
      <c r="Z172" s="1"/>
    </row>
    <row r="173" spans="1:26" ht="13.5" customHeight="1">
      <c r="A173" s="1"/>
      <c r="B173" s="399"/>
      <c r="C173" s="920"/>
      <c r="D173" s="924"/>
      <c r="E173"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73" s="922"/>
      <c r="G173" s="922"/>
      <c r="H173" s="922"/>
      <c r="I173" s="922"/>
      <c r="J173" s="922"/>
      <c r="K173" s="922"/>
      <c r="L173" s="920"/>
      <c r="M173" s="922"/>
      <c r="N173" s="924"/>
      <c r="O173" s="403"/>
      <c r="P173" s="1"/>
      <c r="Q173" s="1"/>
      <c r="R173" s="1"/>
      <c r="S173" s="1"/>
      <c r="T173" s="1"/>
      <c r="U173" s="1"/>
      <c r="V173" s="1"/>
      <c r="W173" s="1"/>
      <c r="X173" s="1"/>
      <c r="Y173" s="1"/>
      <c r="Z173" s="1"/>
    </row>
    <row r="174" spans="1:26" ht="13.5" customHeight="1">
      <c r="A174" s="1"/>
      <c r="B174" s="399"/>
      <c r="C174" s="920"/>
      <c r="D174" s="924"/>
      <c r="E174" s="920"/>
      <c r="F174" s="922"/>
      <c r="G174" s="922"/>
      <c r="H174" s="922"/>
      <c r="I174" s="922"/>
      <c r="J174" s="922"/>
      <c r="K174" s="922"/>
      <c r="L174" s="925" t="s">
        <v>2</v>
      </c>
      <c r="M174" s="926"/>
      <c r="N174" s="927"/>
      <c r="O174" s="403"/>
      <c r="P174" s="1"/>
      <c r="Q174" s="1"/>
      <c r="R174" s="1"/>
      <c r="S174" s="1"/>
      <c r="T174" s="1"/>
      <c r="U174" s="1"/>
      <c r="V174" s="1"/>
      <c r="W174" s="1"/>
      <c r="X174" s="1"/>
      <c r="Y174" s="1"/>
      <c r="Z174" s="1"/>
    </row>
    <row r="175" spans="1:26" ht="13.5" customHeight="1">
      <c r="A175" s="1"/>
      <c r="B175" s="399"/>
      <c r="C175" s="920"/>
      <c r="D175" s="924"/>
      <c r="E175" s="407"/>
      <c r="F175" s="216"/>
      <c r="G175" s="216"/>
      <c r="H175" s="216"/>
      <c r="I175" s="216"/>
      <c r="J175" s="216"/>
      <c r="K175" s="216"/>
      <c r="L175" s="408" t="s">
        <v>3</v>
      </c>
      <c r="M175" s="409" t="s">
        <v>4</v>
      </c>
      <c r="N175" s="410" t="s">
        <v>5</v>
      </c>
      <c r="O175" s="403"/>
      <c r="P175" s="1"/>
      <c r="Q175" s="1"/>
      <c r="R175" s="1"/>
      <c r="S175" s="1"/>
      <c r="T175" s="1"/>
      <c r="U175" s="1"/>
      <c r="V175" s="1"/>
      <c r="W175" s="1"/>
      <c r="X175" s="1"/>
      <c r="Y175" s="1"/>
      <c r="Z175" s="1"/>
    </row>
    <row r="176" spans="1:26" ht="13.5" customHeight="1">
      <c r="A176" s="1"/>
      <c r="B176" s="399"/>
      <c r="C176" s="920"/>
      <c r="D176" s="924"/>
      <c r="E176" s="1125" t="s">
        <v>1186</v>
      </c>
      <c r="F176" s="945"/>
      <c r="G176" s="945"/>
      <c r="H176" s="945"/>
      <c r="I176" s="945"/>
      <c r="J176" s="945"/>
      <c r="K176" s="945"/>
      <c r="L176" s="928">
        <f>+Datos!C87</f>
        <v>0</v>
      </c>
      <c r="M176" s="935">
        <f>+Datos!D87</f>
        <v>0</v>
      </c>
      <c r="N176" s="937">
        <f>+Datos!E87</f>
        <v>0</v>
      </c>
      <c r="O176" s="411"/>
      <c r="P176" s="1"/>
      <c r="Q176" s="1"/>
      <c r="R176" s="1"/>
      <c r="S176" s="1"/>
      <c r="T176" s="1"/>
      <c r="U176" s="1"/>
      <c r="V176" s="1"/>
      <c r="W176" s="1"/>
      <c r="X176" s="1"/>
      <c r="Y176" s="1"/>
      <c r="Z176" s="1"/>
    </row>
    <row r="177" spans="1:26" ht="13.5" customHeight="1">
      <c r="A177" s="395"/>
      <c r="B177" s="399"/>
      <c r="C177" s="929"/>
      <c r="D177" s="938"/>
      <c r="E177" s="929"/>
      <c r="F177" s="936"/>
      <c r="G177" s="936"/>
      <c r="H177" s="936"/>
      <c r="I177" s="936"/>
      <c r="J177" s="936"/>
      <c r="K177" s="936"/>
      <c r="L177" s="929"/>
      <c r="M177" s="936"/>
      <c r="N177" s="938"/>
      <c r="O177" s="403"/>
      <c r="P177" s="1"/>
      <c r="Q177" s="1"/>
      <c r="R177" s="1"/>
      <c r="S177" s="1"/>
      <c r="T177" s="1"/>
      <c r="U177" s="1"/>
      <c r="V177" s="1"/>
      <c r="W177" s="1"/>
      <c r="X177" s="1"/>
      <c r="Y177" s="1"/>
      <c r="Z177" s="1"/>
    </row>
    <row r="178" spans="1:26" ht="13.5" customHeight="1">
      <c r="A178" s="395"/>
      <c r="B178" s="399"/>
      <c r="C178" s="404"/>
      <c r="D178" s="38"/>
      <c r="E178" s="38"/>
      <c r="F178" s="38"/>
      <c r="G178" s="38"/>
      <c r="H178" s="38"/>
      <c r="I178" s="38"/>
      <c r="J178" s="38"/>
      <c r="K178" s="38"/>
      <c r="L178" s="39"/>
      <c r="M178" s="39"/>
      <c r="N178" s="40"/>
      <c r="O178" s="414"/>
      <c r="P178" s="1"/>
      <c r="Q178" s="1"/>
      <c r="R178" s="1"/>
      <c r="S178" s="1"/>
      <c r="T178" s="1"/>
      <c r="U178" s="1"/>
      <c r="V178" s="1"/>
      <c r="W178" s="1"/>
      <c r="X178" s="1"/>
      <c r="Y178" s="1"/>
      <c r="Z178" s="1"/>
    </row>
    <row r="179" spans="1:26" ht="13.5" customHeight="1">
      <c r="A179" s="395"/>
      <c r="B179" s="399"/>
      <c r="C179" s="412" t="s">
        <v>1187</v>
      </c>
      <c r="D179" s="1126" t="s">
        <v>1188</v>
      </c>
      <c r="E179" s="922"/>
      <c r="F179" s="922"/>
      <c r="G179" s="922"/>
      <c r="H179" s="922"/>
      <c r="I179" s="922"/>
      <c r="J179" s="922"/>
      <c r="K179" s="922"/>
      <c r="L179" s="922"/>
      <c r="M179" s="1"/>
      <c r="N179" s="413"/>
      <c r="O179" s="414"/>
      <c r="P179" s="1"/>
      <c r="Q179" s="1"/>
      <c r="R179" s="1"/>
      <c r="S179" s="1"/>
      <c r="T179" s="1"/>
      <c r="U179" s="1"/>
      <c r="V179" s="1"/>
      <c r="W179" s="1"/>
      <c r="X179" s="1"/>
      <c r="Y179" s="1"/>
      <c r="Z179" s="1"/>
    </row>
    <row r="180" spans="1:26" ht="13.5" customHeight="1">
      <c r="A180" s="395"/>
      <c r="B180" s="399"/>
      <c r="C180" s="412" t="s">
        <v>1189</v>
      </c>
      <c r="D180" s="1126" t="s">
        <v>1190</v>
      </c>
      <c r="E180" s="922"/>
      <c r="F180" s="922"/>
      <c r="G180" s="922"/>
      <c r="H180" s="922"/>
      <c r="I180" s="922"/>
      <c r="J180" s="922"/>
      <c r="K180" s="922"/>
      <c r="L180" s="922"/>
      <c r="M180" s="1"/>
      <c r="N180" s="413"/>
      <c r="O180" s="403"/>
      <c r="P180" s="1"/>
      <c r="Q180" s="1"/>
      <c r="R180" s="1"/>
      <c r="S180" s="1"/>
      <c r="T180" s="1"/>
      <c r="U180" s="1"/>
      <c r="V180" s="1"/>
      <c r="W180" s="1"/>
      <c r="X180" s="1"/>
      <c r="Y180" s="1"/>
      <c r="Z180" s="1"/>
    </row>
    <row r="181" spans="1:26" ht="13.5" customHeight="1">
      <c r="A181" s="395"/>
      <c r="B181" s="399"/>
      <c r="C181" s="415"/>
      <c r="D181" s="416"/>
      <c r="E181" s="416"/>
      <c r="F181" s="416"/>
      <c r="G181" s="416"/>
      <c r="H181" s="416"/>
      <c r="I181" s="416"/>
      <c r="J181" s="416"/>
      <c r="K181" s="416"/>
      <c r="L181" s="416"/>
      <c r="M181" s="416"/>
      <c r="N181" s="417"/>
      <c r="O181" s="402"/>
      <c r="P181" s="1"/>
      <c r="Q181" s="1"/>
      <c r="R181" s="1"/>
      <c r="S181" s="1"/>
      <c r="T181" s="1"/>
      <c r="U181" s="1"/>
      <c r="V181" s="1"/>
      <c r="W181" s="1"/>
      <c r="X181" s="1"/>
      <c r="Y181" s="1"/>
      <c r="Z181" s="1"/>
    </row>
    <row r="182" spans="1:26" ht="13.5" customHeight="1">
      <c r="A182" s="395"/>
      <c r="B182" s="399"/>
      <c r="C182" s="418"/>
      <c r="D182" s="39"/>
      <c r="E182" s="39"/>
      <c r="F182" s="39"/>
      <c r="G182" s="39"/>
      <c r="H182" s="39"/>
      <c r="I182" s="39"/>
      <c r="J182" s="39"/>
      <c r="K182" s="39"/>
      <c r="L182" s="39"/>
      <c r="M182" s="39"/>
      <c r="N182" s="40"/>
      <c r="O182" s="402"/>
      <c r="P182" s="1"/>
      <c r="Q182" s="1"/>
      <c r="R182" s="1"/>
      <c r="S182" s="1"/>
      <c r="T182" s="1"/>
      <c r="U182" s="1"/>
      <c r="V182" s="1"/>
      <c r="W182" s="1"/>
      <c r="X182" s="1"/>
      <c r="Y182" s="1"/>
      <c r="Z182" s="1"/>
    </row>
    <row r="183" spans="1:26" ht="13.5" customHeight="1">
      <c r="A183" s="395"/>
      <c r="B183" s="399"/>
      <c r="C183" s="925" t="s">
        <v>1191</v>
      </c>
      <c r="D183" s="926"/>
      <c r="E183" s="926"/>
      <c r="F183" s="926"/>
      <c r="G183" s="926"/>
      <c r="H183" s="926"/>
      <c r="I183" s="926"/>
      <c r="J183" s="926"/>
      <c r="K183" s="926"/>
      <c r="L183" s="926"/>
      <c r="M183" s="926"/>
      <c r="N183" s="927"/>
      <c r="O183" s="419"/>
      <c r="P183" s="1"/>
      <c r="Q183" s="1"/>
      <c r="R183" s="1"/>
      <c r="S183" s="1"/>
      <c r="T183" s="1"/>
      <c r="U183" s="1"/>
      <c r="V183" s="1"/>
      <c r="W183" s="1"/>
      <c r="X183" s="1"/>
      <c r="Y183" s="1"/>
      <c r="Z183" s="1"/>
    </row>
    <row r="184" spans="1:26" ht="13.5" customHeight="1">
      <c r="A184" s="395"/>
      <c r="B184" s="399"/>
      <c r="C184" s="418"/>
      <c r="D184" s="39"/>
      <c r="E184" s="39"/>
      <c r="F184" s="39"/>
      <c r="G184" s="39"/>
      <c r="H184" s="39"/>
      <c r="I184" s="39"/>
      <c r="J184" s="39"/>
      <c r="K184" s="39"/>
      <c r="L184" s="39"/>
      <c r="M184" s="39"/>
      <c r="N184" s="40"/>
      <c r="O184" s="402"/>
      <c r="P184" s="1"/>
      <c r="Q184" s="1"/>
      <c r="R184" s="1"/>
      <c r="S184" s="1"/>
      <c r="T184" s="1"/>
      <c r="U184" s="1"/>
      <c r="V184" s="1"/>
      <c r="W184" s="1"/>
      <c r="X184" s="1"/>
      <c r="Y184" s="1"/>
      <c r="Z184" s="1"/>
    </row>
    <row r="185" spans="1:26" ht="13.5" customHeight="1">
      <c r="A185" s="395"/>
      <c r="B185" s="399"/>
      <c r="C185" s="420" t="s">
        <v>965</v>
      </c>
      <c r="D185" s="1136" t="s">
        <v>17</v>
      </c>
      <c r="E185" s="1131"/>
      <c r="F185" s="1131"/>
      <c r="G185" s="1131"/>
      <c r="H185" s="1131"/>
      <c r="I185" s="1131"/>
      <c r="J185" s="1131"/>
      <c r="K185" s="1137"/>
      <c r="L185" s="1130" t="s">
        <v>1192</v>
      </c>
      <c r="M185" s="1137"/>
      <c r="N185" s="420" t="s">
        <v>950</v>
      </c>
      <c r="O185" s="419"/>
      <c r="P185" s="1"/>
      <c r="Q185" s="1"/>
      <c r="R185" s="1"/>
      <c r="S185" s="1"/>
      <c r="T185" s="1"/>
      <c r="U185" s="1"/>
      <c r="V185" s="1"/>
      <c r="W185" s="1"/>
      <c r="X185" s="1"/>
      <c r="Y185" s="1"/>
      <c r="Z185" s="1"/>
    </row>
    <row r="186" spans="1:26" ht="13.5" customHeight="1">
      <c r="A186" s="395"/>
      <c r="B186" s="421"/>
      <c r="C186" s="422" t="s">
        <v>1190</v>
      </c>
      <c r="D186" s="1151" t="s">
        <v>1232</v>
      </c>
      <c r="E186" s="979"/>
      <c r="F186" s="979"/>
      <c r="G186" s="979"/>
      <c r="H186" s="979"/>
      <c r="I186" s="979"/>
      <c r="J186" s="979"/>
      <c r="K186" s="980"/>
      <c r="L186" s="1138" t="s">
        <v>741</v>
      </c>
      <c r="M186" s="980"/>
      <c r="N186" s="423">
        <v>1</v>
      </c>
      <c r="O186" s="424"/>
      <c r="P186" s="1"/>
      <c r="Q186" s="1"/>
      <c r="R186" s="1"/>
      <c r="S186" s="1"/>
      <c r="T186" s="1"/>
      <c r="U186" s="1"/>
      <c r="V186" s="1"/>
      <c r="W186" s="1"/>
      <c r="X186" s="1"/>
      <c r="Y186" s="1"/>
      <c r="Z186" s="1"/>
    </row>
    <row r="187" spans="1:26" ht="13.5" customHeight="1">
      <c r="A187" s="395"/>
      <c r="B187" s="399"/>
      <c r="C187" s="1129" t="s">
        <v>1195</v>
      </c>
      <c r="D187" s="926"/>
      <c r="E187" s="926"/>
      <c r="F187" s="926"/>
      <c r="G187" s="926"/>
      <c r="H187" s="926"/>
      <c r="I187" s="926"/>
      <c r="J187" s="926"/>
      <c r="K187" s="926"/>
      <c r="L187" s="926"/>
      <c r="M187" s="926"/>
      <c r="N187" s="927"/>
      <c r="O187" s="426"/>
      <c r="P187" s="1"/>
      <c r="Q187" s="1"/>
      <c r="R187" s="1"/>
      <c r="S187" s="1"/>
      <c r="T187" s="1"/>
      <c r="U187" s="1"/>
      <c r="V187" s="1"/>
      <c r="W187" s="1"/>
      <c r="X187" s="1"/>
      <c r="Y187" s="1"/>
      <c r="Z187" s="1"/>
    </row>
    <row r="188" spans="1:26" ht="13.5" customHeight="1">
      <c r="A188" s="395"/>
      <c r="B188" s="399"/>
      <c r="C188" s="920"/>
      <c r="D188" s="922"/>
      <c r="E188" s="922"/>
      <c r="F188" s="922"/>
      <c r="G188" s="922"/>
      <c r="H188" s="922"/>
      <c r="I188" s="922"/>
      <c r="J188" s="922"/>
      <c r="K188" s="922"/>
      <c r="L188" s="922"/>
      <c r="M188" s="922"/>
      <c r="N188" s="924"/>
      <c r="O188" s="426"/>
      <c r="P188" s="1"/>
      <c r="Q188" s="1"/>
      <c r="R188" s="1"/>
      <c r="S188" s="1"/>
      <c r="T188" s="1"/>
      <c r="U188" s="1"/>
      <c r="V188" s="1"/>
      <c r="W188" s="1"/>
      <c r="X188" s="1"/>
      <c r="Y188" s="1"/>
      <c r="Z188" s="1"/>
    </row>
    <row r="189" spans="1:26" ht="13.5" customHeight="1">
      <c r="A189" s="395"/>
      <c r="B189" s="399"/>
      <c r="C189" s="929"/>
      <c r="D189" s="936"/>
      <c r="E189" s="936"/>
      <c r="F189" s="936"/>
      <c r="G189" s="936"/>
      <c r="H189" s="936"/>
      <c r="I189" s="936"/>
      <c r="J189" s="936"/>
      <c r="K189" s="936"/>
      <c r="L189" s="936"/>
      <c r="M189" s="936"/>
      <c r="N189" s="938"/>
      <c r="O189" s="426"/>
      <c r="P189" s="1"/>
      <c r="Q189" s="1"/>
      <c r="R189" s="1"/>
      <c r="S189" s="1"/>
      <c r="T189" s="1"/>
      <c r="U189" s="1"/>
      <c r="V189" s="1"/>
      <c r="W189" s="1"/>
      <c r="X189" s="1"/>
      <c r="Y189" s="1"/>
      <c r="Z189" s="1"/>
    </row>
    <row r="190" spans="1:26" ht="13.5" customHeight="1">
      <c r="A190" s="395"/>
      <c r="B190" s="399"/>
      <c r="C190" s="1130" t="s">
        <v>17</v>
      </c>
      <c r="D190" s="1131"/>
      <c r="E190" s="1131"/>
      <c r="F190" s="1000"/>
      <c r="G190" s="1135" t="s">
        <v>1196</v>
      </c>
      <c r="H190" s="1000"/>
      <c r="I190" s="1139" t="s">
        <v>1197</v>
      </c>
      <c r="J190" s="1140"/>
      <c r="K190" s="427" t="s">
        <v>1198</v>
      </c>
      <c r="L190" s="1135" t="s">
        <v>1199</v>
      </c>
      <c r="M190" s="1000"/>
      <c r="N190" s="428" t="s">
        <v>1200</v>
      </c>
      <c r="O190" s="419"/>
      <c r="P190" s="1"/>
      <c r="Q190" s="1"/>
      <c r="R190" s="1"/>
      <c r="S190" s="1"/>
      <c r="T190" s="1"/>
      <c r="U190" s="1"/>
      <c r="V190" s="1"/>
      <c r="W190" s="1"/>
      <c r="X190" s="1"/>
      <c r="Y190" s="1"/>
      <c r="Z190" s="1"/>
    </row>
    <row r="191" spans="1:26" ht="13.5" customHeight="1">
      <c r="A191" s="395"/>
      <c r="B191" s="399"/>
      <c r="C191" s="1128" t="s">
        <v>1201</v>
      </c>
      <c r="D191" s="940"/>
      <c r="E191" s="940"/>
      <c r="F191" s="941"/>
      <c r="G191" s="1142"/>
      <c r="H191" s="941"/>
      <c r="I191" s="1142"/>
      <c r="J191" s="941"/>
      <c r="K191" s="429"/>
      <c r="L191" s="1148">
        <v>0.1</v>
      </c>
      <c r="M191" s="941"/>
      <c r="N191" s="430">
        <f>+L191*N222</f>
        <v>11556.966666666669</v>
      </c>
      <c r="O191" s="431"/>
      <c r="P191" s="1"/>
      <c r="Q191" s="1"/>
      <c r="R191" s="1"/>
      <c r="S191" s="1"/>
      <c r="T191" s="1"/>
      <c r="U191" s="1"/>
      <c r="V191" s="1"/>
      <c r="W191" s="1"/>
      <c r="X191" s="1"/>
      <c r="Y191" s="1"/>
      <c r="Z191" s="1"/>
    </row>
    <row r="192" spans="1:26" ht="13.5" customHeight="1">
      <c r="A192" s="395" t="str">
        <f t="array" ref="A192">IF(C192&lt;&gt;0,INDEX(CodEquipos,MATCH(C192,Equipos,0),),)</f>
        <v>EQ-01</v>
      </c>
      <c r="B192" s="399"/>
      <c r="C192" s="1128" t="s">
        <v>271</v>
      </c>
      <c r="D192" s="940"/>
      <c r="E192" s="940"/>
      <c r="F192" s="941"/>
      <c r="G192" s="1142"/>
      <c r="H192" s="941"/>
      <c r="I192" s="1142"/>
      <c r="J192" s="941"/>
      <c r="K192" s="432">
        <f>IF($A192&gt;0,(VLOOKUP($A192,TablaEquipos,7,FALSE)),"")</f>
        <v>13833.75</v>
      </c>
      <c r="L192" s="1141">
        <f>+L217/8</f>
        <v>0.75</v>
      </c>
      <c r="M192" s="941"/>
      <c r="N192" s="430">
        <f t="shared" ref="N192:N194" si="8">IF(L192&gt;0,K192/L192,"")</f>
        <v>18445</v>
      </c>
      <c r="O192" s="431"/>
      <c r="P192" s="1"/>
      <c r="Q192" s="1"/>
      <c r="R192" s="1"/>
      <c r="S192" s="1"/>
      <c r="T192" s="1"/>
      <c r="U192" s="1"/>
      <c r="V192" s="1"/>
      <c r="W192" s="1"/>
      <c r="X192" s="1"/>
      <c r="Y192" s="1"/>
      <c r="Z192" s="1"/>
    </row>
    <row r="193" spans="1:26" ht="13.5" customHeight="1">
      <c r="A193" s="395">
        <f t="array" ref="A193">IF(C193&lt;&gt;0,INDEX(CodEquipos,MATCH(C193,Equipos,0),),)</f>
        <v>0</v>
      </c>
      <c r="B193" s="399"/>
      <c r="C193" s="1128"/>
      <c r="D193" s="940"/>
      <c r="E193" s="940"/>
      <c r="F193" s="941"/>
      <c r="G193" s="1142"/>
      <c r="H193" s="941"/>
      <c r="I193" s="1142"/>
      <c r="J193" s="941"/>
      <c r="K193" s="432" t="str">
        <f>IF($A193&gt;0,(VLOOKUP($A193,TablaEquipos,7,FALSE)),"")</f>
        <v/>
      </c>
      <c r="L193" s="1141"/>
      <c r="M193" s="941"/>
      <c r="N193" s="430" t="str">
        <f t="shared" si="8"/>
        <v/>
      </c>
      <c r="O193" s="431"/>
      <c r="P193" s="1"/>
      <c r="Q193" s="1"/>
      <c r="R193" s="1"/>
      <c r="S193" s="1"/>
      <c r="T193" s="1"/>
      <c r="U193" s="1"/>
      <c r="V193" s="1"/>
      <c r="W193" s="1"/>
      <c r="X193" s="1"/>
      <c r="Y193" s="1"/>
      <c r="Z193" s="1"/>
    </row>
    <row r="194" spans="1:26" ht="13.5" customHeight="1">
      <c r="A194" s="395">
        <f t="array" ref="A194">IF(C194&lt;&gt;0,INDEX(CodEquipos,MATCH(C194,Equipos,0),),)</f>
        <v>0</v>
      </c>
      <c r="B194" s="399"/>
      <c r="C194" s="1128"/>
      <c r="D194" s="940"/>
      <c r="E194" s="940"/>
      <c r="F194" s="941"/>
      <c r="G194" s="1144"/>
      <c r="H194" s="1145"/>
      <c r="I194" s="1142"/>
      <c r="J194" s="941"/>
      <c r="K194" s="432" t="str">
        <f>IF($A194&gt;0,(VLOOKUP($A194,TablaEquipos,7,FALSE)),"")</f>
        <v/>
      </c>
      <c r="L194" s="1141"/>
      <c r="M194" s="941"/>
      <c r="N194" s="430" t="str">
        <f t="shared" si="8"/>
        <v/>
      </c>
      <c r="O194" s="431"/>
      <c r="P194" s="1"/>
      <c r="Q194" s="1"/>
      <c r="R194" s="1"/>
      <c r="S194" s="1"/>
      <c r="T194" s="1"/>
      <c r="U194" s="1"/>
      <c r="V194" s="1"/>
      <c r="W194" s="1"/>
      <c r="X194" s="1"/>
      <c r="Y194" s="1"/>
      <c r="Z194" s="1"/>
    </row>
    <row r="195" spans="1:26" ht="13.5" customHeight="1">
      <c r="A195" s="395"/>
      <c r="B195" s="399"/>
      <c r="C195" s="1127" t="s">
        <v>1202</v>
      </c>
      <c r="D195" s="965"/>
      <c r="E195" s="965"/>
      <c r="F195" s="965"/>
      <c r="G195" s="965"/>
      <c r="H195" s="965"/>
      <c r="I195" s="965"/>
      <c r="J195" s="965"/>
      <c r="K195" s="965"/>
      <c r="L195" s="965"/>
      <c r="M195" s="966"/>
      <c r="N195" s="433">
        <f>+SUM(N191:N194)</f>
        <v>30001.966666666667</v>
      </c>
      <c r="O195" s="431"/>
      <c r="P195" s="1"/>
      <c r="Q195" s="1"/>
      <c r="R195" s="1"/>
      <c r="S195" s="1"/>
      <c r="T195" s="1"/>
      <c r="U195" s="1"/>
      <c r="V195" s="1"/>
      <c r="W195" s="1"/>
      <c r="X195" s="1"/>
      <c r="Y195" s="1"/>
      <c r="Z195" s="1"/>
    </row>
    <row r="196" spans="1:26" ht="13.5" customHeight="1">
      <c r="A196" s="395"/>
      <c r="B196" s="399"/>
      <c r="C196" s="1129" t="s">
        <v>1203</v>
      </c>
      <c r="D196" s="926"/>
      <c r="E196" s="926"/>
      <c r="F196" s="926"/>
      <c r="G196" s="926"/>
      <c r="H196" s="926"/>
      <c r="I196" s="926"/>
      <c r="J196" s="926"/>
      <c r="K196" s="926"/>
      <c r="L196" s="926"/>
      <c r="M196" s="926"/>
      <c r="N196" s="927"/>
      <c r="O196" s="426"/>
      <c r="P196" s="1"/>
      <c r="Q196" s="1"/>
      <c r="R196" s="1"/>
      <c r="S196" s="1"/>
      <c r="T196" s="1"/>
      <c r="U196" s="1"/>
      <c r="V196" s="1"/>
      <c r="W196" s="1"/>
      <c r="X196" s="1"/>
      <c r="Y196" s="1"/>
      <c r="Z196" s="1"/>
    </row>
    <row r="197" spans="1:26" ht="13.5" customHeight="1">
      <c r="A197" s="395"/>
      <c r="B197" s="399"/>
      <c r="C197" s="920"/>
      <c r="D197" s="922"/>
      <c r="E197" s="922"/>
      <c r="F197" s="922"/>
      <c r="G197" s="922"/>
      <c r="H197" s="922"/>
      <c r="I197" s="922"/>
      <c r="J197" s="922"/>
      <c r="K197" s="922"/>
      <c r="L197" s="922"/>
      <c r="M197" s="922"/>
      <c r="N197" s="924"/>
      <c r="O197" s="426"/>
      <c r="P197" s="1"/>
      <c r="Q197" s="1"/>
      <c r="R197" s="1"/>
      <c r="S197" s="1"/>
      <c r="T197" s="1"/>
      <c r="U197" s="1"/>
      <c r="V197" s="1"/>
      <c r="W197" s="1"/>
      <c r="X197" s="1"/>
      <c r="Y197" s="1"/>
      <c r="Z197" s="1"/>
    </row>
    <row r="198" spans="1:26" ht="13.5" customHeight="1">
      <c r="A198" s="395"/>
      <c r="B198" s="399"/>
      <c r="C198" s="929"/>
      <c r="D198" s="936"/>
      <c r="E198" s="936"/>
      <c r="F198" s="936"/>
      <c r="G198" s="936"/>
      <c r="H198" s="936"/>
      <c r="I198" s="936"/>
      <c r="J198" s="936"/>
      <c r="K198" s="936"/>
      <c r="L198" s="936"/>
      <c r="M198" s="936"/>
      <c r="N198" s="938"/>
      <c r="O198" s="426"/>
      <c r="P198" s="1"/>
      <c r="Q198" s="1"/>
      <c r="R198" s="1"/>
      <c r="S198" s="1"/>
      <c r="T198" s="1"/>
      <c r="U198" s="1"/>
      <c r="V198" s="1"/>
      <c r="W198" s="1"/>
      <c r="X198" s="1"/>
      <c r="Y198" s="1"/>
      <c r="Z198" s="1"/>
    </row>
    <row r="199" spans="1:26" ht="13.5" customHeight="1">
      <c r="A199" s="395"/>
      <c r="B199" s="399"/>
      <c r="C199" s="1130" t="s">
        <v>17</v>
      </c>
      <c r="D199" s="1131"/>
      <c r="E199" s="1131"/>
      <c r="F199" s="1131"/>
      <c r="G199" s="1131"/>
      <c r="H199" s="1131"/>
      <c r="I199" s="1000"/>
      <c r="J199" s="434" t="s">
        <v>1192</v>
      </c>
      <c r="K199" s="427" t="s">
        <v>950</v>
      </c>
      <c r="L199" s="1135" t="s">
        <v>1204</v>
      </c>
      <c r="M199" s="1000"/>
      <c r="N199" s="428" t="s">
        <v>1200</v>
      </c>
      <c r="O199" s="419"/>
      <c r="P199" s="1"/>
      <c r="Q199" s="1"/>
      <c r="R199" s="1"/>
      <c r="S199" s="1"/>
      <c r="T199" s="1"/>
      <c r="U199" s="1"/>
      <c r="V199" s="1"/>
      <c r="W199" s="1"/>
      <c r="X199" s="1"/>
      <c r="Y199" s="1"/>
      <c r="Z199" s="1"/>
    </row>
    <row r="200" spans="1:26" ht="13.5" customHeight="1">
      <c r="A200" s="395" t="str">
        <f t="array" ref="A200">IF(C200&lt;&gt;0,INDEX(CodMat,MATCH(C200,Materiales,0),),)</f>
        <v>MAT_C-01</v>
      </c>
      <c r="B200" s="399"/>
      <c r="C200" s="1128" t="s">
        <v>1205</v>
      </c>
      <c r="D200" s="940"/>
      <c r="E200" s="940"/>
      <c r="F200" s="940"/>
      <c r="G200" s="940"/>
      <c r="H200" s="940"/>
      <c r="I200" s="941"/>
      <c r="J200" s="435" t="str">
        <f>IF($A200&gt;0,(VLOOKUP($A200,TablaInsumos,5,FALSE)),"")</f>
        <v>LT</v>
      </c>
      <c r="K200" s="436">
        <v>133</v>
      </c>
      <c r="L200" s="1134">
        <f>IF($A200&gt;0,(VLOOKUP($A200,TablaInsumos,7,FALSE)),"")</f>
        <v>46</v>
      </c>
      <c r="M200" s="941"/>
      <c r="N200" s="430">
        <f t="shared" ref="N200:N204" si="9">IF(K200&gt;0,L200*K200,"")</f>
        <v>6118</v>
      </c>
      <c r="O200" s="431"/>
      <c r="P200" s="1"/>
      <c r="Q200" s="1"/>
      <c r="R200" s="1"/>
      <c r="S200" s="1"/>
      <c r="T200" s="1"/>
      <c r="U200" s="1"/>
      <c r="V200" s="1"/>
      <c r="W200" s="1"/>
      <c r="X200" s="1"/>
      <c r="Y200" s="1"/>
      <c r="Z200" s="1"/>
    </row>
    <row r="201" spans="1:26" ht="13.5" customHeight="1">
      <c r="A201" s="395" t="str">
        <f t="array" ref="A201">IF(C201&lt;&gt;0,INDEX(CodMat,MATCH(C201,Materiales,0),),)</f>
        <v>MAT_C-03</v>
      </c>
      <c r="B201" s="399"/>
      <c r="C201" s="1128" t="s">
        <v>1206</v>
      </c>
      <c r="D201" s="940"/>
      <c r="E201" s="940"/>
      <c r="F201" s="940"/>
      <c r="G201" s="940"/>
      <c r="H201" s="940"/>
      <c r="I201" s="941"/>
      <c r="J201" s="435" t="str">
        <f>IF($A201&gt;0,(VLOOKUP($A201,TablaInsumos,5,FALSE)),"")</f>
        <v>M3</v>
      </c>
      <c r="K201" s="436">
        <v>0.55000000000000004</v>
      </c>
      <c r="L201" s="1134">
        <f>IF($A201&gt;0,(VLOOKUP($A201,TablaInsumos,7,FALSE)),"")</f>
        <v>86414</v>
      </c>
      <c r="M201" s="941"/>
      <c r="N201" s="430">
        <f t="shared" si="9"/>
        <v>47527.700000000004</v>
      </c>
      <c r="O201" s="431"/>
      <c r="P201" s="1"/>
      <c r="Q201" s="1"/>
      <c r="R201" s="1"/>
      <c r="S201" s="1"/>
      <c r="T201" s="1"/>
      <c r="U201" s="1"/>
      <c r="V201" s="1"/>
      <c r="W201" s="1"/>
      <c r="X201" s="1"/>
      <c r="Y201" s="1"/>
      <c r="Z201" s="1"/>
    </row>
    <row r="202" spans="1:26" ht="13.5" customHeight="1">
      <c r="A202" s="395" t="e">
        <f t="array" ref="A202">IF(C202&lt;&gt;0,INDEX(CodMat,MATCH(C202,Materiales,0),),)</f>
        <v>#N/A</v>
      </c>
      <c r="B202" s="399"/>
      <c r="C202" s="1128" t="s">
        <v>1233</v>
      </c>
      <c r="D202" s="940"/>
      <c r="E202" s="940"/>
      <c r="F202" s="940"/>
      <c r="G202" s="940"/>
      <c r="H202" s="940"/>
      <c r="I202" s="941"/>
      <c r="J202" s="435" t="e">
        <f>IF($A202&gt;0,(VLOOKUP($A202,TablaInsumos,5,FALSE)),"")</f>
        <v>#N/A</v>
      </c>
      <c r="K202" s="436">
        <v>0.98</v>
      </c>
      <c r="L202" s="1134" t="e">
        <f>IF($A202&gt;0,(VLOOKUP($A202,TablaInsumos,7,FALSE)),"")</f>
        <v>#N/A</v>
      </c>
      <c r="M202" s="941"/>
      <c r="N202" s="430" t="e">
        <f t="shared" si="9"/>
        <v>#N/A</v>
      </c>
      <c r="O202" s="431"/>
      <c r="P202" s="1"/>
      <c r="Q202" s="1"/>
      <c r="R202" s="1"/>
      <c r="S202" s="1"/>
      <c r="T202" s="1"/>
      <c r="U202" s="1"/>
      <c r="V202" s="1"/>
      <c r="W202" s="1"/>
      <c r="X202" s="1"/>
      <c r="Y202" s="1"/>
      <c r="Z202" s="1"/>
    </row>
    <row r="203" spans="1:26" ht="13.5" customHeight="1">
      <c r="A203" s="395" t="str">
        <f t="array" ref="A203">IF(C203&lt;&gt;0,INDEX(CodMat,MATCH(C203,Materiales,0),),)</f>
        <v>MAT_C-12</v>
      </c>
      <c r="B203" s="399"/>
      <c r="C203" s="1128" t="s">
        <v>1207</v>
      </c>
      <c r="D203" s="940"/>
      <c r="E203" s="940"/>
      <c r="F203" s="940"/>
      <c r="G203" s="940"/>
      <c r="H203" s="940"/>
      <c r="I203" s="941"/>
      <c r="J203" s="435" t="str">
        <f>IF($A203&gt;0,(VLOOKUP($A203,TablaInsumos,5,FALSE)),"")</f>
        <v>KG</v>
      </c>
      <c r="K203" s="436">
        <v>175</v>
      </c>
      <c r="L203" s="1134">
        <f>IF($A203&gt;0,(VLOOKUP($A203,TablaInsumos,7,FALSE)),"")</f>
        <v>1164</v>
      </c>
      <c r="M203" s="941"/>
      <c r="N203" s="430">
        <f t="shared" si="9"/>
        <v>203700</v>
      </c>
      <c r="O203" s="431"/>
      <c r="P203" s="1"/>
      <c r="Q203" s="1"/>
      <c r="R203" s="1"/>
      <c r="S203" s="1"/>
      <c r="T203" s="1"/>
      <c r="U203" s="1"/>
      <c r="V203" s="1"/>
      <c r="W203" s="1"/>
      <c r="X203" s="1"/>
      <c r="Y203" s="1"/>
      <c r="Z203" s="1"/>
    </row>
    <row r="204" spans="1:26" ht="13.5" customHeight="1">
      <c r="A204" s="395"/>
      <c r="B204" s="399"/>
      <c r="C204" s="1128" t="str">
        <f>IF($A204&gt;0,(VLOOKUP($A204,TablaInsumos,3,FALSE)),"")</f>
        <v/>
      </c>
      <c r="D204" s="940"/>
      <c r="E204" s="940"/>
      <c r="F204" s="940"/>
      <c r="G204" s="940"/>
      <c r="H204" s="940"/>
      <c r="I204" s="941"/>
      <c r="J204" s="435" t="str">
        <f>IF($A204&gt;0,(VLOOKUP($A204,TablaInsumos,5,FALSE)),"")</f>
        <v/>
      </c>
      <c r="K204" s="472"/>
      <c r="L204" s="1134" t="str">
        <f>IF($A204&gt;0,(VLOOKUP($A204,TablaInsumos,7,FALSE)),"")</f>
        <v/>
      </c>
      <c r="M204" s="941"/>
      <c r="N204" s="430" t="str">
        <f t="shared" si="9"/>
        <v/>
      </c>
      <c r="O204" s="431"/>
      <c r="P204" s="1"/>
      <c r="Q204" s="1"/>
      <c r="R204" s="1"/>
      <c r="S204" s="1"/>
      <c r="T204" s="1"/>
      <c r="U204" s="1"/>
      <c r="V204" s="1"/>
      <c r="W204" s="1"/>
      <c r="X204" s="1"/>
      <c r="Y204" s="1"/>
      <c r="Z204" s="1"/>
    </row>
    <row r="205" spans="1:26" ht="13.5" customHeight="1">
      <c r="A205" s="395"/>
      <c r="B205" s="399"/>
      <c r="C205" s="1127" t="s">
        <v>1202</v>
      </c>
      <c r="D205" s="965"/>
      <c r="E205" s="965"/>
      <c r="F205" s="965"/>
      <c r="G205" s="965"/>
      <c r="H205" s="965"/>
      <c r="I205" s="965"/>
      <c r="J205" s="965"/>
      <c r="K205" s="965"/>
      <c r="L205" s="965"/>
      <c r="M205" s="966"/>
      <c r="N205" s="433" t="e">
        <f>+SUM(N200:N204)</f>
        <v>#N/A</v>
      </c>
      <c r="O205" s="431"/>
      <c r="P205" s="1"/>
      <c r="Q205" s="1"/>
      <c r="R205" s="1"/>
      <c r="S205" s="1"/>
      <c r="T205" s="1"/>
      <c r="U205" s="1"/>
      <c r="V205" s="1"/>
      <c r="W205" s="1"/>
      <c r="X205" s="1"/>
      <c r="Y205" s="1"/>
      <c r="Z205" s="1"/>
    </row>
    <row r="206" spans="1:26" ht="13.5" customHeight="1">
      <c r="A206" s="395"/>
      <c r="B206" s="399"/>
      <c r="C206" s="1129" t="s">
        <v>1208</v>
      </c>
      <c r="D206" s="926"/>
      <c r="E206" s="926"/>
      <c r="F206" s="926"/>
      <c r="G206" s="926"/>
      <c r="H206" s="926"/>
      <c r="I206" s="926"/>
      <c r="J206" s="926"/>
      <c r="K206" s="926"/>
      <c r="L206" s="926"/>
      <c r="M206" s="926"/>
      <c r="N206" s="927"/>
      <c r="O206" s="426"/>
      <c r="P206" s="1"/>
      <c r="Q206" s="1"/>
      <c r="R206" s="1"/>
      <c r="S206" s="1"/>
      <c r="T206" s="1"/>
      <c r="U206" s="1"/>
      <c r="V206" s="1"/>
      <c r="W206" s="1"/>
      <c r="X206" s="1"/>
      <c r="Y206" s="1"/>
      <c r="Z206" s="1"/>
    </row>
    <row r="207" spans="1:26" ht="13.5" customHeight="1">
      <c r="A207" s="395"/>
      <c r="B207" s="399"/>
      <c r="C207" s="920"/>
      <c r="D207" s="922"/>
      <c r="E207" s="922"/>
      <c r="F207" s="922"/>
      <c r="G207" s="922"/>
      <c r="H207" s="922"/>
      <c r="I207" s="922"/>
      <c r="J207" s="922"/>
      <c r="K207" s="922"/>
      <c r="L207" s="922"/>
      <c r="M207" s="922"/>
      <c r="N207" s="924"/>
      <c r="O207" s="426"/>
      <c r="P207" s="1"/>
      <c r="Q207" s="1"/>
      <c r="R207" s="1"/>
      <c r="S207" s="1"/>
      <c r="T207" s="1"/>
      <c r="U207" s="1"/>
      <c r="V207" s="1"/>
      <c r="W207" s="1"/>
      <c r="X207" s="1"/>
      <c r="Y207" s="1"/>
      <c r="Z207" s="1"/>
    </row>
    <row r="208" spans="1:26" ht="13.5" customHeight="1">
      <c r="A208" s="395"/>
      <c r="B208" s="399"/>
      <c r="C208" s="929"/>
      <c r="D208" s="936"/>
      <c r="E208" s="936"/>
      <c r="F208" s="936"/>
      <c r="G208" s="936"/>
      <c r="H208" s="936"/>
      <c r="I208" s="936"/>
      <c r="J208" s="936"/>
      <c r="K208" s="936"/>
      <c r="L208" s="936"/>
      <c r="M208" s="936"/>
      <c r="N208" s="938"/>
      <c r="O208" s="426"/>
      <c r="P208" s="1"/>
      <c r="Q208" s="1"/>
      <c r="R208" s="1"/>
      <c r="S208" s="1"/>
      <c r="T208" s="1"/>
      <c r="U208" s="1"/>
      <c r="V208" s="1"/>
      <c r="W208" s="1"/>
      <c r="X208" s="1"/>
      <c r="Y208" s="1"/>
      <c r="Z208" s="1"/>
    </row>
    <row r="209" spans="1:26" ht="13.5" customHeight="1">
      <c r="A209" s="395"/>
      <c r="B209" s="399"/>
      <c r="C209" s="1130" t="s">
        <v>1209</v>
      </c>
      <c r="D209" s="1131"/>
      <c r="E209" s="1131"/>
      <c r="F209" s="1131"/>
      <c r="G209" s="1131"/>
      <c r="H209" s="1132"/>
      <c r="I209" s="427" t="s">
        <v>1210</v>
      </c>
      <c r="J209" s="438" t="s">
        <v>1211</v>
      </c>
      <c r="K209" s="439" t="s">
        <v>1234</v>
      </c>
      <c r="L209" s="1135" t="s">
        <v>1213</v>
      </c>
      <c r="M209" s="1000"/>
      <c r="N209" s="428" t="s">
        <v>1200</v>
      </c>
      <c r="O209" s="419"/>
      <c r="P209" s="1"/>
      <c r="Q209" s="1"/>
      <c r="R209" s="1"/>
      <c r="S209" s="1"/>
      <c r="T209" s="1"/>
      <c r="U209" s="1"/>
      <c r="V209" s="1"/>
      <c r="W209" s="1"/>
      <c r="X209" s="1"/>
      <c r="Y209" s="1"/>
      <c r="Z209" s="1"/>
    </row>
    <row r="210" spans="1:26" ht="13.5" customHeight="1">
      <c r="A210" s="395" t="str">
        <f t="array" ref="A210">IF(C210&lt;&gt;0,INDEX(CodTransporte,MATCH(C210,Transporte,0),),)</f>
        <v>T-03</v>
      </c>
      <c r="B210" s="399"/>
      <c r="C210" s="1128" t="s">
        <v>859</v>
      </c>
      <c r="D210" s="940"/>
      <c r="E210" s="940"/>
      <c r="F210" s="940"/>
      <c r="G210" s="940"/>
      <c r="H210" s="940"/>
      <c r="I210" s="440">
        <f>+K201+K202</f>
        <v>1.53</v>
      </c>
      <c r="J210" s="441">
        <f>IF($A210&gt;0,(VLOOKUP($A210,TablaTransporte,6,FALSE)),"")</f>
        <v>50.849999999999994</v>
      </c>
      <c r="K210" s="442" t="str">
        <f>IF($A210&gt;0,(VLOOKUP($A210,TablaTransporte,5,FALSE)),"")</f>
        <v>M3-KM</v>
      </c>
      <c r="L210" s="1134">
        <f>IF($A210&gt;0,(VLOOKUP($A210,TablaTransporte,7,FALSE)),"")</f>
        <v>2332.3500491642089</v>
      </c>
      <c r="M210" s="941"/>
      <c r="N210" s="430">
        <f t="shared" ref="N210:N211" si="10">IF(I210&gt;0,J210*L210*I210,"")</f>
        <v>181458.00000000003</v>
      </c>
      <c r="O210" s="431"/>
      <c r="P210" s="1"/>
      <c r="Q210" s="1"/>
      <c r="R210" s="1"/>
      <c r="S210" s="1"/>
      <c r="T210" s="1"/>
      <c r="U210" s="1"/>
      <c r="V210" s="1"/>
      <c r="W210" s="1"/>
      <c r="X210" s="1"/>
      <c r="Y210" s="1"/>
      <c r="Z210" s="1"/>
    </row>
    <row r="211" spans="1:26" ht="13.5" customHeight="1">
      <c r="A211" s="395" t="str">
        <f t="array" ref="A211">IF(C211&lt;&gt;0,INDEX(CodTransporte,MATCH(C211,Transporte,0),),)</f>
        <v>T-02</v>
      </c>
      <c r="B211" s="399"/>
      <c r="C211" s="1128" t="s">
        <v>857</v>
      </c>
      <c r="D211" s="940"/>
      <c r="E211" s="940"/>
      <c r="F211" s="940"/>
      <c r="G211" s="940"/>
      <c r="H211" s="940"/>
      <c r="I211" s="440">
        <f>+(K203/50)*0.035</f>
        <v>0.12250000000000001</v>
      </c>
      <c r="J211" s="441">
        <f>IF($A211&gt;0,(VLOOKUP($A211,TablaTransporte,6,FALSE)),"")</f>
        <v>50.849999999999994</v>
      </c>
      <c r="K211" s="442" t="str">
        <f>IF($A211&gt;0,(VLOOKUP($A211,TablaTransporte,5,FALSE)),"")</f>
        <v>M3-KM</v>
      </c>
      <c r="L211" s="1134">
        <f>IF($A211&gt;0,(VLOOKUP($A211,TablaTransporte,7,FALSE)),"")</f>
        <v>2332.3500491642089</v>
      </c>
      <c r="M211" s="941"/>
      <c r="N211" s="430">
        <f t="shared" si="10"/>
        <v>14528.500000000004</v>
      </c>
      <c r="O211" s="431"/>
      <c r="P211" s="1"/>
      <c r="Q211" s="1"/>
      <c r="R211" s="1"/>
      <c r="S211" s="1"/>
      <c r="T211" s="1"/>
      <c r="U211" s="1"/>
      <c r="V211" s="1"/>
      <c r="W211" s="1"/>
      <c r="X211" s="1"/>
      <c r="Y211" s="1"/>
      <c r="Z211" s="1"/>
    </row>
    <row r="212" spans="1:26" ht="13.5" customHeight="1">
      <c r="A212" s="395"/>
      <c r="B212" s="399"/>
      <c r="C212" s="1127" t="s">
        <v>1202</v>
      </c>
      <c r="D212" s="965"/>
      <c r="E212" s="965"/>
      <c r="F212" s="965"/>
      <c r="G212" s="965"/>
      <c r="H212" s="965"/>
      <c r="I212" s="965"/>
      <c r="J212" s="965"/>
      <c r="K212" s="965"/>
      <c r="L212" s="965"/>
      <c r="M212" s="966"/>
      <c r="N212" s="433">
        <f>+SUM(N210:N211)</f>
        <v>195986.50000000003</v>
      </c>
      <c r="O212" s="431"/>
      <c r="P212" s="1"/>
      <c r="Q212" s="1"/>
      <c r="R212" s="1"/>
      <c r="S212" s="1"/>
      <c r="T212" s="1"/>
      <c r="U212" s="1"/>
      <c r="V212" s="1"/>
      <c r="W212" s="1"/>
      <c r="X212" s="1"/>
      <c r="Y212" s="1"/>
      <c r="Z212" s="1"/>
    </row>
    <row r="213" spans="1:26" ht="13.5" customHeight="1">
      <c r="A213" s="395"/>
      <c r="B213" s="399"/>
      <c r="C213" s="1129" t="s">
        <v>1214</v>
      </c>
      <c r="D213" s="926"/>
      <c r="E213" s="926"/>
      <c r="F213" s="926"/>
      <c r="G213" s="926"/>
      <c r="H213" s="926"/>
      <c r="I213" s="926"/>
      <c r="J213" s="926"/>
      <c r="K213" s="926"/>
      <c r="L213" s="926"/>
      <c r="M213" s="926"/>
      <c r="N213" s="927"/>
      <c r="O213" s="426"/>
      <c r="P213" s="1"/>
      <c r="Q213" s="1"/>
      <c r="R213" s="1"/>
      <c r="S213" s="1"/>
      <c r="T213" s="1"/>
      <c r="U213" s="1"/>
      <c r="V213" s="1"/>
      <c r="W213" s="1"/>
      <c r="X213" s="1"/>
      <c r="Y213" s="1"/>
      <c r="Z213" s="1"/>
    </row>
    <row r="214" spans="1:26" ht="13.5" customHeight="1">
      <c r="A214" s="395"/>
      <c r="B214" s="399"/>
      <c r="C214" s="920"/>
      <c r="D214" s="922"/>
      <c r="E214" s="922"/>
      <c r="F214" s="922"/>
      <c r="G214" s="922"/>
      <c r="H214" s="922"/>
      <c r="I214" s="922"/>
      <c r="J214" s="922"/>
      <c r="K214" s="922"/>
      <c r="L214" s="922"/>
      <c r="M214" s="922"/>
      <c r="N214" s="924"/>
      <c r="O214" s="426"/>
      <c r="P214" s="1"/>
      <c r="Q214" s="1"/>
      <c r="R214" s="1"/>
      <c r="S214" s="1"/>
      <c r="T214" s="1"/>
      <c r="U214" s="1"/>
      <c r="V214" s="1"/>
      <c r="W214" s="1"/>
      <c r="X214" s="1"/>
      <c r="Y214" s="1"/>
      <c r="Z214" s="1"/>
    </row>
    <row r="215" spans="1:26" ht="13.5" customHeight="1">
      <c r="A215" s="395"/>
      <c r="B215" s="399"/>
      <c r="C215" s="929"/>
      <c r="D215" s="936"/>
      <c r="E215" s="936"/>
      <c r="F215" s="936"/>
      <c r="G215" s="936"/>
      <c r="H215" s="936"/>
      <c r="I215" s="936"/>
      <c r="J215" s="936"/>
      <c r="K215" s="936"/>
      <c r="L215" s="936"/>
      <c r="M215" s="936"/>
      <c r="N215" s="938"/>
      <c r="O215" s="426"/>
      <c r="P215" s="1"/>
      <c r="Q215" s="1"/>
      <c r="R215" s="1"/>
      <c r="S215" s="1"/>
      <c r="T215" s="1"/>
      <c r="U215" s="1"/>
      <c r="V215" s="1"/>
      <c r="W215" s="1"/>
      <c r="X215" s="1"/>
      <c r="Y215" s="1"/>
      <c r="Z215" s="1"/>
    </row>
    <row r="216" spans="1:26" ht="13.5" customHeight="1">
      <c r="A216" s="395"/>
      <c r="B216" s="399"/>
      <c r="C216" s="1130" t="s">
        <v>1215</v>
      </c>
      <c r="D216" s="1131"/>
      <c r="E216" s="1131"/>
      <c r="F216" s="1131"/>
      <c r="G216" s="1131"/>
      <c r="H216" s="1132"/>
      <c r="I216" s="427" t="s">
        <v>1216</v>
      </c>
      <c r="J216" s="443" t="s">
        <v>1217</v>
      </c>
      <c r="K216" s="444" t="s">
        <v>1218</v>
      </c>
      <c r="L216" s="1133" t="s">
        <v>1199</v>
      </c>
      <c r="M216" s="1000"/>
      <c r="N216" s="445" t="s">
        <v>1200</v>
      </c>
      <c r="O216" s="446"/>
      <c r="P216" s="1"/>
      <c r="Q216" s="1"/>
      <c r="R216" s="1"/>
      <c r="S216" s="1"/>
      <c r="T216" s="1"/>
      <c r="U216" s="1"/>
      <c r="V216" s="1"/>
      <c r="W216" s="1"/>
      <c r="X216" s="1"/>
      <c r="Y216" s="1"/>
      <c r="Z216" s="1"/>
    </row>
    <row r="217" spans="1:26" ht="13.5" customHeight="1">
      <c r="A217" s="395" t="str">
        <f t="array" ref="A217">IF(C217&lt;&gt;0,INDEX(CodMO,MATCH(C217,MO,0),),)</f>
        <v>M.O-05</v>
      </c>
      <c r="B217" s="399"/>
      <c r="C217" s="1128" t="s">
        <v>139</v>
      </c>
      <c r="D217" s="940"/>
      <c r="E217" s="940"/>
      <c r="F217" s="940"/>
      <c r="G217" s="940"/>
      <c r="H217" s="940"/>
      <c r="I217" s="447">
        <f>IF($A217&gt;0,(VLOOKUP($A217,TablaMO,8,FALSE)),"")</f>
        <v>125030.16666666667</v>
      </c>
      <c r="J217" s="448">
        <f>IF($A217&gt;0,(VLOOKUP($A217,TablaMO,10,FALSE)),"")</f>
        <v>0.67071666666666663</v>
      </c>
      <c r="K217" s="447">
        <f>IF($A217&gt;0,(VLOOKUP($A217,TablaMO,11,FALSE)),"")</f>
        <v>208890</v>
      </c>
      <c r="L217" s="1146">
        <v>6</v>
      </c>
      <c r="M217" s="941"/>
      <c r="N217" s="430">
        <f t="shared" ref="N217:N221" si="11">IF(L217&gt;0,K217/L217,"")</f>
        <v>34815</v>
      </c>
      <c r="O217" s="449"/>
      <c r="P217" s="1"/>
      <c r="Q217" s="1"/>
      <c r="R217" s="1"/>
      <c r="S217" s="1"/>
      <c r="T217" s="1"/>
      <c r="U217" s="1"/>
      <c r="V217" s="1"/>
      <c r="W217" s="1"/>
      <c r="X217" s="1"/>
      <c r="Y217" s="1"/>
      <c r="Z217" s="1"/>
    </row>
    <row r="218" spans="1:26" ht="13.5" customHeight="1">
      <c r="A218" s="395" t="str">
        <f t="array" ref="A218">IF(C218&lt;&gt;0,INDEX(CodMO,MATCH(C218,MO,0),),)</f>
        <v>M.O-01</v>
      </c>
      <c r="B218" s="399"/>
      <c r="C218" s="1128" t="s">
        <v>130</v>
      </c>
      <c r="D218" s="940"/>
      <c r="E218" s="940"/>
      <c r="F218" s="940"/>
      <c r="G218" s="940"/>
      <c r="H218" s="940"/>
      <c r="I218" s="447">
        <f>IF($A218&gt;0,(VLOOKUP($A218,TablaMO,8,FALSE)),"")</f>
        <v>72503.016666666677</v>
      </c>
      <c r="J218" s="448">
        <f>IF($A218&gt;0,(VLOOKUP($A218,TablaMO,10,FALSE)),"")</f>
        <v>0.67071666666666663</v>
      </c>
      <c r="K218" s="447">
        <f>IF($A218&gt;0,(VLOOKUP($A218,TablaMO,11,FALSE)),"")</f>
        <v>121132</v>
      </c>
      <c r="L218" s="1146">
        <f>L217</f>
        <v>6</v>
      </c>
      <c r="M218" s="941"/>
      <c r="N218" s="430">
        <f t="shared" si="11"/>
        <v>20188.666666666668</v>
      </c>
      <c r="O218" s="449"/>
      <c r="P218" s="1"/>
      <c r="Q218" s="1"/>
      <c r="R218" s="1"/>
      <c r="S218" s="1"/>
      <c r="T218" s="1"/>
      <c r="U218" s="1"/>
      <c r="V218" s="1"/>
      <c r="W218" s="1"/>
      <c r="X218" s="1"/>
      <c r="Y218" s="1"/>
      <c r="Z218" s="1"/>
    </row>
    <row r="219" spans="1:26" ht="13.5" customHeight="1">
      <c r="A219" s="395" t="str">
        <f t="array" ref="A219">IF(C219&lt;&gt;0,INDEX(CodMO,MATCH(C219,MO,0),),)</f>
        <v>M.O-02</v>
      </c>
      <c r="B219" s="399"/>
      <c r="C219" s="1128" t="s">
        <v>133</v>
      </c>
      <c r="D219" s="940"/>
      <c r="E219" s="940"/>
      <c r="F219" s="940"/>
      <c r="G219" s="940"/>
      <c r="H219" s="940"/>
      <c r="I219" s="447">
        <f>IF($A219&gt;0,(VLOOKUP($A219,TablaMO,8,FALSE)),"")</f>
        <v>72503.016666666677</v>
      </c>
      <c r="J219" s="448">
        <f>IF($A219&gt;0,(VLOOKUP($A219,TablaMO,10,FALSE)),"")</f>
        <v>0.67071666666666663</v>
      </c>
      <c r="K219" s="447">
        <f>IF($A219&gt;0,(VLOOKUP($A219,TablaMO,11,FALSE)),"")</f>
        <v>121132</v>
      </c>
      <c r="L219" s="1146">
        <f t="shared" ref="L219:L220" si="12">L217</f>
        <v>6</v>
      </c>
      <c r="M219" s="941"/>
      <c r="N219" s="430">
        <f t="shared" si="11"/>
        <v>20188.666666666668</v>
      </c>
      <c r="O219" s="449"/>
      <c r="P219" s="1"/>
      <c r="Q219" s="1"/>
      <c r="R219" s="1"/>
      <c r="S219" s="1"/>
      <c r="T219" s="1"/>
      <c r="U219" s="1"/>
      <c r="V219" s="1"/>
      <c r="W219" s="1"/>
      <c r="X219" s="1"/>
      <c r="Y219" s="1"/>
      <c r="Z219" s="1"/>
    </row>
    <row r="220" spans="1:26" ht="13.5" customHeight="1">
      <c r="A220" s="395" t="str">
        <f t="array" ref="A220">IF(C220&lt;&gt;0,INDEX(CodMO,MATCH(C220,MO,0),),)</f>
        <v>M.O-03</v>
      </c>
      <c r="B220" s="399"/>
      <c r="C220" s="1128" t="s">
        <v>135</v>
      </c>
      <c r="D220" s="940"/>
      <c r="E220" s="940"/>
      <c r="F220" s="940"/>
      <c r="G220" s="940"/>
      <c r="H220" s="940"/>
      <c r="I220" s="447">
        <f>IF($A220&gt;0,(VLOOKUP($A220,TablaMO,8,FALSE)),"")</f>
        <v>72503.016666666677</v>
      </c>
      <c r="J220" s="448">
        <f>IF($A220&gt;0,(VLOOKUP($A220,TablaMO,10,FALSE)),"")</f>
        <v>0.67071666666666663</v>
      </c>
      <c r="K220" s="447">
        <f>IF($A220&gt;0,(VLOOKUP($A220,TablaMO,11,FALSE)),"")</f>
        <v>121132</v>
      </c>
      <c r="L220" s="1146">
        <f t="shared" si="12"/>
        <v>6</v>
      </c>
      <c r="M220" s="941"/>
      <c r="N220" s="430">
        <f t="shared" si="11"/>
        <v>20188.666666666668</v>
      </c>
      <c r="O220" s="449"/>
      <c r="P220" s="1"/>
      <c r="Q220" s="1"/>
      <c r="R220" s="1"/>
      <c r="S220" s="1"/>
      <c r="T220" s="1"/>
      <c r="U220" s="1"/>
      <c r="V220" s="1"/>
      <c r="W220" s="1"/>
      <c r="X220" s="1"/>
      <c r="Y220" s="1"/>
      <c r="Z220" s="1"/>
    </row>
    <row r="221" spans="1:26" ht="13.5" customHeight="1">
      <c r="A221" s="395" t="str">
        <f t="array" ref="A221">IF(C221&lt;&gt;0,INDEX(CodMO,MATCH(C221,MO,0),),)</f>
        <v>M.O-04</v>
      </c>
      <c r="B221" s="399"/>
      <c r="C221" s="1152" t="s">
        <v>137</v>
      </c>
      <c r="D221" s="945"/>
      <c r="E221" s="945"/>
      <c r="F221" s="945"/>
      <c r="G221" s="945"/>
      <c r="H221" s="945"/>
      <c r="I221" s="447">
        <f>IF($A221&gt;0,(VLOOKUP($A221,TablaMO,8,FALSE)),"")</f>
        <v>72503.016666666677</v>
      </c>
      <c r="J221" s="448">
        <f>IF($A221&gt;0,(VLOOKUP($A221,TablaMO,10,FALSE)),"")</f>
        <v>0.67071666666666663</v>
      </c>
      <c r="K221" s="447">
        <f>IF($A221&gt;0,(VLOOKUP($A221,TablaMO,11,FALSE)),"")</f>
        <v>121132</v>
      </c>
      <c r="L221" s="1146">
        <f>L217</f>
        <v>6</v>
      </c>
      <c r="M221" s="941"/>
      <c r="N221" s="430">
        <f t="shared" si="11"/>
        <v>20188.666666666668</v>
      </c>
      <c r="O221" s="449"/>
      <c r="P221" s="1"/>
      <c r="Q221" s="1"/>
      <c r="R221" s="1"/>
      <c r="S221" s="1"/>
      <c r="T221" s="1"/>
      <c r="U221" s="1"/>
      <c r="V221" s="1"/>
      <c r="W221" s="1"/>
      <c r="X221" s="1"/>
      <c r="Y221" s="1"/>
      <c r="Z221" s="1"/>
    </row>
    <row r="222" spans="1:26" ht="13.5" customHeight="1">
      <c r="A222" s="395"/>
      <c r="B222" s="399"/>
      <c r="C222" s="1127" t="s">
        <v>1202</v>
      </c>
      <c r="D222" s="965"/>
      <c r="E222" s="965"/>
      <c r="F222" s="965"/>
      <c r="G222" s="965"/>
      <c r="H222" s="965"/>
      <c r="I222" s="965"/>
      <c r="J222" s="965"/>
      <c r="K222" s="965"/>
      <c r="L222" s="965"/>
      <c r="M222" s="966"/>
      <c r="N222" s="433">
        <f>+SUM(N217:N221)</f>
        <v>115569.66666666669</v>
      </c>
      <c r="O222" s="431"/>
      <c r="P222" s="1"/>
      <c r="Q222" s="1"/>
      <c r="R222" s="1"/>
      <c r="S222" s="1"/>
      <c r="T222" s="1"/>
      <c r="U222" s="1"/>
      <c r="V222" s="1"/>
      <c r="W222" s="1"/>
      <c r="X222" s="1"/>
      <c r="Y222" s="1"/>
      <c r="Z222" s="1"/>
    </row>
    <row r="223" spans="1:26" ht="13.5" customHeight="1">
      <c r="A223" s="395"/>
      <c r="B223" s="399"/>
      <c r="C223" s="418"/>
      <c r="D223" s="39"/>
      <c r="E223" s="39"/>
      <c r="F223" s="39"/>
      <c r="G223" s="39"/>
      <c r="H223" s="39"/>
      <c r="I223" s="39"/>
      <c r="J223" s="39"/>
      <c r="K223" s="39"/>
      <c r="L223" s="39"/>
      <c r="M223" s="39"/>
      <c r="N223" s="40"/>
      <c r="O223" s="402"/>
      <c r="P223" s="1"/>
      <c r="Q223" s="1"/>
      <c r="R223" s="1"/>
      <c r="S223" s="1"/>
      <c r="T223" s="1"/>
      <c r="U223" s="1"/>
      <c r="V223" s="1"/>
      <c r="W223" s="1"/>
      <c r="X223" s="1"/>
      <c r="Y223" s="1"/>
      <c r="Z223" s="1"/>
    </row>
    <row r="224" spans="1:26" ht="13.5" customHeight="1">
      <c r="A224" s="395"/>
      <c r="B224" s="399"/>
      <c r="C224" s="1147" t="s">
        <v>1219</v>
      </c>
      <c r="D224" s="965"/>
      <c r="E224" s="965"/>
      <c r="F224" s="965"/>
      <c r="G224" s="965"/>
      <c r="H224" s="965"/>
      <c r="I224" s="965"/>
      <c r="J224" s="965"/>
      <c r="K224" s="965"/>
      <c r="L224" s="965"/>
      <c r="M224" s="966"/>
      <c r="N224" s="450" t="e">
        <f>+SUM(N222,N212,N205,N195)</f>
        <v>#N/A</v>
      </c>
      <c r="O224" s="451"/>
      <c r="P224" s="1"/>
      <c r="Q224" s="1"/>
      <c r="R224" s="1"/>
      <c r="S224" s="1"/>
      <c r="T224" s="1"/>
      <c r="U224" s="1"/>
      <c r="V224" s="1"/>
      <c r="W224" s="1"/>
      <c r="X224" s="1"/>
      <c r="Y224" s="1"/>
      <c r="Z224" s="1"/>
    </row>
    <row r="225" spans="1:26" ht="13.5" customHeight="1">
      <c r="A225" s="1"/>
      <c r="B225" s="399"/>
      <c r="C225" s="1129" t="s">
        <v>1220</v>
      </c>
      <c r="D225" s="926"/>
      <c r="E225" s="926"/>
      <c r="F225" s="926"/>
      <c r="G225" s="926"/>
      <c r="H225" s="926"/>
      <c r="I225" s="926"/>
      <c r="J225" s="926"/>
      <c r="K225" s="926"/>
      <c r="L225" s="926"/>
      <c r="M225" s="926"/>
      <c r="N225" s="927"/>
      <c r="O225" s="426"/>
      <c r="P225" s="1"/>
      <c r="Q225" s="1"/>
      <c r="R225" s="1"/>
      <c r="S225" s="1"/>
      <c r="T225" s="1"/>
      <c r="U225" s="1"/>
      <c r="V225" s="1"/>
      <c r="W225" s="1"/>
      <c r="X225" s="1"/>
      <c r="Y225" s="1"/>
      <c r="Z225" s="1"/>
    </row>
    <row r="226" spans="1:26" ht="13.5" customHeight="1">
      <c r="A226" s="1"/>
      <c r="B226" s="399"/>
      <c r="C226" s="920"/>
      <c r="D226" s="922"/>
      <c r="E226" s="922"/>
      <c r="F226" s="922"/>
      <c r="G226" s="922"/>
      <c r="H226" s="922"/>
      <c r="I226" s="922"/>
      <c r="J226" s="922"/>
      <c r="K226" s="922"/>
      <c r="L226" s="922"/>
      <c r="M226" s="922"/>
      <c r="N226" s="924"/>
      <c r="O226" s="426"/>
      <c r="P226" s="1"/>
      <c r="Q226" s="1"/>
      <c r="R226" s="1"/>
      <c r="S226" s="1"/>
      <c r="T226" s="1"/>
      <c r="U226" s="1"/>
      <c r="V226" s="1"/>
      <c r="W226" s="1"/>
      <c r="X226" s="1"/>
      <c r="Y226" s="1"/>
      <c r="Z226" s="1"/>
    </row>
    <row r="227" spans="1:26" ht="13.5" customHeight="1">
      <c r="A227" s="1"/>
      <c r="B227" s="399"/>
      <c r="C227" s="929"/>
      <c r="D227" s="936"/>
      <c r="E227" s="936"/>
      <c r="F227" s="936"/>
      <c r="G227" s="936"/>
      <c r="H227" s="936"/>
      <c r="I227" s="936"/>
      <c r="J227" s="936"/>
      <c r="K227" s="936"/>
      <c r="L227" s="936"/>
      <c r="M227" s="936"/>
      <c r="N227" s="938"/>
      <c r="O227" s="426"/>
      <c r="P227" s="1"/>
      <c r="Q227" s="1"/>
      <c r="R227" s="1"/>
      <c r="S227" s="1"/>
      <c r="T227" s="1"/>
      <c r="U227" s="1"/>
      <c r="V227" s="1"/>
      <c r="W227" s="1"/>
      <c r="X227" s="1"/>
      <c r="Y227" s="1"/>
      <c r="Z227" s="1"/>
    </row>
    <row r="228" spans="1:26" ht="13.5" customHeight="1">
      <c r="A228" s="1"/>
      <c r="B228" s="399"/>
      <c r="C228" s="1130" t="s">
        <v>1221</v>
      </c>
      <c r="D228" s="1131"/>
      <c r="E228" s="1131"/>
      <c r="F228" s="1131"/>
      <c r="G228" s="1131"/>
      <c r="H228" s="1132"/>
      <c r="I228" s="438"/>
      <c r="J228" s="438"/>
      <c r="K228" s="438"/>
      <c r="L228" s="1133" t="s">
        <v>1222</v>
      </c>
      <c r="M228" s="1000"/>
      <c r="N228" s="445" t="s">
        <v>1223</v>
      </c>
      <c r="O228" s="446"/>
      <c r="P228" s="1"/>
      <c r="Q228" s="1"/>
      <c r="R228" s="1"/>
      <c r="S228" s="1"/>
      <c r="T228" s="1"/>
      <c r="U228" s="1"/>
      <c r="V228" s="1"/>
      <c r="W228" s="1"/>
      <c r="X228" s="1"/>
      <c r="Y228" s="1"/>
      <c r="Z228" s="1"/>
    </row>
    <row r="229" spans="1:26" ht="13.5" customHeight="1">
      <c r="A229" s="1"/>
      <c r="B229" s="399"/>
      <c r="C229" s="1128" t="s">
        <v>19</v>
      </c>
      <c r="D229" s="940"/>
      <c r="E229" s="940"/>
      <c r="F229" s="940"/>
      <c r="G229" s="940"/>
      <c r="H229" s="940"/>
      <c r="I229" s="452"/>
      <c r="J229" s="452"/>
      <c r="K229" s="452"/>
      <c r="L229" s="1148">
        <f>+Datos!$E$18</f>
        <v>0.25</v>
      </c>
      <c r="M229" s="941"/>
      <c r="N229" s="430" t="e">
        <f>+L229*N224</f>
        <v>#N/A</v>
      </c>
      <c r="O229" s="453"/>
      <c r="P229" s="1"/>
      <c r="Q229" s="1"/>
      <c r="R229" s="1"/>
      <c r="S229" s="1"/>
      <c r="T229" s="1"/>
      <c r="U229" s="1"/>
      <c r="V229" s="1"/>
      <c r="W229" s="1"/>
      <c r="X229" s="1"/>
      <c r="Y229" s="1"/>
      <c r="Z229" s="1"/>
    </row>
    <row r="230" spans="1:26" ht="13.5" customHeight="1">
      <c r="A230" s="1"/>
      <c r="B230" s="399"/>
      <c r="C230" s="454" t="s">
        <v>20</v>
      </c>
      <c r="D230" s="455"/>
      <c r="E230" s="455"/>
      <c r="F230" s="455"/>
      <c r="G230" s="455"/>
      <c r="H230" s="455"/>
      <c r="I230" s="452"/>
      <c r="J230" s="452"/>
      <c r="K230" s="452"/>
      <c r="L230" s="1148">
        <f>+Datos!$E$19</f>
        <v>0.01</v>
      </c>
      <c r="M230" s="941"/>
      <c r="N230" s="430" t="e">
        <f>+L230*N224</f>
        <v>#N/A</v>
      </c>
      <c r="O230" s="453"/>
      <c r="P230" s="1"/>
      <c r="Q230" s="1"/>
      <c r="R230" s="1"/>
      <c r="S230" s="1"/>
      <c r="T230" s="1"/>
      <c r="U230" s="1"/>
      <c r="V230" s="1"/>
      <c r="W230" s="1"/>
      <c r="X230" s="1"/>
      <c r="Y230" s="1"/>
      <c r="Z230" s="1"/>
    </row>
    <row r="231" spans="1:26" ht="13.5" customHeight="1">
      <c r="A231" s="1"/>
      <c r="B231" s="399"/>
      <c r="C231" s="456" t="s">
        <v>21</v>
      </c>
      <c r="D231" s="457"/>
      <c r="E231" s="457"/>
      <c r="F231" s="457"/>
      <c r="G231" s="457"/>
      <c r="H231" s="457"/>
      <c r="I231" s="458"/>
      <c r="J231" s="458"/>
      <c r="K231" s="458"/>
      <c r="L231" s="1148">
        <f>+Datos!$E$20</f>
        <v>0.05</v>
      </c>
      <c r="M231" s="941"/>
      <c r="N231" s="430" t="e">
        <f>+L231*N224</f>
        <v>#N/A</v>
      </c>
      <c r="O231" s="453"/>
      <c r="P231" s="1"/>
      <c r="Q231" s="1"/>
      <c r="R231" s="1"/>
      <c r="S231" s="1"/>
      <c r="T231" s="1"/>
      <c r="U231" s="1"/>
      <c r="V231" s="1"/>
      <c r="W231" s="1"/>
      <c r="X231" s="1"/>
      <c r="Y231" s="1"/>
      <c r="Z231" s="1"/>
    </row>
    <row r="232" spans="1:26" ht="13.5" customHeight="1">
      <c r="A232" s="1"/>
      <c r="B232" s="399"/>
      <c r="C232" s="1127" t="s">
        <v>1202</v>
      </c>
      <c r="D232" s="965"/>
      <c r="E232" s="965"/>
      <c r="F232" s="965"/>
      <c r="G232" s="965"/>
      <c r="H232" s="965"/>
      <c r="I232" s="965"/>
      <c r="J232" s="965"/>
      <c r="K232" s="965"/>
      <c r="L232" s="965"/>
      <c r="M232" s="966"/>
      <c r="N232" s="433" t="e">
        <f>+SUM(N229:N231)</f>
        <v>#N/A</v>
      </c>
      <c r="O232" s="453"/>
      <c r="P232" s="1"/>
      <c r="Q232" s="1"/>
      <c r="R232" s="1"/>
      <c r="S232" s="1"/>
      <c r="T232" s="1"/>
      <c r="U232" s="1"/>
      <c r="V232" s="1"/>
      <c r="W232" s="1"/>
      <c r="X232" s="1"/>
      <c r="Y232" s="1"/>
      <c r="Z232" s="1"/>
    </row>
    <row r="233" spans="1:26" ht="13.5" customHeight="1">
      <c r="A233" s="1"/>
      <c r="B233" s="399"/>
      <c r="C233" s="418"/>
      <c r="D233" s="39"/>
      <c r="E233" s="39"/>
      <c r="F233" s="39"/>
      <c r="G233" s="39"/>
      <c r="H233" s="39"/>
      <c r="I233" s="39"/>
      <c r="J233" s="39"/>
      <c r="K233" s="39"/>
      <c r="L233" s="39"/>
      <c r="M233" s="39"/>
      <c r="N233" s="40"/>
      <c r="O233" s="402"/>
      <c r="P233" s="1"/>
      <c r="Q233" s="1"/>
      <c r="R233" s="1"/>
      <c r="S233" s="1"/>
      <c r="T233" s="1"/>
      <c r="U233" s="1"/>
      <c r="V233" s="1"/>
      <c r="W233" s="1"/>
      <c r="X233" s="1"/>
      <c r="Y233" s="1"/>
      <c r="Z233" s="1"/>
    </row>
    <row r="234" spans="1:26" ht="13.5" customHeight="1">
      <c r="A234" s="1"/>
      <c r="B234" s="399"/>
      <c r="C234" s="1147" t="s">
        <v>1224</v>
      </c>
      <c r="D234" s="965"/>
      <c r="E234" s="965"/>
      <c r="F234" s="965"/>
      <c r="G234" s="965"/>
      <c r="H234" s="965"/>
      <c r="I234" s="965"/>
      <c r="J234" s="965"/>
      <c r="K234" s="965"/>
      <c r="L234" s="965"/>
      <c r="M234" s="966"/>
      <c r="N234" s="459" t="e">
        <f>+ROUND(SUM(N232,N224),0)</f>
        <v>#N/A</v>
      </c>
      <c r="O234" s="453"/>
      <c r="P234" s="1"/>
      <c r="Q234" s="1"/>
      <c r="R234" s="1"/>
      <c r="S234" s="1"/>
      <c r="T234" s="1"/>
      <c r="U234" s="1"/>
      <c r="V234" s="1"/>
      <c r="W234" s="1"/>
      <c r="X234" s="1"/>
      <c r="Y234" s="1"/>
      <c r="Z234" s="1"/>
    </row>
    <row r="235" spans="1:26" ht="13.5" customHeight="1">
      <c r="A235" s="1"/>
      <c r="B235" s="399"/>
      <c r="C235" s="460"/>
      <c r="D235" s="461"/>
      <c r="E235" s="461"/>
      <c r="F235" s="461"/>
      <c r="G235" s="461"/>
      <c r="H235" s="461"/>
      <c r="I235" s="461"/>
      <c r="J235" s="461"/>
      <c r="K235" s="461"/>
      <c r="L235" s="461"/>
      <c r="M235" s="461"/>
      <c r="N235" s="462"/>
      <c r="O235" s="402"/>
      <c r="P235" s="1"/>
      <c r="Q235" s="1"/>
      <c r="R235" s="1"/>
      <c r="S235" s="1"/>
      <c r="T235" s="1"/>
      <c r="U235" s="1"/>
      <c r="V235" s="1"/>
      <c r="W235" s="1"/>
      <c r="X235" s="1"/>
      <c r="Y235" s="1"/>
      <c r="Z235" s="1"/>
    </row>
    <row r="236" spans="1:26" ht="13.5" customHeight="1">
      <c r="A236" s="1"/>
      <c r="B236" s="399"/>
      <c r="C236" s="418"/>
      <c r="D236" s="39"/>
      <c r="E236" s="39"/>
      <c r="F236" s="39"/>
      <c r="G236" s="39"/>
      <c r="H236" s="39"/>
      <c r="I236" s="39"/>
      <c r="J236" s="39"/>
      <c r="K236" s="39"/>
      <c r="L236" s="39"/>
      <c r="M236" s="39"/>
      <c r="N236" s="40"/>
      <c r="O236" s="402"/>
      <c r="P236" s="1"/>
      <c r="Q236" s="1"/>
      <c r="R236" s="1"/>
      <c r="S236" s="1"/>
      <c r="T236" s="1"/>
      <c r="U236" s="1"/>
      <c r="V236" s="1"/>
      <c r="W236" s="1"/>
      <c r="X236" s="1"/>
      <c r="Y236" s="1"/>
      <c r="Z236" s="1"/>
    </row>
    <row r="237" spans="1:26" ht="13.5" customHeight="1">
      <c r="A237" s="1"/>
      <c r="B237" s="399"/>
      <c r="C237" s="418"/>
      <c r="D237" s="39"/>
      <c r="E237" s="39"/>
      <c r="F237" s="39"/>
      <c r="G237" s="39"/>
      <c r="H237" s="39"/>
      <c r="I237" s="39"/>
      <c r="J237" s="39"/>
      <c r="K237" s="39"/>
      <c r="L237" s="39"/>
      <c r="M237" s="39"/>
      <c r="N237" s="40"/>
      <c r="O237" s="402"/>
      <c r="P237" s="1"/>
      <c r="Q237" s="1"/>
      <c r="R237" s="1"/>
      <c r="S237" s="1"/>
      <c r="T237" s="1"/>
      <c r="U237" s="1"/>
      <c r="V237" s="1"/>
      <c r="W237" s="1"/>
      <c r="X237" s="1"/>
      <c r="Y237" s="1"/>
      <c r="Z237" s="1"/>
    </row>
    <row r="238" spans="1:26" ht="13.5" customHeight="1">
      <c r="A238" s="1"/>
      <c r="B238" s="399"/>
      <c r="C238" s="418"/>
      <c r="D238" s="463"/>
      <c r="E238" s="463"/>
      <c r="F238" s="463"/>
      <c r="G238" s="184"/>
      <c r="H238" s="184"/>
      <c r="I238" s="184"/>
      <c r="J238" s="463"/>
      <c r="K238" s="463"/>
      <c r="L238" s="463"/>
      <c r="M238" s="463"/>
      <c r="N238" s="40"/>
      <c r="O238" s="402"/>
      <c r="P238" s="1"/>
      <c r="Q238" s="1"/>
      <c r="R238" s="1"/>
      <c r="S238" s="1"/>
      <c r="T238" s="1"/>
      <c r="U238" s="1"/>
      <c r="V238" s="1"/>
      <c r="W238" s="1"/>
      <c r="X238" s="1"/>
      <c r="Y238" s="1"/>
      <c r="Z238" s="1"/>
    </row>
    <row r="239" spans="1:26" ht="13.5" customHeight="1">
      <c r="A239" s="1"/>
      <c r="B239" s="399"/>
      <c r="C239" s="418"/>
      <c r="D239" s="39" t="s">
        <v>1225</v>
      </c>
      <c r="E239" s="39"/>
      <c r="F239" s="39"/>
      <c r="G239" s="184"/>
      <c r="H239" s="184"/>
      <c r="I239" s="184"/>
      <c r="J239" s="39" t="s">
        <v>1225</v>
      </c>
      <c r="K239" s="39"/>
      <c r="L239" s="39"/>
      <c r="M239" s="39"/>
      <c r="N239" s="40"/>
      <c r="O239" s="464"/>
      <c r="P239" s="1"/>
      <c r="Q239" s="1"/>
      <c r="R239" s="1"/>
      <c r="S239" s="1"/>
      <c r="T239" s="1"/>
      <c r="U239" s="1"/>
      <c r="V239" s="1"/>
      <c r="W239" s="1"/>
      <c r="X239" s="1"/>
      <c r="Y239" s="1"/>
      <c r="Z239" s="1"/>
    </row>
    <row r="240" spans="1:26" ht="13.5" customHeight="1">
      <c r="A240" s="1"/>
      <c r="B240" s="399"/>
      <c r="C240" s="418"/>
      <c r="D240" s="39" t="s">
        <v>1226</v>
      </c>
      <c r="E240" s="39"/>
      <c r="F240" s="39"/>
      <c r="G240" s="184"/>
      <c r="H240" s="184"/>
      <c r="I240" s="184"/>
      <c r="J240" s="39" t="s">
        <v>1227</v>
      </c>
      <c r="K240" s="39"/>
      <c r="L240" s="39"/>
      <c r="M240" s="39"/>
      <c r="N240" s="40"/>
      <c r="O240" s="464"/>
      <c r="P240" s="1"/>
      <c r="Q240" s="1"/>
      <c r="R240" s="1"/>
      <c r="S240" s="1"/>
      <c r="T240" s="1"/>
      <c r="U240" s="1"/>
      <c r="V240" s="1"/>
      <c r="W240" s="1"/>
      <c r="X240" s="1"/>
      <c r="Y240" s="1"/>
      <c r="Z240" s="1"/>
    </row>
    <row r="241" spans="1:26" ht="13.5" customHeight="1">
      <c r="A241" s="1"/>
      <c r="B241" s="399"/>
      <c r="C241" s="404"/>
      <c r="D241" s="39" t="s">
        <v>1228</v>
      </c>
      <c r="E241" s="42"/>
      <c r="F241" s="42"/>
      <c r="G241" s="184"/>
      <c r="H241" s="184"/>
      <c r="I241" s="184"/>
      <c r="J241" s="39" t="s">
        <v>1228</v>
      </c>
      <c r="K241" s="42"/>
      <c r="L241" s="42"/>
      <c r="M241" s="42"/>
      <c r="N241" s="43"/>
      <c r="O241" s="465"/>
      <c r="P241" s="1"/>
      <c r="Q241" s="1"/>
      <c r="R241" s="1"/>
      <c r="S241" s="1"/>
      <c r="T241" s="1"/>
      <c r="U241" s="1"/>
      <c r="V241" s="1"/>
      <c r="W241" s="1"/>
      <c r="X241" s="1"/>
      <c r="Y241" s="1"/>
      <c r="Z241" s="1"/>
    </row>
    <row r="242" spans="1:26" ht="13.5" customHeight="1">
      <c r="A242" s="1"/>
      <c r="B242" s="399"/>
      <c r="C242" s="418"/>
      <c r="D242" s="39"/>
      <c r="E242" s="39"/>
      <c r="F242" s="39"/>
      <c r="G242" s="39" t="s">
        <v>1229</v>
      </c>
      <c r="H242" s="39"/>
      <c r="I242" s="39"/>
      <c r="J242" s="39"/>
      <c r="K242" s="39"/>
      <c r="L242" s="39"/>
      <c r="M242" s="39"/>
      <c r="N242" s="40"/>
      <c r="O242" s="402"/>
      <c r="P242" s="1"/>
      <c r="Q242" s="1"/>
      <c r="R242" s="1"/>
      <c r="S242" s="1"/>
      <c r="T242" s="1"/>
      <c r="U242" s="1"/>
      <c r="V242" s="1"/>
      <c r="W242" s="1"/>
      <c r="X242" s="1"/>
      <c r="Y242" s="1"/>
      <c r="Z242" s="1"/>
    </row>
    <row r="243" spans="1:26" ht="13.5" customHeight="1">
      <c r="A243" s="1"/>
      <c r="B243" s="399"/>
      <c r="C243" s="466"/>
      <c r="D243" s="467"/>
      <c r="E243" s="467"/>
      <c r="F243" s="39"/>
      <c r="G243" s="39"/>
      <c r="H243" s="39"/>
      <c r="I243" s="39"/>
      <c r="J243" s="1149"/>
      <c r="K243" s="922"/>
      <c r="L243" s="922"/>
      <c r="M243" s="922"/>
      <c r="N243" s="924"/>
      <c r="O243" s="468"/>
      <c r="P243" s="1"/>
      <c r="Q243" s="1"/>
      <c r="R243" s="1"/>
      <c r="S243" s="1"/>
      <c r="T243" s="1"/>
      <c r="U243" s="1"/>
      <c r="V243" s="1"/>
      <c r="W243" s="1"/>
      <c r="X243" s="1"/>
      <c r="Y243" s="1"/>
      <c r="Z243" s="1"/>
    </row>
    <row r="244" spans="1:26" ht="13.5" customHeight="1">
      <c r="A244" s="1"/>
      <c r="B244" s="399"/>
      <c r="C244" s="1150"/>
      <c r="D244" s="936"/>
      <c r="E244" s="936"/>
      <c r="F244" s="416"/>
      <c r="G244" s="416"/>
      <c r="H244" s="416"/>
      <c r="I244" s="416"/>
      <c r="J244" s="936"/>
      <c r="K244" s="936"/>
      <c r="L244" s="936"/>
      <c r="M244" s="936"/>
      <c r="N244" s="938"/>
      <c r="O244" s="468"/>
      <c r="P244" s="1"/>
      <c r="Q244" s="1"/>
      <c r="R244" s="1"/>
      <c r="S244" s="1"/>
      <c r="T244" s="1"/>
      <c r="U244" s="1"/>
      <c r="V244" s="1"/>
      <c r="W244" s="1"/>
      <c r="X244" s="1"/>
      <c r="Y244" s="1"/>
      <c r="Z244" s="1"/>
    </row>
    <row r="245" spans="1:26" ht="13.5" customHeight="1">
      <c r="A245" s="1"/>
      <c r="B245" s="469"/>
      <c r="C245" s="470"/>
      <c r="D245" s="470"/>
      <c r="E245" s="470"/>
      <c r="F245" s="470"/>
      <c r="G245" s="470"/>
      <c r="H245" s="470"/>
      <c r="I245" s="470"/>
      <c r="J245" s="470"/>
      <c r="K245" s="470"/>
      <c r="L245" s="470"/>
      <c r="M245" s="470"/>
      <c r="N245" s="470"/>
      <c r="O245" s="471"/>
      <c r="P245" s="1"/>
      <c r="Q245" s="1"/>
      <c r="R245" s="1"/>
      <c r="S245" s="1"/>
      <c r="T245" s="1"/>
      <c r="U245" s="1"/>
      <c r="V245" s="1"/>
      <c r="W245" s="1"/>
      <c r="X245" s="1"/>
      <c r="Y245" s="1"/>
      <c r="Z245" s="1"/>
    </row>
    <row r="246" spans="1:26" ht="13.5" customHeight="1">
      <c r="A246" s="1"/>
      <c r="B246" s="184"/>
      <c r="C246" s="184"/>
      <c r="D246" s="184"/>
      <c r="E246" s="184"/>
      <c r="F246" s="184"/>
      <c r="G246" s="184"/>
      <c r="H246" s="184"/>
      <c r="I246" s="184"/>
      <c r="J246" s="184"/>
      <c r="K246" s="184"/>
      <c r="L246" s="184"/>
      <c r="M246" s="184"/>
      <c r="N246" s="184"/>
      <c r="O246" s="184"/>
      <c r="P246" s="1"/>
      <c r="Q246" s="1"/>
      <c r="R246" s="1"/>
      <c r="S246" s="1"/>
      <c r="T246" s="1"/>
      <c r="U246" s="1"/>
      <c r="V246" s="1"/>
      <c r="W246" s="1"/>
      <c r="X246" s="1"/>
      <c r="Y246" s="1"/>
      <c r="Z246" s="1"/>
    </row>
    <row r="247" spans="1:26" ht="13.5" customHeight="1">
      <c r="A247" s="1"/>
      <c r="B247" s="184"/>
      <c r="C247" s="184"/>
      <c r="D247" s="184"/>
      <c r="E247" s="184"/>
      <c r="F247" s="184"/>
      <c r="G247" s="184"/>
      <c r="H247" s="184"/>
      <c r="I247" s="184"/>
      <c r="J247" s="184"/>
      <c r="K247" s="184"/>
      <c r="L247" s="184"/>
      <c r="M247" s="184"/>
      <c r="N247" s="184"/>
      <c r="O247" s="184"/>
      <c r="P247" s="1"/>
      <c r="Q247" s="1"/>
      <c r="R247" s="1"/>
      <c r="S247" s="1"/>
      <c r="T247" s="1"/>
      <c r="U247" s="1"/>
      <c r="V247" s="1"/>
      <c r="W247" s="1"/>
      <c r="X247" s="1"/>
      <c r="Y247" s="1"/>
      <c r="Z247" s="1"/>
    </row>
    <row r="248" spans="1:26" ht="13.5" customHeight="1">
      <c r="A248" s="1"/>
      <c r="B248" s="184"/>
      <c r="C248" s="184"/>
      <c r="D248" s="184"/>
      <c r="E248" s="184"/>
      <c r="F248" s="184"/>
      <c r="G248" s="184"/>
      <c r="H248" s="184"/>
      <c r="I248" s="184"/>
      <c r="J248" s="184"/>
      <c r="K248" s="184"/>
      <c r="L248" s="184"/>
      <c r="M248" s="184"/>
      <c r="N248" s="184"/>
      <c r="O248" s="184"/>
      <c r="P248" s="1"/>
      <c r="Q248" s="1"/>
      <c r="R248" s="1"/>
      <c r="S248" s="1"/>
      <c r="T248" s="1"/>
      <c r="U248" s="1"/>
      <c r="V248" s="1"/>
      <c r="W248" s="1"/>
      <c r="X248" s="1"/>
      <c r="Y248" s="1"/>
      <c r="Z248" s="1"/>
    </row>
    <row r="249" spans="1:26" ht="13.5" customHeight="1">
      <c r="A249" s="1"/>
      <c r="B249" s="184"/>
      <c r="C249" s="184"/>
      <c r="D249" s="184"/>
      <c r="E249" s="184"/>
      <c r="F249" s="184"/>
      <c r="G249" s="184"/>
      <c r="H249" s="184"/>
      <c r="I249" s="184"/>
      <c r="J249" s="184"/>
      <c r="K249" s="184"/>
      <c r="L249" s="184"/>
      <c r="M249" s="184"/>
      <c r="N249" s="184"/>
      <c r="O249" s="184"/>
      <c r="P249" s="1"/>
      <c r="Q249" s="1"/>
      <c r="R249" s="1"/>
      <c r="S249" s="1"/>
      <c r="T249" s="1"/>
      <c r="U249" s="1"/>
      <c r="V249" s="1"/>
      <c r="W249" s="1"/>
      <c r="X249" s="1"/>
      <c r="Y249" s="1"/>
      <c r="Z249" s="1"/>
    </row>
    <row r="250" spans="1:26" ht="13.5" customHeight="1">
      <c r="A250" s="1"/>
      <c r="B250" s="396"/>
      <c r="C250" s="397"/>
      <c r="D250" s="397"/>
      <c r="E250" s="397"/>
      <c r="F250" s="397"/>
      <c r="G250" s="397"/>
      <c r="H250" s="397"/>
      <c r="I250" s="397"/>
      <c r="J250" s="397"/>
      <c r="K250" s="397"/>
      <c r="L250" s="397"/>
      <c r="M250" s="397"/>
      <c r="N250" s="397"/>
      <c r="O250" s="398"/>
      <c r="P250" s="1"/>
      <c r="Q250" s="1"/>
      <c r="R250" s="1"/>
      <c r="S250" s="1"/>
      <c r="T250" s="1"/>
      <c r="U250" s="1"/>
      <c r="V250" s="1"/>
      <c r="W250" s="1"/>
      <c r="X250" s="1"/>
      <c r="Y250" s="1"/>
      <c r="Z250" s="1"/>
    </row>
    <row r="251" spans="1:26" ht="13.5" customHeight="1">
      <c r="A251" s="1"/>
      <c r="B251" s="399"/>
      <c r="C251" s="400"/>
      <c r="D251" s="401"/>
      <c r="E251" s="400"/>
      <c r="F251" s="184"/>
      <c r="G251" s="184"/>
      <c r="H251" s="184"/>
      <c r="I251" s="184"/>
      <c r="J251" s="184"/>
      <c r="K251" s="184"/>
      <c r="L251" s="184"/>
      <c r="M251" s="184"/>
      <c r="N251" s="184"/>
      <c r="O251" s="402"/>
      <c r="P251" s="1"/>
      <c r="Q251" s="1"/>
      <c r="R251" s="1"/>
      <c r="S251" s="1"/>
      <c r="T251" s="1"/>
      <c r="U251" s="1"/>
      <c r="V251" s="1"/>
      <c r="W251" s="1"/>
      <c r="X251" s="1"/>
      <c r="Y251" s="1"/>
      <c r="Z251" s="1"/>
    </row>
    <row r="252" spans="1:26" ht="13.5" customHeight="1">
      <c r="A252" s="1"/>
      <c r="B252" s="399"/>
      <c r="C252" s="39"/>
      <c r="D252" s="39"/>
      <c r="E252" s="39"/>
      <c r="F252" s="39"/>
      <c r="G252" s="39"/>
      <c r="H252" s="39"/>
      <c r="I252" s="39"/>
      <c r="J252" s="39"/>
      <c r="K252" s="39"/>
      <c r="L252" s="39"/>
      <c r="M252" s="39"/>
      <c r="N252" s="39"/>
      <c r="O252" s="402"/>
      <c r="P252" s="1"/>
      <c r="Q252" s="1"/>
      <c r="R252" s="1"/>
      <c r="S252" s="1"/>
      <c r="T252" s="1"/>
      <c r="U252" s="1"/>
      <c r="V252" s="1"/>
      <c r="W252" s="1"/>
      <c r="X252" s="1"/>
      <c r="Y252" s="1"/>
      <c r="Z252" s="1"/>
    </row>
    <row r="253" spans="1:26" ht="13.5" customHeight="1">
      <c r="A253" s="1"/>
      <c r="B253" s="399"/>
      <c r="C253" s="1124"/>
      <c r="D253" s="927"/>
      <c r="E253" s="1014" t="str">
        <f>+Datos!$C$9</f>
        <v>CONSEJO SUPERIOR  DE  JUDICATURA– DIRECCIÓN  EJECUTIVA  SECCIONAL  DE ADMINISTRACIÓN JUDICIAL DE BUCARAMANGA</v>
      </c>
      <c r="F253" s="926"/>
      <c r="G253" s="926"/>
      <c r="H253" s="926"/>
      <c r="I253" s="926"/>
      <c r="J253" s="926"/>
      <c r="K253" s="927"/>
      <c r="L253" s="925" t="s">
        <v>1</v>
      </c>
      <c r="M253" s="931"/>
      <c r="N253" s="933">
        <f>Datos!$C$4</f>
        <v>1</v>
      </c>
      <c r="O253" s="403"/>
      <c r="P253" s="1"/>
      <c r="Q253" s="1"/>
      <c r="R253" s="1"/>
      <c r="S253" s="1"/>
      <c r="T253" s="1"/>
      <c r="U253" s="1"/>
      <c r="V253" s="1"/>
      <c r="W253" s="1"/>
      <c r="X253" s="1"/>
      <c r="Y253" s="1"/>
      <c r="Z253" s="1"/>
    </row>
    <row r="254" spans="1:26" ht="13.5" customHeight="1">
      <c r="A254" s="1"/>
      <c r="B254" s="399"/>
      <c r="C254" s="920"/>
      <c r="D254" s="924"/>
      <c r="E254" s="920"/>
      <c r="F254" s="922"/>
      <c r="G254" s="922"/>
      <c r="H254" s="922"/>
      <c r="I254" s="922"/>
      <c r="J254" s="922"/>
      <c r="K254" s="924"/>
      <c r="L254" s="920"/>
      <c r="M254" s="932"/>
      <c r="N254" s="934"/>
      <c r="O254" s="403"/>
      <c r="P254" s="1"/>
      <c r="Q254" s="1"/>
      <c r="R254" s="1"/>
      <c r="S254" s="1"/>
      <c r="T254" s="1"/>
      <c r="U254" s="1"/>
      <c r="V254" s="1"/>
      <c r="W254" s="1"/>
      <c r="X254" s="1"/>
      <c r="Y254" s="1"/>
      <c r="Z254" s="1"/>
    </row>
    <row r="255" spans="1:26" ht="13.5" customHeight="1">
      <c r="A255" s="1"/>
      <c r="B255" s="399"/>
      <c r="C255" s="920"/>
      <c r="D255" s="924"/>
      <c r="E255" s="919" t="str">
        <f>Datos!$C$13</f>
        <v xml:space="preserve">BGA - 030 - 2026 </v>
      </c>
      <c r="F255" s="922"/>
      <c r="G255" s="922"/>
      <c r="H255" s="922"/>
      <c r="I255" s="922"/>
      <c r="J255" s="922"/>
      <c r="K255" s="922"/>
      <c r="L255" s="925" t="s">
        <v>29</v>
      </c>
      <c r="M255" s="926"/>
      <c r="N255" s="927"/>
      <c r="O255" s="403"/>
      <c r="P255" s="1"/>
      <c r="Q255" s="1"/>
      <c r="R255" s="1"/>
      <c r="S255" s="1"/>
      <c r="T255" s="1"/>
      <c r="U255" s="1"/>
      <c r="V255" s="1"/>
      <c r="W255" s="1"/>
      <c r="X255" s="1"/>
      <c r="Y255" s="1"/>
      <c r="Z255" s="1"/>
    </row>
    <row r="256" spans="1:26" ht="13.5" customHeight="1">
      <c r="A256" s="1"/>
      <c r="B256" s="399"/>
      <c r="C256" s="920"/>
      <c r="D256" s="924"/>
      <c r="E256" s="405"/>
      <c r="F256" s="406"/>
      <c r="G256" s="406"/>
      <c r="H256" s="406"/>
      <c r="I256" s="406"/>
      <c r="J256" s="406"/>
      <c r="K256" s="42"/>
      <c r="L256" s="919">
        <v>1</v>
      </c>
      <c r="M256" s="921" t="s">
        <v>30</v>
      </c>
      <c r="N256" s="923">
        <v>1</v>
      </c>
      <c r="O256" s="403"/>
      <c r="P256" s="1"/>
      <c r="Q256" s="1"/>
      <c r="R256" s="1"/>
      <c r="S256" s="1"/>
      <c r="T256" s="1"/>
      <c r="U256" s="1"/>
      <c r="V256" s="1"/>
      <c r="W256" s="1"/>
      <c r="X256" s="1"/>
      <c r="Y256" s="1"/>
      <c r="Z256" s="1"/>
    </row>
    <row r="257" spans="1:26" ht="12.75" customHeight="1">
      <c r="A257" s="1"/>
      <c r="B257" s="399"/>
      <c r="C257" s="920"/>
      <c r="D257" s="924"/>
      <c r="E257"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57" s="922"/>
      <c r="G257" s="922"/>
      <c r="H257" s="922"/>
      <c r="I257" s="922"/>
      <c r="J257" s="922"/>
      <c r="K257" s="922"/>
      <c r="L257" s="920"/>
      <c r="M257" s="922"/>
      <c r="N257" s="924"/>
      <c r="O257" s="403"/>
      <c r="P257" s="184"/>
      <c r="Q257" s="1"/>
      <c r="R257" s="1"/>
      <c r="S257" s="1"/>
      <c r="T257" s="1"/>
      <c r="U257" s="1"/>
      <c r="V257" s="1"/>
      <c r="W257" s="1"/>
      <c r="X257" s="1"/>
      <c r="Y257" s="1"/>
      <c r="Z257" s="1"/>
    </row>
    <row r="258" spans="1:26" ht="13.5" customHeight="1">
      <c r="A258" s="1"/>
      <c r="B258" s="399"/>
      <c r="C258" s="920"/>
      <c r="D258" s="924"/>
      <c r="E258" s="920"/>
      <c r="F258" s="922"/>
      <c r="G258" s="922"/>
      <c r="H258" s="922"/>
      <c r="I258" s="922"/>
      <c r="J258" s="922"/>
      <c r="K258" s="922"/>
      <c r="L258" s="925" t="s">
        <v>2</v>
      </c>
      <c r="M258" s="926"/>
      <c r="N258" s="927"/>
      <c r="O258" s="403"/>
      <c r="P258" s="184"/>
      <c r="Q258" s="1"/>
      <c r="R258" s="1"/>
      <c r="S258" s="1"/>
      <c r="T258" s="1"/>
      <c r="U258" s="1"/>
      <c r="V258" s="1"/>
      <c r="W258" s="1"/>
      <c r="X258" s="1"/>
      <c r="Y258" s="1"/>
      <c r="Z258" s="1"/>
    </row>
    <row r="259" spans="1:26" ht="13.5" customHeight="1">
      <c r="A259" s="1"/>
      <c r="B259" s="399"/>
      <c r="C259" s="920"/>
      <c r="D259" s="924"/>
      <c r="E259" s="407"/>
      <c r="F259" s="216"/>
      <c r="G259" s="216"/>
      <c r="H259" s="216"/>
      <c r="I259" s="216"/>
      <c r="J259" s="216"/>
      <c r="K259" s="216"/>
      <c r="L259" s="408" t="s">
        <v>3</v>
      </c>
      <c r="M259" s="409" t="s">
        <v>4</v>
      </c>
      <c r="N259" s="410" t="s">
        <v>5</v>
      </c>
      <c r="O259" s="403"/>
      <c r="P259" s="184"/>
      <c r="Q259" s="1"/>
      <c r="R259" s="1"/>
      <c r="S259" s="1"/>
      <c r="T259" s="1"/>
      <c r="U259" s="1"/>
      <c r="V259" s="1"/>
      <c r="W259" s="1"/>
      <c r="X259" s="1"/>
      <c r="Y259" s="1"/>
      <c r="Z259" s="1"/>
    </row>
    <row r="260" spans="1:26" ht="13.5" customHeight="1">
      <c r="A260" s="1"/>
      <c r="B260" s="399"/>
      <c r="C260" s="920"/>
      <c r="D260" s="924"/>
      <c r="E260" s="1125" t="s">
        <v>1186</v>
      </c>
      <c r="F260" s="945"/>
      <c r="G260" s="945"/>
      <c r="H260" s="945"/>
      <c r="I260" s="945"/>
      <c r="J260" s="945"/>
      <c r="K260" s="945"/>
      <c r="L260" s="928">
        <f>+Datos!C171</f>
        <v>0</v>
      </c>
      <c r="M260" s="935">
        <f>+Datos!D171</f>
        <v>0</v>
      </c>
      <c r="N260" s="937">
        <f>+Datos!E171</f>
        <v>0</v>
      </c>
      <c r="O260" s="411"/>
      <c r="P260" s="184"/>
      <c r="Q260" s="1"/>
      <c r="R260" s="1"/>
      <c r="S260" s="1"/>
      <c r="T260" s="1"/>
      <c r="U260" s="1"/>
      <c r="V260" s="1"/>
      <c r="W260" s="1"/>
      <c r="X260" s="1"/>
      <c r="Y260" s="1"/>
      <c r="Z260" s="1"/>
    </row>
    <row r="261" spans="1:26" ht="13.5" customHeight="1">
      <c r="A261" s="1"/>
      <c r="B261" s="399"/>
      <c r="C261" s="929"/>
      <c r="D261" s="938"/>
      <c r="E261" s="929"/>
      <c r="F261" s="936"/>
      <c r="G261" s="936"/>
      <c r="H261" s="936"/>
      <c r="I261" s="936"/>
      <c r="J261" s="936"/>
      <c r="K261" s="936"/>
      <c r="L261" s="929"/>
      <c r="M261" s="936"/>
      <c r="N261" s="938"/>
      <c r="O261" s="403"/>
      <c r="P261" s="184"/>
      <c r="Q261" s="1"/>
      <c r="R261" s="1"/>
      <c r="S261" s="1"/>
      <c r="T261" s="1"/>
      <c r="U261" s="1"/>
      <c r="V261" s="1"/>
      <c r="W261" s="1"/>
      <c r="X261" s="1"/>
      <c r="Y261" s="1"/>
      <c r="Z261" s="1"/>
    </row>
    <row r="262" spans="1:26" ht="13.5" customHeight="1">
      <c r="A262" s="1"/>
      <c r="B262" s="399"/>
      <c r="C262" s="404"/>
      <c r="D262" s="38"/>
      <c r="E262" s="38"/>
      <c r="F262" s="38"/>
      <c r="G262" s="38"/>
      <c r="H262" s="38"/>
      <c r="I262" s="38"/>
      <c r="J262" s="38"/>
      <c r="K262" s="38"/>
      <c r="L262" s="39"/>
      <c r="M262" s="39"/>
      <c r="N262" s="40"/>
      <c r="O262" s="414"/>
      <c r="P262" s="184"/>
      <c r="Q262" s="1"/>
      <c r="R262" s="1"/>
      <c r="S262" s="1"/>
      <c r="T262" s="1"/>
      <c r="U262" s="1"/>
      <c r="V262" s="1"/>
      <c r="W262" s="1"/>
      <c r="X262" s="1"/>
      <c r="Y262" s="1"/>
      <c r="Z262" s="1"/>
    </row>
    <row r="263" spans="1:26" ht="18" customHeight="1">
      <c r="A263" s="1"/>
      <c r="B263" s="399"/>
      <c r="C263" s="412" t="s">
        <v>1187</v>
      </c>
      <c r="D263" s="1126" t="s">
        <v>1188</v>
      </c>
      <c r="E263" s="922"/>
      <c r="F263" s="922"/>
      <c r="G263" s="922"/>
      <c r="H263" s="922"/>
      <c r="I263" s="922"/>
      <c r="J263" s="922"/>
      <c r="K263" s="922"/>
      <c r="L263" s="922"/>
      <c r="M263" s="1"/>
      <c r="N263" s="413"/>
      <c r="O263" s="414"/>
      <c r="P263" s="184"/>
      <c r="Q263" s="1"/>
      <c r="R263" s="1"/>
      <c r="S263" s="1"/>
      <c r="T263" s="1"/>
      <c r="U263" s="1"/>
      <c r="V263" s="1"/>
      <c r="W263" s="1"/>
      <c r="X263" s="1"/>
      <c r="Y263" s="1"/>
      <c r="Z263" s="1"/>
    </row>
    <row r="264" spans="1:26" ht="13.5" customHeight="1">
      <c r="A264" s="1"/>
      <c r="B264" s="399"/>
      <c r="C264" s="412" t="s">
        <v>1189</v>
      </c>
      <c r="D264" s="1126" t="s">
        <v>1190</v>
      </c>
      <c r="E264" s="922"/>
      <c r="F264" s="922"/>
      <c r="G264" s="922"/>
      <c r="H264" s="922"/>
      <c r="I264" s="922"/>
      <c r="J264" s="922"/>
      <c r="K264" s="922"/>
      <c r="L264" s="922"/>
      <c r="M264" s="1"/>
      <c r="N264" s="413"/>
      <c r="O264" s="403"/>
      <c r="P264" s="184"/>
      <c r="Q264" s="1"/>
      <c r="R264" s="1"/>
      <c r="S264" s="1"/>
      <c r="T264" s="1"/>
      <c r="U264" s="1"/>
      <c r="V264" s="1"/>
      <c r="W264" s="1"/>
      <c r="X264" s="1"/>
      <c r="Y264" s="1"/>
      <c r="Z264" s="1"/>
    </row>
    <row r="265" spans="1:26" ht="13.5" customHeight="1">
      <c r="A265" s="1"/>
      <c r="B265" s="399"/>
      <c r="C265" s="415"/>
      <c r="D265" s="416"/>
      <c r="E265" s="416"/>
      <c r="F265" s="416"/>
      <c r="G265" s="416"/>
      <c r="H265" s="416"/>
      <c r="I265" s="416"/>
      <c r="J265" s="416"/>
      <c r="K265" s="416"/>
      <c r="L265" s="416"/>
      <c r="M265" s="416"/>
      <c r="N265" s="417"/>
      <c r="O265" s="402"/>
      <c r="P265" s="184"/>
      <c r="Q265" s="184"/>
      <c r="R265" s="1"/>
      <c r="S265" s="1"/>
      <c r="T265" s="1"/>
      <c r="U265" s="1"/>
      <c r="V265" s="1"/>
      <c r="W265" s="1"/>
      <c r="X265" s="1"/>
      <c r="Y265" s="1"/>
      <c r="Z265" s="1"/>
    </row>
    <row r="266" spans="1:26" ht="13.5" customHeight="1">
      <c r="A266" s="1"/>
      <c r="B266" s="399"/>
      <c r="C266" s="418"/>
      <c r="D266" s="39"/>
      <c r="E266" s="39"/>
      <c r="F266" s="39"/>
      <c r="G266" s="39"/>
      <c r="H266" s="39"/>
      <c r="I266" s="39"/>
      <c r="J266" s="39"/>
      <c r="K266" s="39"/>
      <c r="L266" s="39"/>
      <c r="M266" s="39"/>
      <c r="N266" s="40"/>
      <c r="O266" s="402"/>
      <c r="P266" s="184"/>
      <c r="Q266" s="184"/>
      <c r="R266" s="1"/>
      <c r="S266" s="1"/>
      <c r="T266" s="1"/>
      <c r="U266" s="1"/>
      <c r="V266" s="1"/>
      <c r="W266" s="1"/>
      <c r="X266" s="1"/>
      <c r="Y266" s="1"/>
      <c r="Z266" s="1"/>
    </row>
    <row r="267" spans="1:26" ht="13.5" customHeight="1">
      <c r="A267" s="1"/>
      <c r="B267" s="399"/>
      <c r="C267" s="925" t="s">
        <v>1191</v>
      </c>
      <c r="D267" s="926"/>
      <c r="E267" s="926"/>
      <c r="F267" s="926"/>
      <c r="G267" s="926"/>
      <c r="H267" s="926"/>
      <c r="I267" s="926"/>
      <c r="J267" s="926"/>
      <c r="K267" s="926"/>
      <c r="L267" s="926"/>
      <c r="M267" s="926"/>
      <c r="N267" s="927"/>
      <c r="O267" s="419"/>
      <c r="P267" s="184"/>
      <c r="Q267" s="184"/>
      <c r="R267" s="1"/>
      <c r="S267" s="1"/>
      <c r="T267" s="1"/>
      <c r="U267" s="1"/>
      <c r="V267" s="1"/>
      <c r="W267" s="1"/>
      <c r="X267" s="1"/>
      <c r="Y267" s="1"/>
      <c r="Z267" s="1"/>
    </row>
    <row r="268" spans="1:26" ht="13.5" customHeight="1">
      <c r="A268" s="1"/>
      <c r="B268" s="399"/>
      <c r="C268" s="418"/>
      <c r="D268" s="39"/>
      <c r="E268" s="39"/>
      <c r="F268" s="39"/>
      <c r="G268" s="39"/>
      <c r="H268" s="39"/>
      <c r="I268" s="39"/>
      <c r="J268" s="39"/>
      <c r="K268" s="39"/>
      <c r="L268" s="39"/>
      <c r="M268" s="39"/>
      <c r="N268" s="40"/>
      <c r="O268" s="402"/>
      <c r="P268" s="184"/>
      <c r="Q268" s="184"/>
      <c r="R268" s="1"/>
      <c r="S268" s="1"/>
      <c r="T268" s="1"/>
      <c r="U268" s="1"/>
      <c r="V268" s="1"/>
      <c r="W268" s="1"/>
      <c r="X268" s="1"/>
      <c r="Y268" s="1"/>
      <c r="Z268" s="1"/>
    </row>
    <row r="269" spans="1:26" ht="13.5" customHeight="1">
      <c r="A269" s="1"/>
      <c r="B269" s="399"/>
      <c r="C269" s="420" t="s">
        <v>965</v>
      </c>
      <c r="D269" s="1136" t="s">
        <v>17</v>
      </c>
      <c r="E269" s="1131"/>
      <c r="F269" s="1131"/>
      <c r="G269" s="1131"/>
      <c r="H269" s="1131"/>
      <c r="I269" s="1131"/>
      <c r="J269" s="1131"/>
      <c r="K269" s="1137"/>
      <c r="L269" s="1130" t="s">
        <v>1192</v>
      </c>
      <c r="M269" s="1137"/>
      <c r="N269" s="420" t="s">
        <v>950</v>
      </c>
      <c r="O269" s="419"/>
      <c r="P269" s="184"/>
      <c r="Q269" s="54" t="s">
        <v>1235</v>
      </c>
      <c r="R269" s="1"/>
      <c r="S269" s="1"/>
      <c r="T269" s="1"/>
      <c r="U269" s="1"/>
      <c r="V269" s="1"/>
      <c r="W269" s="1"/>
      <c r="X269" s="1"/>
      <c r="Y269" s="1"/>
      <c r="Z269" s="1"/>
    </row>
    <row r="270" spans="1:26" ht="13.5" customHeight="1">
      <c r="A270" s="1"/>
      <c r="B270" s="421"/>
      <c r="C270" s="422" t="s">
        <v>1190</v>
      </c>
      <c r="D270" s="1151" t="s">
        <v>1236</v>
      </c>
      <c r="E270" s="979"/>
      <c r="F270" s="979"/>
      <c r="G270" s="979"/>
      <c r="H270" s="979"/>
      <c r="I270" s="979"/>
      <c r="J270" s="979"/>
      <c r="K270" s="980"/>
      <c r="L270" s="1138" t="s">
        <v>741</v>
      </c>
      <c r="M270" s="980"/>
      <c r="N270" s="423">
        <v>1</v>
      </c>
      <c r="O270" s="424"/>
      <c r="P270" s="425"/>
      <c r="Q270" s="473" t="s">
        <v>1237</v>
      </c>
      <c r="R270" s="1"/>
      <c r="S270" s="1"/>
      <c r="T270" s="1"/>
      <c r="U270" s="1"/>
      <c r="V270" s="1"/>
      <c r="W270" s="1"/>
      <c r="X270" s="1"/>
      <c r="Y270" s="1"/>
      <c r="Z270" s="1"/>
    </row>
    <row r="271" spans="1:26" ht="13.5" customHeight="1">
      <c r="A271" s="1"/>
      <c r="B271" s="399"/>
      <c r="C271" s="1129" t="s">
        <v>1195</v>
      </c>
      <c r="D271" s="926"/>
      <c r="E271" s="926"/>
      <c r="F271" s="926"/>
      <c r="G271" s="926"/>
      <c r="H271" s="926"/>
      <c r="I271" s="926"/>
      <c r="J271" s="926"/>
      <c r="K271" s="926"/>
      <c r="L271" s="926"/>
      <c r="M271" s="926"/>
      <c r="N271" s="927"/>
      <c r="O271" s="426"/>
      <c r="P271" s="184"/>
      <c r="Q271" s="184"/>
      <c r="R271" s="1"/>
      <c r="S271" s="1"/>
      <c r="T271" s="1"/>
      <c r="U271" s="1"/>
      <c r="V271" s="1"/>
      <c r="W271" s="1"/>
      <c r="X271" s="1"/>
      <c r="Y271" s="1"/>
      <c r="Z271" s="1"/>
    </row>
    <row r="272" spans="1:26" ht="13.5" customHeight="1">
      <c r="A272" s="1"/>
      <c r="B272" s="399"/>
      <c r="C272" s="920"/>
      <c r="D272" s="922"/>
      <c r="E272" s="922"/>
      <c r="F272" s="922"/>
      <c r="G272" s="922"/>
      <c r="H272" s="922"/>
      <c r="I272" s="922"/>
      <c r="J272" s="922"/>
      <c r="K272" s="922"/>
      <c r="L272" s="922"/>
      <c r="M272" s="922"/>
      <c r="N272" s="924"/>
      <c r="O272" s="426"/>
      <c r="P272" s="184"/>
      <c r="Q272" s="184"/>
      <c r="R272" s="1"/>
      <c r="S272" s="1"/>
      <c r="T272" s="1"/>
      <c r="U272" s="1"/>
      <c r="V272" s="1"/>
      <c r="W272" s="1"/>
      <c r="X272" s="1"/>
      <c r="Y272" s="1"/>
      <c r="Z272" s="1"/>
    </row>
    <row r="273" spans="1:26" ht="13.5" customHeight="1">
      <c r="A273" s="395"/>
      <c r="B273" s="399"/>
      <c r="C273" s="929"/>
      <c r="D273" s="936"/>
      <c r="E273" s="936"/>
      <c r="F273" s="936"/>
      <c r="G273" s="936"/>
      <c r="H273" s="936"/>
      <c r="I273" s="936"/>
      <c r="J273" s="936"/>
      <c r="K273" s="936"/>
      <c r="L273" s="936"/>
      <c r="M273" s="936"/>
      <c r="N273" s="938"/>
      <c r="O273" s="426"/>
      <c r="P273" s="1"/>
      <c r="Q273" s="1"/>
      <c r="R273" s="1"/>
      <c r="S273" s="1"/>
      <c r="T273" s="1"/>
      <c r="U273" s="1"/>
      <c r="V273" s="1"/>
      <c r="W273" s="1"/>
      <c r="X273" s="1"/>
      <c r="Y273" s="1"/>
      <c r="Z273" s="1"/>
    </row>
    <row r="274" spans="1:26" ht="13.5" customHeight="1">
      <c r="A274" s="395"/>
      <c r="B274" s="399"/>
      <c r="C274" s="1130" t="s">
        <v>17</v>
      </c>
      <c r="D274" s="1131"/>
      <c r="E274" s="1131"/>
      <c r="F274" s="1000"/>
      <c r="G274" s="1135" t="s">
        <v>1196</v>
      </c>
      <c r="H274" s="1000"/>
      <c r="I274" s="1139" t="s">
        <v>1197</v>
      </c>
      <c r="J274" s="1140"/>
      <c r="K274" s="427" t="s">
        <v>1198</v>
      </c>
      <c r="L274" s="1135" t="s">
        <v>1199</v>
      </c>
      <c r="M274" s="1000"/>
      <c r="N274" s="428" t="s">
        <v>1200</v>
      </c>
      <c r="O274" s="419"/>
      <c r="P274" s="1"/>
      <c r="Q274" s="1"/>
      <c r="R274" s="1"/>
      <c r="S274" s="1"/>
      <c r="T274" s="1"/>
      <c r="U274" s="1"/>
      <c r="V274" s="1"/>
      <c r="W274" s="1"/>
      <c r="X274" s="1"/>
      <c r="Y274" s="1"/>
      <c r="Z274" s="1"/>
    </row>
    <row r="275" spans="1:26" ht="13.5" customHeight="1">
      <c r="A275" s="395"/>
      <c r="B275" s="399"/>
      <c r="C275" s="1128" t="s">
        <v>1201</v>
      </c>
      <c r="D275" s="940"/>
      <c r="E275" s="940"/>
      <c r="F275" s="941"/>
      <c r="G275" s="1142"/>
      <c r="H275" s="941"/>
      <c r="I275" s="1142"/>
      <c r="J275" s="941"/>
      <c r="K275" s="429"/>
      <c r="L275" s="1148">
        <v>0.1</v>
      </c>
      <c r="M275" s="941"/>
      <c r="N275" s="430">
        <f>+L275*N306</f>
        <v>11556.966666666669</v>
      </c>
      <c r="O275" s="431"/>
      <c r="P275" s="1"/>
      <c r="Q275" s="1"/>
      <c r="R275" s="1"/>
      <c r="S275" s="1"/>
      <c r="T275" s="1"/>
      <c r="U275" s="1"/>
      <c r="V275" s="1"/>
      <c r="W275" s="1"/>
      <c r="X275" s="1"/>
      <c r="Y275" s="1"/>
      <c r="Z275" s="1"/>
    </row>
    <row r="276" spans="1:26" ht="13.5" customHeight="1">
      <c r="A276" s="395" t="str">
        <f t="array" ref="A276">IF(C276&lt;&gt;0,INDEX(CodEquipos,MATCH(C276,Equipos,0),),)</f>
        <v>EQ-01</v>
      </c>
      <c r="B276" s="399"/>
      <c r="C276" s="1128" t="s">
        <v>271</v>
      </c>
      <c r="D276" s="940"/>
      <c r="E276" s="940"/>
      <c r="F276" s="941"/>
      <c r="G276" s="1142"/>
      <c r="H276" s="941"/>
      <c r="I276" s="1142"/>
      <c r="J276" s="941"/>
      <c r="K276" s="432">
        <f>IF($A276&gt;0,(VLOOKUP($A276,TablaEquipos,7,FALSE)),"")</f>
        <v>13833.75</v>
      </c>
      <c r="L276" s="1141">
        <f>+L301/8</f>
        <v>0.75</v>
      </c>
      <c r="M276" s="941"/>
      <c r="N276" s="430">
        <f t="shared" ref="N276:N278" si="13">IF(L276&gt;0,K276/L276,"")</f>
        <v>18445</v>
      </c>
      <c r="O276" s="431"/>
      <c r="P276" s="1"/>
      <c r="Q276" s="1"/>
      <c r="R276" s="1"/>
      <c r="S276" s="1"/>
      <c r="T276" s="1"/>
      <c r="U276" s="1"/>
      <c r="V276" s="1"/>
      <c r="W276" s="1"/>
      <c r="X276" s="1"/>
      <c r="Y276" s="1"/>
      <c r="Z276" s="1"/>
    </row>
    <row r="277" spans="1:26" ht="13.5" customHeight="1">
      <c r="A277" s="395">
        <f t="array" ref="A277">IF(C277&lt;&gt;0,INDEX(CodEquipos,MATCH(C277,Equipos,0),),)</f>
        <v>0</v>
      </c>
      <c r="B277" s="399"/>
      <c r="C277" s="1128"/>
      <c r="D277" s="940"/>
      <c r="E277" s="940"/>
      <c r="F277" s="941"/>
      <c r="G277" s="1142"/>
      <c r="H277" s="941"/>
      <c r="I277" s="1142"/>
      <c r="J277" s="941"/>
      <c r="K277" s="432" t="str">
        <f>IF($A277&gt;0,(VLOOKUP($A277,TablaEquipos,7,FALSE)),"")</f>
        <v/>
      </c>
      <c r="L277" s="1141"/>
      <c r="M277" s="941"/>
      <c r="N277" s="430" t="str">
        <f t="shared" si="13"/>
        <v/>
      </c>
      <c r="O277" s="431"/>
      <c r="P277" s="1"/>
      <c r="Q277" s="1"/>
      <c r="R277" s="1"/>
      <c r="S277" s="1"/>
      <c r="T277" s="1"/>
      <c r="U277" s="1"/>
      <c r="V277" s="1"/>
      <c r="W277" s="1"/>
      <c r="X277" s="1"/>
      <c r="Y277" s="1"/>
      <c r="Z277" s="1"/>
    </row>
    <row r="278" spans="1:26" ht="13.5" customHeight="1">
      <c r="A278" s="395">
        <f t="array" ref="A278">IF(C278&lt;&gt;0,INDEX(CodEquipos,MATCH(C278,Equipos,0),),)</f>
        <v>0</v>
      </c>
      <c r="B278" s="399"/>
      <c r="C278" s="1128"/>
      <c r="D278" s="940"/>
      <c r="E278" s="940"/>
      <c r="F278" s="941"/>
      <c r="G278" s="1144"/>
      <c r="H278" s="1145"/>
      <c r="I278" s="1142"/>
      <c r="J278" s="941"/>
      <c r="K278" s="432" t="str">
        <f>IF($A278&gt;0,(VLOOKUP($A278,TablaEquipos,7,FALSE)),"")</f>
        <v/>
      </c>
      <c r="L278" s="1141"/>
      <c r="M278" s="941"/>
      <c r="N278" s="430" t="str">
        <f t="shared" si="13"/>
        <v/>
      </c>
      <c r="O278" s="431"/>
      <c r="P278" s="1"/>
      <c r="Q278" s="1"/>
      <c r="R278" s="1"/>
      <c r="S278" s="1"/>
      <c r="T278" s="1"/>
      <c r="U278" s="1"/>
      <c r="V278" s="1"/>
      <c r="W278" s="1"/>
      <c r="X278" s="1"/>
      <c r="Y278" s="1"/>
      <c r="Z278" s="1"/>
    </row>
    <row r="279" spans="1:26" ht="13.5" customHeight="1">
      <c r="A279" s="395"/>
      <c r="B279" s="399"/>
      <c r="C279" s="1127" t="s">
        <v>1202</v>
      </c>
      <c r="D279" s="965"/>
      <c r="E279" s="965"/>
      <c r="F279" s="965"/>
      <c r="G279" s="965"/>
      <c r="H279" s="965"/>
      <c r="I279" s="965"/>
      <c r="J279" s="965"/>
      <c r="K279" s="965"/>
      <c r="L279" s="965"/>
      <c r="M279" s="966"/>
      <c r="N279" s="433">
        <f>+SUM(N275:N278)</f>
        <v>30001.966666666667</v>
      </c>
      <c r="O279" s="431"/>
      <c r="P279" s="1"/>
      <c r="Q279" s="1"/>
      <c r="R279" s="1"/>
      <c r="S279" s="1"/>
      <c r="T279" s="1"/>
      <c r="U279" s="1"/>
      <c r="V279" s="1"/>
      <c r="W279" s="1"/>
      <c r="X279" s="1"/>
      <c r="Y279" s="1"/>
      <c r="Z279" s="1"/>
    </row>
    <row r="280" spans="1:26" ht="13.5" customHeight="1">
      <c r="A280" s="395"/>
      <c r="B280" s="399"/>
      <c r="C280" s="1129" t="s">
        <v>1203</v>
      </c>
      <c r="D280" s="926"/>
      <c r="E280" s="926"/>
      <c r="F280" s="926"/>
      <c r="G280" s="926"/>
      <c r="H280" s="926"/>
      <c r="I280" s="926"/>
      <c r="J280" s="926"/>
      <c r="K280" s="926"/>
      <c r="L280" s="926"/>
      <c r="M280" s="926"/>
      <c r="N280" s="927"/>
      <c r="O280" s="426"/>
      <c r="P280" s="1"/>
      <c r="Q280" s="1"/>
      <c r="R280" s="1"/>
      <c r="S280" s="1"/>
      <c r="T280" s="1"/>
      <c r="U280" s="1"/>
      <c r="V280" s="1"/>
      <c r="W280" s="1"/>
      <c r="X280" s="1"/>
      <c r="Y280" s="1"/>
      <c r="Z280" s="1"/>
    </row>
    <row r="281" spans="1:26" ht="13.5" customHeight="1">
      <c r="A281" s="395"/>
      <c r="B281" s="399"/>
      <c r="C281" s="920"/>
      <c r="D281" s="922"/>
      <c r="E281" s="922"/>
      <c r="F281" s="922"/>
      <c r="G281" s="922"/>
      <c r="H281" s="922"/>
      <c r="I281" s="922"/>
      <c r="J281" s="922"/>
      <c r="K281" s="922"/>
      <c r="L281" s="922"/>
      <c r="M281" s="922"/>
      <c r="N281" s="924"/>
      <c r="O281" s="426"/>
      <c r="P281" s="1"/>
      <c r="Q281" s="1"/>
      <c r="R281" s="1"/>
      <c r="S281" s="1"/>
      <c r="T281" s="1"/>
      <c r="U281" s="1"/>
      <c r="V281" s="1"/>
      <c r="W281" s="1"/>
      <c r="X281" s="1"/>
      <c r="Y281" s="1"/>
      <c r="Z281" s="1"/>
    </row>
    <row r="282" spans="1:26" ht="13.5" customHeight="1">
      <c r="A282" s="395"/>
      <c r="B282" s="399"/>
      <c r="C282" s="929"/>
      <c r="D282" s="936"/>
      <c r="E282" s="936"/>
      <c r="F282" s="936"/>
      <c r="G282" s="936"/>
      <c r="H282" s="936"/>
      <c r="I282" s="936"/>
      <c r="J282" s="936"/>
      <c r="K282" s="936"/>
      <c r="L282" s="936"/>
      <c r="M282" s="936"/>
      <c r="N282" s="938"/>
      <c r="O282" s="426"/>
      <c r="P282" s="1"/>
      <c r="Q282" s="1"/>
      <c r="R282" s="1"/>
      <c r="S282" s="1"/>
      <c r="T282" s="1"/>
      <c r="U282" s="1"/>
      <c r="V282" s="1"/>
      <c r="W282" s="1"/>
      <c r="X282" s="1"/>
      <c r="Y282" s="1"/>
      <c r="Z282" s="1"/>
    </row>
    <row r="283" spans="1:26" ht="13.5" customHeight="1">
      <c r="A283" s="395"/>
      <c r="B283" s="399"/>
      <c r="C283" s="1130" t="s">
        <v>17</v>
      </c>
      <c r="D283" s="1131"/>
      <c r="E283" s="1131"/>
      <c r="F283" s="1131"/>
      <c r="G283" s="1131"/>
      <c r="H283" s="1131"/>
      <c r="I283" s="1000"/>
      <c r="J283" s="434" t="s">
        <v>1192</v>
      </c>
      <c r="K283" s="427" t="s">
        <v>950</v>
      </c>
      <c r="L283" s="1135" t="s">
        <v>1204</v>
      </c>
      <c r="M283" s="1000"/>
      <c r="N283" s="428" t="s">
        <v>1200</v>
      </c>
      <c r="O283" s="419"/>
      <c r="P283" s="1"/>
      <c r="Q283" s="1"/>
      <c r="R283" s="1"/>
      <c r="S283" s="1"/>
      <c r="T283" s="1"/>
      <c r="U283" s="1"/>
      <c r="V283" s="1"/>
      <c r="W283" s="1"/>
      <c r="X283" s="1"/>
      <c r="Y283" s="1"/>
      <c r="Z283" s="1"/>
    </row>
    <row r="284" spans="1:26" ht="13.5" customHeight="1">
      <c r="A284" s="395" t="str">
        <f t="array" ref="A284">IF(C284&lt;&gt;0,INDEX(CodMat,MATCH(C284,Materiales,0),),)</f>
        <v>MAT_C-01</v>
      </c>
      <c r="B284" s="399"/>
      <c r="C284" s="1128" t="s">
        <v>1205</v>
      </c>
      <c r="D284" s="940"/>
      <c r="E284" s="940"/>
      <c r="F284" s="940"/>
      <c r="G284" s="940"/>
      <c r="H284" s="940"/>
      <c r="I284" s="941"/>
      <c r="J284" s="435" t="str">
        <f>IF($A284&gt;0,(VLOOKUP($A284,TablaInsumos,5,FALSE)),"")</f>
        <v>LT</v>
      </c>
      <c r="K284" s="436">
        <v>145</v>
      </c>
      <c r="L284" s="1134">
        <f>IF($A284&gt;0,(VLOOKUP($A284,TablaInsumos,7,FALSE)),"")</f>
        <v>46</v>
      </c>
      <c r="M284" s="941"/>
      <c r="N284" s="430">
        <f t="shared" ref="N284:N288" si="14">IF(K284&gt;0,L284*K284,"")</f>
        <v>6670</v>
      </c>
      <c r="O284" s="431"/>
      <c r="P284" s="1"/>
      <c r="Q284" s="1"/>
      <c r="R284" s="1"/>
      <c r="S284" s="1"/>
      <c r="T284" s="1"/>
      <c r="U284" s="1"/>
      <c r="V284" s="1"/>
      <c r="W284" s="1"/>
      <c r="X284" s="1"/>
      <c r="Y284" s="1"/>
      <c r="Z284" s="1"/>
    </row>
    <row r="285" spans="1:26" ht="13.5" customHeight="1">
      <c r="A285" s="395" t="str">
        <f t="array" ref="A285">IF(C285&lt;&gt;0,INDEX(CodMat,MATCH(C285,Materiales,0),),)</f>
        <v>MAT_C-03</v>
      </c>
      <c r="B285" s="399"/>
      <c r="C285" s="1128" t="s">
        <v>1206</v>
      </c>
      <c r="D285" s="940"/>
      <c r="E285" s="940"/>
      <c r="F285" s="940"/>
      <c r="G285" s="940"/>
      <c r="H285" s="940"/>
      <c r="I285" s="941"/>
      <c r="J285" s="435" t="str">
        <f>IF($A285&gt;0,(VLOOKUP($A285,TablaInsumos,5,FALSE)),"")</f>
        <v>M3</v>
      </c>
      <c r="K285" s="436">
        <v>0.55000000000000004</v>
      </c>
      <c r="L285" s="1134">
        <f>IF($A285&gt;0,(VLOOKUP($A285,TablaInsumos,7,FALSE)),"")</f>
        <v>86414</v>
      </c>
      <c r="M285" s="941"/>
      <c r="N285" s="430">
        <f t="shared" si="14"/>
        <v>47527.700000000004</v>
      </c>
      <c r="O285" s="431"/>
      <c r="P285" s="1"/>
      <c r="Q285" s="1"/>
      <c r="R285" s="1"/>
      <c r="S285" s="1"/>
      <c r="T285" s="1"/>
      <c r="U285" s="1"/>
      <c r="V285" s="1"/>
      <c r="W285" s="1"/>
      <c r="X285" s="1"/>
      <c r="Y285" s="1"/>
      <c r="Z285" s="1"/>
    </row>
    <row r="286" spans="1:26" ht="13.5" customHeight="1">
      <c r="A286" s="395" t="e">
        <f t="array" ref="A286">IF(C286&lt;&gt;0,INDEX(CodMat,MATCH(C286,Materiales,0),),)</f>
        <v>#N/A</v>
      </c>
      <c r="B286" s="399"/>
      <c r="C286" s="1128" t="s">
        <v>1233</v>
      </c>
      <c r="D286" s="940"/>
      <c r="E286" s="940"/>
      <c r="F286" s="940"/>
      <c r="G286" s="940"/>
      <c r="H286" s="940"/>
      <c r="I286" s="941"/>
      <c r="J286" s="435" t="e">
        <f>IF($A286&gt;0,(VLOOKUP($A286,TablaInsumos,5,FALSE)),"")</f>
        <v>#N/A</v>
      </c>
      <c r="K286" s="436">
        <v>0.92</v>
      </c>
      <c r="L286" s="1134" t="e">
        <f>IF($A286&gt;0,(VLOOKUP($A286,TablaInsumos,7,FALSE)),"")</f>
        <v>#N/A</v>
      </c>
      <c r="M286" s="941"/>
      <c r="N286" s="430" t="e">
        <f t="shared" si="14"/>
        <v>#N/A</v>
      </c>
      <c r="O286" s="431"/>
      <c r="P286" s="1"/>
      <c r="Q286" s="1"/>
      <c r="R286" s="1"/>
      <c r="S286" s="1"/>
      <c r="T286" s="1"/>
      <c r="U286" s="1"/>
      <c r="V286" s="1"/>
      <c r="W286" s="1"/>
      <c r="X286" s="1"/>
      <c r="Y286" s="1"/>
      <c r="Z286" s="1"/>
    </row>
    <row r="287" spans="1:26" ht="13.5" customHeight="1">
      <c r="A287" s="395" t="str">
        <f t="array" ref="A287">IF(C287&lt;&gt;0,INDEX(CodMat,MATCH(C287,Materiales,0),),)</f>
        <v>MAT_C-12</v>
      </c>
      <c r="B287" s="399"/>
      <c r="C287" s="1128" t="s">
        <v>1207</v>
      </c>
      <c r="D287" s="940"/>
      <c r="E287" s="940"/>
      <c r="F287" s="940"/>
      <c r="G287" s="940"/>
      <c r="H287" s="940"/>
      <c r="I287" s="941"/>
      <c r="J287" s="435" t="str">
        <f>IF($A287&gt;0,(VLOOKUP($A287,TablaInsumos,5,FALSE)),"")</f>
        <v>KG</v>
      </c>
      <c r="K287" s="436">
        <v>230</v>
      </c>
      <c r="L287" s="1134">
        <f>IF($A287&gt;0,(VLOOKUP($A287,TablaInsumos,7,FALSE)),"")</f>
        <v>1164</v>
      </c>
      <c r="M287" s="941"/>
      <c r="N287" s="430">
        <f t="shared" si="14"/>
        <v>267720</v>
      </c>
      <c r="O287" s="431"/>
      <c r="P287" s="1"/>
      <c r="Q287" s="1"/>
      <c r="R287" s="1"/>
      <c r="S287" s="1"/>
      <c r="T287" s="1"/>
      <c r="U287" s="1"/>
      <c r="V287" s="1"/>
      <c r="W287" s="1"/>
      <c r="X287" s="1"/>
      <c r="Y287" s="1"/>
      <c r="Z287" s="1"/>
    </row>
    <row r="288" spans="1:26" ht="13.5" customHeight="1">
      <c r="A288" s="395"/>
      <c r="B288" s="399"/>
      <c r="C288" s="1128" t="str">
        <f>IF($A288&gt;0,(VLOOKUP($A288,TablaInsumos,3,FALSE)),"")</f>
        <v/>
      </c>
      <c r="D288" s="940"/>
      <c r="E288" s="940"/>
      <c r="F288" s="940"/>
      <c r="G288" s="940"/>
      <c r="H288" s="940"/>
      <c r="I288" s="941"/>
      <c r="J288" s="435" t="str">
        <f>IF($A288&gt;0,(VLOOKUP($A288,TablaInsumos,5,FALSE)),"")</f>
        <v/>
      </c>
      <c r="K288" s="472"/>
      <c r="L288" s="1134" t="str">
        <f>IF($A288&gt;0,(VLOOKUP($A288,TablaInsumos,7,FALSE)),"")</f>
        <v/>
      </c>
      <c r="M288" s="941"/>
      <c r="N288" s="430" t="str">
        <f t="shared" si="14"/>
        <v/>
      </c>
      <c r="O288" s="431"/>
      <c r="P288" s="1"/>
      <c r="Q288" s="1"/>
      <c r="R288" s="1"/>
      <c r="S288" s="1"/>
      <c r="T288" s="1"/>
      <c r="U288" s="1"/>
      <c r="V288" s="1"/>
      <c r="W288" s="1"/>
      <c r="X288" s="1"/>
      <c r="Y288" s="1"/>
      <c r="Z288" s="1"/>
    </row>
    <row r="289" spans="1:26" ht="13.5" customHeight="1">
      <c r="A289" s="395"/>
      <c r="B289" s="399"/>
      <c r="C289" s="1127" t="s">
        <v>1202</v>
      </c>
      <c r="D289" s="965"/>
      <c r="E289" s="965"/>
      <c r="F289" s="965"/>
      <c r="G289" s="965"/>
      <c r="H289" s="965"/>
      <c r="I289" s="965"/>
      <c r="J289" s="965"/>
      <c r="K289" s="965"/>
      <c r="L289" s="965"/>
      <c r="M289" s="966"/>
      <c r="N289" s="433" t="e">
        <f>+SUM(N284:N288)</f>
        <v>#N/A</v>
      </c>
      <c r="O289" s="431"/>
      <c r="P289" s="184"/>
      <c r="Q289" s="184"/>
      <c r="R289" s="1"/>
      <c r="S289" s="1"/>
      <c r="T289" s="1"/>
      <c r="U289" s="1"/>
      <c r="V289" s="1"/>
      <c r="W289" s="1"/>
      <c r="X289" s="1"/>
      <c r="Y289" s="1"/>
      <c r="Z289" s="1"/>
    </row>
    <row r="290" spans="1:26" ht="13.5" customHeight="1">
      <c r="A290" s="395"/>
      <c r="B290" s="399"/>
      <c r="C290" s="1129" t="s">
        <v>1208</v>
      </c>
      <c r="D290" s="926"/>
      <c r="E290" s="926"/>
      <c r="F290" s="926"/>
      <c r="G290" s="926"/>
      <c r="H290" s="926"/>
      <c r="I290" s="926"/>
      <c r="J290" s="926"/>
      <c r="K290" s="926"/>
      <c r="L290" s="926"/>
      <c r="M290" s="926"/>
      <c r="N290" s="927"/>
      <c r="O290" s="426"/>
      <c r="P290" s="184"/>
      <c r="Q290" s="184"/>
      <c r="R290" s="1"/>
      <c r="S290" s="1"/>
      <c r="T290" s="1"/>
      <c r="U290" s="1"/>
      <c r="V290" s="1"/>
      <c r="W290" s="1"/>
      <c r="X290" s="1"/>
      <c r="Y290" s="1"/>
      <c r="Z290" s="1"/>
    </row>
    <row r="291" spans="1:26" ht="13.5" customHeight="1">
      <c r="A291" s="395"/>
      <c r="B291" s="399"/>
      <c r="C291" s="920"/>
      <c r="D291" s="922"/>
      <c r="E291" s="922"/>
      <c r="F291" s="922"/>
      <c r="G291" s="922"/>
      <c r="H291" s="922"/>
      <c r="I291" s="922"/>
      <c r="J291" s="922"/>
      <c r="K291" s="922"/>
      <c r="L291" s="922"/>
      <c r="M291" s="922"/>
      <c r="N291" s="924"/>
      <c r="O291" s="426"/>
      <c r="P291" s="184"/>
      <c r="Q291" s="184"/>
      <c r="R291" s="1"/>
      <c r="S291" s="1"/>
      <c r="T291" s="1"/>
      <c r="U291" s="1"/>
      <c r="V291" s="1"/>
      <c r="W291" s="1"/>
      <c r="X291" s="1"/>
      <c r="Y291" s="1"/>
      <c r="Z291" s="1"/>
    </row>
    <row r="292" spans="1:26" ht="13.5" customHeight="1">
      <c r="A292" s="395"/>
      <c r="B292" s="399"/>
      <c r="C292" s="929"/>
      <c r="D292" s="936"/>
      <c r="E292" s="936"/>
      <c r="F292" s="936"/>
      <c r="G292" s="936"/>
      <c r="H292" s="936"/>
      <c r="I292" s="936"/>
      <c r="J292" s="936"/>
      <c r="K292" s="936"/>
      <c r="L292" s="936"/>
      <c r="M292" s="936"/>
      <c r="N292" s="938"/>
      <c r="O292" s="426"/>
      <c r="P292" s="184"/>
      <c r="Q292" s="184"/>
      <c r="R292" s="1"/>
      <c r="S292" s="1"/>
      <c r="T292" s="1"/>
      <c r="U292" s="1"/>
      <c r="V292" s="1"/>
      <c r="W292" s="1"/>
      <c r="X292" s="1"/>
      <c r="Y292" s="1"/>
      <c r="Z292" s="1"/>
    </row>
    <row r="293" spans="1:26" ht="13.5" customHeight="1">
      <c r="A293" s="395"/>
      <c r="B293" s="399"/>
      <c r="C293" s="1130" t="s">
        <v>1209</v>
      </c>
      <c r="D293" s="1131"/>
      <c r="E293" s="1131"/>
      <c r="F293" s="1131"/>
      <c r="G293" s="1131"/>
      <c r="H293" s="1132"/>
      <c r="I293" s="427" t="s">
        <v>1210</v>
      </c>
      <c r="J293" s="438" t="s">
        <v>1211</v>
      </c>
      <c r="K293" s="439" t="s">
        <v>1238</v>
      </c>
      <c r="L293" s="1135" t="s">
        <v>1213</v>
      </c>
      <c r="M293" s="1000"/>
      <c r="N293" s="428" t="s">
        <v>1200</v>
      </c>
      <c r="O293" s="419"/>
      <c r="P293" s="184"/>
      <c r="Q293" s="184"/>
      <c r="R293" s="1"/>
      <c r="S293" s="1"/>
      <c r="T293" s="1"/>
      <c r="U293" s="1"/>
      <c r="V293" s="1"/>
      <c r="W293" s="1"/>
      <c r="X293" s="1"/>
      <c r="Y293" s="1"/>
      <c r="Z293" s="1"/>
    </row>
    <row r="294" spans="1:26" ht="13.5" customHeight="1">
      <c r="A294" s="395" t="str">
        <f t="array" ref="A294">IF(C294&lt;&gt;0,INDEX(CodTransporte,MATCH(C294,Transporte,0),),)</f>
        <v>T-03</v>
      </c>
      <c r="B294" s="399"/>
      <c r="C294" s="1128" t="s">
        <v>859</v>
      </c>
      <c r="D294" s="940"/>
      <c r="E294" s="940"/>
      <c r="F294" s="940"/>
      <c r="G294" s="940"/>
      <c r="H294" s="940"/>
      <c r="I294" s="440">
        <f>+K285+K286</f>
        <v>1.4700000000000002</v>
      </c>
      <c r="J294" s="441">
        <f>IF($A294&gt;0,(VLOOKUP($A294,TablaTransporte,6,FALSE)),"")</f>
        <v>50.849999999999994</v>
      </c>
      <c r="K294" s="442" t="str">
        <f>IF($A294&gt;0,(VLOOKUP($A294,TablaTransporte,5,FALSE)),"")</f>
        <v>M3-KM</v>
      </c>
      <c r="L294" s="1134">
        <f>IF($A294&gt;0,(VLOOKUP($A294,TablaTransporte,7,FALSE)),"")</f>
        <v>2332.3500491642089</v>
      </c>
      <c r="M294" s="941"/>
      <c r="N294" s="430">
        <f t="shared" ref="N294:N295" si="15">IF(I294&gt;0,J294*L294*I294,"")</f>
        <v>174342.00000000006</v>
      </c>
      <c r="O294" s="431"/>
      <c r="P294" s="184"/>
      <c r="Q294" s="184"/>
      <c r="R294" s="1"/>
      <c r="S294" s="1"/>
      <c r="T294" s="1"/>
      <c r="U294" s="1"/>
      <c r="V294" s="1"/>
      <c r="W294" s="1"/>
      <c r="X294" s="1"/>
      <c r="Y294" s="1"/>
      <c r="Z294" s="1"/>
    </row>
    <row r="295" spans="1:26" ht="13.5" customHeight="1">
      <c r="A295" s="395" t="str">
        <f t="array" ref="A295">IF(C295&lt;&gt;0,INDEX(CodTransporte,MATCH(C295,Transporte,0),),)</f>
        <v>T-02</v>
      </c>
      <c r="B295" s="399"/>
      <c r="C295" s="1128" t="s">
        <v>857</v>
      </c>
      <c r="D295" s="940"/>
      <c r="E295" s="940"/>
      <c r="F295" s="940"/>
      <c r="G295" s="940"/>
      <c r="H295" s="940"/>
      <c r="I295" s="440">
        <f>+(K287/50)*0.035</f>
        <v>0.161</v>
      </c>
      <c r="J295" s="441">
        <f>IF($A295&gt;0,(VLOOKUP($A295,TablaTransporte,6,FALSE)),"")</f>
        <v>50.849999999999994</v>
      </c>
      <c r="K295" s="442" t="str">
        <f>IF($A295&gt;0,(VLOOKUP($A295,TablaTransporte,5,FALSE)),"")</f>
        <v>M3-KM</v>
      </c>
      <c r="L295" s="1134">
        <f>IF($A295&gt;0,(VLOOKUP($A295,TablaTransporte,7,FALSE)),"")</f>
        <v>2332.3500491642089</v>
      </c>
      <c r="M295" s="941"/>
      <c r="N295" s="430">
        <f t="shared" si="15"/>
        <v>19094.600000000002</v>
      </c>
      <c r="O295" s="431"/>
      <c r="P295" s="184"/>
      <c r="Q295" s="184"/>
      <c r="R295" s="1"/>
      <c r="S295" s="1"/>
      <c r="T295" s="1"/>
      <c r="U295" s="1"/>
      <c r="V295" s="1"/>
      <c r="W295" s="1"/>
      <c r="X295" s="1"/>
      <c r="Y295" s="1"/>
      <c r="Z295" s="1"/>
    </row>
    <row r="296" spans="1:26" ht="13.5" customHeight="1">
      <c r="A296" s="395"/>
      <c r="B296" s="399"/>
      <c r="C296" s="1127" t="s">
        <v>1202</v>
      </c>
      <c r="D296" s="965"/>
      <c r="E296" s="965"/>
      <c r="F296" s="965"/>
      <c r="G296" s="965"/>
      <c r="H296" s="965"/>
      <c r="I296" s="965"/>
      <c r="J296" s="965"/>
      <c r="K296" s="965"/>
      <c r="L296" s="965"/>
      <c r="M296" s="966"/>
      <c r="N296" s="433">
        <f>+SUM(N294:N295)</f>
        <v>193436.60000000006</v>
      </c>
      <c r="O296" s="431"/>
      <c r="P296" s="184"/>
      <c r="Q296" s="184"/>
      <c r="R296" s="1"/>
      <c r="S296" s="1"/>
      <c r="T296" s="1"/>
      <c r="U296" s="1"/>
      <c r="V296" s="1"/>
      <c r="W296" s="1"/>
      <c r="X296" s="1"/>
      <c r="Y296" s="1"/>
      <c r="Z296" s="1"/>
    </row>
    <row r="297" spans="1:26" ht="13.5" customHeight="1">
      <c r="A297" s="395"/>
      <c r="B297" s="399"/>
      <c r="C297" s="1129" t="s">
        <v>1214</v>
      </c>
      <c r="D297" s="926"/>
      <c r="E297" s="926"/>
      <c r="F297" s="926"/>
      <c r="G297" s="926"/>
      <c r="H297" s="926"/>
      <c r="I297" s="926"/>
      <c r="J297" s="926"/>
      <c r="K297" s="926"/>
      <c r="L297" s="926"/>
      <c r="M297" s="926"/>
      <c r="N297" s="927"/>
      <c r="O297" s="426"/>
      <c r="P297" s="184"/>
      <c r="Q297" s="184"/>
      <c r="R297" s="1"/>
      <c r="S297" s="1"/>
      <c r="T297" s="1"/>
      <c r="U297" s="1"/>
      <c r="V297" s="1"/>
      <c r="W297" s="1"/>
      <c r="X297" s="1"/>
      <c r="Y297" s="1"/>
      <c r="Z297" s="1"/>
    </row>
    <row r="298" spans="1:26" ht="13.5" customHeight="1">
      <c r="A298" s="395"/>
      <c r="B298" s="399"/>
      <c r="C298" s="920"/>
      <c r="D298" s="922"/>
      <c r="E298" s="922"/>
      <c r="F298" s="922"/>
      <c r="G298" s="922"/>
      <c r="H298" s="922"/>
      <c r="I298" s="922"/>
      <c r="J298" s="922"/>
      <c r="K298" s="922"/>
      <c r="L298" s="922"/>
      <c r="M298" s="922"/>
      <c r="N298" s="924"/>
      <c r="O298" s="426"/>
      <c r="P298" s="184"/>
      <c r="Q298" s="184"/>
      <c r="R298" s="1"/>
      <c r="S298" s="1"/>
      <c r="T298" s="1"/>
      <c r="U298" s="1"/>
      <c r="V298" s="1"/>
      <c r="W298" s="1"/>
      <c r="X298" s="1"/>
      <c r="Y298" s="1"/>
      <c r="Z298" s="1"/>
    </row>
    <row r="299" spans="1:26" ht="13.5" customHeight="1">
      <c r="A299" s="395"/>
      <c r="B299" s="399"/>
      <c r="C299" s="929"/>
      <c r="D299" s="936"/>
      <c r="E299" s="936"/>
      <c r="F299" s="936"/>
      <c r="G299" s="936"/>
      <c r="H299" s="936"/>
      <c r="I299" s="936"/>
      <c r="J299" s="936"/>
      <c r="K299" s="936"/>
      <c r="L299" s="936"/>
      <c r="M299" s="936"/>
      <c r="N299" s="938"/>
      <c r="O299" s="426"/>
      <c r="P299" s="184"/>
      <c r="Q299" s="54" t="s">
        <v>1239</v>
      </c>
      <c r="R299" s="1"/>
      <c r="S299" s="1"/>
      <c r="T299" s="1"/>
      <c r="U299" s="1"/>
      <c r="V299" s="1"/>
      <c r="W299" s="1"/>
      <c r="X299" s="1"/>
      <c r="Y299" s="1"/>
      <c r="Z299" s="1"/>
    </row>
    <row r="300" spans="1:26" ht="13.5" customHeight="1">
      <c r="A300" s="395"/>
      <c r="B300" s="399"/>
      <c r="C300" s="1130" t="s">
        <v>1215</v>
      </c>
      <c r="D300" s="1131"/>
      <c r="E300" s="1131"/>
      <c r="F300" s="1131"/>
      <c r="G300" s="1131"/>
      <c r="H300" s="1132"/>
      <c r="I300" s="427" t="s">
        <v>1216</v>
      </c>
      <c r="J300" s="443" t="s">
        <v>1217</v>
      </c>
      <c r="K300" s="444" t="s">
        <v>1218</v>
      </c>
      <c r="L300" s="1133" t="s">
        <v>1199</v>
      </c>
      <c r="M300" s="1000"/>
      <c r="N300" s="445" t="s">
        <v>1200</v>
      </c>
      <c r="O300" s="446"/>
      <c r="P300" s="184"/>
      <c r="Q300" s="184" t="s">
        <v>1240</v>
      </c>
      <c r="R300" s="1"/>
      <c r="S300" s="1"/>
      <c r="T300" s="1"/>
      <c r="U300" s="1"/>
      <c r="V300" s="1"/>
      <c r="W300" s="1"/>
      <c r="X300" s="1"/>
      <c r="Y300" s="1"/>
      <c r="Z300" s="1"/>
    </row>
    <row r="301" spans="1:26" ht="13.5" customHeight="1">
      <c r="A301" s="395" t="str">
        <f t="array" ref="A301">IF(C301&lt;&gt;0,INDEX(CodMO,MATCH(C301,MO,0),),)</f>
        <v>M.O-05</v>
      </c>
      <c r="B301" s="399"/>
      <c r="C301" s="1128" t="s">
        <v>139</v>
      </c>
      <c r="D301" s="940"/>
      <c r="E301" s="940"/>
      <c r="F301" s="940"/>
      <c r="G301" s="940"/>
      <c r="H301" s="940"/>
      <c r="I301" s="447">
        <f>IF($A301&gt;0,(VLOOKUP($A301,TablaMO,8,FALSE)),"")</f>
        <v>125030.16666666667</v>
      </c>
      <c r="J301" s="448">
        <f>IF($A301&gt;0,(VLOOKUP($A301,TablaMO,10,FALSE)),"")</f>
        <v>0.67071666666666663</v>
      </c>
      <c r="K301" s="447">
        <f>IF($A301&gt;0,(VLOOKUP($A301,TablaMO,11,FALSE)),"")</f>
        <v>208890</v>
      </c>
      <c r="L301" s="1146">
        <v>6</v>
      </c>
      <c r="M301" s="941"/>
      <c r="N301" s="430">
        <f t="shared" ref="N301:N305" si="16">IF(L301&gt;0,K301/L301,"")</f>
        <v>34815</v>
      </c>
      <c r="O301" s="449"/>
      <c r="P301" s="184"/>
      <c r="Q301" s="473" t="s">
        <v>1241</v>
      </c>
      <c r="R301" s="1"/>
      <c r="S301" s="1"/>
      <c r="T301" s="1"/>
      <c r="U301" s="1"/>
      <c r="V301" s="1"/>
      <c r="W301" s="1"/>
      <c r="X301" s="1"/>
      <c r="Y301" s="1"/>
      <c r="Z301" s="1"/>
    </row>
    <row r="302" spans="1:26" ht="13.5" customHeight="1">
      <c r="A302" s="395" t="str">
        <f t="array" ref="A302">IF(C302&lt;&gt;0,INDEX(CodMO,MATCH(C302,MO,0),),)</f>
        <v>M.O-01</v>
      </c>
      <c r="B302" s="399"/>
      <c r="C302" s="1128" t="s">
        <v>130</v>
      </c>
      <c r="D302" s="940"/>
      <c r="E302" s="940"/>
      <c r="F302" s="940"/>
      <c r="G302" s="940"/>
      <c r="H302" s="940"/>
      <c r="I302" s="447">
        <f>IF($A302&gt;0,(VLOOKUP($A302,TablaMO,8,FALSE)),"")</f>
        <v>72503.016666666677</v>
      </c>
      <c r="J302" s="448">
        <f>IF($A302&gt;0,(VLOOKUP($A302,TablaMO,10,FALSE)),"")</f>
        <v>0.67071666666666663</v>
      </c>
      <c r="K302" s="447">
        <f>IF($A302&gt;0,(VLOOKUP($A302,TablaMO,11,FALSE)),"")</f>
        <v>121132</v>
      </c>
      <c r="L302" s="1146">
        <f>L301</f>
        <v>6</v>
      </c>
      <c r="M302" s="941"/>
      <c r="N302" s="430">
        <f t="shared" si="16"/>
        <v>20188.666666666668</v>
      </c>
      <c r="O302" s="449"/>
      <c r="P302" s="184"/>
      <c r="Q302" s="184"/>
      <c r="R302" s="1"/>
      <c r="S302" s="1"/>
      <c r="T302" s="1"/>
      <c r="U302" s="1"/>
      <c r="V302" s="1"/>
      <c r="W302" s="1"/>
      <c r="X302" s="1"/>
      <c r="Y302" s="1"/>
      <c r="Z302" s="1"/>
    </row>
    <row r="303" spans="1:26" ht="13.5" customHeight="1">
      <c r="A303" s="395" t="str">
        <f t="array" ref="A303">IF(C303&lt;&gt;0,INDEX(CodMO,MATCH(C303,MO,0),),)</f>
        <v>M.O-02</v>
      </c>
      <c r="B303" s="399"/>
      <c r="C303" s="1128" t="s">
        <v>133</v>
      </c>
      <c r="D303" s="940"/>
      <c r="E303" s="940"/>
      <c r="F303" s="940"/>
      <c r="G303" s="940"/>
      <c r="H303" s="940"/>
      <c r="I303" s="447">
        <f>IF($A303&gt;0,(VLOOKUP($A303,TablaMO,8,FALSE)),"")</f>
        <v>72503.016666666677</v>
      </c>
      <c r="J303" s="448">
        <f>IF($A303&gt;0,(VLOOKUP($A303,TablaMO,10,FALSE)),"")</f>
        <v>0.67071666666666663</v>
      </c>
      <c r="K303" s="447">
        <f>IF($A303&gt;0,(VLOOKUP($A303,TablaMO,11,FALSE)),"")</f>
        <v>121132</v>
      </c>
      <c r="L303" s="1146">
        <f t="shared" ref="L303:L304" si="17">L301</f>
        <v>6</v>
      </c>
      <c r="M303" s="941"/>
      <c r="N303" s="430">
        <f t="shared" si="16"/>
        <v>20188.666666666668</v>
      </c>
      <c r="O303" s="449"/>
      <c r="P303" s="184"/>
      <c r="Q303" s="184"/>
      <c r="R303" s="1"/>
      <c r="S303" s="1"/>
      <c r="T303" s="1"/>
      <c r="U303" s="1"/>
      <c r="V303" s="1"/>
      <c r="W303" s="1"/>
      <c r="X303" s="1"/>
      <c r="Y303" s="1"/>
      <c r="Z303" s="1"/>
    </row>
    <row r="304" spans="1:26" ht="13.5" customHeight="1">
      <c r="A304" s="395" t="str">
        <f t="array" ref="A304">IF(C304&lt;&gt;0,INDEX(CodMO,MATCH(C304,MO,0),),)</f>
        <v>M.O-03</v>
      </c>
      <c r="B304" s="399"/>
      <c r="C304" s="1128" t="s">
        <v>135</v>
      </c>
      <c r="D304" s="940"/>
      <c r="E304" s="940"/>
      <c r="F304" s="940"/>
      <c r="G304" s="940"/>
      <c r="H304" s="940"/>
      <c r="I304" s="447">
        <f>IF($A304&gt;0,(VLOOKUP($A304,TablaMO,8,FALSE)),"")</f>
        <v>72503.016666666677</v>
      </c>
      <c r="J304" s="448">
        <f>IF($A304&gt;0,(VLOOKUP($A304,TablaMO,10,FALSE)),"")</f>
        <v>0.67071666666666663</v>
      </c>
      <c r="K304" s="447">
        <f>IF($A304&gt;0,(VLOOKUP($A304,TablaMO,11,FALSE)),"")</f>
        <v>121132</v>
      </c>
      <c r="L304" s="1146">
        <f t="shared" si="17"/>
        <v>6</v>
      </c>
      <c r="M304" s="941"/>
      <c r="N304" s="430">
        <f t="shared" si="16"/>
        <v>20188.666666666668</v>
      </c>
      <c r="O304" s="449"/>
      <c r="P304" s="184"/>
      <c r="Q304" s="184"/>
      <c r="R304" s="1"/>
      <c r="S304" s="1"/>
      <c r="T304" s="1"/>
      <c r="U304" s="1"/>
      <c r="V304" s="1"/>
      <c r="W304" s="1"/>
      <c r="X304" s="1"/>
      <c r="Y304" s="1"/>
      <c r="Z304" s="1"/>
    </row>
    <row r="305" spans="1:26" ht="13.5" customHeight="1">
      <c r="A305" s="395" t="str">
        <f t="array" ref="A305">IF(C305&lt;&gt;0,INDEX(CodMO,MATCH(C305,MO,0),),)</f>
        <v>M.O-04</v>
      </c>
      <c r="B305" s="399"/>
      <c r="C305" s="1152" t="s">
        <v>137</v>
      </c>
      <c r="D305" s="945"/>
      <c r="E305" s="945"/>
      <c r="F305" s="945"/>
      <c r="G305" s="945"/>
      <c r="H305" s="945"/>
      <c r="I305" s="447">
        <f>IF($A305&gt;0,(VLOOKUP($A305,TablaMO,8,FALSE)),"")</f>
        <v>72503.016666666677</v>
      </c>
      <c r="J305" s="448">
        <f>IF($A305&gt;0,(VLOOKUP($A305,TablaMO,10,FALSE)),"")</f>
        <v>0.67071666666666663</v>
      </c>
      <c r="K305" s="447">
        <f>IF($A305&gt;0,(VLOOKUP($A305,TablaMO,11,FALSE)),"")</f>
        <v>121132</v>
      </c>
      <c r="L305" s="1146">
        <f>L301</f>
        <v>6</v>
      </c>
      <c r="M305" s="941"/>
      <c r="N305" s="430">
        <f t="shared" si="16"/>
        <v>20188.666666666668</v>
      </c>
      <c r="O305" s="449"/>
      <c r="P305" s="1"/>
      <c r="Q305" s="1"/>
      <c r="R305" s="1"/>
      <c r="S305" s="1"/>
      <c r="T305" s="1"/>
      <c r="U305" s="1"/>
      <c r="V305" s="1"/>
      <c r="W305" s="1"/>
      <c r="X305" s="1"/>
      <c r="Y305" s="1"/>
      <c r="Z305" s="1"/>
    </row>
    <row r="306" spans="1:26" ht="13.5" customHeight="1">
      <c r="A306" s="395"/>
      <c r="B306" s="399"/>
      <c r="C306" s="1127" t="s">
        <v>1202</v>
      </c>
      <c r="D306" s="965"/>
      <c r="E306" s="965"/>
      <c r="F306" s="965"/>
      <c r="G306" s="965"/>
      <c r="H306" s="965"/>
      <c r="I306" s="965"/>
      <c r="J306" s="965"/>
      <c r="K306" s="965"/>
      <c r="L306" s="965"/>
      <c r="M306" s="966"/>
      <c r="N306" s="433">
        <f>+SUM(N301:N305)</f>
        <v>115569.66666666669</v>
      </c>
      <c r="O306" s="431"/>
      <c r="P306" s="1"/>
      <c r="Q306" s="1"/>
      <c r="R306" s="1"/>
      <c r="S306" s="1"/>
      <c r="T306" s="1"/>
      <c r="U306" s="1"/>
      <c r="V306" s="1"/>
      <c r="W306" s="1"/>
      <c r="X306" s="1"/>
      <c r="Y306" s="1"/>
      <c r="Z306" s="1"/>
    </row>
    <row r="307" spans="1:26" ht="13.5" customHeight="1">
      <c r="A307" s="395"/>
      <c r="B307" s="399"/>
      <c r="C307" s="418"/>
      <c r="D307" s="39"/>
      <c r="E307" s="39"/>
      <c r="F307" s="39"/>
      <c r="G307" s="39"/>
      <c r="H307" s="39"/>
      <c r="I307" s="39"/>
      <c r="J307" s="39"/>
      <c r="K307" s="39"/>
      <c r="L307" s="39"/>
      <c r="M307" s="39"/>
      <c r="N307" s="40"/>
      <c r="O307" s="402"/>
      <c r="P307" s="1"/>
      <c r="Q307" s="1"/>
      <c r="R307" s="1"/>
      <c r="S307" s="1"/>
      <c r="T307" s="1"/>
      <c r="U307" s="1"/>
      <c r="V307" s="1"/>
      <c r="W307" s="1"/>
      <c r="X307" s="1"/>
      <c r="Y307" s="1"/>
      <c r="Z307" s="1"/>
    </row>
    <row r="308" spans="1:26" ht="13.5" customHeight="1">
      <c r="A308" s="395"/>
      <c r="B308" s="399"/>
      <c r="C308" s="1147" t="s">
        <v>1219</v>
      </c>
      <c r="D308" s="965"/>
      <c r="E308" s="965"/>
      <c r="F308" s="965"/>
      <c r="G308" s="965"/>
      <c r="H308" s="965"/>
      <c r="I308" s="965"/>
      <c r="J308" s="965"/>
      <c r="K308" s="965"/>
      <c r="L308" s="965"/>
      <c r="M308" s="966"/>
      <c r="N308" s="450" t="e">
        <f>+SUM(N306,N296,N289,N279)</f>
        <v>#N/A</v>
      </c>
      <c r="O308" s="451"/>
      <c r="P308" s="1"/>
      <c r="Q308" s="1"/>
      <c r="R308" s="1"/>
      <c r="S308" s="1"/>
      <c r="T308" s="1"/>
      <c r="U308" s="1"/>
      <c r="V308" s="1"/>
      <c r="W308" s="1"/>
      <c r="X308" s="1"/>
      <c r="Y308" s="1"/>
      <c r="Z308" s="1"/>
    </row>
    <row r="309" spans="1:26" ht="13.5" customHeight="1">
      <c r="A309" s="395"/>
      <c r="B309" s="399"/>
      <c r="C309" s="1129" t="s">
        <v>1220</v>
      </c>
      <c r="D309" s="926"/>
      <c r="E309" s="926"/>
      <c r="F309" s="926"/>
      <c r="G309" s="926"/>
      <c r="H309" s="926"/>
      <c r="I309" s="926"/>
      <c r="J309" s="926"/>
      <c r="K309" s="926"/>
      <c r="L309" s="926"/>
      <c r="M309" s="926"/>
      <c r="N309" s="927"/>
      <c r="O309" s="426"/>
      <c r="P309" s="1"/>
      <c r="Q309" s="1"/>
      <c r="R309" s="1"/>
      <c r="S309" s="1"/>
      <c r="T309" s="1"/>
      <c r="U309" s="1"/>
      <c r="V309" s="1"/>
      <c r="W309" s="1"/>
      <c r="X309" s="1"/>
      <c r="Y309" s="1"/>
      <c r="Z309" s="1"/>
    </row>
    <row r="310" spans="1:26" ht="13.5" customHeight="1">
      <c r="A310" s="395"/>
      <c r="B310" s="399"/>
      <c r="C310" s="920"/>
      <c r="D310" s="922"/>
      <c r="E310" s="922"/>
      <c r="F310" s="922"/>
      <c r="G310" s="922"/>
      <c r="H310" s="922"/>
      <c r="I310" s="922"/>
      <c r="J310" s="922"/>
      <c r="K310" s="922"/>
      <c r="L310" s="922"/>
      <c r="M310" s="922"/>
      <c r="N310" s="924"/>
      <c r="O310" s="426"/>
      <c r="P310" s="1"/>
      <c r="Q310" s="1"/>
      <c r="R310" s="1"/>
      <c r="S310" s="1"/>
      <c r="T310" s="1"/>
      <c r="U310" s="1"/>
      <c r="V310" s="1"/>
      <c r="W310" s="1"/>
      <c r="X310" s="1"/>
      <c r="Y310" s="1"/>
      <c r="Z310" s="1"/>
    </row>
    <row r="311" spans="1:26" ht="13.5" customHeight="1">
      <c r="A311" s="395"/>
      <c r="B311" s="399"/>
      <c r="C311" s="929"/>
      <c r="D311" s="936"/>
      <c r="E311" s="936"/>
      <c r="F311" s="936"/>
      <c r="G311" s="936"/>
      <c r="H311" s="936"/>
      <c r="I311" s="936"/>
      <c r="J311" s="936"/>
      <c r="K311" s="936"/>
      <c r="L311" s="936"/>
      <c r="M311" s="936"/>
      <c r="N311" s="938"/>
      <c r="O311" s="426"/>
      <c r="P311" s="1"/>
      <c r="Q311" s="1"/>
      <c r="R311" s="1"/>
      <c r="S311" s="1"/>
      <c r="T311" s="1"/>
      <c r="U311" s="1"/>
      <c r="V311" s="1"/>
      <c r="W311" s="1"/>
      <c r="X311" s="1"/>
      <c r="Y311" s="1"/>
      <c r="Z311" s="1"/>
    </row>
    <row r="312" spans="1:26" ht="13.5" customHeight="1">
      <c r="A312" s="395"/>
      <c r="B312" s="399"/>
      <c r="C312" s="1130" t="s">
        <v>1221</v>
      </c>
      <c r="D312" s="1131"/>
      <c r="E312" s="1131"/>
      <c r="F312" s="1131"/>
      <c r="G312" s="1131"/>
      <c r="H312" s="1132"/>
      <c r="I312" s="438"/>
      <c r="J312" s="438"/>
      <c r="K312" s="438"/>
      <c r="L312" s="1133" t="s">
        <v>1222</v>
      </c>
      <c r="M312" s="1000"/>
      <c r="N312" s="445" t="s">
        <v>1223</v>
      </c>
      <c r="O312" s="446"/>
      <c r="P312" s="1"/>
      <c r="Q312" s="1"/>
      <c r="R312" s="1"/>
      <c r="S312" s="1"/>
      <c r="T312" s="1"/>
      <c r="U312" s="1"/>
      <c r="V312" s="1"/>
      <c r="W312" s="1"/>
      <c r="X312" s="1"/>
      <c r="Y312" s="1"/>
      <c r="Z312" s="1"/>
    </row>
    <row r="313" spans="1:26" ht="13.5" customHeight="1">
      <c r="A313" s="395"/>
      <c r="B313" s="399"/>
      <c r="C313" s="1128" t="s">
        <v>19</v>
      </c>
      <c r="D313" s="940"/>
      <c r="E313" s="940"/>
      <c r="F313" s="940"/>
      <c r="G313" s="940"/>
      <c r="H313" s="940"/>
      <c r="I313" s="452"/>
      <c r="J313" s="452"/>
      <c r="K313" s="452"/>
      <c r="L313" s="1148">
        <f>+Datos!$E$18</f>
        <v>0.25</v>
      </c>
      <c r="M313" s="941"/>
      <c r="N313" s="430" t="e">
        <f>+L313*N308</f>
        <v>#N/A</v>
      </c>
      <c r="O313" s="453"/>
      <c r="P313" s="1"/>
      <c r="Q313" s="1"/>
      <c r="R313" s="1"/>
      <c r="S313" s="1"/>
      <c r="T313" s="1"/>
      <c r="U313" s="1"/>
      <c r="V313" s="1"/>
      <c r="W313" s="1"/>
      <c r="X313" s="1"/>
      <c r="Y313" s="1"/>
      <c r="Z313" s="1"/>
    </row>
    <row r="314" spans="1:26" ht="13.5" customHeight="1">
      <c r="A314" s="395"/>
      <c r="B314" s="399"/>
      <c r="C314" s="454" t="s">
        <v>20</v>
      </c>
      <c r="D314" s="455"/>
      <c r="E314" s="455"/>
      <c r="F314" s="455"/>
      <c r="G314" s="455"/>
      <c r="H314" s="455"/>
      <c r="I314" s="452"/>
      <c r="J314" s="452"/>
      <c r="K314" s="452"/>
      <c r="L314" s="1148">
        <f>+Datos!$E$19</f>
        <v>0.01</v>
      </c>
      <c r="M314" s="941"/>
      <c r="N314" s="430" t="e">
        <f>+L314*N308</f>
        <v>#N/A</v>
      </c>
      <c r="O314" s="453"/>
      <c r="P314" s="1"/>
      <c r="Q314" s="1"/>
      <c r="R314" s="1"/>
      <c r="S314" s="1"/>
      <c r="T314" s="1"/>
      <c r="U314" s="1"/>
      <c r="V314" s="1"/>
      <c r="W314" s="1"/>
      <c r="X314" s="1"/>
      <c r="Y314" s="1"/>
      <c r="Z314" s="1"/>
    </row>
    <row r="315" spans="1:26" ht="13.5" customHeight="1">
      <c r="A315" s="395"/>
      <c r="B315" s="399"/>
      <c r="C315" s="456" t="s">
        <v>21</v>
      </c>
      <c r="D315" s="457"/>
      <c r="E315" s="457"/>
      <c r="F315" s="457"/>
      <c r="G315" s="457"/>
      <c r="H315" s="457"/>
      <c r="I315" s="458"/>
      <c r="J315" s="458"/>
      <c r="K315" s="458"/>
      <c r="L315" s="1148">
        <f>+Datos!$E$20</f>
        <v>0.05</v>
      </c>
      <c r="M315" s="941"/>
      <c r="N315" s="430" t="e">
        <f>+L315*N308</f>
        <v>#N/A</v>
      </c>
      <c r="O315" s="453"/>
      <c r="P315" s="1"/>
      <c r="Q315" s="1"/>
      <c r="R315" s="1"/>
      <c r="S315" s="1"/>
      <c r="T315" s="1"/>
      <c r="U315" s="1"/>
      <c r="V315" s="1"/>
      <c r="W315" s="1"/>
      <c r="X315" s="1"/>
      <c r="Y315" s="1"/>
      <c r="Z315" s="1"/>
    </row>
    <row r="316" spans="1:26" ht="13.5" customHeight="1">
      <c r="A316" s="395"/>
      <c r="B316" s="399"/>
      <c r="C316" s="1127" t="s">
        <v>1202</v>
      </c>
      <c r="D316" s="965"/>
      <c r="E316" s="965"/>
      <c r="F316" s="965"/>
      <c r="G316" s="965"/>
      <c r="H316" s="965"/>
      <c r="I316" s="965"/>
      <c r="J316" s="965"/>
      <c r="K316" s="965"/>
      <c r="L316" s="965"/>
      <c r="M316" s="966"/>
      <c r="N316" s="433" t="e">
        <f>+SUM(N313:N315)</f>
        <v>#N/A</v>
      </c>
      <c r="O316" s="453"/>
      <c r="P316" s="1"/>
      <c r="Q316" s="1"/>
      <c r="R316" s="1"/>
      <c r="S316" s="1"/>
      <c r="T316" s="1"/>
      <c r="U316" s="1"/>
      <c r="V316" s="1"/>
      <c r="W316" s="1"/>
      <c r="X316" s="1"/>
      <c r="Y316" s="1"/>
      <c r="Z316" s="1"/>
    </row>
    <row r="317" spans="1:26" ht="13.5" customHeight="1">
      <c r="A317" s="395"/>
      <c r="B317" s="399"/>
      <c r="C317" s="418"/>
      <c r="D317" s="39"/>
      <c r="E317" s="39"/>
      <c r="F317" s="39"/>
      <c r="G317" s="39"/>
      <c r="H317" s="39"/>
      <c r="I317" s="39"/>
      <c r="J317" s="39"/>
      <c r="K317" s="39"/>
      <c r="L317" s="39"/>
      <c r="M317" s="39"/>
      <c r="N317" s="40"/>
      <c r="O317" s="402"/>
      <c r="P317" s="1"/>
      <c r="Q317" s="1"/>
      <c r="R317" s="1"/>
      <c r="S317" s="1"/>
      <c r="T317" s="1"/>
      <c r="U317" s="1"/>
      <c r="V317" s="1"/>
      <c r="W317" s="1"/>
      <c r="X317" s="1"/>
      <c r="Y317" s="1"/>
      <c r="Z317" s="1"/>
    </row>
    <row r="318" spans="1:26" ht="13.5" customHeight="1">
      <c r="A318" s="395"/>
      <c r="B318" s="399"/>
      <c r="C318" s="1147" t="s">
        <v>1224</v>
      </c>
      <c r="D318" s="965"/>
      <c r="E318" s="965"/>
      <c r="F318" s="965"/>
      <c r="G318" s="965"/>
      <c r="H318" s="965"/>
      <c r="I318" s="965"/>
      <c r="J318" s="965"/>
      <c r="K318" s="965"/>
      <c r="L318" s="965"/>
      <c r="M318" s="966"/>
      <c r="N318" s="459" t="e">
        <f>+ROUND(SUM(N316,N308),0)</f>
        <v>#N/A</v>
      </c>
      <c r="O318" s="453"/>
      <c r="P318" s="1"/>
      <c r="Q318" s="1"/>
      <c r="R318" s="1"/>
      <c r="S318" s="1"/>
      <c r="T318" s="1"/>
      <c r="U318" s="1"/>
      <c r="V318" s="1"/>
      <c r="W318" s="1"/>
      <c r="X318" s="1"/>
      <c r="Y318" s="1"/>
      <c r="Z318" s="1"/>
    </row>
    <row r="319" spans="1:26" ht="13.5" customHeight="1">
      <c r="A319" s="395"/>
      <c r="B319" s="399"/>
      <c r="C319" s="460"/>
      <c r="D319" s="461"/>
      <c r="E319" s="461"/>
      <c r="F319" s="461"/>
      <c r="G319" s="461"/>
      <c r="H319" s="461"/>
      <c r="I319" s="461"/>
      <c r="J319" s="461"/>
      <c r="K319" s="461"/>
      <c r="L319" s="461"/>
      <c r="M319" s="461"/>
      <c r="N319" s="462"/>
      <c r="O319" s="402"/>
      <c r="P319" s="1"/>
      <c r="Q319" s="1"/>
      <c r="R319" s="1"/>
      <c r="S319" s="1"/>
      <c r="T319" s="1"/>
      <c r="U319" s="1"/>
      <c r="V319" s="1"/>
      <c r="W319" s="1"/>
      <c r="X319" s="1"/>
      <c r="Y319" s="1"/>
      <c r="Z319" s="1"/>
    </row>
    <row r="320" spans="1:26" ht="13.5" customHeight="1">
      <c r="A320" s="395"/>
      <c r="B320" s="399"/>
      <c r="C320" s="418"/>
      <c r="D320" s="39"/>
      <c r="E320" s="39"/>
      <c r="F320" s="39"/>
      <c r="G320" s="39"/>
      <c r="H320" s="39"/>
      <c r="I320" s="39"/>
      <c r="J320" s="39"/>
      <c r="K320" s="39"/>
      <c r="L320" s="39"/>
      <c r="M320" s="39"/>
      <c r="N320" s="40"/>
      <c r="O320" s="402"/>
      <c r="P320" s="1"/>
      <c r="Q320" s="1"/>
      <c r="R320" s="1"/>
      <c r="S320" s="1"/>
      <c r="T320" s="1"/>
      <c r="U320" s="1"/>
      <c r="V320" s="1"/>
      <c r="W320" s="1"/>
      <c r="X320" s="1"/>
      <c r="Y320" s="1"/>
      <c r="Z320" s="1"/>
    </row>
    <row r="321" spans="1:26" ht="13.5" customHeight="1">
      <c r="A321" s="1"/>
      <c r="B321" s="399"/>
      <c r="C321" s="418"/>
      <c r="D321" s="39"/>
      <c r="E321" s="39"/>
      <c r="F321" s="39"/>
      <c r="G321" s="39"/>
      <c r="H321" s="39"/>
      <c r="I321" s="39"/>
      <c r="J321" s="39"/>
      <c r="K321" s="39"/>
      <c r="L321" s="39"/>
      <c r="M321" s="39"/>
      <c r="N321" s="40"/>
      <c r="O321" s="402"/>
      <c r="P321" s="1"/>
      <c r="Q321" s="1"/>
      <c r="R321" s="1"/>
      <c r="S321" s="1"/>
      <c r="T321" s="1"/>
      <c r="U321" s="1"/>
      <c r="V321" s="1"/>
      <c r="W321" s="1"/>
      <c r="X321" s="1"/>
      <c r="Y321" s="1"/>
      <c r="Z321" s="1"/>
    </row>
    <row r="322" spans="1:26" ht="13.5" customHeight="1">
      <c r="A322" s="1"/>
      <c r="B322" s="399"/>
      <c r="C322" s="418"/>
      <c r="D322" s="463"/>
      <c r="E322" s="463"/>
      <c r="F322" s="463"/>
      <c r="G322" s="184"/>
      <c r="H322" s="184"/>
      <c r="I322" s="184"/>
      <c r="J322" s="463"/>
      <c r="K322" s="463"/>
      <c r="L322" s="463"/>
      <c r="M322" s="463"/>
      <c r="N322" s="40"/>
      <c r="O322" s="402"/>
      <c r="P322" s="1"/>
      <c r="Q322" s="1"/>
      <c r="R322" s="1"/>
      <c r="S322" s="1"/>
      <c r="T322" s="1"/>
      <c r="U322" s="1"/>
      <c r="V322" s="1"/>
      <c r="W322" s="1"/>
      <c r="X322" s="1"/>
      <c r="Y322" s="1"/>
      <c r="Z322" s="1"/>
    </row>
    <row r="323" spans="1:26" ht="13.5" customHeight="1">
      <c r="A323" s="1"/>
      <c r="B323" s="399"/>
      <c r="C323" s="418"/>
      <c r="D323" s="39" t="s">
        <v>1225</v>
      </c>
      <c r="E323" s="39"/>
      <c r="F323" s="39"/>
      <c r="G323" s="184"/>
      <c r="H323" s="184"/>
      <c r="I323" s="184"/>
      <c r="J323" s="39" t="s">
        <v>1225</v>
      </c>
      <c r="K323" s="39"/>
      <c r="L323" s="39"/>
      <c r="M323" s="39"/>
      <c r="N323" s="40"/>
      <c r="O323" s="464"/>
      <c r="P323" s="1"/>
      <c r="Q323" s="1"/>
      <c r="R323" s="1"/>
      <c r="S323" s="1"/>
      <c r="T323" s="1"/>
      <c r="U323" s="1"/>
      <c r="V323" s="1"/>
      <c r="W323" s="1"/>
      <c r="X323" s="1"/>
      <c r="Y323" s="1"/>
      <c r="Z323" s="1"/>
    </row>
    <row r="324" spans="1:26" ht="13.5" customHeight="1">
      <c r="A324" s="1"/>
      <c r="B324" s="399"/>
      <c r="C324" s="418"/>
      <c r="D324" s="39" t="s">
        <v>1226</v>
      </c>
      <c r="E324" s="39"/>
      <c r="F324" s="39"/>
      <c r="G324" s="184"/>
      <c r="H324" s="184"/>
      <c r="I324" s="184"/>
      <c r="J324" s="39" t="s">
        <v>1227</v>
      </c>
      <c r="K324" s="39"/>
      <c r="L324" s="39"/>
      <c r="M324" s="39"/>
      <c r="N324" s="40"/>
      <c r="O324" s="464"/>
      <c r="P324" s="1"/>
      <c r="Q324" s="1"/>
      <c r="R324" s="1"/>
      <c r="S324" s="1"/>
      <c r="T324" s="1"/>
      <c r="U324" s="1"/>
      <c r="V324" s="1"/>
      <c r="W324" s="1"/>
      <c r="X324" s="1"/>
      <c r="Y324" s="1"/>
      <c r="Z324" s="1"/>
    </row>
    <row r="325" spans="1:26" ht="13.5" customHeight="1">
      <c r="A325" s="1"/>
      <c r="B325" s="399"/>
      <c r="C325" s="404"/>
      <c r="D325" s="39" t="s">
        <v>1228</v>
      </c>
      <c r="E325" s="42"/>
      <c r="F325" s="42"/>
      <c r="G325" s="184"/>
      <c r="H325" s="184"/>
      <c r="I325" s="184"/>
      <c r="J325" s="39" t="s">
        <v>1228</v>
      </c>
      <c r="K325" s="42"/>
      <c r="L325" s="42"/>
      <c r="M325" s="42"/>
      <c r="N325" s="43"/>
      <c r="O325" s="465"/>
      <c r="P325" s="1"/>
      <c r="Q325" s="1"/>
      <c r="R325" s="1"/>
      <c r="S325" s="1"/>
      <c r="T325" s="1"/>
      <c r="U325" s="1"/>
      <c r="V325" s="1"/>
      <c r="W325" s="1"/>
      <c r="X325" s="1"/>
      <c r="Y325" s="1"/>
      <c r="Z325" s="1"/>
    </row>
    <row r="326" spans="1:26" ht="13.5" customHeight="1">
      <c r="A326" s="1"/>
      <c r="B326" s="399"/>
      <c r="C326" s="418"/>
      <c r="D326" s="39"/>
      <c r="E326" s="39"/>
      <c r="F326" s="39"/>
      <c r="G326" s="39" t="s">
        <v>1229</v>
      </c>
      <c r="H326" s="39"/>
      <c r="I326" s="39"/>
      <c r="J326" s="39"/>
      <c r="K326" s="39"/>
      <c r="L326" s="39"/>
      <c r="M326" s="39"/>
      <c r="N326" s="40"/>
      <c r="O326" s="402"/>
      <c r="P326" s="1"/>
      <c r="Q326" s="1"/>
      <c r="R326" s="1"/>
      <c r="S326" s="1"/>
      <c r="T326" s="1"/>
      <c r="U326" s="1"/>
      <c r="V326" s="1"/>
      <c r="W326" s="1"/>
      <c r="X326" s="1"/>
      <c r="Y326" s="1"/>
      <c r="Z326" s="1"/>
    </row>
    <row r="327" spans="1:26" ht="17.25" customHeight="1">
      <c r="A327" s="1"/>
      <c r="B327" s="399"/>
      <c r="C327" s="466"/>
      <c r="D327" s="467"/>
      <c r="E327" s="467"/>
      <c r="F327" s="39"/>
      <c r="G327" s="39"/>
      <c r="H327" s="39"/>
      <c r="I327" s="39"/>
      <c r="J327" s="1149"/>
      <c r="K327" s="922"/>
      <c r="L327" s="922"/>
      <c r="M327" s="922"/>
      <c r="N327" s="924"/>
      <c r="O327" s="468"/>
      <c r="P327" s="1"/>
      <c r="Q327" s="1"/>
      <c r="R327" s="1"/>
      <c r="S327" s="1"/>
      <c r="T327" s="1"/>
      <c r="U327" s="1"/>
      <c r="V327" s="1"/>
      <c r="W327" s="1"/>
      <c r="X327" s="1"/>
      <c r="Y327" s="1"/>
      <c r="Z327" s="1"/>
    </row>
    <row r="328" spans="1:26" ht="18.75" customHeight="1">
      <c r="A328" s="1"/>
      <c r="B328" s="399"/>
      <c r="C328" s="1150"/>
      <c r="D328" s="936"/>
      <c r="E328" s="936"/>
      <c r="F328" s="416"/>
      <c r="G328" s="416"/>
      <c r="H328" s="416"/>
      <c r="I328" s="416"/>
      <c r="J328" s="936"/>
      <c r="K328" s="936"/>
      <c r="L328" s="936"/>
      <c r="M328" s="936"/>
      <c r="N328" s="938"/>
      <c r="O328" s="468"/>
      <c r="P328" s="1"/>
      <c r="Q328" s="1"/>
      <c r="R328" s="1"/>
      <c r="S328" s="1"/>
      <c r="T328" s="1"/>
      <c r="U328" s="1"/>
      <c r="V328" s="1"/>
      <c r="W328" s="1"/>
      <c r="X328" s="1"/>
      <c r="Y328" s="1"/>
      <c r="Z328" s="1"/>
    </row>
    <row r="329" spans="1:26" ht="13.5" customHeight="1">
      <c r="A329" s="1"/>
      <c r="B329" s="469"/>
      <c r="C329" s="470"/>
      <c r="D329" s="470"/>
      <c r="E329" s="470"/>
      <c r="F329" s="470"/>
      <c r="G329" s="470"/>
      <c r="H329" s="470"/>
      <c r="I329" s="470"/>
      <c r="J329" s="470"/>
      <c r="K329" s="470"/>
      <c r="L329" s="470"/>
      <c r="M329" s="470"/>
      <c r="N329" s="470"/>
      <c r="O329" s="471"/>
      <c r="P329" s="1"/>
      <c r="Q329" s="1"/>
      <c r="R329" s="1"/>
      <c r="S329" s="1"/>
      <c r="T329" s="1"/>
      <c r="U329" s="1"/>
      <c r="V329" s="1"/>
      <c r="W329" s="1"/>
      <c r="X329" s="1"/>
      <c r="Y329" s="1"/>
      <c r="Z329" s="1"/>
    </row>
    <row r="330" spans="1:26" ht="13.5" customHeight="1">
      <c r="A330" s="1"/>
      <c r="B330" s="184"/>
      <c r="C330" s="184"/>
      <c r="D330" s="184"/>
      <c r="E330" s="184"/>
      <c r="F330" s="184"/>
      <c r="G330" s="184"/>
      <c r="H330" s="184"/>
      <c r="I330" s="184"/>
      <c r="J330" s="184"/>
      <c r="K330" s="184"/>
      <c r="L330" s="184"/>
      <c r="M330" s="184"/>
      <c r="N330" s="184"/>
      <c r="O330" s="184"/>
      <c r="P330" s="1"/>
      <c r="Q330" s="1"/>
      <c r="R330" s="1"/>
      <c r="S330" s="1"/>
      <c r="T330" s="1"/>
      <c r="U330" s="1"/>
      <c r="V330" s="1"/>
      <c r="W330" s="1"/>
      <c r="X330" s="1"/>
      <c r="Y330" s="1"/>
      <c r="Z330" s="1"/>
    </row>
    <row r="331" spans="1:26" ht="13.5" customHeight="1">
      <c r="A331" s="1"/>
      <c r="B331" s="184"/>
      <c r="C331" s="184"/>
      <c r="D331" s="184"/>
      <c r="E331" s="184"/>
      <c r="F331" s="184"/>
      <c r="G331" s="184"/>
      <c r="H331" s="184"/>
      <c r="I331" s="184"/>
      <c r="J331" s="184"/>
      <c r="K331" s="184"/>
      <c r="L331" s="184"/>
      <c r="M331" s="184"/>
      <c r="N331" s="184"/>
      <c r="O331" s="184"/>
      <c r="P331" s="1"/>
      <c r="Q331" s="1"/>
      <c r="R331" s="1"/>
      <c r="S331" s="1"/>
      <c r="T331" s="1"/>
      <c r="U331" s="1"/>
      <c r="V331" s="1"/>
      <c r="W331" s="1"/>
      <c r="X331" s="1"/>
      <c r="Y331" s="1"/>
      <c r="Z331" s="1"/>
    </row>
    <row r="332" spans="1:26" ht="13.5" customHeight="1">
      <c r="A332" s="1"/>
      <c r="B332" s="396"/>
      <c r="C332" s="397"/>
      <c r="D332" s="397"/>
      <c r="E332" s="397"/>
      <c r="F332" s="397"/>
      <c r="G332" s="397"/>
      <c r="H332" s="397"/>
      <c r="I332" s="397"/>
      <c r="J332" s="397"/>
      <c r="K332" s="397"/>
      <c r="L332" s="397"/>
      <c r="M332" s="397"/>
      <c r="N332" s="397"/>
      <c r="O332" s="398"/>
      <c r="P332" s="1"/>
      <c r="Q332" s="1"/>
      <c r="R332" s="1"/>
      <c r="S332" s="1"/>
      <c r="T332" s="1"/>
      <c r="U332" s="1"/>
      <c r="V332" s="1"/>
      <c r="W332" s="1"/>
      <c r="X332" s="1"/>
      <c r="Y332" s="1"/>
      <c r="Z332" s="1"/>
    </row>
    <row r="333" spans="1:26" ht="13.5" customHeight="1">
      <c r="A333" s="1"/>
      <c r="B333" s="399"/>
      <c r="C333" s="400"/>
      <c r="D333" s="401"/>
      <c r="E333" s="400"/>
      <c r="F333" s="184"/>
      <c r="G333" s="184"/>
      <c r="H333" s="184"/>
      <c r="I333" s="184"/>
      <c r="J333" s="184"/>
      <c r="K333" s="184"/>
      <c r="L333" s="184"/>
      <c r="M333" s="184"/>
      <c r="N333" s="184"/>
      <c r="O333" s="402"/>
      <c r="P333" s="1"/>
      <c r="Q333" s="1"/>
      <c r="R333" s="1"/>
      <c r="S333" s="1"/>
      <c r="T333" s="1"/>
      <c r="U333" s="1"/>
      <c r="V333" s="1"/>
      <c r="W333" s="1"/>
      <c r="X333" s="1"/>
      <c r="Y333" s="1"/>
      <c r="Z333" s="1"/>
    </row>
    <row r="334" spans="1:26" ht="13.5" customHeight="1">
      <c r="A334" s="1"/>
      <c r="B334" s="399"/>
      <c r="C334" s="39"/>
      <c r="D334" s="39"/>
      <c r="E334" s="39"/>
      <c r="F334" s="39"/>
      <c r="G334" s="39"/>
      <c r="H334" s="39"/>
      <c r="I334" s="39"/>
      <c r="J334" s="39"/>
      <c r="K334" s="39"/>
      <c r="L334" s="39"/>
      <c r="M334" s="39"/>
      <c r="N334" s="39"/>
      <c r="O334" s="402"/>
      <c r="P334" s="1"/>
      <c r="Q334" s="1"/>
      <c r="R334" s="1"/>
      <c r="S334" s="1"/>
      <c r="T334" s="1"/>
      <c r="U334" s="1"/>
      <c r="V334" s="1"/>
      <c r="W334" s="1"/>
      <c r="X334" s="1"/>
      <c r="Y334" s="1"/>
      <c r="Z334" s="1"/>
    </row>
    <row r="335" spans="1:26" ht="13.5" customHeight="1">
      <c r="A335" s="1"/>
      <c r="B335" s="399"/>
      <c r="C335" s="1124"/>
      <c r="D335" s="927"/>
      <c r="E335" s="1014" t="str">
        <f>+Datos!$C$9</f>
        <v>CONSEJO SUPERIOR  DE  JUDICATURA– DIRECCIÓN  EJECUTIVA  SECCIONAL  DE ADMINISTRACIÓN JUDICIAL DE BUCARAMANGA</v>
      </c>
      <c r="F335" s="926"/>
      <c r="G335" s="926"/>
      <c r="H335" s="926"/>
      <c r="I335" s="926"/>
      <c r="J335" s="926"/>
      <c r="K335" s="927"/>
      <c r="L335" s="925" t="s">
        <v>1</v>
      </c>
      <c r="M335" s="931"/>
      <c r="N335" s="933">
        <f>Datos!$C$4</f>
        <v>1</v>
      </c>
      <c r="O335" s="403"/>
      <c r="P335" s="1"/>
      <c r="Q335" s="1"/>
      <c r="R335" s="1"/>
      <c r="S335" s="1"/>
      <c r="T335" s="1"/>
      <c r="U335" s="1"/>
      <c r="V335" s="1"/>
      <c r="W335" s="1"/>
      <c r="X335" s="1"/>
      <c r="Y335" s="1"/>
      <c r="Z335" s="1"/>
    </row>
    <row r="336" spans="1:26" ht="13.5" customHeight="1">
      <c r="A336" s="1"/>
      <c r="B336" s="399"/>
      <c r="C336" s="920"/>
      <c r="D336" s="924"/>
      <c r="E336" s="920"/>
      <c r="F336" s="922"/>
      <c r="G336" s="922"/>
      <c r="H336" s="922"/>
      <c r="I336" s="922"/>
      <c r="J336" s="922"/>
      <c r="K336" s="924"/>
      <c r="L336" s="920"/>
      <c r="M336" s="932"/>
      <c r="N336" s="934"/>
      <c r="O336" s="403"/>
      <c r="P336" s="1"/>
      <c r="Q336" s="1"/>
      <c r="R336" s="1"/>
      <c r="S336" s="1"/>
      <c r="T336" s="1"/>
      <c r="U336" s="1"/>
      <c r="V336" s="1"/>
      <c r="W336" s="1"/>
      <c r="X336" s="1"/>
      <c r="Y336" s="1"/>
      <c r="Z336" s="1"/>
    </row>
    <row r="337" spans="1:26" ht="13.5" customHeight="1">
      <c r="A337" s="1"/>
      <c r="B337" s="399"/>
      <c r="C337" s="920"/>
      <c r="D337" s="924"/>
      <c r="E337" s="919" t="str">
        <f>Datos!$C$13</f>
        <v xml:space="preserve">BGA - 030 - 2026 </v>
      </c>
      <c r="F337" s="922"/>
      <c r="G337" s="922"/>
      <c r="H337" s="922"/>
      <c r="I337" s="922"/>
      <c r="J337" s="922"/>
      <c r="K337" s="922"/>
      <c r="L337" s="925" t="s">
        <v>29</v>
      </c>
      <c r="M337" s="926"/>
      <c r="N337" s="927"/>
      <c r="O337" s="403"/>
      <c r="P337" s="1"/>
      <c r="Q337" s="1"/>
      <c r="R337" s="1"/>
      <c r="S337" s="1"/>
      <c r="T337" s="1"/>
      <c r="U337" s="1"/>
      <c r="V337" s="1"/>
      <c r="W337" s="1"/>
      <c r="X337" s="1"/>
      <c r="Y337" s="1"/>
      <c r="Z337" s="1"/>
    </row>
    <row r="338" spans="1:26" ht="13.5" customHeight="1">
      <c r="A338" s="1"/>
      <c r="B338" s="399"/>
      <c r="C338" s="920"/>
      <c r="D338" s="924"/>
      <c r="E338" s="405"/>
      <c r="F338" s="406"/>
      <c r="G338" s="406"/>
      <c r="H338" s="406"/>
      <c r="I338" s="406"/>
      <c r="J338" s="406"/>
      <c r="K338" s="42"/>
      <c r="L338" s="919">
        <v>1</v>
      </c>
      <c r="M338" s="921" t="s">
        <v>30</v>
      </c>
      <c r="N338" s="923">
        <v>1</v>
      </c>
      <c r="O338" s="403"/>
      <c r="P338" s="1"/>
      <c r="Q338" s="1"/>
      <c r="R338" s="1"/>
      <c r="S338" s="1"/>
      <c r="T338" s="1"/>
      <c r="U338" s="1"/>
      <c r="V338" s="1"/>
      <c r="W338" s="1"/>
      <c r="X338" s="1"/>
      <c r="Y338" s="1"/>
      <c r="Z338" s="1"/>
    </row>
    <row r="339" spans="1:26" ht="12.75" customHeight="1">
      <c r="A339" s="1"/>
      <c r="B339" s="399"/>
      <c r="C339" s="920"/>
      <c r="D339" s="924"/>
      <c r="E339"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39" s="922"/>
      <c r="G339" s="922"/>
      <c r="H339" s="922"/>
      <c r="I339" s="922"/>
      <c r="J339" s="922"/>
      <c r="K339" s="922"/>
      <c r="L339" s="920"/>
      <c r="M339" s="922"/>
      <c r="N339" s="924"/>
      <c r="O339" s="403"/>
      <c r="P339" s="1"/>
      <c r="Q339" s="1"/>
      <c r="R339" s="1"/>
      <c r="S339" s="1"/>
      <c r="T339" s="1"/>
      <c r="U339" s="1"/>
      <c r="V339" s="1"/>
      <c r="W339" s="1"/>
      <c r="X339" s="1"/>
      <c r="Y339" s="1"/>
      <c r="Z339" s="1"/>
    </row>
    <row r="340" spans="1:26" ht="13.5" customHeight="1">
      <c r="A340" s="1"/>
      <c r="B340" s="399"/>
      <c r="C340" s="920"/>
      <c r="D340" s="924"/>
      <c r="E340" s="920"/>
      <c r="F340" s="922"/>
      <c r="G340" s="922"/>
      <c r="H340" s="922"/>
      <c r="I340" s="922"/>
      <c r="J340" s="922"/>
      <c r="K340" s="922"/>
      <c r="L340" s="925" t="s">
        <v>2</v>
      </c>
      <c r="M340" s="926"/>
      <c r="N340" s="927"/>
      <c r="O340" s="403"/>
      <c r="P340" s="1"/>
      <c r="Q340" s="1"/>
      <c r="R340" s="1"/>
      <c r="S340" s="1"/>
      <c r="T340" s="1"/>
      <c r="U340" s="1"/>
      <c r="V340" s="1"/>
      <c r="W340" s="1"/>
      <c r="X340" s="1"/>
      <c r="Y340" s="1"/>
      <c r="Z340" s="1"/>
    </row>
    <row r="341" spans="1:26" ht="13.5" customHeight="1">
      <c r="A341" s="1"/>
      <c r="B341" s="399"/>
      <c r="C341" s="920"/>
      <c r="D341" s="924"/>
      <c r="E341" s="407"/>
      <c r="F341" s="216"/>
      <c r="G341" s="216"/>
      <c r="H341" s="216"/>
      <c r="I341" s="216"/>
      <c r="J341" s="216"/>
      <c r="K341" s="216"/>
      <c r="L341" s="408" t="s">
        <v>3</v>
      </c>
      <c r="M341" s="409" t="s">
        <v>4</v>
      </c>
      <c r="N341" s="410" t="s">
        <v>5</v>
      </c>
      <c r="O341" s="403"/>
      <c r="P341" s="1"/>
      <c r="Q341" s="1"/>
      <c r="R341" s="1"/>
      <c r="S341" s="1"/>
      <c r="T341" s="1"/>
      <c r="U341" s="1"/>
      <c r="V341" s="1"/>
      <c r="W341" s="1"/>
      <c r="X341" s="1"/>
      <c r="Y341" s="1"/>
      <c r="Z341" s="1"/>
    </row>
    <row r="342" spans="1:26" ht="13.5" customHeight="1">
      <c r="A342" s="1"/>
      <c r="B342" s="399"/>
      <c r="C342" s="920"/>
      <c r="D342" s="924"/>
      <c r="E342" s="1125" t="s">
        <v>1186</v>
      </c>
      <c r="F342" s="945"/>
      <c r="G342" s="945"/>
      <c r="H342" s="945"/>
      <c r="I342" s="945"/>
      <c r="J342" s="945"/>
      <c r="K342" s="945"/>
      <c r="L342" s="928">
        <f>+Datos!C253</f>
        <v>0</v>
      </c>
      <c r="M342" s="935">
        <f>+Datos!D253</f>
        <v>0</v>
      </c>
      <c r="N342" s="937">
        <f>+Datos!E253</f>
        <v>0</v>
      </c>
      <c r="O342" s="411"/>
      <c r="P342" s="1"/>
      <c r="Q342" s="1"/>
      <c r="R342" s="1"/>
      <c r="S342" s="1"/>
      <c r="T342" s="1"/>
      <c r="U342" s="1"/>
      <c r="V342" s="1"/>
      <c r="W342" s="1"/>
      <c r="X342" s="1"/>
      <c r="Y342" s="1"/>
      <c r="Z342" s="1"/>
    </row>
    <row r="343" spans="1:26" ht="13.5" customHeight="1">
      <c r="A343" s="1"/>
      <c r="B343" s="399"/>
      <c r="C343" s="929"/>
      <c r="D343" s="938"/>
      <c r="E343" s="929"/>
      <c r="F343" s="936"/>
      <c r="G343" s="936"/>
      <c r="H343" s="936"/>
      <c r="I343" s="936"/>
      <c r="J343" s="936"/>
      <c r="K343" s="936"/>
      <c r="L343" s="929"/>
      <c r="M343" s="936"/>
      <c r="N343" s="938"/>
      <c r="O343" s="403"/>
      <c r="P343" s="1"/>
      <c r="Q343" s="1"/>
      <c r="R343" s="1"/>
      <c r="S343" s="1"/>
      <c r="T343" s="1"/>
      <c r="U343" s="1"/>
      <c r="V343" s="1"/>
      <c r="W343" s="1"/>
      <c r="X343" s="1"/>
      <c r="Y343" s="1"/>
      <c r="Z343" s="1"/>
    </row>
    <row r="344" spans="1:26" ht="13.5" customHeight="1">
      <c r="A344" s="1"/>
      <c r="B344" s="399"/>
      <c r="C344" s="404"/>
      <c r="D344" s="38"/>
      <c r="E344" s="38"/>
      <c r="F344" s="38"/>
      <c r="G344" s="38"/>
      <c r="H344" s="38"/>
      <c r="I344" s="38"/>
      <c r="J344" s="38"/>
      <c r="K344" s="38"/>
      <c r="L344" s="39"/>
      <c r="M344" s="39"/>
      <c r="N344" s="40"/>
      <c r="O344" s="414"/>
      <c r="P344" s="1"/>
      <c r="Q344" s="1"/>
      <c r="R344" s="1"/>
      <c r="S344" s="1"/>
      <c r="T344" s="1"/>
      <c r="U344" s="1"/>
      <c r="V344" s="1"/>
      <c r="W344" s="1"/>
      <c r="X344" s="1"/>
      <c r="Y344" s="1"/>
      <c r="Z344" s="1"/>
    </row>
    <row r="345" spans="1:26" ht="18" customHeight="1">
      <c r="A345" s="1"/>
      <c r="B345" s="399"/>
      <c r="C345" s="412" t="s">
        <v>1187</v>
      </c>
      <c r="D345" s="1126" t="s">
        <v>1188</v>
      </c>
      <c r="E345" s="922"/>
      <c r="F345" s="922"/>
      <c r="G345" s="922"/>
      <c r="H345" s="922"/>
      <c r="I345" s="922"/>
      <c r="J345" s="922"/>
      <c r="K345" s="922"/>
      <c r="L345" s="922"/>
      <c r="M345" s="1"/>
      <c r="N345" s="413"/>
      <c r="O345" s="414"/>
      <c r="P345" s="1"/>
      <c r="Q345" s="1"/>
      <c r="R345" s="1"/>
      <c r="S345" s="1"/>
      <c r="T345" s="1"/>
      <c r="U345" s="1"/>
      <c r="V345" s="1"/>
      <c r="W345" s="1"/>
      <c r="X345" s="1"/>
      <c r="Y345" s="1"/>
      <c r="Z345" s="1"/>
    </row>
    <row r="346" spans="1:26" ht="13.5" customHeight="1">
      <c r="A346" s="1"/>
      <c r="B346" s="399"/>
      <c r="C346" s="412" t="s">
        <v>1189</v>
      </c>
      <c r="D346" s="1126" t="s">
        <v>1190</v>
      </c>
      <c r="E346" s="922"/>
      <c r="F346" s="922"/>
      <c r="G346" s="922"/>
      <c r="H346" s="922"/>
      <c r="I346" s="922"/>
      <c r="J346" s="922"/>
      <c r="K346" s="922"/>
      <c r="L346" s="922"/>
      <c r="M346" s="1"/>
      <c r="N346" s="413"/>
      <c r="O346" s="403"/>
      <c r="P346" s="1"/>
      <c r="Q346" s="1"/>
      <c r="R346" s="1"/>
      <c r="S346" s="1"/>
      <c r="T346" s="1"/>
      <c r="U346" s="1"/>
      <c r="V346" s="1"/>
      <c r="W346" s="1"/>
      <c r="X346" s="1"/>
      <c r="Y346" s="1"/>
      <c r="Z346" s="1"/>
    </row>
    <row r="347" spans="1:26" ht="13.5" customHeight="1">
      <c r="A347" s="1"/>
      <c r="B347" s="399"/>
      <c r="C347" s="415"/>
      <c r="D347" s="416"/>
      <c r="E347" s="416"/>
      <c r="F347" s="416"/>
      <c r="G347" s="416"/>
      <c r="H347" s="416"/>
      <c r="I347" s="416"/>
      <c r="J347" s="416"/>
      <c r="K347" s="416"/>
      <c r="L347" s="416"/>
      <c r="M347" s="416"/>
      <c r="N347" s="417"/>
      <c r="O347" s="402"/>
      <c r="P347" s="1"/>
      <c r="Q347" s="1"/>
      <c r="R347" s="1"/>
      <c r="S347" s="1"/>
      <c r="T347" s="1"/>
      <c r="U347" s="1"/>
      <c r="V347" s="1"/>
      <c r="W347" s="1"/>
      <c r="X347" s="1"/>
      <c r="Y347" s="1"/>
      <c r="Z347" s="1"/>
    </row>
    <row r="348" spans="1:26" ht="13.5" customHeight="1">
      <c r="A348" s="1"/>
      <c r="B348" s="399"/>
      <c r="C348" s="418"/>
      <c r="D348" s="39"/>
      <c r="E348" s="39"/>
      <c r="F348" s="39"/>
      <c r="G348" s="39"/>
      <c r="H348" s="39"/>
      <c r="I348" s="39"/>
      <c r="J348" s="39"/>
      <c r="K348" s="39"/>
      <c r="L348" s="39"/>
      <c r="M348" s="39"/>
      <c r="N348" s="40"/>
      <c r="O348" s="402"/>
      <c r="P348" s="1"/>
      <c r="Q348" s="1"/>
      <c r="R348" s="1"/>
      <c r="S348" s="1"/>
      <c r="T348" s="1"/>
      <c r="U348" s="1"/>
      <c r="V348" s="1"/>
      <c r="W348" s="1"/>
      <c r="X348" s="1"/>
      <c r="Y348" s="1"/>
      <c r="Z348" s="1"/>
    </row>
    <row r="349" spans="1:26" ht="13.5" customHeight="1">
      <c r="A349" s="1"/>
      <c r="B349" s="399"/>
      <c r="C349" s="925" t="s">
        <v>1191</v>
      </c>
      <c r="D349" s="926"/>
      <c r="E349" s="926"/>
      <c r="F349" s="926"/>
      <c r="G349" s="926"/>
      <c r="H349" s="926"/>
      <c r="I349" s="926"/>
      <c r="J349" s="926"/>
      <c r="K349" s="926"/>
      <c r="L349" s="926"/>
      <c r="M349" s="926"/>
      <c r="N349" s="927"/>
      <c r="O349" s="419"/>
      <c r="P349" s="1"/>
      <c r="Q349" s="1"/>
      <c r="R349" s="1"/>
      <c r="S349" s="1"/>
      <c r="T349" s="1"/>
      <c r="U349" s="1"/>
      <c r="V349" s="1"/>
      <c r="W349" s="1"/>
      <c r="X349" s="1"/>
      <c r="Y349" s="1"/>
      <c r="Z349" s="1"/>
    </row>
    <row r="350" spans="1:26" ht="13.5" customHeight="1">
      <c r="A350" s="1"/>
      <c r="B350" s="399"/>
      <c r="C350" s="418"/>
      <c r="D350" s="39"/>
      <c r="E350" s="39"/>
      <c r="F350" s="39"/>
      <c r="G350" s="39"/>
      <c r="H350" s="39"/>
      <c r="I350" s="39"/>
      <c r="J350" s="39"/>
      <c r="K350" s="39"/>
      <c r="L350" s="39"/>
      <c r="M350" s="39"/>
      <c r="N350" s="40"/>
      <c r="O350" s="402"/>
      <c r="P350" s="1"/>
      <c r="Q350" s="1"/>
      <c r="R350" s="1"/>
      <c r="S350" s="1"/>
      <c r="T350" s="1"/>
      <c r="U350" s="1"/>
      <c r="V350" s="1"/>
      <c r="W350" s="1"/>
      <c r="X350" s="1"/>
      <c r="Y350" s="1"/>
      <c r="Z350" s="1"/>
    </row>
    <row r="351" spans="1:26" ht="13.5" customHeight="1">
      <c r="A351" s="1"/>
      <c r="B351" s="399"/>
      <c r="C351" s="420" t="s">
        <v>965</v>
      </c>
      <c r="D351" s="1136" t="s">
        <v>17</v>
      </c>
      <c r="E351" s="1131"/>
      <c r="F351" s="1131"/>
      <c r="G351" s="1131"/>
      <c r="H351" s="1131"/>
      <c r="I351" s="1131"/>
      <c r="J351" s="1131"/>
      <c r="K351" s="1137"/>
      <c r="L351" s="1130" t="s">
        <v>1192</v>
      </c>
      <c r="M351" s="1137"/>
      <c r="N351" s="420" t="s">
        <v>950</v>
      </c>
      <c r="O351" s="419"/>
      <c r="P351" s="1"/>
      <c r="Q351" s="1"/>
      <c r="R351" s="1"/>
      <c r="S351" s="1"/>
      <c r="T351" s="1"/>
      <c r="U351" s="1"/>
      <c r="V351" s="1"/>
      <c r="W351" s="1"/>
      <c r="X351" s="1"/>
      <c r="Y351" s="1"/>
      <c r="Z351" s="1"/>
    </row>
    <row r="352" spans="1:26" ht="13.5" customHeight="1">
      <c r="A352" s="1"/>
      <c r="B352" s="421"/>
      <c r="C352" s="422" t="s">
        <v>1190</v>
      </c>
      <c r="D352" s="1151" t="s">
        <v>1242</v>
      </c>
      <c r="E352" s="979"/>
      <c r="F352" s="979"/>
      <c r="G352" s="979"/>
      <c r="H352" s="979"/>
      <c r="I352" s="979"/>
      <c r="J352" s="979"/>
      <c r="K352" s="980"/>
      <c r="L352" s="1138" t="s">
        <v>741</v>
      </c>
      <c r="M352" s="980"/>
      <c r="N352" s="423">
        <v>1</v>
      </c>
      <c r="O352" s="424"/>
      <c r="P352" s="1"/>
      <c r="Q352" s="1"/>
      <c r="R352" s="1"/>
      <c r="S352" s="1"/>
      <c r="T352" s="1"/>
      <c r="U352" s="1"/>
      <c r="V352" s="1"/>
      <c r="W352" s="1"/>
      <c r="X352" s="1"/>
      <c r="Y352" s="1"/>
      <c r="Z352" s="1"/>
    </row>
    <row r="353" spans="1:26" ht="13.5" customHeight="1">
      <c r="A353" s="395"/>
      <c r="B353" s="399"/>
      <c r="C353" s="1129" t="s">
        <v>1195</v>
      </c>
      <c r="D353" s="926"/>
      <c r="E353" s="926"/>
      <c r="F353" s="926"/>
      <c r="G353" s="926"/>
      <c r="H353" s="926"/>
      <c r="I353" s="926"/>
      <c r="J353" s="926"/>
      <c r="K353" s="926"/>
      <c r="L353" s="926"/>
      <c r="M353" s="926"/>
      <c r="N353" s="927"/>
      <c r="O353" s="426"/>
      <c r="P353" s="1"/>
      <c r="Q353" s="1"/>
      <c r="R353" s="1"/>
      <c r="S353" s="1"/>
      <c r="T353" s="1"/>
      <c r="U353" s="1"/>
      <c r="V353" s="1"/>
      <c r="W353" s="1"/>
      <c r="X353" s="1"/>
      <c r="Y353" s="1"/>
      <c r="Z353" s="1"/>
    </row>
    <row r="354" spans="1:26" ht="13.5" customHeight="1">
      <c r="A354" s="395"/>
      <c r="B354" s="399"/>
      <c r="C354" s="920"/>
      <c r="D354" s="922"/>
      <c r="E354" s="922"/>
      <c r="F354" s="922"/>
      <c r="G354" s="922"/>
      <c r="H354" s="922"/>
      <c r="I354" s="922"/>
      <c r="J354" s="922"/>
      <c r="K354" s="922"/>
      <c r="L354" s="922"/>
      <c r="M354" s="922"/>
      <c r="N354" s="924"/>
      <c r="O354" s="426"/>
      <c r="P354" s="1"/>
      <c r="Q354" s="1"/>
      <c r="R354" s="1"/>
      <c r="S354" s="1"/>
      <c r="T354" s="1"/>
      <c r="U354" s="1"/>
      <c r="V354" s="1"/>
      <c r="W354" s="1"/>
      <c r="X354" s="1"/>
      <c r="Y354" s="1"/>
      <c r="Z354" s="1"/>
    </row>
    <row r="355" spans="1:26" ht="13.5" customHeight="1">
      <c r="A355" s="395"/>
      <c r="B355" s="399"/>
      <c r="C355" s="929"/>
      <c r="D355" s="936"/>
      <c r="E355" s="936"/>
      <c r="F355" s="936"/>
      <c r="G355" s="936"/>
      <c r="H355" s="936"/>
      <c r="I355" s="936"/>
      <c r="J355" s="936"/>
      <c r="K355" s="936"/>
      <c r="L355" s="936"/>
      <c r="M355" s="936"/>
      <c r="N355" s="938"/>
      <c r="O355" s="426"/>
      <c r="P355" s="1"/>
      <c r="Q355" s="1"/>
      <c r="R355" s="1"/>
      <c r="S355" s="1"/>
      <c r="T355" s="1"/>
      <c r="U355" s="1"/>
      <c r="V355" s="1"/>
      <c r="W355" s="1"/>
      <c r="X355" s="1"/>
      <c r="Y355" s="1"/>
      <c r="Z355" s="1"/>
    </row>
    <row r="356" spans="1:26" ht="13.5" customHeight="1">
      <c r="A356" s="395"/>
      <c r="B356" s="399"/>
      <c r="C356" s="1130" t="s">
        <v>17</v>
      </c>
      <c r="D356" s="1131"/>
      <c r="E356" s="1131"/>
      <c r="F356" s="1000"/>
      <c r="G356" s="1135" t="s">
        <v>1196</v>
      </c>
      <c r="H356" s="1000"/>
      <c r="I356" s="1139" t="s">
        <v>1197</v>
      </c>
      <c r="J356" s="1140"/>
      <c r="K356" s="427" t="s">
        <v>1198</v>
      </c>
      <c r="L356" s="1135" t="s">
        <v>1199</v>
      </c>
      <c r="M356" s="1000"/>
      <c r="N356" s="428" t="s">
        <v>1200</v>
      </c>
      <c r="O356" s="419"/>
      <c r="P356" s="1"/>
      <c r="Q356" s="1"/>
      <c r="R356" s="1"/>
      <c r="S356" s="1"/>
      <c r="T356" s="1"/>
      <c r="U356" s="1"/>
      <c r="V356" s="1"/>
      <c r="W356" s="1"/>
      <c r="X356" s="1"/>
      <c r="Y356" s="1"/>
      <c r="Z356" s="1"/>
    </row>
    <row r="357" spans="1:26" ht="13.5" customHeight="1">
      <c r="A357" s="395"/>
      <c r="B357" s="399"/>
      <c r="C357" s="1128" t="s">
        <v>1201</v>
      </c>
      <c r="D357" s="940"/>
      <c r="E357" s="940"/>
      <c r="F357" s="941"/>
      <c r="G357" s="1142"/>
      <c r="H357" s="941"/>
      <c r="I357" s="1142"/>
      <c r="J357" s="941"/>
      <c r="K357" s="429"/>
      <c r="L357" s="1143">
        <v>0.1</v>
      </c>
      <c r="M357" s="941"/>
      <c r="N357" s="430">
        <f>+L357*N388</f>
        <v>11556.966666666669</v>
      </c>
      <c r="O357" s="431"/>
      <c r="P357" s="1"/>
      <c r="Q357" s="1"/>
      <c r="R357" s="1"/>
      <c r="S357" s="1"/>
      <c r="T357" s="1"/>
      <c r="U357" s="1"/>
      <c r="V357" s="1"/>
      <c r="W357" s="1"/>
      <c r="X357" s="1"/>
      <c r="Y357" s="1"/>
      <c r="Z357" s="1"/>
    </row>
    <row r="358" spans="1:26" ht="13.5" customHeight="1">
      <c r="A358" s="395" t="str">
        <f t="array" ref="A358">IF(C358&lt;&gt;0,INDEX(CodEquipos,MATCH(C358,Equipos,0),),)</f>
        <v>EQ-01</v>
      </c>
      <c r="B358" s="399"/>
      <c r="C358" s="1128" t="s">
        <v>271</v>
      </c>
      <c r="D358" s="940"/>
      <c r="E358" s="940"/>
      <c r="F358" s="941"/>
      <c r="G358" s="1142"/>
      <c r="H358" s="941"/>
      <c r="I358" s="1142"/>
      <c r="J358" s="941"/>
      <c r="K358" s="432">
        <f>IF($A358&gt;0,(VLOOKUP($A358,TablaEquipos,7,FALSE)),"")</f>
        <v>13833.75</v>
      </c>
      <c r="L358" s="1141">
        <f>+L383/8</f>
        <v>0.75</v>
      </c>
      <c r="M358" s="941"/>
      <c r="N358" s="430">
        <f t="shared" ref="N358:N360" si="18">IF(L358&gt;0,K358/L358,"")</f>
        <v>18445</v>
      </c>
      <c r="O358" s="431"/>
      <c r="P358" s="1"/>
      <c r="Q358" s="1"/>
      <c r="R358" s="1"/>
      <c r="S358" s="1"/>
      <c r="T358" s="1"/>
      <c r="U358" s="1"/>
      <c r="V358" s="1"/>
      <c r="W358" s="1"/>
      <c r="X358" s="1"/>
      <c r="Y358" s="1"/>
      <c r="Z358" s="1"/>
    </row>
    <row r="359" spans="1:26" ht="13.5" customHeight="1">
      <c r="A359" s="395">
        <f t="array" ref="A359">IF(C359&lt;&gt;0,INDEX(CodEquipos,MATCH(C359,Equipos,0),),)</f>
        <v>0</v>
      </c>
      <c r="B359" s="399"/>
      <c r="C359" s="1128"/>
      <c r="D359" s="940"/>
      <c r="E359" s="940"/>
      <c r="F359" s="941"/>
      <c r="G359" s="1142"/>
      <c r="H359" s="941"/>
      <c r="I359" s="1142"/>
      <c r="J359" s="941"/>
      <c r="K359" s="432" t="str">
        <f>IF($A359&gt;0,(VLOOKUP($A359,TablaEquipos,7,FALSE)),"")</f>
        <v/>
      </c>
      <c r="L359" s="1141"/>
      <c r="M359" s="941"/>
      <c r="N359" s="430" t="str">
        <f t="shared" si="18"/>
        <v/>
      </c>
      <c r="O359" s="431"/>
      <c r="P359" s="1"/>
      <c r="Q359" s="1"/>
      <c r="R359" s="1"/>
      <c r="S359" s="1"/>
      <c r="T359" s="1"/>
      <c r="U359" s="1"/>
      <c r="V359" s="1"/>
      <c r="W359" s="1"/>
      <c r="X359" s="1"/>
      <c r="Y359" s="1"/>
      <c r="Z359" s="1"/>
    </row>
    <row r="360" spans="1:26" ht="13.5" customHeight="1">
      <c r="A360" s="395">
        <f t="array" ref="A360">IF(C360&lt;&gt;0,INDEX(CodEquipos,MATCH(C360,Equipos,0),),)</f>
        <v>0</v>
      </c>
      <c r="B360" s="399"/>
      <c r="C360" s="1128"/>
      <c r="D360" s="940"/>
      <c r="E360" s="940"/>
      <c r="F360" s="941"/>
      <c r="G360" s="1144"/>
      <c r="H360" s="1145"/>
      <c r="I360" s="1142"/>
      <c r="J360" s="941"/>
      <c r="K360" s="432" t="str">
        <f>IF($A360&gt;0,(VLOOKUP($A360,TablaEquipos,7,FALSE)),"")</f>
        <v/>
      </c>
      <c r="L360" s="1141"/>
      <c r="M360" s="941"/>
      <c r="N360" s="430" t="str">
        <f t="shared" si="18"/>
        <v/>
      </c>
      <c r="O360" s="431"/>
      <c r="P360" s="1"/>
      <c r="Q360" s="1"/>
      <c r="R360" s="1"/>
      <c r="S360" s="1"/>
      <c r="T360" s="1"/>
      <c r="U360" s="1"/>
      <c r="V360" s="1"/>
      <c r="W360" s="1"/>
      <c r="X360" s="1"/>
      <c r="Y360" s="1"/>
      <c r="Z360" s="1"/>
    </row>
    <row r="361" spans="1:26" ht="13.5" customHeight="1">
      <c r="A361" s="395"/>
      <c r="B361" s="399"/>
      <c r="C361" s="1127" t="s">
        <v>1202</v>
      </c>
      <c r="D361" s="965"/>
      <c r="E361" s="965"/>
      <c r="F361" s="965"/>
      <c r="G361" s="965"/>
      <c r="H361" s="965"/>
      <c r="I361" s="965"/>
      <c r="J361" s="965"/>
      <c r="K361" s="965"/>
      <c r="L361" s="965"/>
      <c r="M361" s="966"/>
      <c r="N361" s="433">
        <f>+SUM(N357:N360)</f>
        <v>30001.966666666667</v>
      </c>
      <c r="O361" s="431"/>
      <c r="P361" s="1"/>
      <c r="Q361" s="1"/>
      <c r="R361" s="1"/>
      <c r="S361" s="1"/>
      <c r="T361" s="1"/>
      <c r="U361" s="1"/>
      <c r="V361" s="1"/>
      <c r="W361" s="1"/>
      <c r="X361" s="1"/>
      <c r="Y361" s="1"/>
      <c r="Z361" s="1"/>
    </row>
    <row r="362" spans="1:26" ht="13.5" customHeight="1">
      <c r="A362" s="395"/>
      <c r="B362" s="399"/>
      <c r="C362" s="1129" t="s">
        <v>1203</v>
      </c>
      <c r="D362" s="926"/>
      <c r="E362" s="926"/>
      <c r="F362" s="926"/>
      <c r="G362" s="926"/>
      <c r="H362" s="926"/>
      <c r="I362" s="926"/>
      <c r="J362" s="926"/>
      <c r="K362" s="926"/>
      <c r="L362" s="926"/>
      <c r="M362" s="926"/>
      <c r="N362" s="927"/>
      <c r="O362" s="426"/>
      <c r="P362" s="1"/>
      <c r="Q362" s="1"/>
      <c r="R362" s="1"/>
      <c r="S362" s="1"/>
      <c r="T362" s="1"/>
      <c r="U362" s="1"/>
      <c r="V362" s="1"/>
      <c r="W362" s="1"/>
      <c r="X362" s="1"/>
      <c r="Y362" s="1"/>
      <c r="Z362" s="1"/>
    </row>
    <row r="363" spans="1:26" ht="13.5" customHeight="1">
      <c r="A363" s="395"/>
      <c r="B363" s="399"/>
      <c r="C363" s="920"/>
      <c r="D363" s="922"/>
      <c r="E363" s="922"/>
      <c r="F363" s="922"/>
      <c r="G363" s="922"/>
      <c r="H363" s="922"/>
      <c r="I363" s="922"/>
      <c r="J363" s="922"/>
      <c r="K363" s="922"/>
      <c r="L363" s="922"/>
      <c r="M363" s="922"/>
      <c r="N363" s="924"/>
      <c r="O363" s="426"/>
      <c r="P363" s="1"/>
      <c r="Q363" s="1"/>
      <c r="R363" s="1"/>
      <c r="S363" s="1"/>
      <c r="T363" s="1"/>
      <c r="U363" s="1"/>
      <c r="V363" s="1"/>
      <c r="W363" s="1"/>
      <c r="X363" s="1"/>
      <c r="Y363" s="1"/>
      <c r="Z363" s="1"/>
    </row>
    <row r="364" spans="1:26" ht="13.5" customHeight="1">
      <c r="A364" s="395"/>
      <c r="B364" s="399"/>
      <c r="C364" s="929"/>
      <c r="D364" s="936"/>
      <c r="E364" s="936"/>
      <c r="F364" s="936"/>
      <c r="G364" s="936"/>
      <c r="H364" s="936"/>
      <c r="I364" s="936"/>
      <c r="J364" s="936"/>
      <c r="K364" s="936"/>
      <c r="L364" s="936"/>
      <c r="M364" s="936"/>
      <c r="N364" s="938"/>
      <c r="O364" s="426"/>
      <c r="P364" s="1"/>
      <c r="Q364" s="1"/>
      <c r="R364" s="1"/>
      <c r="S364" s="1"/>
      <c r="T364" s="1"/>
      <c r="U364" s="1"/>
      <c r="V364" s="1"/>
      <c r="W364" s="1"/>
      <c r="X364" s="1"/>
      <c r="Y364" s="1"/>
      <c r="Z364" s="1"/>
    </row>
    <row r="365" spans="1:26" ht="13.5" customHeight="1">
      <c r="A365" s="395"/>
      <c r="B365" s="399"/>
      <c r="C365" s="1130" t="s">
        <v>17</v>
      </c>
      <c r="D365" s="1131"/>
      <c r="E365" s="1131"/>
      <c r="F365" s="1131"/>
      <c r="G365" s="1131"/>
      <c r="H365" s="1131"/>
      <c r="I365" s="1000"/>
      <c r="J365" s="434" t="s">
        <v>1192</v>
      </c>
      <c r="K365" s="427" t="s">
        <v>950</v>
      </c>
      <c r="L365" s="1135" t="s">
        <v>1204</v>
      </c>
      <c r="M365" s="1000"/>
      <c r="N365" s="428" t="s">
        <v>1200</v>
      </c>
      <c r="O365" s="419"/>
      <c r="P365" s="1"/>
      <c r="Q365" s="1"/>
      <c r="R365" s="1"/>
      <c r="S365" s="1"/>
      <c r="T365" s="1"/>
      <c r="U365" s="1"/>
      <c r="V365" s="1"/>
      <c r="W365" s="1"/>
      <c r="X365" s="1"/>
      <c r="Y365" s="1"/>
      <c r="Z365" s="1"/>
    </row>
    <row r="366" spans="1:26" ht="13.5" customHeight="1">
      <c r="A366" s="395" t="str">
        <f t="array" ref="A366">IF(C366&lt;&gt;0,INDEX(CodMat,MATCH(C366,Materiales,0),),)</f>
        <v>MAT_C-01</v>
      </c>
      <c r="B366" s="399"/>
      <c r="C366" s="1128" t="s">
        <v>1205</v>
      </c>
      <c r="D366" s="940"/>
      <c r="E366" s="940"/>
      <c r="F366" s="940"/>
      <c r="G366" s="940"/>
      <c r="H366" s="940"/>
      <c r="I366" s="941"/>
      <c r="J366" s="435" t="str">
        <f>IF($A366&gt;0,(VLOOKUP($A366,TablaInsumos,5,FALSE)),"")</f>
        <v>LT</v>
      </c>
      <c r="K366" s="436">
        <v>150</v>
      </c>
      <c r="L366" s="1134">
        <f>IF($A366&gt;0,(VLOOKUP($A366,TablaInsumos,7,FALSE)),"")</f>
        <v>46</v>
      </c>
      <c r="M366" s="941"/>
      <c r="N366" s="430">
        <f t="shared" ref="N366:N370" si="19">IF(K366&gt;0,L366*K366,"")</f>
        <v>6900</v>
      </c>
      <c r="O366" s="431"/>
      <c r="P366" s="1"/>
      <c r="Q366" s="1"/>
      <c r="R366" s="1"/>
      <c r="S366" s="1"/>
      <c r="T366" s="1"/>
      <c r="U366" s="1"/>
      <c r="V366" s="1"/>
      <c r="W366" s="1"/>
      <c r="X366" s="1"/>
      <c r="Y366" s="1"/>
      <c r="Z366" s="1"/>
    </row>
    <row r="367" spans="1:26" ht="13.5" customHeight="1">
      <c r="A367" s="395" t="str">
        <f t="array" ref="A367">IF(C367&lt;&gt;0,INDEX(CodMat,MATCH(C367,Materiales,0),),)</f>
        <v>MAT_C-03</v>
      </c>
      <c r="B367" s="399"/>
      <c r="C367" s="1128" t="s">
        <v>1206</v>
      </c>
      <c r="D367" s="940"/>
      <c r="E367" s="940"/>
      <c r="F367" s="940"/>
      <c r="G367" s="940"/>
      <c r="H367" s="940"/>
      <c r="I367" s="941"/>
      <c r="J367" s="435" t="str">
        <f>IF($A367&gt;0,(VLOOKUP($A367,TablaInsumos,5,FALSE)),"")</f>
        <v>M3</v>
      </c>
      <c r="K367" s="436">
        <v>0.55000000000000004</v>
      </c>
      <c r="L367" s="1134">
        <f>IF($A367&gt;0,(VLOOKUP($A367,TablaInsumos,7,FALSE)),"")</f>
        <v>86414</v>
      </c>
      <c r="M367" s="941"/>
      <c r="N367" s="430">
        <f t="shared" si="19"/>
        <v>47527.700000000004</v>
      </c>
      <c r="O367" s="431"/>
      <c r="P367" s="1"/>
      <c r="Q367" s="1"/>
      <c r="R367" s="1"/>
      <c r="S367" s="1"/>
      <c r="T367" s="1"/>
      <c r="U367" s="1"/>
      <c r="V367" s="1"/>
      <c r="W367" s="1"/>
      <c r="X367" s="1"/>
      <c r="Y367" s="1"/>
      <c r="Z367" s="1"/>
    </row>
    <row r="368" spans="1:26" ht="13.5" customHeight="1">
      <c r="A368" s="395" t="str">
        <f t="array" ref="A368">IF(C368&lt;&gt;0,INDEX(CodMat,MATCH(C368,Materiales,0),),)</f>
        <v>MAT_C-45</v>
      </c>
      <c r="B368" s="399"/>
      <c r="C368" s="1128" t="s">
        <v>2526</v>
      </c>
      <c r="D368" s="940"/>
      <c r="E368" s="940"/>
      <c r="F368" s="940"/>
      <c r="G368" s="940"/>
      <c r="H368" s="940"/>
      <c r="I368" s="941"/>
      <c r="J368" s="435" t="str">
        <f>IF($A368&gt;0,(VLOOKUP($A368,TablaInsumos,5,FALSE)),"")</f>
        <v>M3</v>
      </c>
      <c r="K368" s="436">
        <v>0.94</v>
      </c>
      <c r="L368" s="1134">
        <f>IF($A368&gt;0,(VLOOKUP($A368,TablaInsumos,7,FALSE)),"")</f>
        <v>125000</v>
      </c>
      <c r="M368" s="941"/>
      <c r="N368" s="430">
        <f t="shared" si="19"/>
        <v>117500</v>
      </c>
      <c r="O368" s="431"/>
      <c r="P368" s="1"/>
      <c r="Q368" s="1"/>
      <c r="R368" s="1"/>
      <c r="S368" s="1"/>
      <c r="T368" s="1"/>
      <c r="U368" s="1"/>
      <c r="V368" s="1"/>
      <c r="W368" s="1"/>
      <c r="X368" s="1"/>
      <c r="Y368" s="1"/>
      <c r="Z368" s="1"/>
    </row>
    <row r="369" spans="1:26" ht="13.5" customHeight="1">
      <c r="A369" s="395" t="str">
        <f t="array" ref="A369">IF(C369&lt;&gt;0,INDEX(CodMat,MATCH(C369,Materiales,0),),)</f>
        <v>MAT_C-12</v>
      </c>
      <c r="B369" s="399"/>
      <c r="C369" s="1128" t="s">
        <v>1207</v>
      </c>
      <c r="D369" s="940"/>
      <c r="E369" s="940"/>
      <c r="F369" s="940"/>
      <c r="G369" s="940"/>
      <c r="H369" s="940"/>
      <c r="I369" s="941"/>
      <c r="J369" s="435" t="str">
        <f>IF($A369&gt;0,(VLOOKUP($A369,TablaInsumos,5,FALSE)),"")</f>
        <v>KG</v>
      </c>
      <c r="K369" s="436">
        <v>260</v>
      </c>
      <c r="L369" s="1134">
        <f>IF($A369&gt;0,(VLOOKUP($A369,TablaInsumos,7,FALSE)),"")</f>
        <v>1164</v>
      </c>
      <c r="M369" s="941"/>
      <c r="N369" s="430">
        <f t="shared" si="19"/>
        <v>302640</v>
      </c>
      <c r="O369" s="431"/>
      <c r="P369" s="1"/>
      <c r="Q369" s="1"/>
      <c r="R369" s="1"/>
      <c r="S369" s="1"/>
      <c r="T369" s="1"/>
      <c r="U369" s="1"/>
      <c r="V369" s="1"/>
      <c r="W369" s="1"/>
      <c r="X369" s="1"/>
      <c r="Y369" s="1"/>
      <c r="Z369" s="1"/>
    </row>
    <row r="370" spans="1:26" ht="13.5" customHeight="1">
      <c r="A370" s="395"/>
      <c r="B370" s="399"/>
      <c r="C370" s="1128" t="str">
        <f>IF($A370&gt;0,(VLOOKUP($A370,TablaInsumos,3,FALSE)),"")</f>
        <v/>
      </c>
      <c r="D370" s="940"/>
      <c r="E370" s="940"/>
      <c r="F370" s="940"/>
      <c r="G370" s="940"/>
      <c r="H370" s="940"/>
      <c r="I370" s="941"/>
      <c r="J370" s="435" t="str">
        <f>IF($A370&gt;0,(VLOOKUP($A370,TablaInsumos,5,FALSE)),"")</f>
        <v/>
      </c>
      <c r="K370" s="472"/>
      <c r="L370" s="1134" t="str">
        <f>IF($A370&gt;0,(VLOOKUP($A370,TablaInsumos,7,FALSE)),"")</f>
        <v/>
      </c>
      <c r="M370" s="941"/>
      <c r="N370" s="430" t="str">
        <f t="shared" si="19"/>
        <v/>
      </c>
      <c r="O370" s="431"/>
      <c r="P370" s="1"/>
      <c r="Q370" s="1"/>
      <c r="R370" s="1"/>
      <c r="S370" s="1"/>
      <c r="T370" s="1"/>
      <c r="U370" s="1"/>
      <c r="V370" s="1"/>
      <c r="W370" s="1"/>
      <c r="X370" s="1"/>
      <c r="Y370" s="1"/>
      <c r="Z370" s="1"/>
    </row>
    <row r="371" spans="1:26" ht="13.5" customHeight="1">
      <c r="A371" s="395"/>
      <c r="B371" s="399"/>
      <c r="C371" s="1127" t="s">
        <v>1202</v>
      </c>
      <c r="D371" s="965"/>
      <c r="E371" s="965"/>
      <c r="F371" s="965"/>
      <c r="G371" s="965"/>
      <c r="H371" s="965"/>
      <c r="I371" s="965"/>
      <c r="J371" s="965"/>
      <c r="K371" s="965"/>
      <c r="L371" s="965"/>
      <c r="M371" s="966"/>
      <c r="N371" s="433">
        <f>+SUM(N366:N370)</f>
        <v>474567.7</v>
      </c>
      <c r="O371" s="431"/>
      <c r="P371" s="1"/>
      <c r="Q371" s="1"/>
      <c r="R371" s="1"/>
      <c r="S371" s="1"/>
      <c r="T371" s="1"/>
      <c r="U371" s="1"/>
      <c r="V371" s="1"/>
      <c r="W371" s="1"/>
      <c r="X371" s="1"/>
      <c r="Y371" s="1"/>
      <c r="Z371" s="1"/>
    </row>
    <row r="372" spans="1:26" ht="13.5" customHeight="1">
      <c r="A372" s="395"/>
      <c r="B372" s="399"/>
      <c r="C372" s="1129" t="s">
        <v>1208</v>
      </c>
      <c r="D372" s="926"/>
      <c r="E372" s="926"/>
      <c r="F372" s="926"/>
      <c r="G372" s="926"/>
      <c r="H372" s="926"/>
      <c r="I372" s="926"/>
      <c r="J372" s="926"/>
      <c r="K372" s="926"/>
      <c r="L372" s="926"/>
      <c r="M372" s="926"/>
      <c r="N372" s="927"/>
      <c r="O372" s="426"/>
      <c r="P372" s="1"/>
      <c r="Q372" s="1"/>
      <c r="R372" s="1"/>
      <c r="S372" s="1"/>
      <c r="T372" s="1"/>
      <c r="U372" s="1"/>
      <c r="V372" s="1"/>
      <c r="W372" s="1"/>
      <c r="X372" s="1"/>
      <c r="Y372" s="1"/>
      <c r="Z372" s="1"/>
    </row>
    <row r="373" spans="1:26" ht="13.5" customHeight="1">
      <c r="A373" s="395"/>
      <c r="B373" s="399"/>
      <c r="C373" s="920"/>
      <c r="D373" s="922"/>
      <c r="E373" s="922"/>
      <c r="F373" s="922"/>
      <c r="G373" s="922"/>
      <c r="H373" s="922"/>
      <c r="I373" s="922"/>
      <c r="J373" s="922"/>
      <c r="K373" s="922"/>
      <c r="L373" s="922"/>
      <c r="M373" s="922"/>
      <c r="N373" s="924"/>
      <c r="O373" s="426"/>
      <c r="P373" s="1"/>
      <c r="Q373" s="1"/>
      <c r="R373" s="1"/>
      <c r="S373" s="1"/>
      <c r="T373" s="1"/>
      <c r="U373" s="1"/>
      <c r="V373" s="1"/>
      <c r="W373" s="1"/>
      <c r="X373" s="1"/>
      <c r="Y373" s="1"/>
      <c r="Z373" s="1"/>
    </row>
    <row r="374" spans="1:26" ht="13.5" customHeight="1">
      <c r="A374" s="395"/>
      <c r="B374" s="399"/>
      <c r="C374" s="929"/>
      <c r="D374" s="936"/>
      <c r="E374" s="936"/>
      <c r="F374" s="936"/>
      <c r="G374" s="936"/>
      <c r="H374" s="936"/>
      <c r="I374" s="936"/>
      <c r="J374" s="936"/>
      <c r="K374" s="936"/>
      <c r="L374" s="936"/>
      <c r="M374" s="936"/>
      <c r="N374" s="938"/>
      <c r="O374" s="426"/>
      <c r="P374" s="1"/>
      <c r="Q374" s="1"/>
      <c r="R374" s="1"/>
      <c r="S374" s="1"/>
      <c r="T374" s="1"/>
      <c r="U374" s="1"/>
      <c r="V374" s="1"/>
      <c r="W374" s="1"/>
      <c r="X374" s="1"/>
      <c r="Y374" s="1"/>
      <c r="Z374" s="1"/>
    </row>
    <row r="375" spans="1:26" ht="13.5" customHeight="1">
      <c r="A375" s="395"/>
      <c r="B375" s="399"/>
      <c r="C375" s="1130" t="s">
        <v>1209</v>
      </c>
      <c r="D375" s="1131"/>
      <c r="E375" s="1131"/>
      <c r="F375" s="1131"/>
      <c r="G375" s="1131"/>
      <c r="H375" s="1132"/>
      <c r="I375" s="427" t="s">
        <v>1210</v>
      </c>
      <c r="J375" s="438" t="s">
        <v>1211</v>
      </c>
      <c r="K375" s="439" t="s">
        <v>1243</v>
      </c>
      <c r="L375" s="1135" t="s">
        <v>1213</v>
      </c>
      <c r="M375" s="1000"/>
      <c r="N375" s="428" t="s">
        <v>1200</v>
      </c>
      <c r="O375" s="419"/>
      <c r="P375" s="1"/>
      <c r="Q375" s="1"/>
      <c r="R375" s="1"/>
      <c r="S375" s="1"/>
      <c r="T375" s="1"/>
      <c r="U375" s="1"/>
      <c r="V375" s="1"/>
      <c r="W375" s="1"/>
      <c r="X375" s="1"/>
      <c r="Y375" s="1"/>
      <c r="Z375" s="1"/>
    </row>
    <row r="376" spans="1:26" ht="13.5" customHeight="1">
      <c r="A376" s="395" t="str">
        <f t="array" ref="A376">IF(C376&lt;&gt;0,INDEX(CodTransporte,MATCH(C376,Transporte,0),),)</f>
        <v>T-03</v>
      </c>
      <c r="B376" s="399"/>
      <c r="C376" s="1128" t="s">
        <v>859</v>
      </c>
      <c r="D376" s="940"/>
      <c r="E376" s="940"/>
      <c r="F376" s="940"/>
      <c r="G376" s="940"/>
      <c r="H376" s="940"/>
      <c r="I376" s="440">
        <f>+K367+K368</f>
        <v>1.49</v>
      </c>
      <c r="J376" s="441">
        <f>IF($A376&gt;0,(VLOOKUP($A376,TablaTransporte,6,FALSE)),"")</f>
        <v>50.849999999999994</v>
      </c>
      <c r="K376" s="442" t="str">
        <f>IF($A376&gt;0,(VLOOKUP($A376,TablaTransporte,5,FALSE)),"")</f>
        <v>M3-KM</v>
      </c>
      <c r="L376" s="1134">
        <f>IF($A376&gt;0,(VLOOKUP($A376,TablaTransporte,7,FALSE)),"")</f>
        <v>2332.3500491642089</v>
      </c>
      <c r="M376" s="941"/>
      <c r="N376" s="430">
        <f t="shared" ref="N376:N377" si="20">IF(I376&gt;0,J376*L376*I376,"")</f>
        <v>176714.00000000003</v>
      </c>
      <c r="O376" s="431"/>
      <c r="P376" s="1"/>
      <c r="Q376" s="1"/>
      <c r="R376" s="1"/>
      <c r="S376" s="1"/>
      <c r="T376" s="1"/>
      <c r="U376" s="1"/>
      <c r="V376" s="1"/>
      <c r="W376" s="1"/>
      <c r="X376" s="1"/>
      <c r="Y376" s="1"/>
      <c r="Z376" s="1"/>
    </row>
    <row r="377" spans="1:26" ht="13.5" customHeight="1">
      <c r="A377" s="395" t="str">
        <f t="array" ref="A377">IF(C377&lt;&gt;0,INDEX(CodTransporte,MATCH(C377,Transporte,0),),)</f>
        <v>T-02</v>
      </c>
      <c r="B377" s="399"/>
      <c r="C377" s="1128" t="s">
        <v>857</v>
      </c>
      <c r="D377" s="940"/>
      <c r="E377" s="940"/>
      <c r="F377" s="940"/>
      <c r="G377" s="940"/>
      <c r="H377" s="940"/>
      <c r="I377" s="440">
        <f>+(K369/50)*0.035</f>
        <v>0.18200000000000002</v>
      </c>
      <c r="J377" s="441">
        <f>IF($A377&gt;0,(VLOOKUP($A377,TablaTransporte,6,FALSE)),"")</f>
        <v>50.849999999999994</v>
      </c>
      <c r="K377" s="442" t="str">
        <f>IF($A377&gt;0,(VLOOKUP($A377,TablaTransporte,5,FALSE)),"")</f>
        <v>M3-KM</v>
      </c>
      <c r="L377" s="1134">
        <f>IF($A377&gt;0,(VLOOKUP($A377,TablaTransporte,7,FALSE)),"")</f>
        <v>2332.3500491642089</v>
      </c>
      <c r="M377" s="941"/>
      <c r="N377" s="430">
        <f t="shared" si="20"/>
        <v>21585.200000000004</v>
      </c>
      <c r="O377" s="431"/>
      <c r="P377" s="1"/>
      <c r="Q377" s="1"/>
      <c r="R377" s="1"/>
      <c r="S377" s="1"/>
      <c r="T377" s="1"/>
      <c r="U377" s="1"/>
      <c r="V377" s="1"/>
      <c r="W377" s="1"/>
      <c r="X377" s="1"/>
      <c r="Y377" s="1"/>
      <c r="Z377" s="1"/>
    </row>
    <row r="378" spans="1:26" ht="13.5" customHeight="1">
      <c r="A378" s="395"/>
      <c r="B378" s="399"/>
      <c r="C378" s="1127" t="s">
        <v>1202</v>
      </c>
      <c r="D378" s="965"/>
      <c r="E378" s="965"/>
      <c r="F378" s="965"/>
      <c r="G378" s="965"/>
      <c r="H378" s="965"/>
      <c r="I378" s="965"/>
      <c r="J378" s="965"/>
      <c r="K378" s="965"/>
      <c r="L378" s="965"/>
      <c r="M378" s="966"/>
      <c r="N378" s="433">
        <f>+SUM(N376:N377)</f>
        <v>198299.20000000004</v>
      </c>
      <c r="O378" s="431"/>
      <c r="P378" s="1"/>
      <c r="Q378" s="1"/>
      <c r="R378" s="1"/>
      <c r="S378" s="1"/>
      <c r="T378" s="1"/>
      <c r="U378" s="1"/>
      <c r="V378" s="1"/>
      <c r="W378" s="1"/>
      <c r="X378" s="1"/>
      <c r="Y378" s="1"/>
      <c r="Z378" s="1"/>
    </row>
    <row r="379" spans="1:26" ht="13.5" customHeight="1">
      <c r="A379" s="395"/>
      <c r="B379" s="399"/>
      <c r="C379" s="1129" t="s">
        <v>1214</v>
      </c>
      <c r="D379" s="926"/>
      <c r="E379" s="926"/>
      <c r="F379" s="926"/>
      <c r="G379" s="926"/>
      <c r="H379" s="926"/>
      <c r="I379" s="926"/>
      <c r="J379" s="926"/>
      <c r="K379" s="926"/>
      <c r="L379" s="926"/>
      <c r="M379" s="926"/>
      <c r="N379" s="927"/>
      <c r="O379" s="426"/>
      <c r="P379" s="1"/>
      <c r="Q379" s="1"/>
      <c r="R379" s="1"/>
      <c r="S379" s="1"/>
      <c r="T379" s="1"/>
      <c r="U379" s="1"/>
      <c r="V379" s="1"/>
      <c r="W379" s="1"/>
      <c r="X379" s="1"/>
      <c r="Y379" s="1"/>
      <c r="Z379" s="1"/>
    </row>
    <row r="380" spans="1:26" ht="13.5" customHeight="1">
      <c r="A380" s="395"/>
      <c r="B380" s="399"/>
      <c r="C380" s="920"/>
      <c r="D380" s="922"/>
      <c r="E380" s="922"/>
      <c r="F380" s="922"/>
      <c r="G380" s="922"/>
      <c r="H380" s="922"/>
      <c r="I380" s="922"/>
      <c r="J380" s="922"/>
      <c r="K380" s="922"/>
      <c r="L380" s="922"/>
      <c r="M380" s="922"/>
      <c r="N380" s="924"/>
      <c r="O380" s="426"/>
      <c r="P380" s="1"/>
      <c r="Q380" s="1"/>
      <c r="R380" s="1"/>
      <c r="S380" s="1"/>
      <c r="T380" s="1"/>
      <c r="U380" s="1"/>
      <c r="V380" s="1"/>
      <c r="W380" s="1"/>
      <c r="X380" s="1"/>
      <c r="Y380" s="1"/>
      <c r="Z380" s="1"/>
    </row>
    <row r="381" spans="1:26" ht="13.5" customHeight="1">
      <c r="A381" s="395"/>
      <c r="B381" s="399"/>
      <c r="C381" s="929"/>
      <c r="D381" s="936"/>
      <c r="E381" s="936"/>
      <c r="F381" s="936"/>
      <c r="G381" s="936"/>
      <c r="H381" s="936"/>
      <c r="I381" s="936"/>
      <c r="J381" s="936"/>
      <c r="K381" s="936"/>
      <c r="L381" s="936"/>
      <c r="M381" s="936"/>
      <c r="N381" s="938"/>
      <c r="O381" s="426"/>
      <c r="P381" s="1"/>
      <c r="Q381" s="1"/>
      <c r="R381" s="1"/>
      <c r="S381" s="1"/>
      <c r="T381" s="1"/>
      <c r="U381" s="1"/>
      <c r="V381" s="1"/>
      <c r="W381" s="1"/>
      <c r="X381" s="1"/>
      <c r="Y381" s="1"/>
      <c r="Z381" s="1"/>
    </row>
    <row r="382" spans="1:26" ht="13.5" customHeight="1">
      <c r="A382" s="395"/>
      <c r="B382" s="399"/>
      <c r="C382" s="1130" t="s">
        <v>1215</v>
      </c>
      <c r="D382" s="1131"/>
      <c r="E382" s="1131"/>
      <c r="F382" s="1131"/>
      <c r="G382" s="1131"/>
      <c r="H382" s="1132"/>
      <c r="I382" s="427" t="s">
        <v>1216</v>
      </c>
      <c r="J382" s="443" t="s">
        <v>1217</v>
      </c>
      <c r="K382" s="444" t="s">
        <v>1218</v>
      </c>
      <c r="L382" s="1133" t="s">
        <v>1199</v>
      </c>
      <c r="M382" s="1000"/>
      <c r="N382" s="445" t="s">
        <v>1200</v>
      </c>
      <c r="O382" s="446"/>
      <c r="P382" s="1"/>
      <c r="Q382" s="1"/>
      <c r="R382" s="1"/>
      <c r="S382" s="1"/>
      <c r="T382" s="1"/>
      <c r="U382" s="1"/>
      <c r="V382" s="1"/>
      <c r="W382" s="1"/>
      <c r="X382" s="1"/>
      <c r="Y382" s="1"/>
      <c r="Z382" s="1"/>
    </row>
    <row r="383" spans="1:26" ht="13.5" customHeight="1">
      <c r="A383" s="395" t="str">
        <f t="array" ref="A383">IF(C383&lt;&gt;0,INDEX(CodMO,MATCH(C383,MO,0),),)</f>
        <v>M.O-05</v>
      </c>
      <c r="B383" s="399"/>
      <c r="C383" s="1128" t="s">
        <v>139</v>
      </c>
      <c r="D383" s="940"/>
      <c r="E383" s="940"/>
      <c r="F383" s="940"/>
      <c r="G383" s="940"/>
      <c r="H383" s="940"/>
      <c r="I383" s="447">
        <f>IF($A383&gt;0,(VLOOKUP($A383,TablaMO,8,FALSE)),"")</f>
        <v>125030.16666666667</v>
      </c>
      <c r="J383" s="448">
        <f>IF($A383&gt;0,(VLOOKUP($A383,TablaMO,10,FALSE)),"")</f>
        <v>0.67071666666666663</v>
      </c>
      <c r="K383" s="447">
        <f>IF($A383&gt;0,(VLOOKUP($A383,TablaMO,11,FALSE)),"")</f>
        <v>208890</v>
      </c>
      <c r="L383" s="1146">
        <v>6</v>
      </c>
      <c r="M383" s="941"/>
      <c r="N383" s="430">
        <f t="shared" ref="N383:N387" si="21">IF(L383&gt;0,K383/L383,"")</f>
        <v>34815</v>
      </c>
      <c r="O383" s="449"/>
      <c r="P383" s="1"/>
      <c r="Q383" s="1"/>
      <c r="R383" s="1"/>
      <c r="S383" s="1"/>
      <c r="T383" s="1"/>
      <c r="U383" s="1"/>
      <c r="V383" s="1"/>
      <c r="W383" s="1"/>
      <c r="X383" s="1"/>
      <c r="Y383" s="1"/>
      <c r="Z383" s="1"/>
    </row>
    <row r="384" spans="1:26" ht="13.5" customHeight="1">
      <c r="A384" s="395" t="str">
        <f t="array" ref="A384">IF(C384&lt;&gt;0,INDEX(CodMO,MATCH(C384,MO,0),),)</f>
        <v>M.O-01</v>
      </c>
      <c r="B384" s="399"/>
      <c r="C384" s="1128" t="s">
        <v>130</v>
      </c>
      <c r="D384" s="940"/>
      <c r="E384" s="940"/>
      <c r="F384" s="940"/>
      <c r="G384" s="940"/>
      <c r="H384" s="940"/>
      <c r="I384" s="447">
        <f>IF($A384&gt;0,(VLOOKUP($A384,TablaMO,8,FALSE)),"")</f>
        <v>72503.016666666677</v>
      </c>
      <c r="J384" s="448">
        <f>IF($A384&gt;0,(VLOOKUP($A384,TablaMO,10,FALSE)),"")</f>
        <v>0.67071666666666663</v>
      </c>
      <c r="K384" s="447">
        <f>IF($A384&gt;0,(VLOOKUP($A384,TablaMO,11,FALSE)),"")</f>
        <v>121132</v>
      </c>
      <c r="L384" s="1146">
        <f>L383</f>
        <v>6</v>
      </c>
      <c r="M384" s="941"/>
      <c r="N384" s="430">
        <f t="shared" si="21"/>
        <v>20188.666666666668</v>
      </c>
      <c r="O384" s="449"/>
      <c r="P384" s="1"/>
      <c r="Q384" s="1"/>
      <c r="R384" s="1"/>
      <c r="S384" s="1"/>
      <c r="T384" s="1"/>
      <c r="U384" s="1"/>
      <c r="V384" s="1"/>
      <c r="W384" s="1"/>
      <c r="X384" s="1"/>
      <c r="Y384" s="1"/>
      <c r="Z384" s="1"/>
    </row>
    <row r="385" spans="1:26" ht="13.5" customHeight="1">
      <c r="A385" s="395" t="str">
        <f t="array" ref="A385">IF(C385&lt;&gt;0,INDEX(CodMO,MATCH(C385,MO,0),),)</f>
        <v>M.O-02</v>
      </c>
      <c r="B385" s="399"/>
      <c r="C385" s="1128" t="s">
        <v>133</v>
      </c>
      <c r="D385" s="940"/>
      <c r="E385" s="940"/>
      <c r="F385" s="940"/>
      <c r="G385" s="940"/>
      <c r="H385" s="940"/>
      <c r="I385" s="447">
        <f>IF($A385&gt;0,(VLOOKUP($A385,TablaMO,8,FALSE)),"")</f>
        <v>72503.016666666677</v>
      </c>
      <c r="J385" s="448">
        <f>IF($A385&gt;0,(VLOOKUP($A385,TablaMO,10,FALSE)),"")</f>
        <v>0.67071666666666663</v>
      </c>
      <c r="K385" s="447">
        <f>IF($A385&gt;0,(VLOOKUP($A385,TablaMO,11,FALSE)),"")</f>
        <v>121132</v>
      </c>
      <c r="L385" s="1146">
        <f t="shared" ref="L385:L386" si="22">L383</f>
        <v>6</v>
      </c>
      <c r="M385" s="941"/>
      <c r="N385" s="430">
        <f t="shared" si="21"/>
        <v>20188.666666666668</v>
      </c>
      <c r="O385" s="449"/>
      <c r="P385" s="1"/>
      <c r="Q385" s="1"/>
      <c r="R385" s="1"/>
      <c r="S385" s="1"/>
      <c r="T385" s="1"/>
      <c r="U385" s="1"/>
      <c r="V385" s="1"/>
      <c r="W385" s="1"/>
      <c r="X385" s="1"/>
      <c r="Y385" s="1"/>
      <c r="Z385" s="1"/>
    </row>
    <row r="386" spans="1:26" ht="13.5" customHeight="1">
      <c r="A386" s="395" t="str">
        <f t="array" ref="A386">IF(C386&lt;&gt;0,INDEX(CodMO,MATCH(C386,MO,0),),)</f>
        <v>M.O-03</v>
      </c>
      <c r="B386" s="399"/>
      <c r="C386" s="1128" t="s">
        <v>135</v>
      </c>
      <c r="D386" s="940"/>
      <c r="E386" s="940"/>
      <c r="F386" s="940"/>
      <c r="G386" s="940"/>
      <c r="H386" s="940"/>
      <c r="I386" s="447">
        <f>IF($A386&gt;0,(VLOOKUP($A386,TablaMO,8,FALSE)),"")</f>
        <v>72503.016666666677</v>
      </c>
      <c r="J386" s="448">
        <f>IF($A386&gt;0,(VLOOKUP($A386,TablaMO,10,FALSE)),"")</f>
        <v>0.67071666666666663</v>
      </c>
      <c r="K386" s="447">
        <f>IF($A386&gt;0,(VLOOKUP($A386,TablaMO,11,FALSE)),"")</f>
        <v>121132</v>
      </c>
      <c r="L386" s="1146">
        <f t="shared" si="22"/>
        <v>6</v>
      </c>
      <c r="M386" s="941"/>
      <c r="N386" s="430">
        <f t="shared" si="21"/>
        <v>20188.666666666668</v>
      </c>
      <c r="O386" s="449"/>
      <c r="P386" s="1"/>
      <c r="Q386" s="1"/>
      <c r="R386" s="1"/>
      <c r="S386" s="1"/>
      <c r="T386" s="1"/>
      <c r="U386" s="1"/>
      <c r="V386" s="1"/>
      <c r="W386" s="1"/>
      <c r="X386" s="1"/>
      <c r="Y386" s="1"/>
      <c r="Z386" s="1"/>
    </row>
    <row r="387" spans="1:26" ht="13.5" customHeight="1">
      <c r="A387" s="395" t="str">
        <f t="array" ref="A387">IF(C387&lt;&gt;0,INDEX(CodMO,MATCH(C387,MO,0),),)</f>
        <v>M.O-04</v>
      </c>
      <c r="B387" s="399"/>
      <c r="C387" s="1152" t="s">
        <v>137</v>
      </c>
      <c r="D387" s="945"/>
      <c r="E387" s="945"/>
      <c r="F387" s="945"/>
      <c r="G387" s="945"/>
      <c r="H387" s="945"/>
      <c r="I387" s="447">
        <f>IF($A387&gt;0,(VLOOKUP($A387,TablaMO,8,FALSE)),"")</f>
        <v>72503.016666666677</v>
      </c>
      <c r="J387" s="448">
        <f>IF($A387&gt;0,(VLOOKUP($A387,TablaMO,10,FALSE)),"")</f>
        <v>0.67071666666666663</v>
      </c>
      <c r="K387" s="447">
        <f>IF($A387&gt;0,(VLOOKUP($A387,TablaMO,11,FALSE)),"")</f>
        <v>121132</v>
      </c>
      <c r="L387" s="1146">
        <f>L383</f>
        <v>6</v>
      </c>
      <c r="M387" s="941"/>
      <c r="N387" s="430">
        <f t="shared" si="21"/>
        <v>20188.666666666668</v>
      </c>
      <c r="O387" s="449"/>
      <c r="P387" s="1"/>
      <c r="Q387" s="1"/>
      <c r="R387" s="1"/>
      <c r="S387" s="1"/>
      <c r="T387" s="1"/>
      <c r="U387" s="1"/>
      <c r="V387" s="1"/>
      <c r="W387" s="1"/>
      <c r="X387" s="1"/>
      <c r="Y387" s="1"/>
      <c r="Z387" s="1"/>
    </row>
    <row r="388" spans="1:26" ht="13.5" customHeight="1">
      <c r="A388" s="395"/>
      <c r="B388" s="399"/>
      <c r="C388" s="1127" t="s">
        <v>1202</v>
      </c>
      <c r="D388" s="965"/>
      <c r="E388" s="965"/>
      <c r="F388" s="965"/>
      <c r="G388" s="965"/>
      <c r="H388" s="965"/>
      <c r="I388" s="965"/>
      <c r="J388" s="965"/>
      <c r="K388" s="965"/>
      <c r="L388" s="965"/>
      <c r="M388" s="966"/>
      <c r="N388" s="433">
        <f>+SUM(N383:N387)</f>
        <v>115569.66666666669</v>
      </c>
      <c r="O388" s="431"/>
      <c r="P388" s="1"/>
      <c r="Q388" s="1"/>
      <c r="R388" s="1"/>
      <c r="S388" s="1"/>
      <c r="T388" s="1"/>
      <c r="U388" s="1"/>
      <c r="V388" s="1"/>
      <c r="W388" s="1"/>
      <c r="X388" s="1"/>
      <c r="Y388" s="1"/>
      <c r="Z388" s="1"/>
    </row>
    <row r="389" spans="1:26" ht="13.5" customHeight="1">
      <c r="A389" s="395"/>
      <c r="B389" s="399"/>
      <c r="C389" s="418"/>
      <c r="D389" s="39"/>
      <c r="E389" s="39"/>
      <c r="F389" s="39"/>
      <c r="G389" s="39"/>
      <c r="H389" s="39"/>
      <c r="I389" s="39"/>
      <c r="J389" s="39"/>
      <c r="K389" s="39"/>
      <c r="L389" s="39"/>
      <c r="M389" s="39"/>
      <c r="N389" s="40"/>
      <c r="O389" s="402"/>
      <c r="P389" s="1"/>
      <c r="Q389" s="1"/>
      <c r="R389" s="1"/>
      <c r="S389" s="1"/>
      <c r="T389" s="1"/>
      <c r="U389" s="1"/>
      <c r="V389" s="1"/>
      <c r="W389" s="1"/>
      <c r="X389" s="1"/>
      <c r="Y389" s="1"/>
      <c r="Z389" s="1"/>
    </row>
    <row r="390" spans="1:26" ht="13.5" customHeight="1">
      <c r="A390" s="395"/>
      <c r="B390" s="399"/>
      <c r="C390" s="1147" t="s">
        <v>1219</v>
      </c>
      <c r="D390" s="965"/>
      <c r="E390" s="965"/>
      <c r="F390" s="965"/>
      <c r="G390" s="965"/>
      <c r="H390" s="965"/>
      <c r="I390" s="965"/>
      <c r="J390" s="965"/>
      <c r="K390" s="965"/>
      <c r="L390" s="965"/>
      <c r="M390" s="966"/>
      <c r="N390" s="450">
        <f>+SUM(N388,N378,N371,N361)</f>
        <v>818438.53333333333</v>
      </c>
      <c r="O390" s="451"/>
      <c r="P390" s="1"/>
      <c r="Q390" s="1"/>
      <c r="R390" s="1"/>
      <c r="S390" s="1"/>
      <c r="T390" s="1"/>
      <c r="U390" s="1"/>
      <c r="V390" s="1"/>
      <c r="W390" s="1"/>
      <c r="X390" s="1"/>
      <c r="Y390" s="1"/>
      <c r="Z390" s="1"/>
    </row>
    <row r="391" spans="1:26" ht="13.5" customHeight="1">
      <c r="A391" s="395"/>
      <c r="B391" s="399"/>
      <c r="C391" s="1129" t="s">
        <v>1220</v>
      </c>
      <c r="D391" s="926"/>
      <c r="E391" s="926"/>
      <c r="F391" s="926"/>
      <c r="G391" s="926"/>
      <c r="H391" s="926"/>
      <c r="I391" s="926"/>
      <c r="J391" s="926"/>
      <c r="K391" s="926"/>
      <c r="L391" s="926"/>
      <c r="M391" s="926"/>
      <c r="N391" s="927"/>
      <c r="O391" s="426"/>
      <c r="P391" s="1"/>
      <c r="Q391" s="1"/>
      <c r="R391" s="1"/>
      <c r="S391" s="1"/>
      <c r="T391" s="1"/>
      <c r="U391" s="1"/>
      <c r="V391" s="1"/>
      <c r="W391" s="1"/>
      <c r="X391" s="1"/>
      <c r="Y391" s="1"/>
      <c r="Z391" s="1"/>
    </row>
    <row r="392" spans="1:26" ht="13.5" customHeight="1">
      <c r="A392" s="395"/>
      <c r="B392" s="399"/>
      <c r="C392" s="920"/>
      <c r="D392" s="922"/>
      <c r="E392" s="922"/>
      <c r="F392" s="922"/>
      <c r="G392" s="922"/>
      <c r="H392" s="922"/>
      <c r="I392" s="922"/>
      <c r="J392" s="922"/>
      <c r="K392" s="922"/>
      <c r="L392" s="922"/>
      <c r="M392" s="922"/>
      <c r="N392" s="924"/>
      <c r="O392" s="426"/>
      <c r="P392" s="1"/>
      <c r="Q392" s="1"/>
      <c r="R392" s="1"/>
      <c r="S392" s="1"/>
      <c r="T392" s="1"/>
      <c r="U392" s="1"/>
      <c r="V392" s="1"/>
      <c r="W392" s="1"/>
      <c r="X392" s="1"/>
      <c r="Y392" s="1"/>
      <c r="Z392" s="1"/>
    </row>
    <row r="393" spans="1:26" ht="13.5" customHeight="1">
      <c r="A393" s="395"/>
      <c r="B393" s="399"/>
      <c r="C393" s="929"/>
      <c r="D393" s="936"/>
      <c r="E393" s="936"/>
      <c r="F393" s="936"/>
      <c r="G393" s="936"/>
      <c r="H393" s="936"/>
      <c r="I393" s="936"/>
      <c r="J393" s="936"/>
      <c r="K393" s="936"/>
      <c r="L393" s="936"/>
      <c r="M393" s="936"/>
      <c r="N393" s="938"/>
      <c r="O393" s="426"/>
      <c r="P393" s="1"/>
      <c r="Q393" s="1"/>
      <c r="R393" s="1"/>
      <c r="S393" s="1"/>
      <c r="T393" s="1"/>
      <c r="U393" s="1"/>
      <c r="V393" s="1"/>
      <c r="W393" s="1"/>
      <c r="X393" s="1"/>
      <c r="Y393" s="1"/>
      <c r="Z393" s="1"/>
    </row>
    <row r="394" spans="1:26" ht="13.5" customHeight="1">
      <c r="A394" s="395"/>
      <c r="B394" s="399"/>
      <c r="C394" s="1130" t="s">
        <v>1221</v>
      </c>
      <c r="D394" s="1131"/>
      <c r="E394" s="1131"/>
      <c r="F394" s="1131"/>
      <c r="G394" s="1131"/>
      <c r="H394" s="1132"/>
      <c r="I394" s="438"/>
      <c r="J394" s="438"/>
      <c r="K394" s="438"/>
      <c r="L394" s="1133" t="s">
        <v>1222</v>
      </c>
      <c r="M394" s="1000"/>
      <c r="N394" s="445" t="s">
        <v>1223</v>
      </c>
      <c r="O394" s="446"/>
      <c r="P394" s="1"/>
      <c r="Q394" s="1"/>
      <c r="R394" s="1"/>
      <c r="S394" s="1"/>
      <c r="T394" s="1"/>
      <c r="U394" s="1"/>
      <c r="V394" s="1"/>
      <c r="W394" s="1"/>
      <c r="X394" s="1"/>
      <c r="Y394" s="1"/>
      <c r="Z394" s="1"/>
    </row>
    <row r="395" spans="1:26" ht="13.5" customHeight="1">
      <c r="A395" s="395"/>
      <c r="B395" s="399"/>
      <c r="C395" s="1128" t="s">
        <v>19</v>
      </c>
      <c r="D395" s="940"/>
      <c r="E395" s="940"/>
      <c r="F395" s="940"/>
      <c r="G395" s="940"/>
      <c r="H395" s="940"/>
      <c r="I395" s="452"/>
      <c r="J395" s="452"/>
      <c r="K395" s="452"/>
      <c r="L395" s="1148">
        <f>+Datos!$E$18</f>
        <v>0.25</v>
      </c>
      <c r="M395" s="941"/>
      <c r="N395" s="430">
        <f>+L395*N390</f>
        <v>204609.63333333333</v>
      </c>
      <c r="O395" s="453"/>
      <c r="P395" s="1"/>
      <c r="Q395" s="1"/>
      <c r="R395" s="1"/>
      <c r="S395" s="1"/>
      <c r="T395" s="1"/>
      <c r="U395" s="1"/>
      <c r="V395" s="1"/>
      <c r="W395" s="1"/>
      <c r="X395" s="1"/>
      <c r="Y395" s="1"/>
      <c r="Z395" s="1"/>
    </row>
    <row r="396" spans="1:26" ht="13.5" customHeight="1">
      <c r="A396" s="395"/>
      <c r="B396" s="399"/>
      <c r="C396" s="454" t="s">
        <v>20</v>
      </c>
      <c r="D396" s="455"/>
      <c r="E396" s="455"/>
      <c r="F396" s="455"/>
      <c r="G396" s="455"/>
      <c r="H396" s="455"/>
      <c r="I396" s="452"/>
      <c r="J396" s="452"/>
      <c r="K396" s="452"/>
      <c r="L396" s="1148">
        <f>+Datos!$E$19</f>
        <v>0.01</v>
      </c>
      <c r="M396" s="941"/>
      <c r="N396" s="430">
        <f>+L396*N390</f>
        <v>8184.3853333333336</v>
      </c>
      <c r="O396" s="453"/>
      <c r="P396" s="1"/>
      <c r="Q396" s="1"/>
      <c r="R396" s="1"/>
      <c r="S396" s="1"/>
      <c r="T396" s="1"/>
      <c r="U396" s="1"/>
      <c r="V396" s="1"/>
      <c r="W396" s="1"/>
      <c r="X396" s="1"/>
      <c r="Y396" s="1"/>
      <c r="Z396" s="1"/>
    </row>
    <row r="397" spans="1:26" ht="13.5" customHeight="1">
      <c r="A397" s="395"/>
      <c r="B397" s="399"/>
      <c r="C397" s="456" t="s">
        <v>21</v>
      </c>
      <c r="D397" s="457"/>
      <c r="E397" s="457"/>
      <c r="F397" s="457"/>
      <c r="G397" s="457"/>
      <c r="H397" s="457"/>
      <c r="I397" s="458"/>
      <c r="J397" s="458"/>
      <c r="K397" s="458"/>
      <c r="L397" s="1148">
        <f>+Datos!$E$20</f>
        <v>0.05</v>
      </c>
      <c r="M397" s="941"/>
      <c r="N397" s="430">
        <f>+L397*N390</f>
        <v>40921.926666666666</v>
      </c>
      <c r="O397" s="453"/>
      <c r="P397" s="1"/>
      <c r="Q397" s="1"/>
      <c r="R397" s="1"/>
      <c r="S397" s="1"/>
      <c r="T397" s="1"/>
      <c r="U397" s="1"/>
      <c r="V397" s="1"/>
      <c r="W397" s="1"/>
      <c r="X397" s="1"/>
      <c r="Y397" s="1"/>
      <c r="Z397" s="1"/>
    </row>
    <row r="398" spans="1:26" ht="13.5" customHeight="1">
      <c r="A398" s="395"/>
      <c r="B398" s="399"/>
      <c r="C398" s="1127" t="s">
        <v>1202</v>
      </c>
      <c r="D398" s="965"/>
      <c r="E398" s="965"/>
      <c r="F398" s="965"/>
      <c r="G398" s="965"/>
      <c r="H398" s="965"/>
      <c r="I398" s="965"/>
      <c r="J398" s="965"/>
      <c r="K398" s="965"/>
      <c r="L398" s="965"/>
      <c r="M398" s="966"/>
      <c r="N398" s="433">
        <f>+SUM(N395:N397)</f>
        <v>253715.94533333334</v>
      </c>
      <c r="O398" s="453"/>
      <c r="P398" s="1"/>
      <c r="Q398" s="1"/>
      <c r="R398" s="1"/>
      <c r="S398" s="1"/>
      <c r="T398" s="1"/>
      <c r="U398" s="1"/>
      <c r="V398" s="1"/>
      <c r="W398" s="1"/>
      <c r="X398" s="1"/>
      <c r="Y398" s="1"/>
      <c r="Z398" s="1"/>
    </row>
    <row r="399" spans="1:26" ht="13.5" customHeight="1">
      <c r="A399" s="395"/>
      <c r="B399" s="399"/>
      <c r="C399" s="418"/>
      <c r="D399" s="39"/>
      <c r="E399" s="39"/>
      <c r="F399" s="39"/>
      <c r="G399" s="39"/>
      <c r="H399" s="39"/>
      <c r="I399" s="39"/>
      <c r="J399" s="39"/>
      <c r="K399" s="39"/>
      <c r="L399" s="39"/>
      <c r="M399" s="39"/>
      <c r="N399" s="40"/>
      <c r="O399" s="402"/>
      <c r="P399" s="1"/>
      <c r="Q399" s="1"/>
      <c r="R399" s="1"/>
      <c r="S399" s="1"/>
      <c r="T399" s="1"/>
      <c r="U399" s="1"/>
      <c r="V399" s="1"/>
      <c r="W399" s="1"/>
      <c r="X399" s="1"/>
      <c r="Y399" s="1"/>
      <c r="Z399" s="1"/>
    </row>
    <row r="400" spans="1:26" ht="13.5" customHeight="1">
      <c r="A400" s="395"/>
      <c r="B400" s="399"/>
      <c r="C400" s="1147" t="s">
        <v>1224</v>
      </c>
      <c r="D400" s="965"/>
      <c r="E400" s="965"/>
      <c r="F400" s="965"/>
      <c r="G400" s="965"/>
      <c r="H400" s="965"/>
      <c r="I400" s="965"/>
      <c r="J400" s="965"/>
      <c r="K400" s="965"/>
      <c r="L400" s="965"/>
      <c r="M400" s="966"/>
      <c r="N400" s="459">
        <f>+ROUND(SUM(N398,N390),0)</f>
        <v>1072154</v>
      </c>
      <c r="O400" s="453"/>
      <c r="P400" s="1"/>
      <c r="Q400" s="1"/>
      <c r="R400" s="1"/>
      <c r="S400" s="1"/>
      <c r="T400" s="1"/>
      <c r="U400" s="1"/>
      <c r="V400" s="1"/>
      <c r="W400" s="1"/>
      <c r="X400" s="1"/>
      <c r="Y400" s="1"/>
      <c r="Z400" s="1"/>
    </row>
    <row r="401" spans="1:26" ht="13.5" customHeight="1">
      <c r="A401" s="1"/>
      <c r="B401" s="399"/>
      <c r="C401" s="460"/>
      <c r="D401" s="461"/>
      <c r="E401" s="461"/>
      <c r="F401" s="461"/>
      <c r="G401" s="461"/>
      <c r="H401" s="461"/>
      <c r="I401" s="461"/>
      <c r="J401" s="461"/>
      <c r="K401" s="461"/>
      <c r="L401" s="461"/>
      <c r="M401" s="461"/>
      <c r="N401" s="462"/>
      <c r="O401" s="402"/>
      <c r="P401" s="1"/>
      <c r="Q401" s="1"/>
      <c r="R401" s="1"/>
      <c r="S401" s="1"/>
      <c r="T401" s="1"/>
      <c r="U401" s="1"/>
      <c r="V401" s="1"/>
      <c r="W401" s="1"/>
      <c r="X401" s="1"/>
      <c r="Y401" s="1"/>
      <c r="Z401" s="1"/>
    </row>
    <row r="402" spans="1:26" ht="13.5" customHeight="1">
      <c r="A402" s="1"/>
      <c r="B402" s="399"/>
      <c r="C402" s="418"/>
      <c r="D402" s="39"/>
      <c r="E402" s="39"/>
      <c r="F402" s="39"/>
      <c r="G402" s="39"/>
      <c r="H402" s="39"/>
      <c r="I402" s="39"/>
      <c r="J402" s="39"/>
      <c r="K402" s="39"/>
      <c r="L402" s="39"/>
      <c r="M402" s="39"/>
      <c r="N402" s="40"/>
      <c r="O402" s="402"/>
      <c r="P402" s="1"/>
      <c r="Q402" s="1"/>
      <c r="R402" s="1"/>
      <c r="S402" s="1"/>
      <c r="T402" s="1"/>
      <c r="U402" s="1"/>
      <c r="V402" s="1"/>
      <c r="W402" s="1"/>
      <c r="X402" s="1"/>
      <c r="Y402" s="1"/>
      <c r="Z402" s="1"/>
    </row>
    <row r="403" spans="1:26" ht="13.5" customHeight="1">
      <c r="A403" s="1"/>
      <c r="B403" s="399"/>
      <c r="C403" s="418"/>
      <c r="D403" s="39"/>
      <c r="E403" s="39"/>
      <c r="F403" s="39"/>
      <c r="G403" s="39"/>
      <c r="H403" s="39"/>
      <c r="I403" s="39"/>
      <c r="J403" s="39"/>
      <c r="K403" s="39"/>
      <c r="L403" s="39"/>
      <c r="M403" s="39"/>
      <c r="N403" s="40"/>
      <c r="O403" s="402"/>
      <c r="P403" s="1"/>
      <c r="Q403" s="1"/>
      <c r="R403" s="1"/>
      <c r="S403" s="1"/>
      <c r="T403" s="1"/>
      <c r="U403" s="1"/>
      <c r="V403" s="1"/>
      <c r="W403" s="1"/>
      <c r="X403" s="1"/>
      <c r="Y403" s="1"/>
      <c r="Z403" s="1"/>
    </row>
    <row r="404" spans="1:26" ht="13.5" customHeight="1">
      <c r="A404" s="1"/>
      <c r="B404" s="399"/>
      <c r="C404" s="418"/>
      <c r="D404" s="463"/>
      <c r="E404" s="463"/>
      <c r="F404" s="463"/>
      <c r="G404" s="184"/>
      <c r="H404" s="184"/>
      <c r="I404" s="184"/>
      <c r="J404" s="463"/>
      <c r="K404" s="463"/>
      <c r="L404" s="463"/>
      <c r="M404" s="463"/>
      <c r="N404" s="40"/>
      <c r="O404" s="402"/>
      <c r="P404" s="1"/>
      <c r="Q404" s="1"/>
      <c r="R404" s="1"/>
      <c r="S404" s="1"/>
      <c r="T404" s="1"/>
      <c r="U404" s="1"/>
      <c r="V404" s="1"/>
      <c r="W404" s="1"/>
      <c r="X404" s="1"/>
      <c r="Y404" s="1"/>
      <c r="Z404" s="1"/>
    </row>
    <row r="405" spans="1:26" ht="13.5" customHeight="1">
      <c r="A405" s="1"/>
      <c r="B405" s="399"/>
      <c r="C405" s="418"/>
      <c r="D405" s="39" t="s">
        <v>1225</v>
      </c>
      <c r="E405" s="39"/>
      <c r="F405" s="39"/>
      <c r="G405" s="184"/>
      <c r="H405" s="184"/>
      <c r="I405" s="184"/>
      <c r="J405" s="39" t="s">
        <v>1225</v>
      </c>
      <c r="K405" s="39"/>
      <c r="L405" s="39"/>
      <c r="M405" s="39"/>
      <c r="N405" s="40"/>
      <c r="O405" s="464"/>
      <c r="P405" s="1"/>
      <c r="Q405" s="1"/>
      <c r="R405" s="1"/>
      <c r="S405" s="1"/>
      <c r="T405" s="1"/>
      <c r="U405" s="1"/>
      <c r="V405" s="1"/>
      <c r="W405" s="1"/>
      <c r="X405" s="1"/>
      <c r="Y405" s="1"/>
      <c r="Z405" s="1"/>
    </row>
    <row r="406" spans="1:26" ht="13.5" customHeight="1">
      <c r="A406" s="1"/>
      <c r="B406" s="399"/>
      <c r="C406" s="418"/>
      <c r="D406" s="39" t="s">
        <v>1226</v>
      </c>
      <c r="E406" s="39"/>
      <c r="F406" s="39"/>
      <c r="G406" s="184"/>
      <c r="H406" s="184"/>
      <c r="I406" s="184"/>
      <c r="J406" s="39" t="s">
        <v>1227</v>
      </c>
      <c r="K406" s="39"/>
      <c r="L406" s="39"/>
      <c r="M406" s="39"/>
      <c r="N406" s="40"/>
      <c r="O406" s="464"/>
      <c r="P406" s="1"/>
      <c r="Q406" s="1"/>
      <c r="R406" s="1"/>
      <c r="S406" s="1"/>
      <c r="T406" s="1"/>
      <c r="U406" s="1"/>
      <c r="V406" s="1"/>
      <c r="W406" s="1"/>
      <c r="X406" s="1"/>
      <c r="Y406" s="1"/>
      <c r="Z406" s="1"/>
    </row>
    <row r="407" spans="1:26" ht="13.5" customHeight="1">
      <c r="A407" s="1"/>
      <c r="B407" s="399"/>
      <c r="C407" s="404"/>
      <c r="D407" s="39" t="s">
        <v>1228</v>
      </c>
      <c r="E407" s="42"/>
      <c r="F407" s="42"/>
      <c r="G407" s="184"/>
      <c r="H407" s="184"/>
      <c r="I407" s="184"/>
      <c r="J407" s="39" t="s">
        <v>1228</v>
      </c>
      <c r="K407" s="42"/>
      <c r="L407" s="42"/>
      <c r="M407" s="42"/>
      <c r="N407" s="43"/>
      <c r="O407" s="465"/>
      <c r="P407" s="1"/>
      <c r="Q407" s="1"/>
      <c r="R407" s="1"/>
      <c r="S407" s="1"/>
      <c r="T407" s="1"/>
      <c r="U407" s="1"/>
      <c r="V407" s="1"/>
      <c r="W407" s="1"/>
      <c r="X407" s="1"/>
      <c r="Y407" s="1"/>
      <c r="Z407" s="1"/>
    </row>
    <row r="408" spans="1:26" ht="13.5" customHeight="1">
      <c r="A408" s="1"/>
      <c r="B408" s="399"/>
      <c r="C408" s="418"/>
      <c r="D408" s="39"/>
      <c r="E408" s="39"/>
      <c r="F408" s="39"/>
      <c r="G408" s="39" t="s">
        <v>1229</v>
      </c>
      <c r="H408" s="39"/>
      <c r="I408" s="39"/>
      <c r="J408" s="39"/>
      <c r="K408" s="39"/>
      <c r="L408" s="39"/>
      <c r="M408" s="39"/>
      <c r="N408" s="40"/>
      <c r="O408" s="402"/>
      <c r="P408" s="1"/>
      <c r="Q408" s="1"/>
      <c r="R408" s="1"/>
      <c r="S408" s="1"/>
      <c r="T408" s="1"/>
      <c r="U408" s="1"/>
      <c r="V408" s="1"/>
      <c r="W408" s="1"/>
      <c r="X408" s="1"/>
      <c r="Y408" s="1"/>
      <c r="Z408" s="1"/>
    </row>
    <row r="409" spans="1:26" ht="17.25" customHeight="1">
      <c r="A409" s="1"/>
      <c r="B409" s="399"/>
      <c r="C409" s="466"/>
      <c r="D409" s="467"/>
      <c r="E409" s="467"/>
      <c r="F409" s="39"/>
      <c r="G409" s="39"/>
      <c r="H409" s="39"/>
      <c r="I409" s="39"/>
      <c r="J409" s="1149"/>
      <c r="K409" s="922"/>
      <c r="L409" s="922"/>
      <c r="M409" s="922"/>
      <c r="N409" s="924"/>
      <c r="O409" s="468"/>
      <c r="P409" s="1"/>
      <c r="Q409" s="1"/>
      <c r="R409" s="1"/>
      <c r="S409" s="1"/>
      <c r="T409" s="1"/>
      <c r="U409" s="1"/>
      <c r="V409" s="1"/>
      <c r="W409" s="1"/>
      <c r="X409" s="1"/>
      <c r="Y409" s="1"/>
      <c r="Z409" s="1"/>
    </row>
    <row r="410" spans="1:26" ht="18.75" customHeight="1">
      <c r="A410" s="1"/>
      <c r="B410" s="399"/>
      <c r="C410" s="1150"/>
      <c r="D410" s="936"/>
      <c r="E410" s="936"/>
      <c r="F410" s="416"/>
      <c r="G410" s="416"/>
      <c r="H410" s="416"/>
      <c r="I410" s="416"/>
      <c r="J410" s="936"/>
      <c r="K410" s="936"/>
      <c r="L410" s="936"/>
      <c r="M410" s="936"/>
      <c r="N410" s="938"/>
      <c r="O410" s="468"/>
      <c r="P410" s="1"/>
      <c r="Q410" s="1"/>
      <c r="R410" s="1"/>
      <c r="S410" s="1"/>
      <c r="T410" s="1"/>
      <c r="U410" s="1"/>
      <c r="V410" s="1"/>
      <c r="W410" s="1"/>
      <c r="X410" s="1"/>
      <c r="Y410" s="1"/>
      <c r="Z410" s="1"/>
    </row>
    <row r="411" spans="1:26" ht="13.5" customHeight="1">
      <c r="A411" s="1"/>
      <c r="B411" s="469"/>
      <c r="C411" s="470"/>
      <c r="D411" s="470"/>
      <c r="E411" s="470"/>
      <c r="F411" s="470"/>
      <c r="G411" s="470"/>
      <c r="H411" s="470"/>
      <c r="I411" s="470"/>
      <c r="J411" s="470"/>
      <c r="K411" s="470"/>
      <c r="L411" s="470"/>
      <c r="M411" s="470"/>
      <c r="N411" s="470"/>
      <c r="O411" s="471"/>
      <c r="P411" s="1"/>
      <c r="Q411" s="1"/>
      <c r="R411" s="1"/>
      <c r="S411" s="1"/>
      <c r="T411" s="1"/>
      <c r="U411" s="1"/>
      <c r="V411" s="1"/>
      <c r="W411" s="1"/>
      <c r="X411" s="1"/>
      <c r="Y411" s="1"/>
      <c r="Z411" s="1"/>
    </row>
    <row r="412" spans="1:26" ht="13.5" customHeight="1">
      <c r="A412" s="1"/>
      <c r="B412" s="184"/>
      <c r="C412" s="184"/>
      <c r="D412" s="184"/>
      <c r="E412" s="184"/>
      <c r="F412" s="184"/>
      <c r="G412" s="184"/>
      <c r="H412" s="184"/>
      <c r="I412" s="184"/>
      <c r="J412" s="184"/>
      <c r="K412" s="184"/>
      <c r="L412" s="184"/>
      <c r="M412" s="184"/>
      <c r="N412" s="184"/>
      <c r="O412" s="184"/>
      <c r="P412" s="1"/>
      <c r="Q412" s="1"/>
      <c r="R412" s="1"/>
      <c r="S412" s="1"/>
      <c r="T412" s="1"/>
      <c r="U412" s="1"/>
      <c r="V412" s="1"/>
      <c r="W412" s="1"/>
      <c r="X412" s="1"/>
      <c r="Y412" s="1"/>
      <c r="Z412" s="1"/>
    </row>
    <row r="413" spans="1:26" ht="13.5" customHeight="1">
      <c r="A413" s="1"/>
      <c r="B413" s="184"/>
      <c r="C413" s="184"/>
      <c r="D413" s="184"/>
      <c r="E413" s="184"/>
      <c r="F413" s="184"/>
      <c r="G413" s="184"/>
      <c r="H413" s="184"/>
      <c r="I413" s="184"/>
      <c r="J413" s="184"/>
      <c r="K413" s="184"/>
      <c r="L413" s="184"/>
      <c r="M413" s="184"/>
      <c r="N413" s="184"/>
      <c r="O413" s="184"/>
      <c r="P413" s="1"/>
      <c r="Q413" s="1"/>
      <c r="R413" s="1"/>
      <c r="S413" s="1"/>
      <c r="T413" s="1"/>
      <c r="U413" s="1"/>
      <c r="V413" s="1"/>
      <c r="W413" s="1"/>
      <c r="X413" s="1"/>
      <c r="Y413" s="1"/>
      <c r="Z413" s="1"/>
    </row>
    <row r="414" spans="1:26" ht="13.5" customHeight="1">
      <c r="A414" s="1"/>
      <c r="B414" s="396"/>
      <c r="C414" s="397"/>
      <c r="D414" s="397"/>
      <c r="E414" s="397"/>
      <c r="F414" s="397"/>
      <c r="G414" s="397"/>
      <c r="H414" s="397"/>
      <c r="I414" s="397"/>
      <c r="J414" s="397"/>
      <c r="K414" s="397"/>
      <c r="L414" s="397"/>
      <c r="M414" s="397"/>
      <c r="N414" s="397"/>
      <c r="O414" s="398"/>
      <c r="P414" s="1"/>
      <c r="Q414" s="1"/>
      <c r="R414" s="1"/>
      <c r="S414" s="1"/>
      <c r="T414" s="1"/>
      <c r="U414" s="1"/>
      <c r="V414" s="1"/>
      <c r="W414" s="1"/>
      <c r="X414" s="1"/>
      <c r="Y414" s="1"/>
      <c r="Z414" s="1"/>
    </row>
    <row r="415" spans="1:26" ht="13.5" customHeight="1">
      <c r="A415" s="1"/>
      <c r="B415" s="399"/>
      <c r="C415" s="400"/>
      <c r="D415" s="401"/>
      <c r="E415" s="400"/>
      <c r="F415" s="184"/>
      <c r="G415" s="184"/>
      <c r="H415" s="184"/>
      <c r="I415" s="184"/>
      <c r="J415" s="184"/>
      <c r="K415" s="184"/>
      <c r="L415" s="184"/>
      <c r="M415" s="184"/>
      <c r="N415" s="184"/>
      <c r="O415" s="402"/>
      <c r="P415" s="1"/>
      <c r="Q415" s="1"/>
      <c r="R415" s="1"/>
      <c r="S415" s="1"/>
      <c r="T415" s="1"/>
      <c r="U415" s="1"/>
      <c r="V415" s="1"/>
      <c r="W415" s="1"/>
      <c r="X415" s="1"/>
      <c r="Y415" s="1"/>
      <c r="Z415" s="1"/>
    </row>
    <row r="416" spans="1:26" ht="13.5" customHeight="1">
      <c r="A416" s="1"/>
      <c r="B416" s="399"/>
      <c r="C416" s="39"/>
      <c r="D416" s="39"/>
      <c r="E416" s="39"/>
      <c r="F416" s="39"/>
      <c r="G416" s="39"/>
      <c r="H416" s="39"/>
      <c r="I416" s="39"/>
      <c r="J416" s="39"/>
      <c r="K416" s="39"/>
      <c r="L416" s="39"/>
      <c r="M416" s="39"/>
      <c r="N416" s="39"/>
      <c r="O416" s="402"/>
      <c r="P416" s="1"/>
      <c r="Q416" s="1"/>
      <c r="R416" s="1"/>
      <c r="S416" s="1"/>
      <c r="T416" s="1"/>
      <c r="U416" s="1"/>
      <c r="V416" s="1"/>
      <c r="W416" s="1"/>
      <c r="X416" s="1"/>
      <c r="Y416" s="1"/>
      <c r="Z416" s="1"/>
    </row>
    <row r="417" spans="1:26" ht="13.5" customHeight="1">
      <c r="A417" s="1"/>
      <c r="B417" s="399"/>
      <c r="C417" s="1124"/>
      <c r="D417" s="927"/>
      <c r="E417" s="1014" t="str">
        <f>+Datos!$C$9</f>
        <v>CONSEJO SUPERIOR  DE  JUDICATURA– DIRECCIÓN  EJECUTIVA  SECCIONAL  DE ADMINISTRACIÓN JUDICIAL DE BUCARAMANGA</v>
      </c>
      <c r="F417" s="926"/>
      <c r="G417" s="926"/>
      <c r="H417" s="926"/>
      <c r="I417" s="926"/>
      <c r="J417" s="926"/>
      <c r="K417" s="927"/>
      <c r="L417" s="925" t="s">
        <v>1</v>
      </c>
      <c r="M417" s="931"/>
      <c r="N417" s="933">
        <f>Datos!$C$4</f>
        <v>1</v>
      </c>
      <c r="O417" s="403"/>
      <c r="P417" s="1"/>
      <c r="Q417" s="1"/>
      <c r="R417" s="1"/>
      <c r="S417" s="1"/>
      <c r="T417" s="1"/>
      <c r="U417" s="1"/>
      <c r="V417" s="1"/>
      <c r="W417" s="1"/>
      <c r="X417" s="1"/>
      <c r="Y417" s="1"/>
      <c r="Z417" s="1"/>
    </row>
    <row r="418" spans="1:26" ht="13.5" customHeight="1">
      <c r="A418" s="1"/>
      <c r="B418" s="399"/>
      <c r="C418" s="920"/>
      <c r="D418" s="924"/>
      <c r="E418" s="920"/>
      <c r="F418" s="922"/>
      <c r="G418" s="922"/>
      <c r="H418" s="922"/>
      <c r="I418" s="922"/>
      <c r="J418" s="922"/>
      <c r="K418" s="924"/>
      <c r="L418" s="920"/>
      <c r="M418" s="932"/>
      <c r="N418" s="934"/>
      <c r="O418" s="403"/>
      <c r="P418" s="1"/>
      <c r="Q418" s="1"/>
      <c r="R418" s="1"/>
      <c r="S418" s="1"/>
      <c r="T418" s="1"/>
      <c r="U418" s="1"/>
      <c r="V418" s="1"/>
      <c r="W418" s="1"/>
      <c r="X418" s="1"/>
      <c r="Y418" s="1"/>
      <c r="Z418" s="1"/>
    </row>
    <row r="419" spans="1:26" ht="13.5" customHeight="1">
      <c r="A419" s="1"/>
      <c r="B419" s="399"/>
      <c r="C419" s="920"/>
      <c r="D419" s="924"/>
      <c r="E419" s="919" t="str">
        <f>Datos!$C$13</f>
        <v xml:space="preserve">BGA - 030 - 2026 </v>
      </c>
      <c r="F419" s="922"/>
      <c r="G419" s="922"/>
      <c r="H419" s="922"/>
      <c r="I419" s="922"/>
      <c r="J419" s="922"/>
      <c r="K419" s="922"/>
      <c r="L419" s="925" t="s">
        <v>29</v>
      </c>
      <c r="M419" s="926"/>
      <c r="N419" s="927"/>
      <c r="O419" s="403"/>
      <c r="P419" s="1"/>
      <c r="Q419" s="1"/>
      <c r="R419" s="1"/>
      <c r="S419" s="1"/>
      <c r="T419" s="1"/>
      <c r="U419" s="1"/>
      <c r="V419" s="1"/>
      <c r="W419" s="1"/>
      <c r="X419" s="1"/>
      <c r="Y419" s="1"/>
      <c r="Z419" s="1"/>
    </row>
    <row r="420" spans="1:26" ht="13.5" customHeight="1">
      <c r="A420" s="1"/>
      <c r="B420" s="399"/>
      <c r="C420" s="920"/>
      <c r="D420" s="924"/>
      <c r="E420" s="405"/>
      <c r="F420" s="406"/>
      <c r="G420" s="406"/>
      <c r="H420" s="406"/>
      <c r="I420" s="406"/>
      <c r="J420" s="406"/>
      <c r="K420" s="42"/>
      <c r="L420" s="919">
        <v>1</v>
      </c>
      <c r="M420" s="921" t="s">
        <v>30</v>
      </c>
      <c r="N420" s="923">
        <v>1</v>
      </c>
      <c r="O420" s="403"/>
      <c r="P420" s="1"/>
      <c r="Q420" s="1"/>
      <c r="R420" s="1"/>
      <c r="S420" s="1"/>
      <c r="T420" s="1"/>
      <c r="U420" s="1"/>
      <c r="V420" s="1"/>
      <c r="W420" s="1"/>
      <c r="X420" s="1"/>
      <c r="Y420" s="1"/>
      <c r="Z420" s="1"/>
    </row>
    <row r="421" spans="1:26" ht="12.75" customHeight="1">
      <c r="A421" s="1"/>
      <c r="B421" s="399"/>
      <c r="C421" s="920"/>
      <c r="D421" s="924"/>
      <c r="E421"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21" s="922"/>
      <c r="G421" s="922"/>
      <c r="H421" s="922"/>
      <c r="I421" s="922"/>
      <c r="J421" s="922"/>
      <c r="K421" s="922"/>
      <c r="L421" s="920"/>
      <c r="M421" s="922"/>
      <c r="N421" s="924"/>
      <c r="O421" s="403"/>
      <c r="P421" s="1"/>
      <c r="Q421" s="1"/>
      <c r="R421" s="1"/>
      <c r="S421" s="1"/>
      <c r="T421" s="1"/>
      <c r="U421" s="1"/>
      <c r="V421" s="1"/>
      <c r="W421" s="1"/>
      <c r="X421" s="1"/>
      <c r="Y421" s="1"/>
      <c r="Z421" s="1"/>
    </row>
    <row r="422" spans="1:26" ht="13.5" customHeight="1">
      <c r="A422" s="1"/>
      <c r="B422" s="399"/>
      <c r="C422" s="920"/>
      <c r="D422" s="924"/>
      <c r="E422" s="920"/>
      <c r="F422" s="922"/>
      <c r="G422" s="922"/>
      <c r="H422" s="922"/>
      <c r="I422" s="922"/>
      <c r="J422" s="922"/>
      <c r="K422" s="922"/>
      <c r="L422" s="925" t="s">
        <v>2</v>
      </c>
      <c r="M422" s="926"/>
      <c r="N422" s="927"/>
      <c r="O422" s="403"/>
      <c r="P422" s="1"/>
      <c r="Q422" s="1"/>
      <c r="R422" s="1"/>
      <c r="S422" s="1"/>
      <c r="T422" s="1"/>
      <c r="U422" s="1"/>
      <c r="V422" s="1"/>
      <c r="W422" s="1"/>
      <c r="X422" s="1"/>
      <c r="Y422" s="1"/>
      <c r="Z422" s="1"/>
    </row>
    <row r="423" spans="1:26" ht="13.5" customHeight="1">
      <c r="A423" s="1"/>
      <c r="B423" s="399"/>
      <c r="C423" s="920"/>
      <c r="D423" s="924"/>
      <c r="E423" s="407"/>
      <c r="F423" s="216"/>
      <c r="G423" s="216"/>
      <c r="H423" s="216"/>
      <c r="I423" s="216"/>
      <c r="J423" s="216"/>
      <c r="K423" s="216"/>
      <c r="L423" s="408" t="s">
        <v>3</v>
      </c>
      <c r="M423" s="409" t="s">
        <v>4</v>
      </c>
      <c r="N423" s="410" t="s">
        <v>5</v>
      </c>
      <c r="O423" s="403"/>
      <c r="P423" s="1"/>
      <c r="Q423" s="1"/>
      <c r="R423" s="1"/>
      <c r="S423" s="1"/>
      <c r="T423" s="1"/>
      <c r="U423" s="1"/>
      <c r="V423" s="1"/>
      <c r="W423" s="1"/>
      <c r="X423" s="1"/>
      <c r="Y423" s="1"/>
      <c r="Z423" s="1"/>
    </row>
    <row r="424" spans="1:26" ht="13.5" customHeight="1">
      <c r="A424" s="1"/>
      <c r="B424" s="399"/>
      <c r="C424" s="920"/>
      <c r="D424" s="924"/>
      <c r="E424" s="1125" t="s">
        <v>1186</v>
      </c>
      <c r="F424" s="945"/>
      <c r="G424" s="945"/>
      <c r="H424" s="945"/>
      <c r="I424" s="945"/>
      <c r="J424" s="945"/>
      <c r="K424" s="945"/>
      <c r="L424" s="928">
        <f>+Datos!C335</f>
        <v>0</v>
      </c>
      <c r="M424" s="935">
        <f>+Datos!D335</f>
        <v>0</v>
      </c>
      <c r="N424" s="937">
        <f>+Datos!E335</f>
        <v>0</v>
      </c>
      <c r="O424" s="411"/>
      <c r="P424" s="1"/>
      <c r="Q424" s="1"/>
      <c r="R424" s="1"/>
      <c r="S424" s="1"/>
      <c r="T424" s="1"/>
      <c r="U424" s="1"/>
      <c r="V424" s="1"/>
      <c r="W424" s="1"/>
      <c r="X424" s="1"/>
      <c r="Y424" s="1"/>
      <c r="Z424" s="1"/>
    </row>
    <row r="425" spans="1:26" ht="13.5" customHeight="1">
      <c r="A425" s="1"/>
      <c r="B425" s="399"/>
      <c r="C425" s="929"/>
      <c r="D425" s="938"/>
      <c r="E425" s="929"/>
      <c r="F425" s="936"/>
      <c r="G425" s="936"/>
      <c r="H425" s="936"/>
      <c r="I425" s="936"/>
      <c r="J425" s="936"/>
      <c r="K425" s="936"/>
      <c r="L425" s="929"/>
      <c r="M425" s="936"/>
      <c r="N425" s="938"/>
      <c r="O425" s="403"/>
      <c r="P425" s="1"/>
      <c r="Q425" s="1"/>
      <c r="R425" s="1"/>
      <c r="S425" s="1"/>
      <c r="T425" s="1"/>
      <c r="U425" s="1"/>
      <c r="V425" s="1"/>
      <c r="W425" s="1"/>
      <c r="X425" s="1"/>
      <c r="Y425" s="1"/>
      <c r="Z425" s="1"/>
    </row>
    <row r="426" spans="1:26" ht="13.5" customHeight="1">
      <c r="A426" s="1"/>
      <c r="B426" s="399"/>
      <c r="C426" s="404"/>
      <c r="D426" s="38"/>
      <c r="E426" s="38"/>
      <c r="F426" s="38"/>
      <c r="G426" s="38"/>
      <c r="H426" s="38"/>
      <c r="I426" s="38"/>
      <c r="J426" s="38"/>
      <c r="K426" s="38"/>
      <c r="L426" s="39"/>
      <c r="M426" s="39"/>
      <c r="N426" s="40"/>
      <c r="O426" s="414"/>
      <c r="P426" s="1"/>
      <c r="Q426" s="1"/>
      <c r="R426" s="1"/>
      <c r="S426" s="1"/>
      <c r="T426" s="1"/>
      <c r="U426" s="1"/>
      <c r="V426" s="1"/>
      <c r="W426" s="1"/>
      <c r="X426" s="1"/>
      <c r="Y426" s="1"/>
      <c r="Z426" s="1"/>
    </row>
    <row r="427" spans="1:26" ht="18" customHeight="1">
      <c r="A427" s="1"/>
      <c r="B427" s="399"/>
      <c r="C427" s="412" t="s">
        <v>1187</v>
      </c>
      <c r="D427" s="1126" t="s">
        <v>1188</v>
      </c>
      <c r="E427" s="922"/>
      <c r="F427" s="922"/>
      <c r="G427" s="922"/>
      <c r="H427" s="922"/>
      <c r="I427" s="922"/>
      <c r="J427" s="922"/>
      <c r="K427" s="922"/>
      <c r="L427" s="922"/>
      <c r="M427" s="1"/>
      <c r="N427" s="413"/>
      <c r="O427" s="414"/>
      <c r="P427" s="1"/>
      <c r="Q427" s="1"/>
      <c r="R427" s="1"/>
      <c r="S427" s="1"/>
      <c r="T427" s="1"/>
      <c r="U427" s="1"/>
      <c r="V427" s="1"/>
      <c r="W427" s="1"/>
      <c r="X427" s="1"/>
      <c r="Y427" s="1"/>
      <c r="Z427" s="1"/>
    </row>
    <row r="428" spans="1:26" ht="13.5" customHeight="1">
      <c r="A428" s="1"/>
      <c r="B428" s="399"/>
      <c r="C428" s="412" t="s">
        <v>1189</v>
      </c>
      <c r="D428" s="1126" t="s">
        <v>1190</v>
      </c>
      <c r="E428" s="922"/>
      <c r="F428" s="922"/>
      <c r="G428" s="922"/>
      <c r="H428" s="922"/>
      <c r="I428" s="922"/>
      <c r="J428" s="922"/>
      <c r="K428" s="922"/>
      <c r="L428" s="922"/>
      <c r="M428" s="1"/>
      <c r="N428" s="413"/>
      <c r="O428" s="403"/>
      <c r="P428" s="1"/>
      <c r="Q428" s="1"/>
      <c r="R428" s="1"/>
      <c r="S428" s="1"/>
      <c r="T428" s="1"/>
      <c r="U428" s="1"/>
      <c r="V428" s="1"/>
      <c r="W428" s="1"/>
      <c r="X428" s="1"/>
      <c r="Y428" s="1"/>
      <c r="Z428" s="1"/>
    </row>
    <row r="429" spans="1:26" ht="13.5" customHeight="1">
      <c r="A429" s="1"/>
      <c r="B429" s="399"/>
      <c r="C429" s="415"/>
      <c r="D429" s="416"/>
      <c r="E429" s="416"/>
      <c r="F429" s="416"/>
      <c r="G429" s="416"/>
      <c r="H429" s="416"/>
      <c r="I429" s="416"/>
      <c r="J429" s="416"/>
      <c r="K429" s="416"/>
      <c r="L429" s="416"/>
      <c r="M429" s="416"/>
      <c r="N429" s="417"/>
      <c r="O429" s="402"/>
      <c r="P429" s="1"/>
      <c r="Q429" s="1"/>
      <c r="R429" s="1"/>
      <c r="S429" s="1"/>
      <c r="T429" s="1"/>
      <c r="U429" s="1"/>
      <c r="V429" s="1"/>
      <c r="W429" s="1"/>
      <c r="X429" s="1"/>
      <c r="Y429" s="1"/>
      <c r="Z429" s="1"/>
    </row>
    <row r="430" spans="1:26" ht="13.5" customHeight="1">
      <c r="A430" s="1"/>
      <c r="B430" s="399"/>
      <c r="C430" s="418"/>
      <c r="D430" s="39"/>
      <c r="E430" s="39"/>
      <c r="F430" s="39"/>
      <c r="G430" s="39"/>
      <c r="H430" s="39"/>
      <c r="I430" s="39"/>
      <c r="J430" s="39"/>
      <c r="K430" s="39"/>
      <c r="L430" s="39"/>
      <c r="M430" s="39"/>
      <c r="N430" s="40"/>
      <c r="O430" s="402"/>
      <c r="P430" s="1"/>
      <c r="Q430" s="1"/>
      <c r="R430" s="1"/>
      <c r="S430" s="1"/>
      <c r="T430" s="1"/>
      <c r="U430" s="1"/>
      <c r="V430" s="1"/>
      <c r="W430" s="1"/>
      <c r="X430" s="1"/>
      <c r="Y430" s="1"/>
      <c r="Z430" s="1"/>
    </row>
    <row r="431" spans="1:26" ht="13.5" customHeight="1">
      <c r="A431" s="1"/>
      <c r="B431" s="399"/>
      <c r="C431" s="925" t="s">
        <v>1191</v>
      </c>
      <c r="D431" s="926"/>
      <c r="E431" s="926"/>
      <c r="F431" s="926"/>
      <c r="G431" s="926"/>
      <c r="H431" s="926"/>
      <c r="I431" s="926"/>
      <c r="J431" s="926"/>
      <c r="K431" s="926"/>
      <c r="L431" s="926"/>
      <c r="M431" s="926"/>
      <c r="N431" s="927"/>
      <c r="O431" s="419"/>
      <c r="P431" s="1"/>
      <c r="Q431" s="1"/>
      <c r="R431" s="1"/>
      <c r="S431" s="1"/>
      <c r="T431" s="1"/>
      <c r="U431" s="1"/>
      <c r="V431" s="1"/>
      <c r="W431" s="1"/>
      <c r="X431" s="1"/>
      <c r="Y431" s="1"/>
      <c r="Z431" s="1"/>
    </row>
    <row r="432" spans="1:26" ht="13.5" customHeight="1">
      <c r="A432" s="1"/>
      <c r="B432" s="399"/>
      <c r="C432" s="418"/>
      <c r="D432" s="39"/>
      <c r="E432" s="39"/>
      <c r="F432" s="39"/>
      <c r="G432" s="39"/>
      <c r="H432" s="39"/>
      <c r="I432" s="39"/>
      <c r="J432" s="39"/>
      <c r="K432" s="39"/>
      <c r="L432" s="39"/>
      <c r="M432" s="39"/>
      <c r="N432" s="40"/>
      <c r="O432" s="402"/>
      <c r="P432" s="1"/>
      <c r="Q432" s="1"/>
      <c r="R432" s="1"/>
      <c r="S432" s="1"/>
      <c r="T432" s="1"/>
      <c r="U432" s="1"/>
      <c r="V432" s="1"/>
      <c r="W432" s="1"/>
      <c r="X432" s="1"/>
      <c r="Y432" s="1"/>
      <c r="Z432" s="1"/>
    </row>
    <row r="433" spans="1:26" ht="13.5" customHeight="1">
      <c r="A433" s="395"/>
      <c r="B433" s="399"/>
      <c r="C433" s="420" t="s">
        <v>965</v>
      </c>
      <c r="D433" s="1136" t="s">
        <v>17</v>
      </c>
      <c r="E433" s="1131"/>
      <c r="F433" s="1131"/>
      <c r="G433" s="1131"/>
      <c r="H433" s="1131"/>
      <c r="I433" s="1131"/>
      <c r="J433" s="1131"/>
      <c r="K433" s="1137"/>
      <c r="L433" s="1130" t="s">
        <v>1192</v>
      </c>
      <c r="M433" s="1137"/>
      <c r="N433" s="420" t="s">
        <v>950</v>
      </c>
      <c r="O433" s="419"/>
      <c r="P433" s="1"/>
      <c r="Q433" s="1"/>
      <c r="R433" s="1"/>
      <c r="S433" s="1"/>
      <c r="T433" s="1"/>
      <c r="U433" s="1"/>
      <c r="V433" s="1"/>
      <c r="W433" s="1"/>
      <c r="X433" s="1"/>
      <c r="Y433" s="1"/>
      <c r="Z433" s="1"/>
    </row>
    <row r="434" spans="1:26" ht="13.5" customHeight="1">
      <c r="A434" s="395"/>
      <c r="B434" s="421"/>
      <c r="C434" s="422" t="s">
        <v>1190</v>
      </c>
      <c r="D434" s="1151" t="s">
        <v>1244</v>
      </c>
      <c r="E434" s="979"/>
      <c r="F434" s="979"/>
      <c r="G434" s="979"/>
      <c r="H434" s="979"/>
      <c r="I434" s="979"/>
      <c r="J434" s="979"/>
      <c r="K434" s="980"/>
      <c r="L434" s="1138" t="s">
        <v>741</v>
      </c>
      <c r="M434" s="980"/>
      <c r="N434" s="423">
        <v>1</v>
      </c>
      <c r="O434" s="424"/>
      <c r="P434" s="1"/>
      <c r="Q434" s="1"/>
      <c r="R434" s="1"/>
      <c r="S434" s="1"/>
      <c r="T434" s="1"/>
      <c r="U434" s="1"/>
      <c r="V434" s="1"/>
      <c r="W434" s="1"/>
      <c r="X434" s="1"/>
      <c r="Y434" s="1"/>
      <c r="Z434" s="1"/>
    </row>
    <row r="435" spans="1:26" ht="13.5" customHeight="1">
      <c r="A435" s="395"/>
      <c r="B435" s="399"/>
      <c r="C435" s="1129" t="s">
        <v>1195</v>
      </c>
      <c r="D435" s="926"/>
      <c r="E435" s="926"/>
      <c r="F435" s="926"/>
      <c r="G435" s="926"/>
      <c r="H435" s="926"/>
      <c r="I435" s="926"/>
      <c r="J435" s="926"/>
      <c r="K435" s="926"/>
      <c r="L435" s="926"/>
      <c r="M435" s="926"/>
      <c r="N435" s="927"/>
      <c r="O435" s="426"/>
      <c r="P435" s="1"/>
      <c r="Q435" s="1"/>
      <c r="R435" s="1"/>
      <c r="S435" s="1"/>
      <c r="T435" s="1"/>
      <c r="U435" s="1"/>
      <c r="V435" s="1"/>
      <c r="W435" s="1"/>
      <c r="X435" s="1"/>
      <c r="Y435" s="1"/>
      <c r="Z435" s="1"/>
    </row>
    <row r="436" spans="1:26" ht="13.5" customHeight="1">
      <c r="A436" s="395"/>
      <c r="B436" s="399"/>
      <c r="C436" s="920"/>
      <c r="D436" s="922"/>
      <c r="E436" s="922"/>
      <c r="F436" s="922"/>
      <c r="G436" s="922"/>
      <c r="H436" s="922"/>
      <c r="I436" s="922"/>
      <c r="J436" s="922"/>
      <c r="K436" s="922"/>
      <c r="L436" s="922"/>
      <c r="M436" s="922"/>
      <c r="N436" s="924"/>
      <c r="O436" s="426"/>
      <c r="P436" s="1"/>
      <c r="Q436" s="1"/>
      <c r="R436" s="1"/>
      <c r="S436" s="1"/>
      <c r="T436" s="1"/>
      <c r="U436" s="1"/>
      <c r="V436" s="1"/>
      <c r="W436" s="1"/>
      <c r="X436" s="1"/>
      <c r="Y436" s="1"/>
      <c r="Z436" s="1"/>
    </row>
    <row r="437" spans="1:26" ht="13.5" customHeight="1">
      <c r="A437" s="395"/>
      <c r="B437" s="399"/>
      <c r="C437" s="929"/>
      <c r="D437" s="936"/>
      <c r="E437" s="936"/>
      <c r="F437" s="936"/>
      <c r="G437" s="936"/>
      <c r="H437" s="936"/>
      <c r="I437" s="936"/>
      <c r="J437" s="936"/>
      <c r="K437" s="936"/>
      <c r="L437" s="936"/>
      <c r="M437" s="936"/>
      <c r="N437" s="938"/>
      <c r="O437" s="426"/>
      <c r="P437" s="1"/>
      <c r="Q437" s="1"/>
      <c r="R437" s="1"/>
      <c r="S437" s="1"/>
      <c r="T437" s="1"/>
      <c r="U437" s="1"/>
      <c r="V437" s="1"/>
      <c r="W437" s="1"/>
      <c r="X437" s="1"/>
      <c r="Y437" s="1"/>
      <c r="Z437" s="1"/>
    </row>
    <row r="438" spans="1:26" ht="13.5" customHeight="1">
      <c r="A438" s="395"/>
      <c r="B438" s="399"/>
      <c r="C438" s="1130" t="s">
        <v>17</v>
      </c>
      <c r="D438" s="1131"/>
      <c r="E438" s="1131"/>
      <c r="F438" s="1000"/>
      <c r="G438" s="1135" t="s">
        <v>1196</v>
      </c>
      <c r="H438" s="1000"/>
      <c r="I438" s="1139" t="s">
        <v>1197</v>
      </c>
      <c r="J438" s="1140"/>
      <c r="K438" s="427" t="s">
        <v>1198</v>
      </c>
      <c r="L438" s="1135" t="s">
        <v>1199</v>
      </c>
      <c r="M438" s="1000"/>
      <c r="N438" s="428" t="s">
        <v>1200</v>
      </c>
      <c r="O438" s="419"/>
      <c r="P438" s="1"/>
      <c r="Q438" s="1"/>
      <c r="R438" s="1"/>
      <c r="S438" s="1"/>
      <c r="T438" s="1"/>
      <c r="U438" s="1"/>
      <c r="V438" s="1"/>
      <c r="W438" s="1"/>
      <c r="X438" s="1"/>
      <c r="Y438" s="1"/>
      <c r="Z438" s="1"/>
    </row>
    <row r="439" spans="1:26" ht="13.5" customHeight="1">
      <c r="A439" s="395"/>
      <c r="B439" s="399"/>
      <c r="C439" s="1128" t="s">
        <v>1201</v>
      </c>
      <c r="D439" s="940"/>
      <c r="E439" s="940"/>
      <c r="F439" s="941"/>
      <c r="G439" s="1142"/>
      <c r="H439" s="941"/>
      <c r="I439" s="1142"/>
      <c r="J439" s="941"/>
      <c r="K439" s="429"/>
      <c r="L439" s="1143">
        <v>0.1</v>
      </c>
      <c r="M439" s="941"/>
      <c r="N439" s="430">
        <f>+L439*N470</f>
        <v>11556.966666666669</v>
      </c>
      <c r="O439" s="431"/>
      <c r="P439" s="1"/>
      <c r="Q439" s="1"/>
      <c r="R439" s="1"/>
      <c r="S439" s="1"/>
      <c r="T439" s="1"/>
      <c r="U439" s="1"/>
      <c r="V439" s="1"/>
      <c r="W439" s="1"/>
      <c r="X439" s="1"/>
      <c r="Y439" s="1"/>
      <c r="Z439" s="1"/>
    </row>
    <row r="440" spans="1:26" ht="13.5" customHeight="1">
      <c r="A440" s="395" t="str">
        <f t="array" ref="A440">IF(C440&lt;&gt;0,INDEX(CodEquipos,MATCH(C440,Equipos,0),),)</f>
        <v>EQ-01</v>
      </c>
      <c r="B440" s="399"/>
      <c r="C440" s="1128" t="s">
        <v>271</v>
      </c>
      <c r="D440" s="940"/>
      <c r="E440" s="940"/>
      <c r="F440" s="941"/>
      <c r="G440" s="1142"/>
      <c r="H440" s="941"/>
      <c r="I440" s="1142"/>
      <c r="J440" s="941"/>
      <c r="K440" s="432">
        <f>IF($A440&gt;0,(VLOOKUP($A440,TablaEquipos,7,FALSE)),"")</f>
        <v>13833.75</v>
      </c>
      <c r="L440" s="1141">
        <f>+L465/8</f>
        <v>0.75</v>
      </c>
      <c r="M440" s="941"/>
      <c r="N440" s="430">
        <f t="shared" ref="N440:N442" si="23">IF(L440&gt;0,K440/L440,"")</f>
        <v>18445</v>
      </c>
      <c r="O440" s="431"/>
      <c r="P440" s="1"/>
      <c r="Q440" s="1"/>
      <c r="R440" s="1"/>
      <c r="S440" s="1"/>
      <c r="T440" s="1"/>
      <c r="U440" s="1"/>
      <c r="V440" s="1"/>
      <c r="W440" s="1"/>
      <c r="X440" s="1"/>
      <c r="Y440" s="1"/>
      <c r="Z440" s="1"/>
    </row>
    <row r="441" spans="1:26" ht="13.5" customHeight="1">
      <c r="A441" s="395">
        <f t="array" ref="A441">IF(C441&lt;&gt;0,INDEX(CodEquipos,MATCH(C441,Equipos,0),),)</f>
        <v>0</v>
      </c>
      <c r="B441" s="399"/>
      <c r="C441" s="1128"/>
      <c r="D441" s="940"/>
      <c r="E441" s="940"/>
      <c r="F441" s="941"/>
      <c r="G441" s="1142"/>
      <c r="H441" s="941"/>
      <c r="I441" s="1142"/>
      <c r="J441" s="941"/>
      <c r="K441" s="432" t="str">
        <f>IF($A441&gt;0,(VLOOKUP($A441,TablaEquipos,7,FALSE)),"")</f>
        <v/>
      </c>
      <c r="L441" s="1141"/>
      <c r="M441" s="941"/>
      <c r="N441" s="430" t="str">
        <f t="shared" si="23"/>
        <v/>
      </c>
      <c r="O441" s="431"/>
      <c r="P441" s="1"/>
      <c r="Q441" s="1"/>
      <c r="R441" s="1"/>
      <c r="S441" s="1"/>
      <c r="T441" s="1"/>
      <c r="U441" s="1"/>
      <c r="V441" s="1"/>
      <c r="W441" s="1"/>
      <c r="X441" s="1"/>
      <c r="Y441" s="1"/>
      <c r="Z441" s="1"/>
    </row>
    <row r="442" spans="1:26" ht="13.5" customHeight="1">
      <c r="A442" s="395">
        <f t="array" ref="A442">IF(C442&lt;&gt;0,INDEX(CodEquipos,MATCH(C442,Equipos,0),),)</f>
        <v>0</v>
      </c>
      <c r="B442" s="399"/>
      <c r="C442" s="1128"/>
      <c r="D442" s="940"/>
      <c r="E442" s="940"/>
      <c r="F442" s="941"/>
      <c r="G442" s="1144"/>
      <c r="H442" s="1145"/>
      <c r="I442" s="1142"/>
      <c r="J442" s="941"/>
      <c r="K442" s="432" t="str">
        <f>IF($A442&gt;0,(VLOOKUP($A442,TablaEquipos,7,FALSE)),"")</f>
        <v/>
      </c>
      <c r="L442" s="1141"/>
      <c r="M442" s="941"/>
      <c r="N442" s="430" t="str">
        <f t="shared" si="23"/>
        <v/>
      </c>
      <c r="O442" s="431"/>
      <c r="P442" s="1"/>
      <c r="Q442" s="1"/>
      <c r="R442" s="1"/>
      <c r="S442" s="1"/>
      <c r="T442" s="1"/>
      <c r="U442" s="1"/>
      <c r="V442" s="1"/>
      <c r="W442" s="1"/>
      <c r="X442" s="1"/>
      <c r="Y442" s="1"/>
      <c r="Z442" s="1"/>
    </row>
    <row r="443" spans="1:26" ht="13.5" customHeight="1">
      <c r="A443" s="395"/>
      <c r="B443" s="399"/>
      <c r="C443" s="1127" t="s">
        <v>1202</v>
      </c>
      <c r="D443" s="965"/>
      <c r="E443" s="965"/>
      <c r="F443" s="965"/>
      <c r="G443" s="965"/>
      <c r="H443" s="965"/>
      <c r="I443" s="965"/>
      <c r="J443" s="965"/>
      <c r="K443" s="965"/>
      <c r="L443" s="965"/>
      <c r="M443" s="966"/>
      <c r="N443" s="433">
        <f>+SUM(N439:N442)</f>
        <v>30001.966666666667</v>
      </c>
      <c r="O443" s="431"/>
      <c r="P443" s="1"/>
      <c r="Q443" s="1"/>
      <c r="R443" s="1"/>
      <c r="S443" s="1"/>
      <c r="T443" s="1"/>
      <c r="U443" s="1"/>
      <c r="V443" s="1"/>
      <c r="W443" s="1"/>
      <c r="X443" s="1"/>
      <c r="Y443" s="1"/>
      <c r="Z443" s="1"/>
    </row>
    <row r="444" spans="1:26" ht="13.5" customHeight="1">
      <c r="A444" s="395"/>
      <c r="B444" s="399"/>
      <c r="C444" s="1129" t="s">
        <v>1203</v>
      </c>
      <c r="D444" s="926"/>
      <c r="E444" s="926"/>
      <c r="F444" s="926"/>
      <c r="G444" s="926"/>
      <c r="H444" s="926"/>
      <c r="I444" s="926"/>
      <c r="J444" s="926"/>
      <c r="K444" s="926"/>
      <c r="L444" s="926"/>
      <c r="M444" s="926"/>
      <c r="N444" s="927"/>
      <c r="O444" s="426"/>
      <c r="P444" s="1"/>
      <c r="Q444" s="1"/>
      <c r="R444" s="1"/>
      <c r="S444" s="1"/>
      <c r="T444" s="1"/>
      <c r="U444" s="1"/>
      <c r="V444" s="1"/>
      <c r="W444" s="1"/>
      <c r="X444" s="1"/>
      <c r="Y444" s="1"/>
      <c r="Z444" s="1"/>
    </row>
    <row r="445" spans="1:26" ht="13.5" customHeight="1">
      <c r="A445" s="395"/>
      <c r="B445" s="399"/>
      <c r="C445" s="920"/>
      <c r="D445" s="922"/>
      <c r="E445" s="922"/>
      <c r="F445" s="922"/>
      <c r="G445" s="922"/>
      <c r="H445" s="922"/>
      <c r="I445" s="922"/>
      <c r="J445" s="922"/>
      <c r="K445" s="922"/>
      <c r="L445" s="922"/>
      <c r="M445" s="922"/>
      <c r="N445" s="924"/>
      <c r="O445" s="426"/>
      <c r="P445" s="1"/>
      <c r="Q445" s="1"/>
      <c r="R445" s="1"/>
      <c r="S445" s="1"/>
      <c r="T445" s="1"/>
      <c r="U445" s="1"/>
      <c r="V445" s="1"/>
      <c r="W445" s="1"/>
      <c r="X445" s="1"/>
      <c r="Y445" s="1"/>
      <c r="Z445" s="1"/>
    </row>
    <row r="446" spans="1:26" ht="13.5" customHeight="1">
      <c r="A446" s="395"/>
      <c r="B446" s="399"/>
      <c r="C446" s="929"/>
      <c r="D446" s="936"/>
      <c r="E446" s="936"/>
      <c r="F446" s="936"/>
      <c r="G446" s="936"/>
      <c r="H446" s="936"/>
      <c r="I446" s="936"/>
      <c r="J446" s="936"/>
      <c r="K446" s="936"/>
      <c r="L446" s="936"/>
      <c r="M446" s="936"/>
      <c r="N446" s="938"/>
      <c r="O446" s="426"/>
      <c r="P446" s="1"/>
      <c r="Q446" s="1"/>
      <c r="R446" s="1"/>
      <c r="S446" s="1"/>
      <c r="T446" s="1"/>
      <c r="U446" s="1"/>
      <c r="V446" s="1"/>
      <c r="W446" s="1"/>
      <c r="X446" s="1"/>
      <c r="Y446" s="1"/>
      <c r="Z446" s="1"/>
    </row>
    <row r="447" spans="1:26" ht="13.5" customHeight="1">
      <c r="A447" s="395"/>
      <c r="B447" s="399"/>
      <c r="C447" s="1130" t="s">
        <v>17</v>
      </c>
      <c r="D447" s="1131"/>
      <c r="E447" s="1131"/>
      <c r="F447" s="1131"/>
      <c r="G447" s="1131"/>
      <c r="H447" s="1131"/>
      <c r="I447" s="1000"/>
      <c r="J447" s="434" t="s">
        <v>1192</v>
      </c>
      <c r="K447" s="427" t="s">
        <v>950</v>
      </c>
      <c r="L447" s="1135" t="s">
        <v>1204</v>
      </c>
      <c r="M447" s="1000"/>
      <c r="N447" s="428" t="s">
        <v>1200</v>
      </c>
      <c r="O447" s="419"/>
      <c r="P447" s="1"/>
      <c r="Q447" s="1"/>
      <c r="R447" s="1"/>
      <c r="S447" s="1"/>
      <c r="T447" s="1"/>
      <c r="U447" s="1"/>
      <c r="V447" s="1"/>
      <c r="W447" s="1"/>
      <c r="X447" s="1"/>
      <c r="Y447" s="1"/>
      <c r="Z447" s="1"/>
    </row>
    <row r="448" spans="1:26" ht="13.5" customHeight="1">
      <c r="A448" s="395" t="str">
        <f t="array" ref="A448">IF(C448&lt;&gt;0,INDEX(CodMat,MATCH(C448,Materiales,0),),)</f>
        <v>MAT_C-01</v>
      </c>
      <c r="B448" s="399"/>
      <c r="C448" s="1128" t="s">
        <v>1205</v>
      </c>
      <c r="D448" s="940"/>
      <c r="E448" s="940"/>
      <c r="F448" s="940"/>
      <c r="G448" s="940"/>
      <c r="H448" s="940"/>
      <c r="I448" s="941"/>
      <c r="J448" s="435" t="str">
        <f>IF($A448&gt;0,(VLOOKUP($A448,TablaInsumos,5,FALSE)),"")</f>
        <v>LT</v>
      </c>
      <c r="K448" s="436">
        <v>170</v>
      </c>
      <c r="L448" s="1134">
        <f>IF($A448&gt;0,(VLOOKUP($A448,TablaInsumos,7,FALSE)),"")</f>
        <v>46</v>
      </c>
      <c r="M448" s="941"/>
      <c r="N448" s="430">
        <f t="shared" ref="N448:N452" si="24">IF(K448&gt;0,L448*K448,"")</f>
        <v>7820</v>
      </c>
      <c r="O448" s="431"/>
      <c r="P448" s="1"/>
      <c r="Q448" s="1"/>
      <c r="R448" s="1"/>
      <c r="S448" s="1"/>
      <c r="T448" s="1"/>
      <c r="U448" s="1"/>
      <c r="V448" s="1"/>
      <c r="W448" s="1"/>
      <c r="X448" s="1"/>
      <c r="Y448" s="1"/>
      <c r="Z448" s="1"/>
    </row>
    <row r="449" spans="1:26" ht="13.5" customHeight="1">
      <c r="A449" s="395" t="str">
        <f t="array" ref="A449">IF(C449&lt;&gt;0,INDEX(CodMat,MATCH(C449,Materiales,0),),)</f>
        <v>MAT_C-03</v>
      </c>
      <c r="B449" s="399"/>
      <c r="C449" s="1128" t="s">
        <v>1206</v>
      </c>
      <c r="D449" s="940"/>
      <c r="E449" s="940"/>
      <c r="F449" s="940"/>
      <c r="G449" s="940"/>
      <c r="H449" s="940"/>
      <c r="I449" s="941"/>
      <c r="J449" s="435" t="str">
        <f>IF($A449&gt;0,(VLOOKUP($A449,TablaInsumos,5,FALSE)),"")</f>
        <v>M3</v>
      </c>
      <c r="K449" s="436">
        <v>0.52</v>
      </c>
      <c r="L449" s="1134">
        <f>IF($A449&gt;0,(VLOOKUP($A449,TablaInsumos,7,FALSE)),"")</f>
        <v>86414</v>
      </c>
      <c r="M449" s="941"/>
      <c r="N449" s="430">
        <f t="shared" si="24"/>
        <v>44935.28</v>
      </c>
      <c r="O449" s="431"/>
      <c r="P449" s="1"/>
      <c r="Q449" s="1"/>
      <c r="R449" s="1"/>
      <c r="S449" s="1"/>
      <c r="T449" s="1"/>
      <c r="U449" s="1"/>
      <c r="V449" s="1"/>
      <c r="W449" s="1"/>
      <c r="X449" s="1"/>
      <c r="Y449" s="1"/>
      <c r="Z449" s="1"/>
    </row>
    <row r="450" spans="1:26" ht="13.5" customHeight="1">
      <c r="A450" s="395" t="str">
        <f t="array" ref="A450">IF(C450&lt;&gt;0,INDEX(CodMat,MATCH(C450,Materiales,0),),)</f>
        <v>MAT_C-45</v>
      </c>
      <c r="B450" s="399"/>
      <c r="C450" s="1128" t="s">
        <v>2526</v>
      </c>
      <c r="D450" s="940"/>
      <c r="E450" s="940"/>
      <c r="F450" s="940"/>
      <c r="G450" s="940"/>
      <c r="H450" s="940"/>
      <c r="I450" s="941"/>
      <c r="J450" s="435" t="str">
        <f>IF($A450&gt;0,(VLOOKUP($A450,TablaInsumos,5,FALSE)),"")</f>
        <v>M3</v>
      </c>
      <c r="K450" s="436">
        <v>0.9</v>
      </c>
      <c r="L450" s="1134">
        <f>IF($A450&gt;0,(VLOOKUP($A450,TablaInsumos,7,FALSE)),"")</f>
        <v>125000</v>
      </c>
      <c r="M450" s="941"/>
      <c r="N450" s="430">
        <f t="shared" si="24"/>
        <v>112500</v>
      </c>
      <c r="O450" s="431"/>
      <c r="P450" s="1"/>
      <c r="Q450" s="1"/>
      <c r="R450" s="1"/>
      <c r="S450" s="1"/>
      <c r="T450" s="1"/>
      <c r="U450" s="1"/>
      <c r="V450" s="1"/>
      <c r="W450" s="1"/>
      <c r="X450" s="1"/>
      <c r="Y450" s="1"/>
      <c r="Z450" s="1"/>
    </row>
    <row r="451" spans="1:26" ht="13.5" customHeight="1">
      <c r="A451" s="395" t="str">
        <f t="array" ref="A451">IF(C451&lt;&gt;0,INDEX(CodMat,MATCH(C451,Materiales,0),),)</f>
        <v>MAT_C-12</v>
      </c>
      <c r="B451" s="399"/>
      <c r="C451" s="1128" t="s">
        <v>1207</v>
      </c>
      <c r="D451" s="940"/>
      <c r="E451" s="940"/>
      <c r="F451" s="940"/>
      <c r="G451" s="940"/>
      <c r="H451" s="940"/>
      <c r="I451" s="941"/>
      <c r="J451" s="435" t="str">
        <f>IF($A451&gt;0,(VLOOKUP($A451,TablaInsumos,5,FALSE)),"")</f>
        <v>KG</v>
      </c>
      <c r="K451" s="436">
        <v>320</v>
      </c>
      <c r="L451" s="1134">
        <f>IF($A451&gt;0,(VLOOKUP($A451,TablaInsumos,7,FALSE)),"")</f>
        <v>1164</v>
      </c>
      <c r="M451" s="941"/>
      <c r="N451" s="430">
        <f t="shared" si="24"/>
        <v>372480</v>
      </c>
      <c r="O451" s="431"/>
      <c r="P451" s="1"/>
      <c r="Q451" s="1"/>
      <c r="R451" s="1"/>
      <c r="S451" s="1"/>
      <c r="T451" s="1"/>
      <c r="U451" s="1"/>
      <c r="V451" s="1"/>
      <c r="W451" s="1"/>
      <c r="X451" s="1"/>
      <c r="Y451" s="1"/>
      <c r="Z451" s="1"/>
    </row>
    <row r="452" spans="1:26" ht="13.5" customHeight="1">
      <c r="A452" s="395"/>
      <c r="B452" s="399"/>
      <c r="C452" s="1128" t="str">
        <f>IF($A452&gt;0,(VLOOKUP($A452,TablaInsumos,3,FALSE)),"")</f>
        <v/>
      </c>
      <c r="D452" s="940"/>
      <c r="E452" s="940"/>
      <c r="F452" s="940"/>
      <c r="G452" s="940"/>
      <c r="H452" s="940"/>
      <c r="I452" s="941"/>
      <c r="J452" s="435" t="str">
        <f>IF($A452&gt;0,(VLOOKUP($A452,TablaInsumos,5,FALSE)),"")</f>
        <v/>
      </c>
      <c r="K452" s="436"/>
      <c r="L452" s="1134" t="str">
        <f>IF($A452&gt;0,(VLOOKUP($A452,TablaInsumos,7,FALSE)),"")</f>
        <v/>
      </c>
      <c r="M452" s="941"/>
      <c r="N452" s="430" t="str">
        <f t="shared" si="24"/>
        <v/>
      </c>
      <c r="O452" s="431"/>
      <c r="P452" s="1"/>
      <c r="Q452" s="1"/>
      <c r="R452" s="1"/>
      <c r="S452" s="1"/>
      <c r="T452" s="1"/>
      <c r="U452" s="1"/>
      <c r="V452" s="1"/>
      <c r="W452" s="1"/>
      <c r="X452" s="1"/>
      <c r="Y452" s="1"/>
      <c r="Z452" s="1"/>
    </row>
    <row r="453" spans="1:26" ht="13.5" customHeight="1">
      <c r="A453" s="395"/>
      <c r="B453" s="399"/>
      <c r="C453" s="1127" t="s">
        <v>1202</v>
      </c>
      <c r="D453" s="965"/>
      <c r="E453" s="965"/>
      <c r="F453" s="965"/>
      <c r="G453" s="965"/>
      <c r="H453" s="965"/>
      <c r="I453" s="965"/>
      <c r="J453" s="965"/>
      <c r="K453" s="965"/>
      <c r="L453" s="965"/>
      <c r="M453" s="966"/>
      <c r="N453" s="433">
        <f>+SUM(N448:N452)</f>
        <v>537735.28</v>
      </c>
      <c r="O453" s="431"/>
      <c r="P453" s="1"/>
      <c r="Q453" s="1"/>
      <c r="R453" s="1"/>
      <c r="S453" s="1"/>
      <c r="T453" s="1"/>
      <c r="U453" s="1"/>
      <c r="V453" s="1"/>
      <c r="W453" s="1"/>
      <c r="X453" s="1"/>
      <c r="Y453" s="1"/>
      <c r="Z453" s="1"/>
    </row>
    <row r="454" spans="1:26" ht="13.5" customHeight="1">
      <c r="A454" s="395"/>
      <c r="B454" s="399"/>
      <c r="C454" s="1129" t="s">
        <v>1208</v>
      </c>
      <c r="D454" s="926"/>
      <c r="E454" s="926"/>
      <c r="F454" s="926"/>
      <c r="G454" s="926"/>
      <c r="H454" s="926"/>
      <c r="I454" s="926"/>
      <c r="J454" s="926"/>
      <c r="K454" s="926"/>
      <c r="L454" s="926"/>
      <c r="M454" s="926"/>
      <c r="N454" s="927"/>
      <c r="O454" s="426"/>
      <c r="P454" s="1"/>
      <c r="Q454" s="1"/>
      <c r="R454" s="1"/>
      <c r="S454" s="1"/>
      <c r="T454" s="1"/>
      <c r="U454" s="1"/>
      <c r="V454" s="1"/>
      <c r="W454" s="1"/>
      <c r="X454" s="1"/>
      <c r="Y454" s="1"/>
      <c r="Z454" s="1"/>
    </row>
    <row r="455" spans="1:26" ht="13.5" customHeight="1">
      <c r="A455" s="395"/>
      <c r="B455" s="399"/>
      <c r="C455" s="920"/>
      <c r="D455" s="922"/>
      <c r="E455" s="922"/>
      <c r="F455" s="922"/>
      <c r="G455" s="922"/>
      <c r="H455" s="922"/>
      <c r="I455" s="922"/>
      <c r="J455" s="922"/>
      <c r="K455" s="922"/>
      <c r="L455" s="922"/>
      <c r="M455" s="922"/>
      <c r="N455" s="924"/>
      <c r="O455" s="426"/>
      <c r="P455" s="1"/>
      <c r="Q455" s="1"/>
      <c r="R455" s="1"/>
      <c r="S455" s="1"/>
      <c r="T455" s="1"/>
      <c r="U455" s="1"/>
      <c r="V455" s="1"/>
      <c r="W455" s="1"/>
      <c r="X455" s="1"/>
      <c r="Y455" s="1"/>
      <c r="Z455" s="1"/>
    </row>
    <row r="456" spans="1:26" ht="13.5" customHeight="1">
      <c r="A456" s="395"/>
      <c r="B456" s="399"/>
      <c r="C456" s="929"/>
      <c r="D456" s="936"/>
      <c r="E456" s="936"/>
      <c r="F456" s="936"/>
      <c r="G456" s="936"/>
      <c r="H456" s="936"/>
      <c r="I456" s="936"/>
      <c r="J456" s="936"/>
      <c r="K456" s="936"/>
      <c r="L456" s="936"/>
      <c r="M456" s="936"/>
      <c r="N456" s="938"/>
      <c r="O456" s="426"/>
      <c r="P456" s="1"/>
      <c r="Q456" s="1"/>
      <c r="R456" s="1"/>
      <c r="S456" s="1"/>
      <c r="T456" s="1"/>
      <c r="U456" s="1"/>
      <c r="V456" s="1"/>
      <c r="W456" s="1"/>
      <c r="X456" s="1"/>
      <c r="Y456" s="1"/>
      <c r="Z456" s="1"/>
    </row>
    <row r="457" spans="1:26" ht="13.5" customHeight="1">
      <c r="A457" s="395"/>
      <c r="B457" s="399"/>
      <c r="C457" s="1130" t="s">
        <v>1209</v>
      </c>
      <c r="D457" s="1131"/>
      <c r="E457" s="1131"/>
      <c r="F457" s="1131"/>
      <c r="G457" s="1131"/>
      <c r="H457" s="1132"/>
      <c r="I457" s="427" t="s">
        <v>1210</v>
      </c>
      <c r="J457" s="438" t="s">
        <v>1211</v>
      </c>
      <c r="K457" s="439" t="s">
        <v>1245</v>
      </c>
      <c r="L457" s="1135" t="s">
        <v>1213</v>
      </c>
      <c r="M457" s="1000"/>
      <c r="N457" s="428" t="s">
        <v>1200</v>
      </c>
      <c r="O457" s="419"/>
      <c r="P457" s="1"/>
      <c r="Q457" s="1"/>
      <c r="R457" s="1"/>
      <c r="S457" s="1"/>
      <c r="T457" s="1"/>
      <c r="U457" s="1"/>
      <c r="V457" s="1"/>
      <c r="W457" s="1"/>
      <c r="X457" s="1"/>
      <c r="Y457" s="1"/>
      <c r="Z457" s="1"/>
    </row>
    <row r="458" spans="1:26" ht="13.5" customHeight="1">
      <c r="A458" s="395" t="str">
        <f t="array" ref="A458">IF(C458&lt;&gt;0,INDEX(CodTransporte,MATCH(C458,Transporte,0),),)</f>
        <v>T-03</v>
      </c>
      <c r="B458" s="399"/>
      <c r="C458" s="1128" t="s">
        <v>859</v>
      </c>
      <c r="D458" s="940"/>
      <c r="E458" s="940"/>
      <c r="F458" s="940"/>
      <c r="G458" s="940"/>
      <c r="H458" s="940"/>
      <c r="I458" s="440">
        <f>+K449+K450</f>
        <v>1.42</v>
      </c>
      <c r="J458" s="441">
        <f>IF($A458&gt;0,(VLOOKUP($A458,TablaTransporte,6,FALSE)),"")</f>
        <v>50.849999999999994</v>
      </c>
      <c r="K458" s="442" t="str">
        <f>IF($A458&gt;0,(VLOOKUP($A458,TablaTransporte,5,FALSE)),"")</f>
        <v>M3-KM</v>
      </c>
      <c r="L458" s="1134">
        <f>IF($A458&gt;0,(VLOOKUP($A458,TablaTransporte,7,FALSE)),"")</f>
        <v>2332.3500491642089</v>
      </c>
      <c r="M458" s="941"/>
      <c r="N458" s="430">
        <f t="shared" ref="N458:N459" si="25">IF(I458&gt;0,J458*L458*I458,"")</f>
        <v>168412</v>
      </c>
      <c r="O458" s="431"/>
      <c r="P458" s="1"/>
      <c r="Q458" s="1"/>
      <c r="R458" s="1"/>
      <c r="S458" s="1"/>
      <c r="T458" s="1"/>
      <c r="U458" s="1"/>
      <c r="V458" s="1"/>
      <c r="W458" s="1"/>
      <c r="X458" s="1"/>
      <c r="Y458" s="1"/>
      <c r="Z458" s="1"/>
    </row>
    <row r="459" spans="1:26" ht="13.5" customHeight="1">
      <c r="A459" s="395" t="str">
        <f t="array" ref="A459">IF(C459&lt;&gt;0,INDEX(CodTransporte,MATCH(C459,Transporte,0),),)</f>
        <v>T-02</v>
      </c>
      <c r="B459" s="399"/>
      <c r="C459" s="1128" t="s">
        <v>857</v>
      </c>
      <c r="D459" s="940"/>
      <c r="E459" s="940"/>
      <c r="F459" s="940"/>
      <c r="G459" s="940"/>
      <c r="H459" s="940"/>
      <c r="I459" s="440">
        <f>+(K451/50)*0.035</f>
        <v>0.22400000000000003</v>
      </c>
      <c r="J459" s="441">
        <f>IF($A459&gt;0,(VLOOKUP($A459,TablaTransporte,6,FALSE)),"")</f>
        <v>50.849999999999994</v>
      </c>
      <c r="K459" s="442" t="str">
        <f>IF($A459&gt;0,(VLOOKUP($A459,TablaTransporte,5,FALSE)),"")</f>
        <v>M3-KM</v>
      </c>
      <c r="L459" s="1134">
        <f>IF($A459&gt;0,(VLOOKUP($A459,TablaTransporte,7,FALSE)),"")</f>
        <v>2332.3500491642089</v>
      </c>
      <c r="M459" s="941"/>
      <c r="N459" s="430">
        <f t="shared" si="25"/>
        <v>26566.400000000009</v>
      </c>
      <c r="O459" s="431"/>
      <c r="P459" s="1"/>
      <c r="Q459" s="1"/>
      <c r="R459" s="1"/>
      <c r="S459" s="1"/>
      <c r="T459" s="1"/>
      <c r="U459" s="1"/>
      <c r="V459" s="1"/>
      <c r="W459" s="1"/>
      <c r="X459" s="1"/>
      <c r="Y459" s="1"/>
      <c r="Z459" s="1"/>
    </row>
    <row r="460" spans="1:26" ht="13.5" customHeight="1">
      <c r="A460" s="395"/>
      <c r="B460" s="399"/>
      <c r="C460" s="1127" t="s">
        <v>1202</v>
      </c>
      <c r="D460" s="965"/>
      <c r="E460" s="965"/>
      <c r="F460" s="965"/>
      <c r="G460" s="965"/>
      <c r="H460" s="965"/>
      <c r="I460" s="965"/>
      <c r="J460" s="965"/>
      <c r="K460" s="965"/>
      <c r="L460" s="965"/>
      <c r="M460" s="966"/>
      <c r="N460" s="433">
        <f>+SUM(N458:N459)</f>
        <v>194978.40000000002</v>
      </c>
      <c r="O460" s="431"/>
      <c r="P460" s="1"/>
      <c r="Q460" s="1"/>
      <c r="R460" s="1"/>
      <c r="S460" s="1"/>
      <c r="T460" s="1"/>
      <c r="U460" s="1"/>
      <c r="V460" s="1"/>
      <c r="W460" s="1"/>
      <c r="X460" s="1"/>
      <c r="Y460" s="1"/>
      <c r="Z460" s="1"/>
    </row>
    <row r="461" spans="1:26" ht="13.5" customHeight="1">
      <c r="A461" s="395"/>
      <c r="B461" s="399"/>
      <c r="C461" s="1129" t="s">
        <v>1214</v>
      </c>
      <c r="D461" s="926"/>
      <c r="E461" s="926"/>
      <c r="F461" s="926"/>
      <c r="G461" s="926"/>
      <c r="H461" s="926"/>
      <c r="I461" s="926"/>
      <c r="J461" s="926"/>
      <c r="K461" s="926"/>
      <c r="L461" s="926"/>
      <c r="M461" s="926"/>
      <c r="N461" s="927"/>
      <c r="O461" s="426"/>
      <c r="P461" s="1"/>
      <c r="Q461" s="1"/>
      <c r="R461" s="1"/>
      <c r="S461" s="1"/>
      <c r="T461" s="1"/>
      <c r="U461" s="1"/>
      <c r="V461" s="1"/>
      <c r="W461" s="1"/>
      <c r="X461" s="1"/>
      <c r="Y461" s="1"/>
      <c r="Z461" s="1"/>
    </row>
    <row r="462" spans="1:26" ht="13.5" customHeight="1">
      <c r="A462" s="395"/>
      <c r="B462" s="399"/>
      <c r="C462" s="920"/>
      <c r="D462" s="922"/>
      <c r="E462" s="922"/>
      <c r="F462" s="922"/>
      <c r="G462" s="922"/>
      <c r="H462" s="922"/>
      <c r="I462" s="922"/>
      <c r="J462" s="922"/>
      <c r="K462" s="922"/>
      <c r="L462" s="922"/>
      <c r="M462" s="922"/>
      <c r="N462" s="924"/>
      <c r="O462" s="426"/>
      <c r="P462" s="1"/>
      <c r="Q462" s="1"/>
      <c r="R462" s="1"/>
      <c r="S462" s="1"/>
      <c r="T462" s="1"/>
      <c r="U462" s="1"/>
      <c r="V462" s="1"/>
      <c r="W462" s="1"/>
      <c r="X462" s="1"/>
      <c r="Y462" s="1"/>
      <c r="Z462" s="1"/>
    </row>
    <row r="463" spans="1:26" ht="13.5" customHeight="1">
      <c r="A463" s="395"/>
      <c r="B463" s="399"/>
      <c r="C463" s="929"/>
      <c r="D463" s="936"/>
      <c r="E463" s="936"/>
      <c r="F463" s="936"/>
      <c r="G463" s="936"/>
      <c r="H463" s="936"/>
      <c r="I463" s="936"/>
      <c r="J463" s="936"/>
      <c r="K463" s="936"/>
      <c r="L463" s="936"/>
      <c r="M463" s="936"/>
      <c r="N463" s="938"/>
      <c r="O463" s="426"/>
      <c r="P463" s="1"/>
      <c r="Q463" s="1"/>
      <c r="R463" s="1"/>
      <c r="S463" s="1"/>
      <c r="T463" s="1"/>
      <c r="U463" s="1"/>
      <c r="V463" s="1"/>
      <c r="W463" s="1"/>
      <c r="X463" s="1"/>
      <c r="Y463" s="1"/>
      <c r="Z463" s="1"/>
    </row>
    <row r="464" spans="1:26" ht="13.5" customHeight="1">
      <c r="A464" s="395"/>
      <c r="B464" s="399"/>
      <c r="C464" s="1130" t="s">
        <v>1215</v>
      </c>
      <c r="D464" s="1131"/>
      <c r="E464" s="1131"/>
      <c r="F464" s="1131"/>
      <c r="G464" s="1131"/>
      <c r="H464" s="1132"/>
      <c r="I464" s="427" t="s">
        <v>1216</v>
      </c>
      <c r="J464" s="443" t="s">
        <v>1217</v>
      </c>
      <c r="K464" s="444" t="s">
        <v>1218</v>
      </c>
      <c r="L464" s="1133" t="s">
        <v>1199</v>
      </c>
      <c r="M464" s="1000"/>
      <c r="N464" s="445" t="s">
        <v>1200</v>
      </c>
      <c r="O464" s="446"/>
      <c r="P464" s="1"/>
      <c r="Q464" s="1"/>
      <c r="R464" s="1"/>
      <c r="S464" s="1"/>
      <c r="T464" s="1"/>
      <c r="U464" s="1"/>
      <c r="V464" s="1"/>
      <c r="W464" s="1"/>
      <c r="X464" s="1"/>
      <c r="Y464" s="1"/>
      <c r="Z464" s="1"/>
    </row>
    <row r="465" spans="1:26" ht="13.5" customHeight="1">
      <c r="A465" s="395" t="str">
        <f t="array" ref="A465">IF(C465&lt;&gt;0,INDEX(CodMO,MATCH(C465,MO,0),),)</f>
        <v>M.O-05</v>
      </c>
      <c r="B465" s="399"/>
      <c r="C465" s="1128" t="s">
        <v>139</v>
      </c>
      <c r="D465" s="940"/>
      <c r="E465" s="940"/>
      <c r="F465" s="940"/>
      <c r="G465" s="940"/>
      <c r="H465" s="940"/>
      <c r="I465" s="447">
        <f>IF($A465&gt;0,(VLOOKUP($A465,TablaMO,8,FALSE)),"")</f>
        <v>125030.16666666667</v>
      </c>
      <c r="J465" s="448">
        <f>IF($A465&gt;0,(VLOOKUP($A465,TablaMO,10,FALSE)),"")</f>
        <v>0.67071666666666663</v>
      </c>
      <c r="K465" s="447">
        <f>IF($A465&gt;0,(VLOOKUP($A465,TablaMO,11,FALSE)),"")</f>
        <v>208890</v>
      </c>
      <c r="L465" s="1146">
        <v>6</v>
      </c>
      <c r="M465" s="941"/>
      <c r="N465" s="430">
        <f t="shared" ref="N465:N469" si="26">IF(L465&gt;0,K465/L465,"")</f>
        <v>34815</v>
      </c>
      <c r="O465" s="449"/>
      <c r="P465" s="1"/>
      <c r="Q465" s="1"/>
      <c r="R465" s="1"/>
      <c r="S465" s="1"/>
      <c r="T465" s="1"/>
      <c r="U465" s="1"/>
      <c r="V465" s="1"/>
      <c r="W465" s="1"/>
      <c r="X465" s="1"/>
      <c r="Y465" s="1"/>
      <c r="Z465" s="1"/>
    </row>
    <row r="466" spans="1:26" ht="13.5" customHeight="1">
      <c r="A466" s="395" t="str">
        <f t="array" ref="A466">IF(C466&lt;&gt;0,INDEX(CodMO,MATCH(C466,MO,0),),)</f>
        <v>M.O-01</v>
      </c>
      <c r="B466" s="399"/>
      <c r="C466" s="1128" t="s">
        <v>130</v>
      </c>
      <c r="D466" s="940"/>
      <c r="E466" s="940"/>
      <c r="F466" s="940"/>
      <c r="G466" s="940"/>
      <c r="H466" s="940"/>
      <c r="I466" s="447">
        <f>IF($A466&gt;0,(VLOOKUP($A466,TablaMO,8,FALSE)),"")</f>
        <v>72503.016666666677</v>
      </c>
      <c r="J466" s="448">
        <f>IF($A466&gt;0,(VLOOKUP($A466,TablaMO,10,FALSE)),"")</f>
        <v>0.67071666666666663</v>
      </c>
      <c r="K466" s="447">
        <f>IF($A466&gt;0,(VLOOKUP($A466,TablaMO,11,FALSE)),"")</f>
        <v>121132</v>
      </c>
      <c r="L466" s="1146">
        <f>L465</f>
        <v>6</v>
      </c>
      <c r="M466" s="941"/>
      <c r="N466" s="430">
        <f t="shared" si="26"/>
        <v>20188.666666666668</v>
      </c>
      <c r="O466" s="449"/>
      <c r="P466" s="1"/>
      <c r="Q466" s="1"/>
      <c r="R466" s="1"/>
      <c r="S466" s="1"/>
      <c r="T466" s="1"/>
      <c r="U466" s="1"/>
      <c r="V466" s="1"/>
      <c r="W466" s="1"/>
      <c r="X466" s="1"/>
      <c r="Y466" s="1"/>
      <c r="Z466" s="1"/>
    </row>
    <row r="467" spans="1:26" ht="13.5" customHeight="1">
      <c r="A467" s="395" t="str">
        <f t="array" ref="A467">IF(C467&lt;&gt;0,INDEX(CodMO,MATCH(C467,MO,0),),)</f>
        <v>M.O-02</v>
      </c>
      <c r="B467" s="399"/>
      <c r="C467" s="1128" t="s">
        <v>133</v>
      </c>
      <c r="D467" s="940"/>
      <c r="E467" s="940"/>
      <c r="F467" s="940"/>
      <c r="G467" s="940"/>
      <c r="H467" s="940"/>
      <c r="I467" s="447">
        <f>IF($A467&gt;0,(VLOOKUP($A467,TablaMO,8,FALSE)),"")</f>
        <v>72503.016666666677</v>
      </c>
      <c r="J467" s="448">
        <f>IF($A467&gt;0,(VLOOKUP($A467,TablaMO,10,FALSE)),"")</f>
        <v>0.67071666666666663</v>
      </c>
      <c r="K467" s="447">
        <f>IF($A467&gt;0,(VLOOKUP($A467,TablaMO,11,FALSE)),"")</f>
        <v>121132</v>
      </c>
      <c r="L467" s="1146">
        <f t="shared" ref="L467:L468" si="27">L465</f>
        <v>6</v>
      </c>
      <c r="M467" s="941"/>
      <c r="N467" s="430">
        <f t="shared" si="26"/>
        <v>20188.666666666668</v>
      </c>
      <c r="O467" s="449"/>
      <c r="P467" s="1"/>
      <c r="Q467" s="1"/>
      <c r="R467" s="1"/>
      <c r="S467" s="1"/>
      <c r="T467" s="1"/>
      <c r="U467" s="1"/>
      <c r="V467" s="1"/>
      <c r="W467" s="1"/>
      <c r="X467" s="1"/>
      <c r="Y467" s="1"/>
      <c r="Z467" s="1"/>
    </row>
    <row r="468" spans="1:26" ht="13.5" customHeight="1">
      <c r="A468" s="395" t="str">
        <f t="array" ref="A468">IF(C468&lt;&gt;0,INDEX(CodMO,MATCH(C468,MO,0),),)</f>
        <v>M.O-03</v>
      </c>
      <c r="B468" s="399"/>
      <c r="C468" s="1128" t="s">
        <v>135</v>
      </c>
      <c r="D468" s="940"/>
      <c r="E468" s="940"/>
      <c r="F468" s="940"/>
      <c r="G468" s="940"/>
      <c r="H468" s="940"/>
      <c r="I468" s="447">
        <f>IF($A468&gt;0,(VLOOKUP($A468,TablaMO,8,FALSE)),"")</f>
        <v>72503.016666666677</v>
      </c>
      <c r="J468" s="448">
        <f>IF($A468&gt;0,(VLOOKUP($A468,TablaMO,10,FALSE)),"")</f>
        <v>0.67071666666666663</v>
      </c>
      <c r="K468" s="447">
        <f>IF($A468&gt;0,(VLOOKUP($A468,TablaMO,11,FALSE)),"")</f>
        <v>121132</v>
      </c>
      <c r="L468" s="1146">
        <f t="shared" si="27"/>
        <v>6</v>
      </c>
      <c r="M468" s="941"/>
      <c r="N468" s="430">
        <f t="shared" si="26"/>
        <v>20188.666666666668</v>
      </c>
      <c r="O468" s="449"/>
      <c r="P468" s="1"/>
      <c r="Q468" s="1"/>
      <c r="R468" s="1"/>
      <c r="S468" s="1"/>
      <c r="T468" s="1"/>
      <c r="U468" s="1"/>
      <c r="V468" s="1"/>
      <c r="W468" s="1"/>
      <c r="X468" s="1"/>
      <c r="Y468" s="1"/>
      <c r="Z468" s="1"/>
    </row>
    <row r="469" spans="1:26" ht="13.5" customHeight="1">
      <c r="A469" s="395" t="str">
        <f t="array" ref="A469">IF(C469&lt;&gt;0,INDEX(CodMO,MATCH(C469,MO,0),),)</f>
        <v>M.O-04</v>
      </c>
      <c r="B469" s="399"/>
      <c r="C469" s="1152" t="s">
        <v>137</v>
      </c>
      <c r="D469" s="945"/>
      <c r="E469" s="945"/>
      <c r="F469" s="945"/>
      <c r="G469" s="945"/>
      <c r="H469" s="945"/>
      <c r="I469" s="474">
        <f>IF($A469&gt;0,(VLOOKUP($A469,TablaMO,8,FALSE)),"")</f>
        <v>72503.016666666677</v>
      </c>
      <c r="J469" s="475">
        <f>IF($A469&gt;0,(VLOOKUP($A469,TablaMO,10,FALSE)),"")</f>
        <v>0.67071666666666663</v>
      </c>
      <c r="K469" s="474">
        <f>IF($A469&gt;0,(VLOOKUP($A469,TablaMO,11,FALSE)),"")</f>
        <v>121132</v>
      </c>
      <c r="L469" s="1153">
        <f>L465</f>
        <v>6</v>
      </c>
      <c r="M469" s="1039"/>
      <c r="N469" s="430">
        <f t="shared" si="26"/>
        <v>20188.666666666668</v>
      </c>
      <c r="O469" s="449"/>
      <c r="P469" s="1"/>
      <c r="Q469" s="1"/>
      <c r="R469" s="1"/>
      <c r="S469" s="1"/>
      <c r="T469" s="1"/>
      <c r="U469" s="1"/>
      <c r="V469" s="1"/>
      <c r="W469" s="1"/>
      <c r="X469" s="1"/>
      <c r="Y469" s="1"/>
      <c r="Z469" s="1"/>
    </row>
    <row r="470" spans="1:26" ht="13.5" customHeight="1">
      <c r="A470" s="395"/>
      <c r="B470" s="399"/>
      <c r="C470" s="1127" t="s">
        <v>1202</v>
      </c>
      <c r="D470" s="965"/>
      <c r="E470" s="965"/>
      <c r="F470" s="965"/>
      <c r="G470" s="965"/>
      <c r="H470" s="965"/>
      <c r="I470" s="965"/>
      <c r="J470" s="965"/>
      <c r="K470" s="965"/>
      <c r="L470" s="965"/>
      <c r="M470" s="966"/>
      <c r="N470" s="476">
        <f>+SUM(N465:N469)</f>
        <v>115569.66666666669</v>
      </c>
      <c r="O470" s="431"/>
      <c r="P470" s="1"/>
      <c r="Q470" s="1"/>
      <c r="R470" s="1"/>
      <c r="S470" s="1"/>
      <c r="T470" s="1"/>
      <c r="U470" s="1"/>
      <c r="V470" s="1"/>
      <c r="W470" s="1"/>
      <c r="X470" s="1"/>
      <c r="Y470" s="1"/>
      <c r="Z470" s="1"/>
    </row>
    <row r="471" spans="1:26" ht="13.5" customHeight="1">
      <c r="A471" s="395"/>
      <c r="B471" s="399"/>
      <c r="C471" s="418"/>
      <c r="D471" s="39"/>
      <c r="E471" s="39"/>
      <c r="F471" s="39"/>
      <c r="G471" s="39"/>
      <c r="H471" s="39"/>
      <c r="I471" s="39"/>
      <c r="J471" s="39"/>
      <c r="K471" s="39"/>
      <c r="L471" s="39"/>
      <c r="M471" s="39"/>
      <c r="N471" s="40"/>
      <c r="O471" s="402"/>
      <c r="P471" s="1"/>
      <c r="Q471" s="1"/>
      <c r="R471" s="1"/>
      <c r="S471" s="1"/>
      <c r="T471" s="1"/>
      <c r="U471" s="1"/>
      <c r="V471" s="1"/>
      <c r="W471" s="1"/>
      <c r="X471" s="1"/>
      <c r="Y471" s="1"/>
      <c r="Z471" s="1"/>
    </row>
    <row r="472" spans="1:26" ht="13.5" customHeight="1">
      <c r="A472" s="395"/>
      <c r="B472" s="399"/>
      <c r="C472" s="1147" t="s">
        <v>1219</v>
      </c>
      <c r="D472" s="965"/>
      <c r="E472" s="965"/>
      <c r="F472" s="965"/>
      <c r="G472" s="965"/>
      <c r="H472" s="965"/>
      <c r="I472" s="965"/>
      <c r="J472" s="965"/>
      <c r="K472" s="965"/>
      <c r="L472" s="965"/>
      <c r="M472" s="966"/>
      <c r="N472" s="450">
        <f>+SUM(N470,N460,N453,N443)</f>
        <v>878285.31333333335</v>
      </c>
      <c r="O472" s="451"/>
      <c r="P472" s="1"/>
      <c r="Q472" s="1"/>
      <c r="R472" s="1"/>
      <c r="S472" s="1"/>
      <c r="T472" s="1"/>
      <c r="U472" s="1"/>
      <c r="V472" s="1"/>
      <c r="W472" s="1"/>
      <c r="X472" s="1"/>
      <c r="Y472" s="1"/>
      <c r="Z472" s="1"/>
    </row>
    <row r="473" spans="1:26" ht="13.5" customHeight="1">
      <c r="A473" s="395"/>
      <c r="B473" s="399"/>
      <c r="C473" s="1129" t="s">
        <v>1220</v>
      </c>
      <c r="D473" s="926"/>
      <c r="E473" s="926"/>
      <c r="F473" s="926"/>
      <c r="G473" s="926"/>
      <c r="H473" s="926"/>
      <c r="I473" s="926"/>
      <c r="J473" s="926"/>
      <c r="K473" s="926"/>
      <c r="L473" s="926"/>
      <c r="M473" s="926"/>
      <c r="N473" s="927"/>
      <c r="O473" s="426"/>
      <c r="P473" s="1"/>
      <c r="Q473" s="1"/>
      <c r="R473" s="1"/>
      <c r="S473" s="1"/>
      <c r="T473" s="1"/>
      <c r="U473" s="1"/>
      <c r="V473" s="1"/>
      <c r="W473" s="1"/>
      <c r="X473" s="1"/>
      <c r="Y473" s="1"/>
      <c r="Z473" s="1"/>
    </row>
    <row r="474" spans="1:26" ht="13.5" customHeight="1">
      <c r="A474" s="395"/>
      <c r="B474" s="399"/>
      <c r="C474" s="920"/>
      <c r="D474" s="922"/>
      <c r="E474" s="922"/>
      <c r="F474" s="922"/>
      <c r="G474" s="922"/>
      <c r="H474" s="922"/>
      <c r="I474" s="922"/>
      <c r="J474" s="922"/>
      <c r="K474" s="922"/>
      <c r="L474" s="922"/>
      <c r="M474" s="922"/>
      <c r="N474" s="924"/>
      <c r="O474" s="426"/>
      <c r="P474" s="1"/>
      <c r="Q474" s="1"/>
      <c r="R474" s="1"/>
      <c r="S474" s="1"/>
      <c r="T474" s="1"/>
      <c r="U474" s="1"/>
      <c r="V474" s="1"/>
      <c r="W474" s="1"/>
      <c r="X474" s="1"/>
      <c r="Y474" s="1"/>
      <c r="Z474" s="1"/>
    </row>
    <row r="475" spans="1:26" ht="13.5" customHeight="1">
      <c r="A475" s="395"/>
      <c r="B475" s="399"/>
      <c r="C475" s="929"/>
      <c r="D475" s="936"/>
      <c r="E475" s="936"/>
      <c r="F475" s="936"/>
      <c r="G475" s="936"/>
      <c r="H475" s="936"/>
      <c r="I475" s="936"/>
      <c r="J475" s="936"/>
      <c r="K475" s="936"/>
      <c r="L475" s="936"/>
      <c r="M475" s="936"/>
      <c r="N475" s="938"/>
      <c r="O475" s="426"/>
      <c r="P475" s="1"/>
      <c r="Q475" s="1"/>
      <c r="R475" s="1"/>
      <c r="S475" s="1"/>
      <c r="T475" s="1"/>
      <c r="U475" s="1"/>
      <c r="V475" s="1"/>
      <c r="W475" s="1"/>
      <c r="X475" s="1"/>
      <c r="Y475" s="1"/>
      <c r="Z475" s="1"/>
    </row>
    <row r="476" spans="1:26" ht="13.5" customHeight="1">
      <c r="A476" s="395"/>
      <c r="B476" s="399"/>
      <c r="C476" s="1130" t="s">
        <v>1221</v>
      </c>
      <c r="D476" s="1131"/>
      <c r="E476" s="1131"/>
      <c r="F476" s="1131"/>
      <c r="G476" s="1131"/>
      <c r="H476" s="1132"/>
      <c r="I476" s="438"/>
      <c r="J476" s="438"/>
      <c r="K476" s="438"/>
      <c r="L476" s="1133" t="s">
        <v>1222</v>
      </c>
      <c r="M476" s="1000"/>
      <c r="N476" s="445" t="s">
        <v>1223</v>
      </c>
      <c r="O476" s="446"/>
      <c r="P476" s="1"/>
      <c r="Q476" s="1"/>
      <c r="R476" s="1"/>
      <c r="S476" s="1"/>
      <c r="T476" s="1"/>
      <c r="U476" s="1"/>
      <c r="V476" s="1"/>
      <c r="W476" s="1"/>
      <c r="X476" s="1"/>
      <c r="Y476" s="1"/>
      <c r="Z476" s="1"/>
    </row>
    <row r="477" spans="1:26" ht="13.5" customHeight="1">
      <c r="A477" s="395"/>
      <c r="B477" s="399"/>
      <c r="C477" s="1128" t="s">
        <v>19</v>
      </c>
      <c r="D477" s="940"/>
      <c r="E477" s="940"/>
      <c r="F477" s="940"/>
      <c r="G477" s="940"/>
      <c r="H477" s="940"/>
      <c r="I477" s="452"/>
      <c r="J477" s="452"/>
      <c r="K477" s="452"/>
      <c r="L477" s="1148">
        <f>+Datos!$E$18</f>
        <v>0.25</v>
      </c>
      <c r="M477" s="941"/>
      <c r="N477" s="430">
        <f>+L477*N472</f>
        <v>219571.32833333334</v>
      </c>
      <c r="O477" s="453"/>
      <c r="P477" s="1"/>
      <c r="Q477" s="1"/>
      <c r="R477" s="1"/>
      <c r="S477" s="1"/>
      <c r="T477" s="1"/>
      <c r="U477" s="1"/>
      <c r="V477" s="1"/>
      <c r="W477" s="1"/>
      <c r="X477" s="1"/>
      <c r="Y477" s="1"/>
      <c r="Z477" s="1"/>
    </row>
    <row r="478" spans="1:26" ht="13.5" customHeight="1">
      <c r="A478" s="395"/>
      <c r="B478" s="399"/>
      <c r="C478" s="454" t="s">
        <v>20</v>
      </c>
      <c r="D478" s="455"/>
      <c r="E478" s="455"/>
      <c r="F478" s="455"/>
      <c r="G478" s="455"/>
      <c r="H478" s="455"/>
      <c r="I478" s="452"/>
      <c r="J478" s="452"/>
      <c r="K478" s="452"/>
      <c r="L478" s="1148">
        <f>+Datos!$E$19</f>
        <v>0.01</v>
      </c>
      <c r="M478" s="941"/>
      <c r="N478" s="430">
        <f>+L478*N472</f>
        <v>8782.853133333334</v>
      </c>
      <c r="O478" s="453"/>
      <c r="P478" s="1"/>
      <c r="Q478" s="1"/>
      <c r="R478" s="1"/>
      <c r="S478" s="1"/>
      <c r="T478" s="1"/>
      <c r="U478" s="1"/>
      <c r="V478" s="1"/>
      <c r="W478" s="1"/>
      <c r="X478" s="1"/>
      <c r="Y478" s="1"/>
      <c r="Z478" s="1"/>
    </row>
    <row r="479" spans="1:26" ht="13.5" customHeight="1">
      <c r="A479" s="395"/>
      <c r="B479" s="399"/>
      <c r="C479" s="456" t="s">
        <v>21</v>
      </c>
      <c r="D479" s="457"/>
      <c r="E479" s="457"/>
      <c r="F479" s="457"/>
      <c r="G479" s="457"/>
      <c r="H479" s="457"/>
      <c r="I479" s="458"/>
      <c r="J479" s="458"/>
      <c r="K479" s="458"/>
      <c r="L479" s="1148">
        <f>+Datos!$E$20</f>
        <v>0.05</v>
      </c>
      <c r="M479" s="941"/>
      <c r="N479" s="430">
        <f>+L479*N472</f>
        <v>43914.265666666673</v>
      </c>
      <c r="O479" s="453"/>
      <c r="P479" s="1"/>
      <c r="Q479" s="1"/>
      <c r="R479" s="1"/>
      <c r="S479" s="1"/>
      <c r="T479" s="1"/>
      <c r="U479" s="1"/>
      <c r="V479" s="1"/>
      <c r="W479" s="1"/>
      <c r="X479" s="1"/>
      <c r="Y479" s="1"/>
      <c r="Z479" s="1"/>
    </row>
    <row r="480" spans="1:26" ht="13.5" customHeight="1">
      <c r="A480" s="395"/>
      <c r="B480" s="399"/>
      <c r="C480" s="1127" t="s">
        <v>1202</v>
      </c>
      <c r="D480" s="965"/>
      <c r="E480" s="965"/>
      <c r="F480" s="965"/>
      <c r="G480" s="965"/>
      <c r="H480" s="965"/>
      <c r="I480" s="965"/>
      <c r="J480" s="965"/>
      <c r="K480" s="965"/>
      <c r="L480" s="965"/>
      <c r="M480" s="966"/>
      <c r="N480" s="433">
        <f>+SUM(N477:N479)</f>
        <v>272268.44713333331</v>
      </c>
      <c r="O480" s="453"/>
      <c r="P480" s="1"/>
      <c r="Q480" s="1"/>
      <c r="R480" s="1"/>
      <c r="S480" s="1"/>
      <c r="T480" s="1"/>
      <c r="U480" s="1"/>
      <c r="V480" s="1"/>
      <c r="W480" s="1"/>
      <c r="X480" s="1"/>
      <c r="Y480" s="1"/>
      <c r="Z480" s="1"/>
    </row>
    <row r="481" spans="1:26" ht="13.5" customHeight="1">
      <c r="A481" s="1"/>
      <c r="B481" s="399"/>
      <c r="C481" s="418"/>
      <c r="D481" s="39"/>
      <c r="E481" s="39"/>
      <c r="F481" s="39"/>
      <c r="G481" s="39"/>
      <c r="H481" s="39"/>
      <c r="I481" s="39"/>
      <c r="J481" s="39"/>
      <c r="K481" s="39"/>
      <c r="L481" s="39"/>
      <c r="M481" s="39"/>
      <c r="N481" s="40"/>
      <c r="O481" s="402"/>
      <c r="P481" s="1"/>
      <c r="Q481" s="1"/>
      <c r="R481" s="1"/>
      <c r="S481" s="1"/>
      <c r="T481" s="1"/>
      <c r="U481" s="1"/>
      <c r="V481" s="1"/>
      <c r="W481" s="1"/>
      <c r="X481" s="1"/>
      <c r="Y481" s="1"/>
      <c r="Z481" s="1"/>
    </row>
    <row r="482" spans="1:26" ht="13.5" customHeight="1">
      <c r="A482" s="1"/>
      <c r="B482" s="399"/>
      <c r="C482" s="1147" t="s">
        <v>1224</v>
      </c>
      <c r="D482" s="965"/>
      <c r="E482" s="965"/>
      <c r="F482" s="965"/>
      <c r="G482" s="965"/>
      <c r="H482" s="965"/>
      <c r="I482" s="965"/>
      <c r="J482" s="965"/>
      <c r="K482" s="965"/>
      <c r="L482" s="965"/>
      <c r="M482" s="966"/>
      <c r="N482" s="459">
        <f>+ROUND(SUM(N480,N472),0)</f>
        <v>1150554</v>
      </c>
      <c r="O482" s="453"/>
      <c r="P482" s="1"/>
      <c r="Q482" s="1"/>
      <c r="R482" s="1"/>
      <c r="S482" s="1"/>
      <c r="T482" s="1"/>
      <c r="U482" s="1"/>
      <c r="V482" s="1"/>
      <c r="W482" s="1"/>
      <c r="X482" s="1"/>
      <c r="Y482" s="1"/>
      <c r="Z482" s="1"/>
    </row>
    <row r="483" spans="1:26" ht="13.5" customHeight="1">
      <c r="A483" s="1"/>
      <c r="B483" s="399"/>
      <c r="C483" s="460"/>
      <c r="D483" s="461"/>
      <c r="E483" s="461"/>
      <c r="F483" s="461"/>
      <c r="G483" s="461"/>
      <c r="H483" s="461"/>
      <c r="I483" s="461"/>
      <c r="J483" s="461"/>
      <c r="K483" s="461"/>
      <c r="L483" s="461"/>
      <c r="M483" s="461"/>
      <c r="N483" s="462"/>
      <c r="O483" s="402"/>
      <c r="P483" s="1"/>
      <c r="Q483" s="1"/>
      <c r="R483" s="1"/>
      <c r="S483" s="1"/>
      <c r="T483" s="1"/>
      <c r="U483" s="1"/>
      <c r="V483" s="1"/>
      <c r="W483" s="1"/>
      <c r="X483" s="1"/>
      <c r="Y483" s="1"/>
      <c r="Z483" s="1"/>
    </row>
    <row r="484" spans="1:26" ht="13.5" customHeight="1">
      <c r="A484" s="1"/>
      <c r="B484" s="399"/>
      <c r="C484" s="418"/>
      <c r="D484" s="39"/>
      <c r="E484" s="39"/>
      <c r="F484" s="39"/>
      <c r="G484" s="39"/>
      <c r="H484" s="39"/>
      <c r="I484" s="39"/>
      <c r="J484" s="39"/>
      <c r="K484" s="39"/>
      <c r="L484" s="39"/>
      <c r="M484" s="39"/>
      <c r="N484" s="40"/>
      <c r="O484" s="402"/>
      <c r="P484" s="1"/>
      <c r="Q484" s="1"/>
      <c r="R484" s="1"/>
      <c r="S484" s="1"/>
      <c r="T484" s="1"/>
      <c r="U484" s="1"/>
      <c r="V484" s="1"/>
      <c r="W484" s="1"/>
      <c r="X484" s="1"/>
      <c r="Y484" s="1"/>
      <c r="Z484" s="1"/>
    </row>
    <row r="485" spans="1:26" ht="13.5" customHeight="1">
      <c r="A485" s="1"/>
      <c r="B485" s="399"/>
      <c r="C485" s="418"/>
      <c r="D485" s="39"/>
      <c r="E485" s="39"/>
      <c r="F485" s="39"/>
      <c r="G485" s="39"/>
      <c r="H485" s="39"/>
      <c r="I485" s="39"/>
      <c r="J485" s="39"/>
      <c r="K485" s="39"/>
      <c r="L485" s="39"/>
      <c r="M485" s="39"/>
      <c r="N485" s="40"/>
      <c r="O485" s="402"/>
      <c r="P485" s="1"/>
      <c r="Q485" s="1"/>
      <c r="R485" s="1"/>
      <c r="S485" s="1"/>
      <c r="T485" s="1"/>
      <c r="U485" s="1"/>
      <c r="V485" s="1"/>
      <c r="W485" s="1"/>
      <c r="X485" s="1"/>
      <c r="Y485" s="1"/>
      <c r="Z485" s="1"/>
    </row>
    <row r="486" spans="1:26" ht="13.5" customHeight="1">
      <c r="A486" s="1"/>
      <c r="B486" s="399"/>
      <c r="C486" s="418"/>
      <c r="D486" s="463"/>
      <c r="E486" s="463"/>
      <c r="F486" s="463"/>
      <c r="G486" s="184"/>
      <c r="H486" s="184"/>
      <c r="I486" s="184"/>
      <c r="J486" s="463"/>
      <c r="K486" s="463"/>
      <c r="L486" s="463"/>
      <c r="M486" s="463"/>
      <c r="N486" s="40"/>
      <c r="O486" s="402"/>
      <c r="P486" s="1"/>
      <c r="Q486" s="1"/>
      <c r="R486" s="1"/>
      <c r="S486" s="1"/>
      <c r="T486" s="1"/>
      <c r="U486" s="1"/>
      <c r="V486" s="1"/>
      <c r="W486" s="1"/>
      <c r="X486" s="1"/>
      <c r="Y486" s="1"/>
      <c r="Z486" s="1"/>
    </row>
    <row r="487" spans="1:26" ht="13.5" customHeight="1">
      <c r="A487" s="1"/>
      <c r="B487" s="399"/>
      <c r="C487" s="418"/>
      <c r="D487" s="39" t="s">
        <v>1225</v>
      </c>
      <c r="E487" s="39"/>
      <c r="F487" s="39"/>
      <c r="G487" s="184"/>
      <c r="H487" s="184"/>
      <c r="I487" s="184"/>
      <c r="J487" s="39" t="s">
        <v>1225</v>
      </c>
      <c r="K487" s="39"/>
      <c r="L487" s="39"/>
      <c r="M487" s="39"/>
      <c r="N487" s="40"/>
      <c r="O487" s="464"/>
      <c r="P487" s="1"/>
      <c r="Q487" s="1"/>
      <c r="R487" s="1"/>
      <c r="S487" s="1"/>
      <c r="T487" s="1"/>
      <c r="U487" s="1"/>
      <c r="V487" s="1"/>
      <c r="W487" s="1"/>
      <c r="X487" s="1"/>
      <c r="Y487" s="1"/>
      <c r="Z487" s="1"/>
    </row>
    <row r="488" spans="1:26" ht="13.5" customHeight="1">
      <c r="A488" s="1"/>
      <c r="B488" s="399"/>
      <c r="C488" s="418"/>
      <c r="D488" s="39" t="s">
        <v>1226</v>
      </c>
      <c r="E488" s="39"/>
      <c r="F488" s="39"/>
      <c r="G488" s="184"/>
      <c r="H488" s="184"/>
      <c r="I488" s="184"/>
      <c r="J488" s="39" t="s">
        <v>1227</v>
      </c>
      <c r="K488" s="39"/>
      <c r="L488" s="39"/>
      <c r="M488" s="39"/>
      <c r="N488" s="40"/>
      <c r="O488" s="464"/>
      <c r="P488" s="1"/>
      <c r="Q488" s="1"/>
      <c r="R488" s="1"/>
      <c r="S488" s="1"/>
      <c r="T488" s="1"/>
      <c r="U488" s="1"/>
      <c r="V488" s="1"/>
      <c r="W488" s="1"/>
      <c r="X488" s="1"/>
      <c r="Y488" s="1"/>
      <c r="Z488" s="1"/>
    </row>
    <row r="489" spans="1:26" ht="13.5" customHeight="1">
      <c r="A489" s="1"/>
      <c r="B489" s="399"/>
      <c r="C489" s="404"/>
      <c r="D489" s="39" t="s">
        <v>1228</v>
      </c>
      <c r="E489" s="42"/>
      <c r="F489" s="42"/>
      <c r="G489" s="184"/>
      <c r="H489" s="184"/>
      <c r="I489" s="184"/>
      <c r="J489" s="39" t="s">
        <v>1228</v>
      </c>
      <c r="K489" s="42"/>
      <c r="L489" s="42"/>
      <c r="M489" s="42"/>
      <c r="N489" s="43"/>
      <c r="O489" s="465"/>
      <c r="P489" s="1"/>
      <c r="Q489" s="1"/>
      <c r="R489" s="1"/>
      <c r="S489" s="1"/>
      <c r="T489" s="1"/>
      <c r="U489" s="1"/>
      <c r="V489" s="1"/>
      <c r="W489" s="1"/>
      <c r="X489" s="1"/>
      <c r="Y489" s="1"/>
      <c r="Z489" s="1"/>
    </row>
    <row r="490" spans="1:26" ht="13.5" customHeight="1">
      <c r="A490" s="1"/>
      <c r="B490" s="399"/>
      <c r="C490" s="418"/>
      <c r="D490" s="39"/>
      <c r="E490" s="39"/>
      <c r="F490" s="39"/>
      <c r="G490" s="39" t="s">
        <v>1229</v>
      </c>
      <c r="H490" s="39"/>
      <c r="I490" s="39"/>
      <c r="J490" s="39"/>
      <c r="K490" s="39"/>
      <c r="L490" s="39"/>
      <c r="M490" s="39"/>
      <c r="N490" s="40"/>
      <c r="O490" s="402"/>
      <c r="P490" s="1"/>
      <c r="Q490" s="1"/>
      <c r="R490" s="1"/>
      <c r="S490" s="1"/>
      <c r="T490" s="1"/>
      <c r="U490" s="1"/>
      <c r="V490" s="1"/>
      <c r="W490" s="1"/>
      <c r="X490" s="1"/>
      <c r="Y490" s="1"/>
      <c r="Z490" s="1"/>
    </row>
    <row r="491" spans="1:26" ht="17.25" customHeight="1">
      <c r="A491" s="1"/>
      <c r="B491" s="399"/>
      <c r="C491" s="466"/>
      <c r="D491" s="467"/>
      <c r="E491" s="467"/>
      <c r="F491" s="39"/>
      <c r="G491" s="39"/>
      <c r="H491" s="39"/>
      <c r="I491" s="39"/>
      <c r="J491" s="1149"/>
      <c r="K491" s="922"/>
      <c r="L491" s="922"/>
      <c r="M491" s="922"/>
      <c r="N491" s="924"/>
      <c r="O491" s="468"/>
      <c r="P491" s="1"/>
      <c r="Q491" s="1"/>
      <c r="R491" s="1"/>
      <c r="S491" s="1"/>
      <c r="T491" s="1"/>
      <c r="U491" s="1"/>
      <c r="V491" s="1"/>
      <c r="W491" s="1"/>
      <c r="X491" s="1"/>
      <c r="Y491" s="1"/>
      <c r="Z491" s="1"/>
    </row>
    <row r="492" spans="1:26" ht="18.75" customHeight="1">
      <c r="A492" s="1"/>
      <c r="B492" s="399"/>
      <c r="C492" s="1150"/>
      <c r="D492" s="936"/>
      <c r="E492" s="936"/>
      <c r="F492" s="416"/>
      <c r="G492" s="416"/>
      <c r="H492" s="416"/>
      <c r="I492" s="416"/>
      <c r="J492" s="936"/>
      <c r="K492" s="936"/>
      <c r="L492" s="936"/>
      <c r="M492" s="936"/>
      <c r="N492" s="938"/>
      <c r="O492" s="468"/>
      <c r="P492" s="1"/>
      <c r="Q492" s="1"/>
      <c r="R492" s="1"/>
      <c r="S492" s="1"/>
      <c r="T492" s="1"/>
      <c r="U492" s="1"/>
      <c r="V492" s="1"/>
      <c r="W492" s="1"/>
      <c r="X492" s="1"/>
      <c r="Y492" s="1"/>
      <c r="Z492" s="1"/>
    </row>
    <row r="493" spans="1:26" ht="13.5" customHeight="1">
      <c r="A493" s="1"/>
      <c r="B493" s="469"/>
      <c r="C493" s="470"/>
      <c r="D493" s="470"/>
      <c r="E493" s="470"/>
      <c r="F493" s="470"/>
      <c r="G493" s="470"/>
      <c r="H493" s="470"/>
      <c r="I493" s="470"/>
      <c r="J493" s="470"/>
      <c r="K493" s="470"/>
      <c r="L493" s="470"/>
      <c r="M493" s="470"/>
      <c r="N493" s="470"/>
      <c r="O493" s="471"/>
      <c r="P493" s="1"/>
      <c r="Q493" s="1"/>
      <c r="R493" s="1"/>
      <c r="S493" s="1"/>
      <c r="T493" s="1"/>
      <c r="U493" s="1"/>
      <c r="V493" s="1"/>
      <c r="W493" s="1"/>
      <c r="X493" s="1"/>
      <c r="Y493" s="1"/>
      <c r="Z493" s="1"/>
    </row>
    <row r="494" spans="1:26" ht="13.5" customHeight="1">
      <c r="A494" s="1"/>
      <c r="B494" s="184"/>
      <c r="C494" s="184"/>
      <c r="D494" s="184"/>
      <c r="E494" s="184"/>
      <c r="F494" s="184"/>
      <c r="G494" s="184"/>
      <c r="H494" s="184"/>
      <c r="I494" s="184"/>
      <c r="J494" s="184"/>
      <c r="K494" s="184"/>
      <c r="L494" s="184"/>
      <c r="M494" s="184"/>
      <c r="N494" s="184"/>
      <c r="O494" s="184"/>
      <c r="P494" s="1"/>
      <c r="Q494" s="1"/>
      <c r="R494" s="1"/>
      <c r="S494" s="1"/>
      <c r="T494" s="1"/>
      <c r="U494" s="1"/>
      <c r="V494" s="1"/>
      <c r="W494" s="1"/>
      <c r="X494" s="1"/>
      <c r="Y494" s="1"/>
      <c r="Z494" s="1"/>
    </row>
    <row r="495" spans="1:26" ht="13.5" customHeight="1">
      <c r="A495" s="1"/>
      <c r="B495" s="184"/>
      <c r="C495" s="184"/>
      <c r="D495" s="184"/>
      <c r="E495" s="184"/>
      <c r="F495" s="184"/>
      <c r="G495" s="184"/>
      <c r="H495" s="184"/>
      <c r="I495" s="184"/>
      <c r="J495" s="184"/>
      <c r="K495" s="184"/>
      <c r="L495" s="184"/>
      <c r="M495" s="184"/>
      <c r="N495" s="184"/>
      <c r="O495" s="184"/>
      <c r="P495" s="1"/>
      <c r="Q495" s="1"/>
      <c r="R495" s="1"/>
      <c r="S495" s="1"/>
      <c r="T495" s="1"/>
      <c r="U495" s="1"/>
      <c r="V495" s="1"/>
      <c r="W495" s="1"/>
      <c r="X495" s="1"/>
      <c r="Y495" s="1"/>
      <c r="Z495" s="1"/>
    </row>
    <row r="496" spans="1:26" ht="13.5" customHeight="1">
      <c r="A496" s="1"/>
      <c r="B496" s="396"/>
      <c r="C496" s="397"/>
      <c r="D496" s="397"/>
      <c r="E496" s="397"/>
      <c r="F496" s="397"/>
      <c r="G496" s="397"/>
      <c r="H496" s="397"/>
      <c r="I496" s="397"/>
      <c r="J496" s="397"/>
      <c r="K496" s="397"/>
      <c r="L496" s="397"/>
      <c r="M496" s="397"/>
      <c r="N496" s="397"/>
      <c r="O496" s="398"/>
      <c r="P496" s="1"/>
      <c r="Q496" s="1"/>
      <c r="R496" s="1"/>
      <c r="S496" s="1"/>
      <c r="T496" s="1"/>
      <c r="U496" s="1"/>
      <c r="V496" s="1"/>
      <c r="W496" s="1"/>
      <c r="X496" s="1"/>
      <c r="Y496" s="1"/>
      <c r="Z496" s="1"/>
    </row>
    <row r="497" spans="1:26" ht="23.25" customHeight="1">
      <c r="A497" s="1"/>
      <c r="B497" s="399"/>
      <c r="C497" s="1154" t="s">
        <v>1246</v>
      </c>
      <c r="D497" s="1079"/>
      <c r="E497" s="1079"/>
      <c r="F497" s="184"/>
      <c r="G497" s="184"/>
      <c r="H497" s="184"/>
      <c r="I497" s="184"/>
      <c r="J497" s="184"/>
      <c r="K497" s="184"/>
      <c r="L497" s="184"/>
      <c r="M497" s="184"/>
      <c r="N497" s="184"/>
      <c r="O497" s="402"/>
      <c r="P497" s="1"/>
      <c r="Q497" s="1"/>
      <c r="R497" s="1"/>
      <c r="S497" s="1"/>
      <c r="T497" s="1"/>
      <c r="U497" s="1"/>
      <c r="V497" s="1"/>
      <c r="W497" s="1"/>
      <c r="X497" s="1"/>
      <c r="Y497" s="1"/>
      <c r="Z497" s="1"/>
    </row>
    <row r="498" spans="1:26" ht="13.5" customHeight="1">
      <c r="A498" s="1"/>
      <c r="B498" s="399"/>
      <c r="C498" s="477" t="s">
        <v>942</v>
      </c>
      <c r="D498" s="478" t="s">
        <v>943</v>
      </c>
      <c r="E498" s="477" t="s">
        <v>944</v>
      </c>
      <c r="F498" s="184"/>
      <c r="G498" s="184"/>
      <c r="H498" s="184"/>
      <c r="I498" s="184"/>
      <c r="J498" s="184"/>
      <c r="K498" s="184"/>
      <c r="L498" s="184"/>
      <c r="M498" s="184"/>
      <c r="N498" s="184"/>
      <c r="O498" s="402"/>
      <c r="P498" s="1"/>
      <c r="Q498" s="1"/>
      <c r="R498" s="1"/>
      <c r="S498" s="1"/>
      <c r="T498" s="1"/>
      <c r="U498" s="1"/>
      <c r="V498" s="1"/>
      <c r="W498" s="1"/>
      <c r="X498" s="1"/>
      <c r="Y498" s="1"/>
      <c r="Z498" s="1"/>
    </row>
    <row r="499" spans="1:26" ht="13.5" customHeight="1">
      <c r="A499" s="1"/>
      <c r="B499" s="399"/>
      <c r="C499" s="400"/>
      <c r="D499" s="401"/>
      <c r="E499" s="400"/>
      <c r="F499" s="184"/>
      <c r="G499" s="184"/>
      <c r="H499" s="184"/>
      <c r="I499" s="184"/>
      <c r="J499" s="184"/>
      <c r="K499" s="184"/>
      <c r="L499" s="184"/>
      <c r="M499" s="184"/>
      <c r="N499" s="184"/>
      <c r="O499" s="402"/>
      <c r="P499" s="1"/>
      <c r="Q499" s="1"/>
      <c r="R499" s="1"/>
      <c r="S499" s="1"/>
      <c r="T499" s="1"/>
      <c r="U499" s="1"/>
      <c r="V499" s="1"/>
      <c r="W499" s="1"/>
      <c r="X499" s="1"/>
      <c r="Y499" s="1"/>
      <c r="Z499" s="1"/>
    </row>
    <row r="500" spans="1:26" ht="13.5" customHeight="1">
      <c r="A500" s="1"/>
      <c r="B500" s="399"/>
      <c r="C500" s="39"/>
      <c r="D500" s="39"/>
      <c r="E500" s="39"/>
      <c r="F500" s="39"/>
      <c r="G500" s="39"/>
      <c r="H500" s="39"/>
      <c r="I500" s="39"/>
      <c r="J500" s="39"/>
      <c r="K500" s="39"/>
      <c r="L500" s="39"/>
      <c r="M500" s="39"/>
      <c r="N500" s="39"/>
      <c r="O500" s="402"/>
      <c r="P500" s="1"/>
      <c r="Q500" s="1"/>
      <c r="R500" s="1"/>
      <c r="S500" s="1"/>
      <c r="T500" s="1"/>
      <c r="U500" s="1"/>
      <c r="V500" s="1"/>
      <c r="W500" s="1"/>
      <c r="X500" s="1"/>
      <c r="Y500" s="1"/>
      <c r="Z500" s="1"/>
    </row>
    <row r="501" spans="1:26" ht="13.5" customHeight="1">
      <c r="A501" s="1"/>
      <c r="B501" s="399"/>
      <c r="C501" s="1124"/>
      <c r="D501" s="927"/>
      <c r="E501" s="1014" t="str">
        <f>+Datos!$C$9</f>
        <v>CONSEJO SUPERIOR  DE  JUDICATURA– DIRECCIÓN  EJECUTIVA  SECCIONAL  DE ADMINISTRACIÓN JUDICIAL DE BUCARAMANGA</v>
      </c>
      <c r="F501" s="926"/>
      <c r="G501" s="926"/>
      <c r="H501" s="926"/>
      <c r="I501" s="926"/>
      <c r="J501" s="926"/>
      <c r="K501" s="927"/>
      <c r="L501" s="925" t="s">
        <v>1</v>
      </c>
      <c r="M501" s="931"/>
      <c r="N501" s="933">
        <f>Datos!$C$4</f>
        <v>1</v>
      </c>
      <c r="O501" s="403"/>
      <c r="P501" s="1"/>
      <c r="Q501" s="1"/>
      <c r="R501" s="1"/>
      <c r="S501" s="1"/>
      <c r="T501" s="1"/>
      <c r="U501" s="1"/>
      <c r="V501" s="1"/>
      <c r="W501" s="1"/>
      <c r="X501" s="1"/>
      <c r="Y501" s="1"/>
      <c r="Z501" s="1"/>
    </row>
    <row r="502" spans="1:26" ht="13.5" customHeight="1">
      <c r="A502" s="1"/>
      <c r="B502" s="399"/>
      <c r="C502" s="920"/>
      <c r="D502" s="924"/>
      <c r="E502" s="920"/>
      <c r="F502" s="922"/>
      <c r="G502" s="922"/>
      <c r="H502" s="922"/>
      <c r="I502" s="922"/>
      <c r="J502" s="922"/>
      <c r="K502" s="924"/>
      <c r="L502" s="920"/>
      <c r="M502" s="932"/>
      <c r="N502" s="934"/>
      <c r="O502" s="403"/>
      <c r="P502" s="1"/>
      <c r="Q502" s="1"/>
      <c r="R502" s="1"/>
      <c r="S502" s="1"/>
      <c r="T502" s="1"/>
      <c r="U502" s="1"/>
      <c r="V502" s="1"/>
      <c r="W502" s="1"/>
      <c r="X502" s="1"/>
      <c r="Y502" s="1"/>
      <c r="Z502" s="1"/>
    </row>
    <row r="503" spans="1:26" ht="13.5" customHeight="1">
      <c r="A503" s="1"/>
      <c r="B503" s="399"/>
      <c r="C503" s="920"/>
      <c r="D503" s="924"/>
      <c r="E503" s="919" t="str">
        <f>Datos!$C$13</f>
        <v xml:space="preserve">BGA - 030 - 2026 </v>
      </c>
      <c r="F503" s="922"/>
      <c r="G503" s="922"/>
      <c r="H503" s="922"/>
      <c r="I503" s="922"/>
      <c r="J503" s="922"/>
      <c r="K503" s="922"/>
      <c r="L503" s="925" t="s">
        <v>29</v>
      </c>
      <c r="M503" s="926"/>
      <c r="N503" s="927"/>
      <c r="O503" s="403"/>
      <c r="P503" s="1"/>
      <c r="Q503" s="1"/>
      <c r="R503" s="1"/>
      <c r="S503" s="1"/>
      <c r="T503" s="1"/>
      <c r="U503" s="1"/>
      <c r="V503" s="1"/>
      <c r="W503" s="1"/>
      <c r="X503" s="1"/>
      <c r="Y503" s="1"/>
      <c r="Z503" s="1"/>
    </row>
    <row r="504" spans="1:26" ht="13.5" customHeight="1">
      <c r="A504" s="1"/>
      <c r="B504" s="399"/>
      <c r="C504" s="920"/>
      <c r="D504" s="924"/>
      <c r="E504" s="405"/>
      <c r="F504" s="406"/>
      <c r="G504" s="406"/>
      <c r="H504" s="406"/>
      <c r="I504" s="406"/>
      <c r="J504" s="406"/>
      <c r="K504" s="42"/>
      <c r="L504" s="919">
        <v>1</v>
      </c>
      <c r="M504" s="921" t="s">
        <v>30</v>
      </c>
      <c r="N504" s="923">
        <v>1</v>
      </c>
      <c r="O504" s="403"/>
      <c r="P504" s="1"/>
      <c r="Q504" s="1"/>
      <c r="R504" s="1"/>
      <c r="S504" s="1"/>
      <c r="T504" s="1"/>
      <c r="U504" s="1"/>
      <c r="V504" s="1"/>
      <c r="W504" s="1"/>
      <c r="X504" s="1"/>
      <c r="Y504" s="1"/>
      <c r="Z504" s="1"/>
    </row>
    <row r="505" spans="1:26" ht="12.75" customHeight="1">
      <c r="A505" s="1"/>
      <c r="B505" s="399"/>
      <c r="C505" s="920"/>
      <c r="D505" s="924"/>
      <c r="E505"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05" s="922"/>
      <c r="G505" s="922"/>
      <c r="H505" s="922"/>
      <c r="I505" s="922"/>
      <c r="J505" s="922"/>
      <c r="K505" s="922"/>
      <c r="L505" s="920"/>
      <c r="M505" s="922"/>
      <c r="N505" s="924"/>
      <c r="O505" s="403"/>
      <c r="P505" s="1"/>
      <c r="Q505" s="1"/>
      <c r="R505" s="1"/>
      <c r="S505" s="1"/>
      <c r="T505" s="1"/>
      <c r="U505" s="1"/>
      <c r="V505" s="1"/>
      <c r="W505" s="1"/>
      <c r="X505" s="1"/>
      <c r="Y505" s="1"/>
      <c r="Z505" s="1"/>
    </row>
    <row r="506" spans="1:26" ht="13.5" customHeight="1">
      <c r="A506" s="1"/>
      <c r="B506" s="399"/>
      <c r="C506" s="920"/>
      <c r="D506" s="924"/>
      <c r="E506" s="920"/>
      <c r="F506" s="922"/>
      <c r="G506" s="922"/>
      <c r="H506" s="922"/>
      <c r="I506" s="922"/>
      <c r="J506" s="922"/>
      <c r="K506" s="922"/>
      <c r="L506" s="925" t="s">
        <v>2</v>
      </c>
      <c r="M506" s="926"/>
      <c r="N506" s="927"/>
      <c r="O506" s="403"/>
      <c r="P506" s="1"/>
      <c r="Q506" s="1"/>
      <c r="R506" s="1"/>
      <c r="S506" s="1"/>
      <c r="T506" s="1"/>
      <c r="U506" s="1"/>
      <c r="V506" s="1"/>
      <c r="W506" s="1"/>
      <c r="X506" s="1"/>
      <c r="Y506" s="1"/>
      <c r="Z506" s="1"/>
    </row>
    <row r="507" spans="1:26" ht="13.5" customHeight="1">
      <c r="A507" s="1"/>
      <c r="B507" s="399"/>
      <c r="C507" s="920"/>
      <c r="D507" s="924"/>
      <c r="E507" s="407"/>
      <c r="F507" s="216"/>
      <c r="G507" s="216"/>
      <c r="H507" s="216"/>
      <c r="I507" s="216"/>
      <c r="J507" s="216"/>
      <c r="K507" s="216"/>
      <c r="L507" s="408" t="s">
        <v>3</v>
      </c>
      <c r="M507" s="409" t="s">
        <v>4</v>
      </c>
      <c r="N507" s="410" t="s">
        <v>5</v>
      </c>
      <c r="O507" s="403"/>
      <c r="P507" s="1"/>
      <c r="Q507" s="1"/>
      <c r="R507" s="1"/>
      <c r="S507" s="1"/>
      <c r="T507" s="1"/>
      <c r="U507" s="1"/>
      <c r="V507" s="1"/>
      <c r="W507" s="1"/>
      <c r="X507" s="1"/>
      <c r="Y507" s="1"/>
      <c r="Z507" s="1"/>
    </row>
    <row r="508" spans="1:26" ht="13.5" customHeight="1">
      <c r="A508" s="1"/>
      <c r="B508" s="399"/>
      <c r="C508" s="920"/>
      <c r="D508" s="924"/>
      <c r="E508" s="1125" t="s">
        <v>1186</v>
      </c>
      <c r="F508" s="945"/>
      <c r="G508" s="945"/>
      <c r="H508" s="945"/>
      <c r="I508" s="945"/>
      <c r="J508" s="945"/>
      <c r="K508" s="945"/>
      <c r="L508" s="928">
        <f>+Datos!C419</f>
        <v>0</v>
      </c>
      <c r="M508" s="935">
        <f>+Datos!D419</f>
        <v>0</v>
      </c>
      <c r="N508" s="937">
        <f>+Datos!E419</f>
        <v>0</v>
      </c>
      <c r="O508" s="411"/>
      <c r="P508" s="1"/>
      <c r="Q508" s="1"/>
      <c r="R508" s="1"/>
      <c r="S508" s="1"/>
      <c r="T508" s="1"/>
      <c r="U508" s="1"/>
      <c r="V508" s="1"/>
      <c r="W508" s="1"/>
      <c r="X508" s="1"/>
      <c r="Y508" s="1"/>
      <c r="Z508" s="1"/>
    </row>
    <row r="509" spans="1:26" ht="13.5" customHeight="1">
      <c r="A509" s="1"/>
      <c r="B509" s="399"/>
      <c r="C509" s="929"/>
      <c r="D509" s="938"/>
      <c r="E509" s="929"/>
      <c r="F509" s="936"/>
      <c r="G509" s="936"/>
      <c r="H509" s="936"/>
      <c r="I509" s="936"/>
      <c r="J509" s="936"/>
      <c r="K509" s="936"/>
      <c r="L509" s="929"/>
      <c r="M509" s="936"/>
      <c r="N509" s="938"/>
      <c r="O509" s="403"/>
      <c r="P509" s="1"/>
      <c r="Q509" s="1"/>
      <c r="R509" s="1"/>
      <c r="S509" s="1"/>
      <c r="T509" s="1"/>
      <c r="U509" s="1"/>
      <c r="V509" s="1"/>
      <c r="W509" s="1"/>
      <c r="X509" s="1"/>
      <c r="Y509" s="1"/>
      <c r="Z509" s="1"/>
    </row>
    <row r="510" spans="1:26" ht="13.5" customHeight="1">
      <c r="A510" s="1"/>
      <c r="B510" s="399"/>
      <c r="C510" s="404"/>
      <c r="D510" s="38"/>
      <c r="E510" s="38"/>
      <c r="F510" s="38"/>
      <c r="G510" s="38"/>
      <c r="H510" s="38"/>
      <c r="I510" s="38"/>
      <c r="J510" s="38"/>
      <c r="K510" s="38"/>
      <c r="L510" s="39"/>
      <c r="M510" s="39"/>
      <c r="N510" s="40"/>
      <c r="O510" s="414"/>
      <c r="P510" s="1"/>
      <c r="Q510" s="1"/>
      <c r="R510" s="1"/>
      <c r="S510" s="1"/>
      <c r="T510" s="1"/>
      <c r="U510" s="1"/>
      <c r="V510" s="1"/>
      <c r="W510" s="1"/>
      <c r="X510" s="1"/>
      <c r="Y510" s="1"/>
      <c r="Z510" s="1"/>
    </row>
    <row r="511" spans="1:26" ht="18" customHeight="1">
      <c r="A511" s="1"/>
      <c r="B511" s="399"/>
      <c r="C511" s="412" t="s">
        <v>1187</v>
      </c>
      <c r="D511" s="1126" t="s">
        <v>1188</v>
      </c>
      <c r="E511" s="922"/>
      <c r="F511" s="922"/>
      <c r="G511" s="922"/>
      <c r="H511" s="922"/>
      <c r="I511" s="922"/>
      <c r="J511" s="922"/>
      <c r="K511" s="922"/>
      <c r="L511" s="922"/>
      <c r="M511" s="1"/>
      <c r="N511" s="413"/>
      <c r="O511" s="414"/>
      <c r="P511" s="1"/>
      <c r="Q511" s="1"/>
      <c r="R511" s="1"/>
      <c r="S511" s="1"/>
      <c r="T511" s="1"/>
      <c r="U511" s="1"/>
      <c r="V511" s="1"/>
      <c r="W511" s="1"/>
      <c r="X511" s="1"/>
      <c r="Y511" s="1"/>
      <c r="Z511" s="1"/>
    </row>
    <row r="512" spans="1:26" ht="13.5" customHeight="1">
      <c r="A512" s="1"/>
      <c r="B512" s="399"/>
      <c r="C512" s="412" t="s">
        <v>1189</v>
      </c>
      <c r="D512" s="1126" t="s">
        <v>1190</v>
      </c>
      <c r="E512" s="922"/>
      <c r="F512" s="922"/>
      <c r="G512" s="922"/>
      <c r="H512" s="922"/>
      <c r="I512" s="922"/>
      <c r="J512" s="922"/>
      <c r="K512" s="922"/>
      <c r="L512" s="922"/>
      <c r="M512" s="1"/>
      <c r="N512" s="413"/>
      <c r="O512" s="403"/>
      <c r="P512" s="1"/>
      <c r="Q512" s="1"/>
      <c r="R512" s="1"/>
      <c r="S512" s="1"/>
      <c r="T512" s="1"/>
      <c r="U512" s="1"/>
      <c r="V512" s="1"/>
      <c r="W512" s="1"/>
      <c r="X512" s="1"/>
      <c r="Y512" s="1"/>
      <c r="Z512" s="1"/>
    </row>
    <row r="513" spans="1:26" ht="13.5" customHeight="1">
      <c r="A513" s="395"/>
      <c r="B513" s="399"/>
      <c r="C513" s="415"/>
      <c r="D513" s="416"/>
      <c r="E513" s="416"/>
      <c r="F513" s="416"/>
      <c r="G513" s="416"/>
      <c r="H513" s="416"/>
      <c r="I513" s="416"/>
      <c r="J513" s="416"/>
      <c r="K513" s="416"/>
      <c r="L513" s="416"/>
      <c r="M513" s="416"/>
      <c r="N513" s="417"/>
      <c r="O513" s="402"/>
      <c r="P513" s="1"/>
      <c r="Q513" s="1"/>
      <c r="R513" s="1"/>
      <c r="S513" s="1"/>
      <c r="T513" s="1"/>
      <c r="U513" s="1"/>
      <c r="V513" s="1"/>
      <c r="W513" s="1"/>
      <c r="X513" s="1"/>
      <c r="Y513" s="1"/>
      <c r="Z513" s="1"/>
    </row>
    <row r="514" spans="1:26" ht="13.5" customHeight="1">
      <c r="A514" s="395"/>
      <c r="B514" s="399"/>
      <c r="C514" s="418"/>
      <c r="D514" s="39"/>
      <c r="E514" s="39"/>
      <c r="F514" s="39"/>
      <c r="G514" s="39"/>
      <c r="H514" s="39"/>
      <c r="I514" s="39"/>
      <c r="J514" s="39"/>
      <c r="K514" s="39"/>
      <c r="L514" s="39"/>
      <c r="M514" s="39"/>
      <c r="N514" s="40"/>
      <c r="O514" s="402"/>
      <c r="P514" s="1"/>
      <c r="Q514" s="1"/>
      <c r="R514" s="1"/>
      <c r="S514" s="1"/>
      <c r="T514" s="1"/>
      <c r="U514" s="1"/>
      <c r="V514" s="1"/>
      <c r="W514" s="1"/>
      <c r="X514" s="1"/>
      <c r="Y514" s="1"/>
      <c r="Z514" s="1"/>
    </row>
    <row r="515" spans="1:26" ht="13.5" customHeight="1">
      <c r="A515" s="395"/>
      <c r="B515" s="399"/>
      <c r="C515" s="925" t="s">
        <v>1191</v>
      </c>
      <c r="D515" s="926"/>
      <c r="E515" s="926"/>
      <c r="F515" s="926"/>
      <c r="G515" s="926"/>
      <c r="H515" s="926"/>
      <c r="I515" s="926"/>
      <c r="J515" s="926"/>
      <c r="K515" s="926"/>
      <c r="L515" s="926"/>
      <c r="M515" s="926"/>
      <c r="N515" s="927"/>
      <c r="O515" s="419"/>
      <c r="P515" s="1"/>
      <c r="Q515" s="1"/>
      <c r="R515" s="1"/>
      <c r="S515" s="1"/>
      <c r="T515" s="1"/>
      <c r="U515" s="1"/>
      <c r="V515" s="1"/>
      <c r="W515" s="1"/>
      <c r="X515" s="1"/>
      <c r="Y515" s="1"/>
      <c r="Z515" s="1"/>
    </row>
    <row r="516" spans="1:26" ht="13.5" customHeight="1">
      <c r="A516" s="395"/>
      <c r="B516" s="399"/>
      <c r="C516" s="418"/>
      <c r="D516" s="39"/>
      <c r="E516" s="39"/>
      <c r="F516" s="39"/>
      <c r="G516" s="39"/>
      <c r="H516" s="39"/>
      <c r="I516" s="39"/>
      <c r="J516" s="39"/>
      <c r="K516" s="39"/>
      <c r="L516" s="39"/>
      <c r="M516" s="39"/>
      <c r="N516" s="40"/>
      <c r="O516" s="402"/>
      <c r="P516" s="1"/>
      <c r="Q516" s="1"/>
      <c r="R516" s="1"/>
      <c r="S516" s="1"/>
      <c r="T516" s="1"/>
      <c r="U516" s="1"/>
      <c r="V516" s="1"/>
      <c r="W516" s="1"/>
      <c r="X516" s="1"/>
      <c r="Y516" s="1"/>
      <c r="Z516" s="1"/>
    </row>
    <row r="517" spans="1:26" ht="13.5" customHeight="1">
      <c r="A517" s="395"/>
      <c r="B517" s="399"/>
      <c r="C517" s="420" t="s">
        <v>965</v>
      </c>
      <c r="D517" s="1136" t="s">
        <v>17</v>
      </c>
      <c r="E517" s="1131"/>
      <c r="F517" s="1131"/>
      <c r="G517" s="1131"/>
      <c r="H517" s="1131"/>
      <c r="I517" s="1131"/>
      <c r="J517" s="1131"/>
      <c r="K517" s="1137"/>
      <c r="L517" s="1130" t="s">
        <v>1192</v>
      </c>
      <c r="M517" s="1137"/>
      <c r="N517" s="420" t="s">
        <v>950</v>
      </c>
      <c r="O517" s="419"/>
      <c r="P517" s="1"/>
      <c r="Q517" s="1"/>
      <c r="R517" s="1"/>
      <c r="S517" s="1"/>
      <c r="T517" s="1"/>
      <c r="U517" s="1"/>
      <c r="V517" s="1"/>
      <c r="W517" s="1"/>
      <c r="X517" s="1"/>
      <c r="Y517" s="1"/>
      <c r="Z517" s="1"/>
    </row>
    <row r="518" spans="1:26" ht="13.5" customHeight="1">
      <c r="A518" s="395"/>
      <c r="B518" s="421"/>
      <c r="C518" s="422" t="s">
        <v>1190</v>
      </c>
      <c r="D518" s="1151" t="s">
        <v>1247</v>
      </c>
      <c r="E518" s="979"/>
      <c r="F518" s="979"/>
      <c r="G518" s="979"/>
      <c r="H518" s="979"/>
      <c r="I518" s="979"/>
      <c r="J518" s="979"/>
      <c r="K518" s="980"/>
      <c r="L518" s="1138" t="s">
        <v>741</v>
      </c>
      <c r="M518" s="980"/>
      <c r="N518" s="423">
        <v>1</v>
      </c>
      <c r="O518" s="424"/>
      <c r="P518" s="1"/>
      <c r="Q518" s="1"/>
      <c r="R518" s="1"/>
      <c r="S518" s="1"/>
      <c r="T518" s="1"/>
      <c r="U518" s="1"/>
      <c r="V518" s="1"/>
      <c r="W518" s="1"/>
      <c r="X518" s="1"/>
      <c r="Y518" s="1"/>
      <c r="Z518" s="1"/>
    </row>
    <row r="519" spans="1:26" ht="13.5" customHeight="1">
      <c r="A519" s="395"/>
      <c r="B519" s="399"/>
      <c r="C519" s="1129" t="s">
        <v>1195</v>
      </c>
      <c r="D519" s="926"/>
      <c r="E519" s="926"/>
      <c r="F519" s="926"/>
      <c r="G519" s="926"/>
      <c r="H519" s="926"/>
      <c r="I519" s="926"/>
      <c r="J519" s="926"/>
      <c r="K519" s="926"/>
      <c r="L519" s="926"/>
      <c r="M519" s="926"/>
      <c r="N519" s="927"/>
      <c r="O519" s="426"/>
      <c r="P519" s="1"/>
      <c r="Q519" s="1"/>
      <c r="R519" s="1"/>
      <c r="S519" s="1"/>
      <c r="T519" s="1"/>
      <c r="U519" s="1"/>
      <c r="V519" s="1"/>
      <c r="W519" s="1"/>
      <c r="X519" s="1"/>
      <c r="Y519" s="1"/>
      <c r="Z519" s="1"/>
    </row>
    <row r="520" spans="1:26" ht="13.5" customHeight="1">
      <c r="A520" s="395"/>
      <c r="B520" s="399"/>
      <c r="C520" s="920"/>
      <c r="D520" s="922"/>
      <c r="E520" s="922"/>
      <c r="F520" s="922"/>
      <c r="G520" s="922"/>
      <c r="H520" s="922"/>
      <c r="I520" s="922"/>
      <c r="J520" s="922"/>
      <c r="K520" s="922"/>
      <c r="L520" s="922"/>
      <c r="M520" s="922"/>
      <c r="N520" s="924"/>
      <c r="O520" s="426"/>
      <c r="P520" s="1"/>
      <c r="Q520" s="1"/>
      <c r="R520" s="1"/>
      <c r="S520" s="1"/>
      <c r="T520" s="1"/>
      <c r="U520" s="1"/>
      <c r="V520" s="1"/>
      <c r="W520" s="1"/>
      <c r="X520" s="1"/>
      <c r="Y520" s="1"/>
      <c r="Z520" s="1"/>
    </row>
    <row r="521" spans="1:26" ht="13.5" customHeight="1">
      <c r="A521" s="395"/>
      <c r="B521" s="399"/>
      <c r="C521" s="929"/>
      <c r="D521" s="936"/>
      <c r="E521" s="936"/>
      <c r="F521" s="936"/>
      <c r="G521" s="936"/>
      <c r="H521" s="936"/>
      <c r="I521" s="936"/>
      <c r="J521" s="936"/>
      <c r="K521" s="936"/>
      <c r="L521" s="936"/>
      <c r="M521" s="936"/>
      <c r="N521" s="938"/>
      <c r="O521" s="426"/>
      <c r="P521" s="1"/>
      <c r="Q521" s="1"/>
      <c r="R521" s="1"/>
      <c r="S521" s="1"/>
      <c r="T521" s="1"/>
      <c r="U521" s="1"/>
      <c r="V521" s="1"/>
      <c r="W521" s="1"/>
      <c r="X521" s="1"/>
      <c r="Y521" s="1"/>
      <c r="Z521" s="1"/>
    </row>
    <row r="522" spans="1:26" ht="13.5" customHeight="1">
      <c r="A522" s="395"/>
      <c r="B522" s="399"/>
      <c r="C522" s="1130" t="s">
        <v>17</v>
      </c>
      <c r="D522" s="1131"/>
      <c r="E522" s="1131"/>
      <c r="F522" s="1000"/>
      <c r="G522" s="1135" t="s">
        <v>1196</v>
      </c>
      <c r="H522" s="1000"/>
      <c r="I522" s="1139" t="s">
        <v>1197</v>
      </c>
      <c r="J522" s="1140"/>
      <c r="K522" s="427" t="s">
        <v>1198</v>
      </c>
      <c r="L522" s="1135" t="s">
        <v>1199</v>
      </c>
      <c r="M522" s="1000"/>
      <c r="N522" s="428" t="s">
        <v>1200</v>
      </c>
      <c r="O522" s="419"/>
      <c r="P522" s="1"/>
      <c r="Q522" s="1"/>
      <c r="R522" s="1"/>
      <c r="S522" s="1"/>
      <c r="T522" s="1"/>
      <c r="U522" s="1"/>
      <c r="V522" s="1"/>
      <c r="W522" s="1"/>
      <c r="X522" s="1"/>
      <c r="Y522" s="1"/>
      <c r="Z522" s="1"/>
    </row>
    <row r="523" spans="1:26" ht="13.5" customHeight="1">
      <c r="A523" s="395"/>
      <c r="B523" s="399"/>
      <c r="C523" s="1128" t="s">
        <v>1201</v>
      </c>
      <c r="D523" s="940"/>
      <c r="E523" s="940"/>
      <c r="F523" s="941"/>
      <c r="G523" s="1142"/>
      <c r="H523" s="941"/>
      <c r="I523" s="1142"/>
      <c r="J523" s="941"/>
      <c r="K523" s="429"/>
      <c r="L523" s="1148">
        <v>0.1</v>
      </c>
      <c r="M523" s="941"/>
      <c r="N523" s="430">
        <f>+L523*N554</f>
        <v>11556.966666666669</v>
      </c>
      <c r="O523" s="431"/>
      <c r="P523" s="1"/>
      <c r="Q523" s="1"/>
      <c r="R523" s="1"/>
      <c r="S523" s="1"/>
      <c r="T523" s="1"/>
      <c r="U523" s="1"/>
      <c r="V523" s="1"/>
      <c r="W523" s="1"/>
      <c r="X523" s="1"/>
      <c r="Y523" s="1"/>
      <c r="Z523" s="1"/>
    </row>
    <row r="524" spans="1:26" ht="13.5" customHeight="1">
      <c r="A524" s="395" t="str">
        <f t="array" ref="A524">IF(C524&lt;&gt;0,INDEX(CodEquipos,MATCH(C524,Equipos,0),),)</f>
        <v>EQ-01</v>
      </c>
      <c r="B524" s="399"/>
      <c r="C524" s="1128" t="s">
        <v>271</v>
      </c>
      <c r="D524" s="940"/>
      <c r="E524" s="940"/>
      <c r="F524" s="941"/>
      <c r="G524" s="1142"/>
      <c r="H524" s="941"/>
      <c r="I524" s="1142"/>
      <c r="J524" s="941"/>
      <c r="K524" s="432">
        <f>IF($A524&gt;0,(VLOOKUP($A524,TablaEquipos,7,FALSE)),"")</f>
        <v>13833.75</v>
      </c>
      <c r="L524" s="1141">
        <f>+L549/8</f>
        <v>0.75</v>
      </c>
      <c r="M524" s="941"/>
      <c r="N524" s="430">
        <f t="shared" ref="N524:N526" si="28">IF(L524&gt;0,K524/L524,"")</f>
        <v>18445</v>
      </c>
      <c r="O524" s="431"/>
      <c r="P524" s="1"/>
      <c r="Q524" s="1"/>
      <c r="R524" s="1"/>
      <c r="S524" s="1"/>
      <c r="T524" s="1"/>
      <c r="U524" s="1"/>
      <c r="V524" s="1"/>
      <c r="W524" s="1"/>
      <c r="X524" s="1"/>
      <c r="Y524" s="1"/>
      <c r="Z524" s="1"/>
    </row>
    <row r="525" spans="1:26" ht="13.5" customHeight="1">
      <c r="A525" s="395">
        <f t="array" ref="A525">IF(C525&lt;&gt;0,INDEX(CodEquipos,MATCH(C525,Equipos,0),),)</f>
        <v>0</v>
      </c>
      <c r="B525" s="399"/>
      <c r="C525" s="1128"/>
      <c r="D525" s="940"/>
      <c r="E525" s="940"/>
      <c r="F525" s="941"/>
      <c r="G525" s="1142"/>
      <c r="H525" s="941"/>
      <c r="I525" s="1142"/>
      <c r="J525" s="941"/>
      <c r="K525" s="432" t="str">
        <f>IF($A525&gt;0,(VLOOKUP($A525,TablaEquipos,7,FALSE)),"")</f>
        <v/>
      </c>
      <c r="L525" s="1141"/>
      <c r="M525" s="941"/>
      <c r="N525" s="430" t="str">
        <f t="shared" si="28"/>
        <v/>
      </c>
      <c r="O525" s="431"/>
      <c r="P525" s="1"/>
      <c r="Q525" s="1"/>
      <c r="R525" s="1"/>
      <c r="S525" s="1"/>
      <c r="T525" s="1"/>
      <c r="U525" s="1"/>
      <c r="V525" s="1"/>
      <c r="W525" s="1"/>
      <c r="X525" s="1"/>
      <c r="Y525" s="1"/>
      <c r="Z525" s="1"/>
    </row>
    <row r="526" spans="1:26" ht="13.5" customHeight="1">
      <c r="A526" s="395">
        <f t="array" ref="A526">IF(C526&lt;&gt;0,INDEX(CodEquipos,MATCH(C526,Equipos,0),),)</f>
        <v>0</v>
      </c>
      <c r="B526" s="399"/>
      <c r="C526" s="1128"/>
      <c r="D526" s="940"/>
      <c r="E526" s="940"/>
      <c r="F526" s="941"/>
      <c r="G526" s="1144"/>
      <c r="H526" s="1145"/>
      <c r="I526" s="1142"/>
      <c r="J526" s="941"/>
      <c r="K526" s="432" t="str">
        <f>IF($A526&gt;0,(VLOOKUP($A526,TablaEquipos,7,FALSE)),"")</f>
        <v/>
      </c>
      <c r="L526" s="1141"/>
      <c r="M526" s="941"/>
      <c r="N526" s="430" t="str">
        <f t="shared" si="28"/>
        <v/>
      </c>
      <c r="O526" s="431"/>
      <c r="P526" s="1"/>
      <c r="Q526" s="1"/>
      <c r="R526" s="1"/>
      <c r="S526" s="1"/>
      <c r="T526" s="1"/>
      <c r="U526" s="1"/>
      <c r="V526" s="1"/>
      <c r="W526" s="1"/>
      <c r="X526" s="1"/>
      <c r="Y526" s="1"/>
      <c r="Z526" s="1"/>
    </row>
    <row r="527" spans="1:26" ht="13.5" customHeight="1">
      <c r="A527" s="395"/>
      <c r="B527" s="399"/>
      <c r="C527" s="1127" t="s">
        <v>1202</v>
      </c>
      <c r="D527" s="965"/>
      <c r="E527" s="965"/>
      <c r="F527" s="965"/>
      <c r="G527" s="965"/>
      <c r="H527" s="965"/>
      <c r="I527" s="965"/>
      <c r="J527" s="965"/>
      <c r="K527" s="965"/>
      <c r="L527" s="965"/>
      <c r="M527" s="966"/>
      <c r="N527" s="433">
        <f>+SUM(N523:N526)</f>
        <v>30001.966666666667</v>
      </c>
      <c r="O527" s="431"/>
      <c r="P527" s="1"/>
      <c r="Q527" s="1"/>
      <c r="R527" s="1"/>
      <c r="S527" s="1"/>
      <c r="T527" s="1"/>
      <c r="U527" s="1"/>
      <c r="V527" s="1"/>
      <c r="W527" s="1"/>
      <c r="X527" s="1"/>
      <c r="Y527" s="1"/>
      <c r="Z527" s="1"/>
    </row>
    <row r="528" spans="1:26" ht="13.5" customHeight="1">
      <c r="A528" s="395"/>
      <c r="B528" s="399"/>
      <c r="C528" s="1129" t="s">
        <v>1203</v>
      </c>
      <c r="D528" s="926"/>
      <c r="E528" s="926"/>
      <c r="F528" s="926"/>
      <c r="G528" s="926"/>
      <c r="H528" s="926"/>
      <c r="I528" s="926"/>
      <c r="J528" s="926"/>
      <c r="K528" s="926"/>
      <c r="L528" s="926"/>
      <c r="M528" s="926"/>
      <c r="N528" s="927"/>
      <c r="O528" s="426"/>
      <c r="P528" s="1"/>
      <c r="Q528" s="1"/>
      <c r="R528" s="1"/>
      <c r="S528" s="1"/>
      <c r="T528" s="1"/>
      <c r="U528" s="1"/>
      <c r="V528" s="1"/>
      <c r="W528" s="1"/>
      <c r="X528" s="1"/>
      <c r="Y528" s="1"/>
      <c r="Z528" s="1"/>
    </row>
    <row r="529" spans="1:26" ht="13.5" customHeight="1">
      <c r="A529" s="395"/>
      <c r="B529" s="399"/>
      <c r="C529" s="920"/>
      <c r="D529" s="922"/>
      <c r="E529" s="922"/>
      <c r="F529" s="922"/>
      <c r="G529" s="922"/>
      <c r="H529" s="922"/>
      <c r="I529" s="922"/>
      <c r="J529" s="922"/>
      <c r="K529" s="922"/>
      <c r="L529" s="922"/>
      <c r="M529" s="922"/>
      <c r="N529" s="924"/>
      <c r="O529" s="426"/>
      <c r="P529" s="1"/>
      <c r="Q529" s="1"/>
      <c r="R529" s="1"/>
      <c r="S529" s="1"/>
      <c r="T529" s="1"/>
      <c r="U529" s="1"/>
      <c r="V529" s="1"/>
      <c r="W529" s="1"/>
      <c r="X529" s="1"/>
      <c r="Y529" s="1"/>
      <c r="Z529" s="1"/>
    </row>
    <row r="530" spans="1:26" ht="13.5" customHeight="1">
      <c r="A530" s="395"/>
      <c r="B530" s="399"/>
      <c r="C530" s="929"/>
      <c r="D530" s="936"/>
      <c r="E530" s="936"/>
      <c r="F530" s="936"/>
      <c r="G530" s="936"/>
      <c r="H530" s="936"/>
      <c r="I530" s="936"/>
      <c r="J530" s="936"/>
      <c r="K530" s="936"/>
      <c r="L530" s="936"/>
      <c r="M530" s="936"/>
      <c r="N530" s="938"/>
      <c r="O530" s="426"/>
      <c r="P530" s="1"/>
      <c r="Q530" s="1"/>
      <c r="R530" s="1"/>
      <c r="S530" s="1"/>
      <c r="T530" s="1"/>
      <c r="U530" s="1"/>
      <c r="V530" s="1"/>
      <c r="W530" s="1"/>
      <c r="X530" s="1"/>
      <c r="Y530" s="1"/>
      <c r="Z530" s="1"/>
    </row>
    <row r="531" spans="1:26" ht="13.5" customHeight="1">
      <c r="A531" s="395"/>
      <c r="B531" s="399"/>
      <c r="C531" s="1130" t="s">
        <v>17</v>
      </c>
      <c r="D531" s="1131"/>
      <c r="E531" s="1131"/>
      <c r="F531" s="1131"/>
      <c r="G531" s="1131"/>
      <c r="H531" s="1131"/>
      <c r="I531" s="1000"/>
      <c r="J531" s="434" t="s">
        <v>1192</v>
      </c>
      <c r="K531" s="427" t="s">
        <v>950</v>
      </c>
      <c r="L531" s="1135" t="s">
        <v>1204</v>
      </c>
      <c r="M531" s="1000"/>
      <c r="N531" s="428" t="s">
        <v>1200</v>
      </c>
      <c r="O531" s="419"/>
      <c r="P531" s="1"/>
      <c r="Q531" s="1"/>
      <c r="R531" s="1"/>
      <c r="S531" s="1"/>
      <c r="T531" s="1"/>
      <c r="U531" s="1"/>
      <c r="V531" s="1"/>
      <c r="W531" s="1"/>
      <c r="X531" s="1"/>
      <c r="Y531" s="1"/>
      <c r="Z531" s="1"/>
    </row>
    <row r="532" spans="1:26" ht="13.5" customHeight="1">
      <c r="A532" s="395" t="str">
        <f t="array" ref="A532">IF(C532&lt;&gt;0,INDEX(CodMat,MATCH(C532,Materiales,0),),)</f>
        <v>MAT_C-01</v>
      </c>
      <c r="B532" s="399"/>
      <c r="C532" s="1128" t="s">
        <v>1205</v>
      </c>
      <c r="D532" s="940"/>
      <c r="E532" s="940"/>
      <c r="F532" s="940"/>
      <c r="G532" s="940"/>
      <c r="H532" s="940"/>
      <c r="I532" s="941"/>
      <c r="J532" s="435" t="str">
        <f>IF($A532&gt;0,(VLOOKUP($A532,TablaInsumos,5,FALSE)),"")</f>
        <v>LT</v>
      </c>
      <c r="K532" s="436">
        <v>180</v>
      </c>
      <c r="L532" s="1134">
        <f>IF($A532&gt;0,(VLOOKUP($A532,TablaInsumos,7,FALSE)),"")</f>
        <v>46</v>
      </c>
      <c r="M532" s="941"/>
      <c r="N532" s="430">
        <f t="shared" ref="N532:N536" si="29">IF(K532&gt;0,L532*K532,"")</f>
        <v>8280</v>
      </c>
      <c r="O532" s="431"/>
      <c r="P532" s="1"/>
      <c r="Q532" s="1"/>
      <c r="R532" s="1"/>
      <c r="S532" s="1"/>
      <c r="T532" s="1"/>
      <c r="U532" s="1"/>
      <c r="V532" s="1"/>
      <c r="W532" s="1"/>
      <c r="X532" s="1"/>
      <c r="Y532" s="1"/>
      <c r="Z532" s="1"/>
    </row>
    <row r="533" spans="1:26" ht="13.5" customHeight="1">
      <c r="A533" s="395" t="str">
        <f t="array" ref="A533">IF(C533&lt;&gt;0,INDEX(CodMat,MATCH(C533,Materiales,0),),)</f>
        <v>MAT_C-03</v>
      </c>
      <c r="B533" s="399"/>
      <c r="C533" s="1128" t="s">
        <v>1206</v>
      </c>
      <c r="D533" s="940"/>
      <c r="E533" s="940"/>
      <c r="F533" s="940"/>
      <c r="G533" s="940"/>
      <c r="H533" s="940"/>
      <c r="I533" s="941"/>
      <c r="J533" s="435" t="str">
        <f>IF($A533&gt;0,(VLOOKUP($A533,TablaInsumos,5,FALSE)),"")</f>
        <v>M3</v>
      </c>
      <c r="K533" s="436">
        <v>0.6</v>
      </c>
      <c r="L533" s="1134">
        <f>IF($A533&gt;0,(VLOOKUP($A533,TablaInsumos,7,FALSE)),"")</f>
        <v>86414</v>
      </c>
      <c r="M533" s="941"/>
      <c r="N533" s="430">
        <f t="shared" si="29"/>
        <v>51848.4</v>
      </c>
      <c r="O533" s="431"/>
      <c r="P533" s="1"/>
      <c r="Q533" s="1"/>
      <c r="R533" s="1"/>
      <c r="S533" s="1"/>
      <c r="T533" s="1"/>
      <c r="U533" s="1"/>
      <c r="V533" s="1"/>
      <c r="W533" s="1"/>
      <c r="X533" s="1"/>
      <c r="Y533" s="1"/>
      <c r="Z533" s="1"/>
    </row>
    <row r="534" spans="1:26" ht="13.5" customHeight="1">
      <c r="A534" s="395" t="e">
        <f t="array" ref="A534">IF(C534&lt;&gt;0,INDEX(CodMat,MATCH(C534,Materiales,0),),)</f>
        <v>#N/A</v>
      </c>
      <c r="B534" s="399"/>
      <c r="C534" s="1128" t="s">
        <v>1233</v>
      </c>
      <c r="D534" s="940"/>
      <c r="E534" s="940"/>
      <c r="F534" s="940"/>
      <c r="G534" s="940"/>
      <c r="H534" s="940"/>
      <c r="I534" s="941"/>
      <c r="J534" s="435" t="e">
        <f>IF($A534&gt;0,(VLOOKUP($A534,TablaInsumos,5,FALSE)),"")</f>
        <v>#N/A</v>
      </c>
      <c r="K534" s="436">
        <v>0.76</v>
      </c>
      <c r="L534" s="1134" t="e">
        <f>IF($A534&gt;0,(VLOOKUP($A534,TablaInsumos,7,FALSE)),"")</f>
        <v>#N/A</v>
      </c>
      <c r="M534" s="941"/>
      <c r="N534" s="430" t="e">
        <f t="shared" si="29"/>
        <v>#N/A</v>
      </c>
      <c r="O534" s="431"/>
      <c r="P534" s="1"/>
      <c r="Q534" s="1"/>
      <c r="R534" s="1"/>
      <c r="S534" s="1"/>
      <c r="T534" s="1"/>
      <c r="U534" s="1"/>
      <c r="V534" s="1"/>
      <c r="W534" s="1"/>
      <c r="X534" s="1"/>
      <c r="Y534" s="1"/>
      <c r="Z534" s="1"/>
    </row>
    <row r="535" spans="1:26" ht="13.5" customHeight="1">
      <c r="A535" s="395" t="str">
        <f t="array" ref="A535">IF(C535&lt;&gt;0,INDEX(CodMat,MATCH(C535,Materiales,0),),)</f>
        <v>MAT_C-12</v>
      </c>
      <c r="B535" s="399"/>
      <c r="C535" s="1128" t="s">
        <v>1207</v>
      </c>
      <c r="D535" s="940"/>
      <c r="E535" s="940"/>
      <c r="F535" s="940"/>
      <c r="G535" s="940"/>
      <c r="H535" s="940"/>
      <c r="I535" s="941"/>
      <c r="J535" s="435" t="str">
        <f>IF($A535&gt;0,(VLOOKUP($A535,TablaInsumos,5,FALSE)),"")</f>
        <v>KG</v>
      </c>
      <c r="K535" s="436">
        <v>380</v>
      </c>
      <c r="L535" s="1134">
        <f>IF($A535&gt;0,(VLOOKUP($A535,TablaInsumos,7,FALSE)),"")</f>
        <v>1164</v>
      </c>
      <c r="M535" s="941"/>
      <c r="N535" s="430">
        <f t="shared" si="29"/>
        <v>442320</v>
      </c>
      <c r="O535" s="431"/>
      <c r="P535" s="1"/>
      <c r="Q535" s="1"/>
      <c r="R535" s="1"/>
      <c r="S535" s="1"/>
      <c r="T535" s="1"/>
      <c r="U535" s="1"/>
      <c r="V535" s="1"/>
      <c r="W535" s="1"/>
      <c r="X535" s="1"/>
      <c r="Y535" s="1"/>
      <c r="Z535" s="1"/>
    </row>
    <row r="536" spans="1:26" ht="13.5" customHeight="1">
      <c r="A536" s="395">
        <f t="array" ref="A536">IF(C536&lt;&gt;0,INDEX(CodMat,MATCH(C536,Materiales,0),),)</f>
        <v>0</v>
      </c>
      <c r="B536" s="399"/>
      <c r="C536" s="1128"/>
      <c r="D536" s="940"/>
      <c r="E536" s="940"/>
      <c r="F536" s="940"/>
      <c r="G536" s="940"/>
      <c r="H536" s="940"/>
      <c r="I536" s="941"/>
      <c r="J536" s="435" t="str">
        <f>IF($A536&gt;0,(VLOOKUP($A536,TablaInsumos,5,FALSE)),"")</f>
        <v/>
      </c>
      <c r="K536" s="436"/>
      <c r="L536" s="1134" t="str">
        <f>IF($A536&gt;0,(VLOOKUP($A536,TablaInsumos,7,FALSE)),"")</f>
        <v/>
      </c>
      <c r="M536" s="941"/>
      <c r="N536" s="430" t="str">
        <f t="shared" si="29"/>
        <v/>
      </c>
      <c r="O536" s="431"/>
      <c r="P536" s="1"/>
      <c r="Q536" s="1"/>
      <c r="R536" s="1"/>
      <c r="S536" s="1"/>
      <c r="T536" s="1"/>
      <c r="U536" s="1"/>
      <c r="V536" s="1"/>
      <c r="W536" s="1"/>
      <c r="X536" s="1"/>
      <c r="Y536" s="1"/>
      <c r="Z536" s="1"/>
    </row>
    <row r="537" spans="1:26" ht="13.5" customHeight="1">
      <c r="A537" s="395"/>
      <c r="B537" s="399"/>
      <c r="C537" s="1127" t="s">
        <v>1202</v>
      </c>
      <c r="D537" s="965"/>
      <c r="E537" s="965"/>
      <c r="F537" s="965"/>
      <c r="G537" s="965"/>
      <c r="H537" s="965"/>
      <c r="I537" s="965"/>
      <c r="J537" s="965"/>
      <c r="K537" s="965"/>
      <c r="L537" s="965"/>
      <c r="M537" s="966"/>
      <c r="N537" s="433" t="e">
        <f>+SUM(N532:N536)</f>
        <v>#N/A</v>
      </c>
      <c r="O537" s="431"/>
      <c r="P537" s="1"/>
      <c r="Q537" s="1"/>
      <c r="R537" s="1"/>
      <c r="S537" s="1"/>
      <c r="T537" s="1"/>
      <c r="U537" s="1"/>
      <c r="V537" s="1"/>
      <c r="W537" s="1"/>
      <c r="X537" s="1"/>
      <c r="Y537" s="1"/>
      <c r="Z537" s="1"/>
    </row>
    <row r="538" spans="1:26" ht="13.5" customHeight="1">
      <c r="A538" s="395"/>
      <c r="B538" s="399"/>
      <c r="C538" s="1129" t="s">
        <v>1208</v>
      </c>
      <c r="D538" s="926"/>
      <c r="E538" s="926"/>
      <c r="F538" s="926"/>
      <c r="G538" s="926"/>
      <c r="H538" s="926"/>
      <c r="I538" s="926"/>
      <c r="J538" s="926"/>
      <c r="K538" s="926"/>
      <c r="L538" s="926"/>
      <c r="M538" s="926"/>
      <c r="N538" s="927"/>
      <c r="O538" s="426"/>
      <c r="P538" s="1"/>
      <c r="Q538" s="1"/>
      <c r="R538" s="1"/>
      <c r="S538" s="1"/>
      <c r="T538" s="1"/>
      <c r="U538" s="1"/>
      <c r="V538" s="1"/>
      <c r="W538" s="1"/>
      <c r="X538" s="1"/>
      <c r="Y538" s="1"/>
      <c r="Z538" s="1"/>
    </row>
    <row r="539" spans="1:26" ht="13.5" customHeight="1">
      <c r="A539" s="395"/>
      <c r="B539" s="399"/>
      <c r="C539" s="920"/>
      <c r="D539" s="922"/>
      <c r="E539" s="922"/>
      <c r="F539" s="922"/>
      <c r="G539" s="922"/>
      <c r="H539" s="922"/>
      <c r="I539" s="922"/>
      <c r="J539" s="922"/>
      <c r="K539" s="922"/>
      <c r="L539" s="922"/>
      <c r="M539" s="922"/>
      <c r="N539" s="924"/>
      <c r="O539" s="426"/>
      <c r="P539" s="1"/>
      <c r="Q539" s="1"/>
      <c r="R539" s="1"/>
      <c r="S539" s="1"/>
      <c r="T539" s="1"/>
      <c r="U539" s="1"/>
      <c r="V539" s="1"/>
      <c r="W539" s="1"/>
      <c r="X539" s="1"/>
      <c r="Y539" s="1"/>
      <c r="Z539" s="1"/>
    </row>
    <row r="540" spans="1:26" ht="13.5" customHeight="1">
      <c r="A540" s="395"/>
      <c r="B540" s="399"/>
      <c r="C540" s="929"/>
      <c r="D540" s="936"/>
      <c r="E540" s="936"/>
      <c r="F540" s="936"/>
      <c r="G540" s="936"/>
      <c r="H540" s="936"/>
      <c r="I540" s="936"/>
      <c r="J540" s="936"/>
      <c r="K540" s="936"/>
      <c r="L540" s="936"/>
      <c r="M540" s="936"/>
      <c r="N540" s="938"/>
      <c r="O540" s="426"/>
      <c r="P540" s="1"/>
      <c r="Q540" s="1"/>
      <c r="R540" s="1"/>
      <c r="S540" s="1"/>
      <c r="T540" s="1"/>
      <c r="U540" s="1"/>
      <c r="V540" s="1"/>
      <c r="W540" s="1"/>
      <c r="X540" s="1"/>
      <c r="Y540" s="1"/>
      <c r="Z540" s="1"/>
    </row>
    <row r="541" spans="1:26" ht="13.5" customHeight="1">
      <c r="A541" s="395"/>
      <c r="B541" s="399"/>
      <c r="C541" s="1130" t="s">
        <v>1209</v>
      </c>
      <c r="D541" s="1131"/>
      <c r="E541" s="1131"/>
      <c r="F541" s="1131"/>
      <c r="G541" s="1131"/>
      <c r="H541" s="1132"/>
      <c r="I541" s="427" t="s">
        <v>1210</v>
      </c>
      <c r="J541" s="438" t="s">
        <v>1211</v>
      </c>
      <c r="K541" s="439" t="s">
        <v>1248</v>
      </c>
      <c r="L541" s="1135" t="s">
        <v>1213</v>
      </c>
      <c r="M541" s="1000"/>
      <c r="N541" s="428" t="s">
        <v>1200</v>
      </c>
      <c r="O541" s="419"/>
      <c r="P541" s="1"/>
      <c r="Q541" s="1"/>
      <c r="R541" s="1"/>
      <c r="S541" s="1"/>
      <c r="T541" s="1"/>
      <c r="U541" s="1"/>
      <c r="V541" s="1"/>
      <c r="W541" s="1"/>
      <c r="X541" s="1"/>
      <c r="Y541" s="1"/>
      <c r="Z541" s="1"/>
    </row>
    <row r="542" spans="1:26" ht="13.5" customHeight="1">
      <c r="A542" s="395" t="str">
        <f t="array" ref="A542">IF(C542&lt;&gt;0,INDEX(CodTransporte,MATCH(C542,Transporte,0),),)</f>
        <v>T-03</v>
      </c>
      <c r="B542" s="399"/>
      <c r="C542" s="1128" t="s">
        <v>859</v>
      </c>
      <c r="D542" s="940"/>
      <c r="E542" s="940"/>
      <c r="F542" s="940"/>
      <c r="G542" s="940"/>
      <c r="H542" s="940"/>
      <c r="I542" s="440">
        <f>+K533+K534</f>
        <v>1.3599999999999999</v>
      </c>
      <c r="J542" s="441">
        <f>IF($A542&gt;0,(VLOOKUP($A542,TablaTransporte,6,FALSE)),"")</f>
        <v>50.849999999999994</v>
      </c>
      <c r="K542" s="442" t="str">
        <f>IF($A542&gt;0,(VLOOKUP($A542,TablaTransporte,5,FALSE)),"")</f>
        <v>M3-KM</v>
      </c>
      <c r="L542" s="1134">
        <f>IF($A542&gt;0,(VLOOKUP($A542,TablaTransporte,7,FALSE)),"")</f>
        <v>2332.3500491642089</v>
      </c>
      <c r="M542" s="941"/>
      <c r="N542" s="430">
        <f t="shared" ref="N542:N543" si="30">IF(I542&gt;0,J542*L542*I542,"")</f>
        <v>161296</v>
      </c>
      <c r="O542" s="431"/>
      <c r="P542" s="1"/>
      <c r="Q542" s="1"/>
      <c r="R542" s="1"/>
      <c r="S542" s="1"/>
      <c r="T542" s="1"/>
      <c r="U542" s="1"/>
      <c r="V542" s="1"/>
      <c r="W542" s="1"/>
      <c r="X542" s="1"/>
      <c r="Y542" s="1"/>
      <c r="Z542" s="1"/>
    </row>
    <row r="543" spans="1:26" ht="13.5" customHeight="1">
      <c r="A543" s="395" t="str">
        <f t="array" ref="A543">IF(C543&lt;&gt;0,INDEX(CodTransporte,MATCH(C543,Transporte,0),),)</f>
        <v>T-02</v>
      </c>
      <c r="B543" s="399"/>
      <c r="C543" s="1128" t="s">
        <v>857</v>
      </c>
      <c r="D543" s="940"/>
      <c r="E543" s="940"/>
      <c r="F543" s="940"/>
      <c r="G543" s="940"/>
      <c r="H543" s="940"/>
      <c r="I543" s="440">
        <f>+(K535/50)*0.035</f>
        <v>0.26600000000000001</v>
      </c>
      <c r="J543" s="441">
        <f>IF($A543&gt;0,(VLOOKUP($A543,TablaTransporte,6,FALSE)),"")</f>
        <v>50.849999999999994</v>
      </c>
      <c r="K543" s="442" t="str">
        <f>IF($A543&gt;0,(VLOOKUP($A543,TablaTransporte,5,FALSE)),"")</f>
        <v>M3-KM</v>
      </c>
      <c r="L543" s="1134">
        <f>IF($A543&gt;0,(VLOOKUP($A543,TablaTransporte,7,FALSE)),"")</f>
        <v>2332.3500491642089</v>
      </c>
      <c r="M543" s="941"/>
      <c r="N543" s="430">
        <f t="shared" si="30"/>
        <v>31547.600000000006</v>
      </c>
      <c r="O543" s="431"/>
      <c r="P543" s="1"/>
      <c r="Q543" s="1"/>
      <c r="R543" s="1"/>
      <c r="S543" s="1"/>
      <c r="T543" s="1"/>
      <c r="U543" s="1"/>
      <c r="V543" s="1"/>
      <c r="W543" s="1"/>
      <c r="X543" s="1"/>
      <c r="Y543" s="1"/>
      <c r="Z543" s="1"/>
    </row>
    <row r="544" spans="1:26" ht="13.5" customHeight="1">
      <c r="A544" s="395"/>
      <c r="B544" s="399"/>
      <c r="C544" s="1127" t="s">
        <v>1202</v>
      </c>
      <c r="D544" s="965"/>
      <c r="E544" s="965"/>
      <c r="F544" s="965"/>
      <c r="G544" s="965"/>
      <c r="H544" s="965"/>
      <c r="I544" s="965"/>
      <c r="J544" s="965"/>
      <c r="K544" s="965"/>
      <c r="L544" s="965"/>
      <c r="M544" s="966"/>
      <c r="N544" s="433">
        <f>+SUM(N542:N543)</f>
        <v>192843.6</v>
      </c>
      <c r="O544" s="431"/>
      <c r="P544" s="1"/>
      <c r="Q544" s="1"/>
      <c r="R544" s="1"/>
      <c r="S544" s="1"/>
      <c r="T544" s="1"/>
      <c r="U544" s="1"/>
      <c r="V544" s="1"/>
      <c r="W544" s="1"/>
      <c r="X544" s="1"/>
      <c r="Y544" s="1"/>
      <c r="Z544" s="1"/>
    </row>
    <row r="545" spans="1:26" ht="13.5" customHeight="1">
      <c r="A545" s="395"/>
      <c r="B545" s="399"/>
      <c r="C545" s="1129" t="s">
        <v>1214</v>
      </c>
      <c r="D545" s="926"/>
      <c r="E545" s="926"/>
      <c r="F545" s="926"/>
      <c r="G545" s="926"/>
      <c r="H545" s="926"/>
      <c r="I545" s="926"/>
      <c r="J545" s="926"/>
      <c r="K545" s="926"/>
      <c r="L545" s="926"/>
      <c r="M545" s="926"/>
      <c r="N545" s="927"/>
      <c r="O545" s="426"/>
      <c r="P545" s="1"/>
      <c r="Q545" s="1"/>
      <c r="R545" s="1"/>
      <c r="S545" s="1"/>
      <c r="T545" s="1"/>
      <c r="U545" s="1"/>
      <c r="V545" s="1"/>
      <c r="W545" s="1"/>
      <c r="X545" s="1"/>
      <c r="Y545" s="1"/>
      <c r="Z545" s="1"/>
    </row>
    <row r="546" spans="1:26" ht="13.5" customHeight="1">
      <c r="A546" s="395"/>
      <c r="B546" s="399"/>
      <c r="C546" s="920"/>
      <c r="D546" s="922"/>
      <c r="E546" s="922"/>
      <c r="F546" s="922"/>
      <c r="G546" s="922"/>
      <c r="H546" s="922"/>
      <c r="I546" s="922"/>
      <c r="J546" s="922"/>
      <c r="K546" s="922"/>
      <c r="L546" s="922"/>
      <c r="M546" s="922"/>
      <c r="N546" s="924"/>
      <c r="O546" s="426"/>
      <c r="P546" s="1"/>
      <c r="Q546" s="1"/>
      <c r="R546" s="1"/>
      <c r="S546" s="1"/>
      <c r="T546" s="1"/>
      <c r="U546" s="1"/>
      <c r="V546" s="1"/>
      <c r="W546" s="1"/>
      <c r="X546" s="1"/>
      <c r="Y546" s="1"/>
      <c r="Z546" s="1"/>
    </row>
    <row r="547" spans="1:26" ht="13.5" customHeight="1">
      <c r="A547" s="395"/>
      <c r="B547" s="399"/>
      <c r="C547" s="929"/>
      <c r="D547" s="936"/>
      <c r="E547" s="936"/>
      <c r="F547" s="936"/>
      <c r="G547" s="936"/>
      <c r="H547" s="936"/>
      <c r="I547" s="936"/>
      <c r="J547" s="936"/>
      <c r="K547" s="936"/>
      <c r="L547" s="936"/>
      <c r="M547" s="936"/>
      <c r="N547" s="938"/>
      <c r="O547" s="426"/>
      <c r="P547" s="1"/>
      <c r="Q547" s="1"/>
      <c r="R547" s="1"/>
      <c r="S547" s="1"/>
      <c r="T547" s="1"/>
      <c r="U547" s="1"/>
      <c r="V547" s="1"/>
      <c r="W547" s="1"/>
      <c r="X547" s="1"/>
      <c r="Y547" s="1"/>
      <c r="Z547" s="1"/>
    </row>
    <row r="548" spans="1:26" ht="13.5" customHeight="1">
      <c r="A548" s="395"/>
      <c r="B548" s="399"/>
      <c r="C548" s="1130" t="s">
        <v>1215</v>
      </c>
      <c r="D548" s="1131"/>
      <c r="E548" s="1131"/>
      <c r="F548" s="1131"/>
      <c r="G548" s="1131"/>
      <c r="H548" s="1132"/>
      <c r="I548" s="427" t="s">
        <v>1216</v>
      </c>
      <c r="J548" s="443" t="s">
        <v>1217</v>
      </c>
      <c r="K548" s="444" t="s">
        <v>1218</v>
      </c>
      <c r="L548" s="1133" t="s">
        <v>1199</v>
      </c>
      <c r="M548" s="1000"/>
      <c r="N548" s="445" t="s">
        <v>1200</v>
      </c>
      <c r="O548" s="446"/>
      <c r="P548" s="1"/>
      <c r="Q548" s="1"/>
      <c r="R548" s="1"/>
      <c r="S548" s="1"/>
      <c r="T548" s="1"/>
      <c r="U548" s="1"/>
      <c r="V548" s="1"/>
      <c r="W548" s="1"/>
      <c r="X548" s="1"/>
      <c r="Y548" s="1"/>
      <c r="Z548" s="1"/>
    </row>
    <row r="549" spans="1:26" ht="13.5" customHeight="1">
      <c r="A549" s="395" t="str">
        <f t="array" ref="A549">IF(C549&lt;&gt;0,INDEX(CodMO,MATCH(C549,MO,0),),)</f>
        <v>M.O-05</v>
      </c>
      <c r="B549" s="399"/>
      <c r="C549" s="1128" t="s">
        <v>139</v>
      </c>
      <c r="D549" s="940"/>
      <c r="E549" s="940"/>
      <c r="F549" s="940"/>
      <c r="G549" s="940"/>
      <c r="H549" s="940"/>
      <c r="I549" s="447">
        <f>IF($A549&gt;0,(VLOOKUP($A549,TablaMO,8,FALSE)),"")</f>
        <v>125030.16666666667</v>
      </c>
      <c r="J549" s="448">
        <f>IF($A549&gt;0,(VLOOKUP($A549,TablaMO,10,FALSE)),"")</f>
        <v>0.67071666666666663</v>
      </c>
      <c r="K549" s="447">
        <f>IF($A549&gt;0,(VLOOKUP($A549,TablaMO,11,FALSE)),"")</f>
        <v>208890</v>
      </c>
      <c r="L549" s="1146">
        <v>6</v>
      </c>
      <c r="M549" s="941"/>
      <c r="N549" s="430">
        <f t="shared" ref="N549:N553" si="31">IF(L549&gt;0,K549/L549,"")</f>
        <v>34815</v>
      </c>
      <c r="O549" s="449"/>
      <c r="P549" s="1"/>
      <c r="Q549" s="1"/>
      <c r="R549" s="1"/>
      <c r="S549" s="1"/>
      <c r="T549" s="1"/>
      <c r="U549" s="1"/>
      <c r="V549" s="1"/>
      <c r="W549" s="1"/>
      <c r="X549" s="1"/>
      <c r="Y549" s="1"/>
      <c r="Z549" s="1"/>
    </row>
    <row r="550" spans="1:26" ht="13.5" customHeight="1">
      <c r="A550" s="395" t="str">
        <f t="array" ref="A550">IF(C550&lt;&gt;0,INDEX(CodMO,MATCH(C550,MO,0),),)</f>
        <v>M.O-01</v>
      </c>
      <c r="B550" s="399"/>
      <c r="C550" s="1128" t="s">
        <v>130</v>
      </c>
      <c r="D550" s="940"/>
      <c r="E550" s="940"/>
      <c r="F550" s="940"/>
      <c r="G550" s="940"/>
      <c r="H550" s="940"/>
      <c r="I550" s="447">
        <f>IF($A550&gt;0,(VLOOKUP($A550,TablaMO,8,FALSE)),"")</f>
        <v>72503.016666666677</v>
      </c>
      <c r="J550" s="448">
        <f>IF($A550&gt;0,(VLOOKUP($A550,TablaMO,10,FALSE)),"")</f>
        <v>0.67071666666666663</v>
      </c>
      <c r="K550" s="447">
        <f>IF($A550&gt;0,(VLOOKUP($A550,TablaMO,11,FALSE)),"")</f>
        <v>121132</v>
      </c>
      <c r="L550" s="1146">
        <f>L549</f>
        <v>6</v>
      </c>
      <c r="M550" s="941"/>
      <c r="N550" s="430">
        <f t="shared" si="31"/>
        <v>20188.666666666668</v>
      </c>
      <c r="O550" s="449"/>
      <c r="P550" s="1"/>
      <c r="Q550" s="1"/>
      <c r="R550" s="1"/>
      <c r="S550" s="1"/>
      <c r="T550" s="1"/>
      <c r="U550" s="1"/>
      <c r="V550" s="1"/>
      <c r="W550" s="1"/>
      <c r="X550" s="1"/>
      <c r="Y550" s="1"/>
      <c r="Z550" s="1"/>
    </row>
    <row r="551" spans="1:26" ht="13.5" customHeight="1">
      <c r="A551" s="395" t="str">
        <f t="array" ref="A551">IF(C551&lt;&gt;0,INDEX(CodMO,MATCH(C551,MO,0),),)</f>
        <v>M.O-02</v>
      </c>
      <c r="B551" s="399"/>
      <c r="C551" s="1128" t="s">
        <v>133</v>
      </c>
      <c r="D551" s="940"/>
      <c r="E551" s="940"/>
      <c r="F551" s="940"/>
      <c r="G551" s="940"/>
      <c r="H551" s="940"/>
      <c r="I551" s="447">
        <f>IF($A551&gt;0,(VLOOKUP($A551,TablaMO,8,FALSE)),"")</f>
        <v>72503.016666666677</v>
      </c>
      <c r="J551" s="448">
        <f>IF($A551&gt;0,(VLOOKUP($A551,TablaMO,10,FALSE)),"")</f>
        <v>0.67071666666666663</v>
      </c>
      <c r="K551" s="447">
        <f>IF($A551&gt;0,(VLOOKUP($A551,TablaMO,11,FALSE)),"")</f>
        <v>121132</v>
      </c>
      <c r="L551" s="1146">
        <f t="shared" ref="L551:L552" si="32">L549</f>
        <v>6</v>
      </c>
      <c r="M551" s="941"/>
      <c r="N551" s="430">
        <f t="shared" si="31"/>
        <v>20188.666666666668</v>
      </c>
      <c r="O551" s="449"/>
      <c r="P551" s="1"/>
      <c r="Q551" s="1"/>
      <c r="R551" s="1"/>
      <c r="S551" s="1"/>
      <c r="T551" s="1"/>
      <c r="U551" s="1"/>
      <c r="V551" s="1"/>
      <c r="W551" s="1"/>
      <c r="X551" s="1"/>
      <c r="Y551" s="1"/>
      <c r="Z551" s="1"/>
    </row>
    <row r="552" spans="1:26" ht="13.5" customHeight="1">
      <c r="A552" s="395" t="str">
        <f t="array" ref="A552">IF(C552&lt;&gt;0,INDEX(CodMO,MATCH(C552,MO,0),),)</f>
        <v>M.O-03</v>
      </c>
      <c r="B552" s="399"/>
      <c r="C552" s="1128" t="s">
        <v>135</v>
      </c>
      <c r="D552" s="940"/>
      <c r="E552" s="940"/>
      <c r="F552" s="940"/>
      <c r="G552" s="940"/>
      <c r="H552" s="940"/>
      <c r="I552" s="447">
        <f>IF($A552&gt;0,(VLOOKUP($A552,TablaMO,8,FALSE)),"")</f>
        <v>72503.016666666677</v>
      </c>
      <c r="J552" s="448">
        <f>IF($A552&gt;0,(VLOOKUP($A552,TablaMO,10,FALSE)),"")</f>
        <v>0.67071666666666663</v>
      </c>
      <c r="K552" s="447">
        <f>IF($A552&gt;0,(VLOOKUP($A552,TablaMO,11,FALSE)),"")</f>
        <v>121132</v>
      </c>
      <c r="L552" s="1146">
        <f t="shared" si="32"/>
        <v>6</v>
      </c>
      <c r="M552" s="941"/>
      <c r="N552" s="430">
        <f t="shared" si="31"/>
        <v>20188.666666666668</v>
      </c>
      <c r="O552" s="449"/>
      <c r="P552" s="1"/>
      <c r="Q552" s="1"/>
      <c r="R552" s="1"/>
      <c r="S552" s="1"/>
      <c r="T552" s="1"/>
      <c r="U552" s="1"/>
      <c r="V552" s="1"/>
      <c r="W552" s="1"/>
      <c r="X552" s="1"/>
      <c r="Y552" s="1"/>
      <c r="Z552" s="1"/>
    </row>
    <row r="553" spans="1:26" ht="13.5" customHeight="1">
      <c r="A553" s="395" t="str">
        <f t="array" ref="A553">IF(C553&lt;&gt;0,INDEX(CodMO,MATCH(C553,MO,0),),)</f>
        <v>M.O-04</v>
      </c>
      <c r="B553" s="399"/>
      <c r="C553" s="1152" t="s">
        <v>137</v>
      </c>
      <c r="D553" s="945"/>
      <c r="E553" s="945"/>
      <c r="F553" s="945"/>
      <c r="G553" s="945"/>
      <c r="H553" s="945"/>
      <c r="I553" s="474">
        <f>IF($A553&gt;0,(VLOOKUP($A553,TablaMO,8,FALSE)),"")</f>
        <v>72503.016666666677</v>
      </c>
      <c r="J553" s="475">
        <f>IF($A553&gt;0,(VLOOKUP($A553,TablaMO,10,FALSE)),"")</f>
        <v>0.67071666666666663</v>
      </c>
      <c r="K553" s="474">
        <f>IF($A553&gt;0,(VLOOKUP($A553,TablaMO,11,FALSE)),"")</f>
        <v>121132</v>
      </c>
      <c r="L553" s="1153">
        <f>L549</f>
        <v>6</v>
      </c>
      <c r="M553" s="1039"/>
      <c r="N553" s="430">
        <f t="shared" si="31"/>
        <v>20188.666666666668</v>
      </c>
      <c r="O553" s="449"/>
      <c r="P553" s="1"/>
      <c r="Q553" s="1"/>
      <c r="R553" s="1"/>
      <c r="S553" s="1"/>
      <c r="T553" s="1"/>
      <c r="U553" s="1"/>
      <c r="V553" s="1"/>
      <c r="W553" s="1"/>
      <c r="X553" s="1"/>
      <c r="Y553" s="1"/>
      <c r="Z553" s="1"/>
    </row>
    <row r="554" spans="1:26" ht="13.5" customHeight="1">
      <c r="A554" s="395"/>
      <c r="B554" s="399"/>
      <c r="C554" s="1127" t="s">
        <v>1202</v>
      </c>
      <c r="D554" s="965"/>
      <c r="E554" s="965"/>
      <c r="F554" s="965"/>
      <c r="G554" s="965"/>
      <c r="H554" s="965"/>
      <c r="I554" s="965"/>
      <c r="J554" s="965"/>
      <c r="K554" s="965"/>
      <c r="L554" s="965"/>
      <c r="M554" s="966"/>
      <c r="N554" s="476">
        <f>+SUM(N549:N553)</f>
        <v>115569.66666666669</v>
      </c>
      <c r="O554" s="431"/>
      <c r="P554" s="1"/>
      <c r="Q554" s="1"/>
      <c r="R554" s="1"/>
      <c r="S554" s="1"/>
      <c r="T554" s="1"/>
      <c r="U554" s="1"/>
      <c r="V554" s="1"/>
      <c r="W554" s="1"/>
      <c r="X554" s="1"/>
      <c r="Y554" s="1"/>
      <c r="Z554" s="1"/>
    </row>
    <row r="555" spans="1:26" ht="13.5" customHeight="1">
      <c r="A555" s="395"/>
      <c r="B555" s="399"/>
      <c r="C555" s="418"/>
      <c r="D555" s="39"/>
      <c r="E555" s="39"/>
      <c r="F555" s="39"/>
      <c r="G555" s="39"/>
      <c r="H555" s="39"/>
      <c r="I555" s="39"/>
      <c r="J555" s="39"/>
      <c r="K555" s="39"/>
      <c r="L555" s="39"/>
      <c r="M555" s="39"/>
      <c r="N555" s="40"/>
      <c r="O555" s="402"/>
      <c r="P555" s="1"/>
      <c r="Q555" s="1"/>
      <c r="R555" s="1"/>
      <c r="S555" s="1"/>
      <c r="T555" s="1"/>
      <c r="U555" s="1"/>
      <c r="V555" s="1"/>
      <c r="W555" s="1"/>
      <c r="X555" s="1"/>
      <c r="Y555" s="1"/>
      <c r="Z555" s="1"/>
    </row>
    <row r="556" spans="1:26" ht="13.5" customHeight="1">
      <c r="A556" s="395"/>
      <c r="B556" s="399"/>
      <c r="C556" s="1147" t="s">
        <v>1219</v>
      </c>
      <c r="D556" s="965"/>
      <c r="E556" s="965"/>
      <c r="F556" s="965"/>
      <c r="G556" s="965"/>
      <c r="H556" s="965"/>
      <c r="I556" s="965"/>
      <c r="J556" s="965"/>
      <c r="K556" s="965"/>
      <c r="L556" s="965"/>
      <c r="M556" s="966"/>
      <c r="N556" s="450" t="e">
        <f>+SUM(N554,N544,N537,N527)</f>
        <v>#N/A</v>
      </c>
      <c r="O556" s="451"/>
      <c r="P556" s="1"/>
      <c r="Q556" s="1"/>
      <c r="R556" s="1"/>
      <c r="S556" s="1"/>
      <c r="T556" s="1"/>
      <c r="U556" s="1"/>
      <c r="V556" s="1"/>
      <c r="W556" s="1"/>
      <c r="X556" s="1"/>
      <c r="Y556" s="1"/>
      <c r="Z556" s="1"/>
    </row>
    <row r="557" spans="1:26" ht="13.5" customHeight="1">
      <c r="A557" s="395"/>
      <c r="B557" s="399"/>
      <c r="C557" s="1129" t="s">
        <v>1220</v>
      </c>
      <c r="D557" s="926"/>
      <c r="E557" s="926"/>
      <c r="F557" s="926"/>
      <c r="G557" s="926"/>
      <c r="H557" s="926"/>
      <c r="I557" s="926"/>
      <c r="J557" s="926"/>
      <c r="K557" s="926"/>
      <c r="L557" s="926"/>
      <c r="M557" s="926"/>
      <c r="N557" s="927"/>
      <c r="O557" s="426"/>
      <c r="P557" s="1"/>
      <c r="Q557" s="1"/>
      <c r="R557" s="1"/>
      <c r="S557" s="1"/>
      <c r="T557" s="1"/>
      <c r="U557" s="1"/>
      <c r="V557" s="1"/>
      <c r="W557" s="1"/>
      <c r="X557" s="1"/>
      <c r="Y557" s="1"/>
      <c r="Z557" s="1"/>
    </row>
    <row r="558" spans="1:26" ht="13.5" customHeight="1">
      <c r="A558" s="395"/>
      <c r="B558" s="399"/>
      <c r="C558" s="920"/>
      <c r="D558" s="922"/>
      <c r="E558" s="922"/>
      <c r="F558" s="922"/>
      <c r="G558" s="922"/>
      <c r="H558" s="922"/>
      <c r="I558" s="922"/>
      <c r="J558" s="922"/>
      <c r="K558" s="922"/>
      <c r="L558" s="922"/>
      <c r="M558" s="922"/>
      <c r="N558" s="924"/>
      <c r="O558" s="426"/>
      <c r="P558" s="1"/>
      <c r="Q558" s="1"/>
      <c r="R558" s="1"/>
      <c r="S558" s="1"/>
      <c r="T558" s="1"/>
      <c r="U558" s="1"/>
      <c r="V558" s="1"/>
      <c r="W558" s="1"/>
      <c r="X558" s="1"/>
      <c r="Y558" s="1"/>
      <c r="Z558" s="1"/>
    </row>
    <row r="559" spans="1:26" ht="13.5" customHeight="1">
      <c r="A559" s="395"/>
      <c r="B559" s="399"/>
      <c r="C559" s="929"/>
      <c r="D559" s="936"/>
      <c r="E559" s="936"/>
      <c r="F559" s="936"/>
      <c r="G559" s="936"/>
      <c r="H559" s="936"/>
      <c r="I559" s="936"/>
      <c r="J559" s="936"/>
      <c r="K559" s="936"/>
      <c r="L559" s="936"/>
      <c r="M559" s="936"/>
      <c r="N559" s="938"/>
      <c r="O559" s="426"/>
      <c r="P559" s="1"/>
      <c r="Q559" s="1"/>
      <c r="R559" s="1"/>
      <c r="S559" s="1"/>
      <c r="T559" s="1"/>
      <c r="U559" s="1"/>
      <c r="V559" s="1"/>
      <c r="W559" s="1"/>
      <c r="X559" s="1"/>
      <c r="Y559" s="1"/>
      <c r="Z559" s="1"/>
    </row>
    <row r="560" spans="1:26" ht="13.5" customHeight="1">
      <c r="A560" s="395"/>
      <c r="B560" s="399"/>
      <c r="C560" s="1130" t="s">
        <v>1221</v>
      </c>
      <c r="D560" s="1131"/>
      <c r="E560" s="1131"/>
      <c r="F560" s="1131"/>
      <c r="G560" s="1131"/>
      <c r="H560" s="1132"/>
      <c r="I560" s="438"/>
      <c r="J560" s="438"/>
      <c r="K560" s="438"/>
      <c r="L560" s="1133" t="s">
        <v>1222</v>
      </c>
      <c r="M560" s="1000"/>
      <c r="N560" s="445" t="s">
        <v>1223</v>
      </c>
      <c r="O560" s="446"/>
      <c r="P560" s="1"/>
      <c r="Q560" s="1"/>
      <c r="R560" s="1"/>
      <c r="S560" s="1"/>
      <c r="T560" s="1"/>
      <c r="U560" s="1"/>
      <c r="V560" s="1"/>
      <c r="W560" s="1"/>
      <c r="X560" s="1"/>
      <c r="Y560" s="1"/>
      <c r="Z560" s="1"/>
    </row>
    <row r="561" spans="1:26" ht="13.5" customHeight="1">
      <c r="A561" s="1"/>
      <c r="B561" s="399"/>
      <c r="C561" s="1128" t="s">
        <v>19</v>
      </c>
      <c r="D561" s="940"/>
      <c r="E561" s="940"/>
      <c r="F561" s="940"/>
      <c r="G561" s="940"/>
      <c r="H561" s="940"/>
      <c r="I561" s="452"/>
      <c r="J561" s="452"/>
      <c r="K561" s="452"/>
      <c r="L561" s="1148">
        <f>+Datos!$E$18</f>
        <v>0.25</v>
      </c>
      <c r="M561" s="941"/>
      <c r="N561" s="430" t="e">
        <f>+L561*N556</f>
        <v>#N/A</v>
      </c>
      <c r="O561" s="453"/>
      <c r="P561" s="1"/>
      <c r="Q561" s="1"/>
      <c r="R561" s="1"/>
      <c r="S561" s="1"/>
      <c r="T561" s="1"/>
      <c r="U561" s="1"/>
      <c r="V561" s="1"/>
      <c r="W561" s="1"/>
      <c r="X561" s="1"/>
      <c r="Y561" s="1"/>
      <c r="Z561" s="1"/>
    </row>
    <row r="562" spans="1:26" ht="13.5" customHeight="1">
      <c r="A562" s="1"/>
      <c r="B562" s="399"/>
      <c r="C562" s="454" t="s">
        <v>20</v>
      </c>
      <c r="D562" s="455"/>
      <c r="E562" s="455"/>
      <c r="F562" s="455"/>
      <c r="G562" s="455"/>
      <c r="H562" s="455"/>
      <c r="I562" s="452"/>
      <c r="J562" s="452"/>
      <c r="K562" s="452"/>
      <c r="L562" s="1148">
        <f>+Datos!$E$19</f>
        <v>0.01</v>
      </c>
      <c r="M562" s="941"/>
      <c r="N562" s="430" t="e">
        <f>+L562*N556</f>
        <v>#N/A</v>
      </c>
      <c r="O562" s="453"/>
      <c r="P562" s="1"/>
      <c r="Q562" s="1"/>
      <c r="R562" s="1"/>
      <c r="S562" s="1"/>
      <c r="T562" s="1"/>
      <c r="U562" s="1"/>
      <c r="V562" s="1"/>
      <c r="W562" s="1"/>
      <c r="X562" s="1"/>
      <c r="Y562" s="1"/>
      <c r="Z562" s="1"/>
    </row>
    <row r="563" spans="1:26" ht="13.5" customHeight="1">
      <c r="A563" s="1"/>
      <c r="B563" s="399"/>
      <c r="C563" s="456" t="s">
        <v>21</v>
      </c>
      <c r="D563" s="457"/>
      <c r="E563" s="457"/>
      <c r="F563" s="457"/>
      <c r="G563" s="457"/>
      <c r="H563" s="457"/>
      <c r="I563" s="458"/>
      <c r="J563" s="458"/>
      <c r="K563" s="458"/>
      <c r="L563" s="1148">
        <f>+Datos!$E$20</f>
        <v>0.05</v>
      </c>
      <c r="M563" s="941"/>
      <c r="N563" s="430" t="e">
        <f>+L563*N556</f>
        <v>#N/A</v>
      </c>
      <c r="O563" s="453"/>
      <c r="P563" s="1"/>
      <c r="Q563" s="1"/>
      <c r="R563" s="1"/>
      <c r="S563" s="1"/>
      <c r="T563" s="1"/>
      <c r="U563" s="1"/>
      <c r="V563" s="1"/>
      <c r="W563" s="1"/>
      <c r="X563" s="1"/>
      <c r="Y563" s="1"/>
      <c r="Z563" s="1"/>
    </row>
    <row r="564" spans="1:26" ht="13.5" customHeight="1">
      <c r="A564" s="1"/>
      <c r="B564" s="399"/>
      <c r="C564" s="1127" t="s">
        <v>1202</v>
      </c>
      <c r="D564" s="965"/>
      <c r="E564" s="965"/>
      <c r="F564" s="965"/>
      <c r="G564" s="965"/>
      <c r="H564" s="965"/>
      <c r="I564" s="965"/>
      <c r="J564" s="965"/>
      <c r="K564" s="965"/>
      <c r="L564" s="965"/>
      <c r="M564" s="966"/>
      <c r="N564" s="433" t="e">
        <f>+SUM(N561:N563)</f>
        <v>#N/A</v>
      </c>
      <c r="O564" s="453"/>
      <c r="P564" s="1"/>
      <c r="Q564" s="1"/>
      <c r="R564" s="1"/>
      <c r="S564" s="1"/>
      <c r="T564" s="1"/>
      <c r="U564" s="1"/>
      <c r="V564" s="1"/>
      <c r="W564" s="1"/>
      <c r="X564" s="1"/>
      <c r="Y564" s="1"/>
      <c r="Z564" s="1"/>
    </row>
    <row r="565" spans="1:26" ht="13.5" customHeight="1">
      <c r="A565" s="1"/>
      <c r="B565" s="399"/>
      <c r="C565" s="418"/>
      <c r="D565" s="39"/>
      <c r="E565" s="39"/>
      <c r="F565" s="39"/>
      <c r="G565" s="39"/>
      <c r="H565" s="39"/>
      <c r="I565" s="39"/>
      <c r="J565" s="39"/>
      <c r="K565" s="39"/>
      <c r="L565" s="39"/>
      <c r="M565" s="39"/>
      <c r="N565" s="40"/>
      <c r="O565" s="402"/>
      <c r="P565" s="1"/>
      <c r="Q565" s="1"/>
      <c r="R565" s="1"/>
      <c r="S565" s="1"/>
      <c r="T565" s="1"/>
      <c r="U565" s="1"/>
      <c r="V565" s="1"/>
      <c r="W565" s="1"/>
      <c r="X565" s="1"/>
      <c r="Y565" s="1"/>
      <c r="Z565" s="1"/>
    </row>
    <row r="566" spans="1:26" ht="13.5" customHeight="1">
      <c r="A566" s="1"/>
      <c r="B566" s="399"/>
      <c r="C566" s="1147" t="s">
        <v>1224</v>
      </c>
      <c r="D566" s="965"/>
      <c r="E566" s="965"/>
      <c r="F566" s="965"/>
      <c r="G566" s="965"/>
      <c r="H566" s="965"/>
      <c r="I566" s="965"/>
      <c r="J566" s="965"/>
      <c r="K566" s="965"/>
      <c r="L566" s="965"/>
      <c r="M566" s="966"/>
      <c r="N566" s="459" t="e">
        <f>+ROUND(SUM(N564,N556),0)</f>
        <v>#N/A</v>
      </c>
      <c r="O566" s="453"/>
      <c r="P566" s="1"/>
      <c r="Q566" s="1"/>
      <c r="R566" s="1"/>
      <c r="S566" s="1"/>
      <c r="T566" s="1"/>
      <c r="U566" s="1"/>
      <c r="V566" s="1"/>
      <c r="W566" s="1"/>
      <c r="X566" s="1"/>
      <c r="Y566" s="1"/>
      <c r="Z566" s="1"/>
    </row>
    <row r="567" spans="1:26" ht="13.5" customHeight="1">
      <c r="A567" s="1"/>
      <c r="B567" s="399"/>
      <c r="C567" s="460"/>
      <c r="D567" s="461"/>
      <c r="E567" s="461"/>
      <c r="F567" s="461"/>
      <c r="G567" s="461"/>
      <c r="H567" s="461"/>
      <c r="I567" s="461"/>
      <c r="J567" s="461"/>
      <c r="K567" s="461"/>
      <c r="L567" s="461"/>
      <c r="M567" s="461"/>
      <c r="N567" s="462"/>
      <c r="O567" s="402"/>
      <c r="P567" s="1"/>
      <c r="Q567" s="1"/>
      <c r="R567" s="1"/>
      <c r="S567" s="1"/>
      <c r="T567" s="1"/>
      <c r="U567" s="1"/>
      <c r="V567" s="1"/>
      <c r="W567" s="1"/>
      <c r="X567" s="1"/>
      <c r="Y567" s="1"/>
      <c r="Z567" s="1"/>
    </row>
    <row r="568" spans="1:26" ht="13.5" customHeight="1">
      <c r="A568" s="1"/>
      <c r="B568" s="399"/>
      <c r="C568" s="418"/>
      <c r="D568" s="39"/>
      <c r="E568" s="39"/>
      <c r="F568" s="39"/>
      <c r="G568" s="39"/>
      <c r="H568" s="39"/>
      <c r="I568" s="39"/>
      <c r="J568" s="39"/>
      <c r="K568" s="39"/>
      <c r="L568" s="39"/>
      <c r="M568" s="39"/>
      <c r="N568" s="40"/>
      <c r="O568" s="402"/>
      <c r="P568" s="1"/>
      <c r="Q568" s="1"/>
      <c r="R568" s="1"/>
      <c r="S568" s="1"/>
      <c r="T568" s="1"/>
      <c r="U568" s="1"/>
      <c r="V568" s="1"/>
      <c r="W568" s="1"/>
      <c r="X568" s="1"/>
      <c r="Y568" s="1"/>
      <c r="Z568" s="1"/>
    </row>
    <row r="569" spans="1:26" ht="13.5" customHeight="1">
      <c r="A569" s="1"/>
      <c r="B569" s="399"/>
      <c r="C569" s="418"/>
      <c r="D569" s="39"/>
      <c r="E569" s="39"/>
      <c r="F569" s="39"/>
      <c r="G569" s="39"/>
      <c r="H569" s="39"/>
      <c r="I569" s="39"/>
      <c r="J569" s="39"/>
      <c r="K569" s="39"/>
      <c r="L569" s="39"/>
      <c r="M569" s="39"/>
      <c r="N569" s="40"/>
      <c r="O569" s="402"/>
      <c r="P569" s="1"/>
      <c r="Q569" s="1"/>
      <c r="R569" s="1"/>
      <c r="S569" s="1"/>
      <c r="T569" s="1"/>
      <c r="U569" s="1"/>
      <c r="V569" s="1"/>
      <c r="W569" s="1"/>
      <c r="X569" s="1"/>
      <c r="Y569" s="1"/>
      <c r="Z569" s="1"/>
    </row>
    <row r="570" spans="1:26" ht="13.5" customHeight="1">
      <c r="A570" s="1"/>
      <c r="B570" s="399"/>
      <c r="C570" s="418"/>
      <c r="D570" s="463"/>
      <c r="E570" s="463"/>
      <c r="F570" s="463"/>
      <c r="G570" s="184"/>
      <c r="H570" s="184"/>
      <c r="I570" s="184"/>
      <c r="J570" s="463"/>
      <c r="K570" s="463"/>
      <c r="L570" s="463"/>
      <c r="M570" s="463"/>
      <c r="N570" s="40"/>
      <c r="O570" s="402"/>
      <c r="P570" s="1"/>
      <c r="Q570" s="1"/>
      <c r="R570" s="1"/>
      <c r="S570" s="1"/>
      <c r="T570" s="1"/>
      <c r="U570" s="1"/>
      <c r="V570" s="1"/>
      <c r="W570" s="1"/>
      <c r="X570" s="1"/>
      <c r="Y570" s="1"/>
      <c r="Z570" s="1"/>
    </row>
    <row r="571" spans="1:26" ht="13.5" customHeight="1">
      <c r="A571" s="1"/>
      <c r="B571" s="399"/>
      <c r="C571" s="418"/>
      <c r="D571" s="39" t="s">
        <v>1225</v>
      </c>
      <c r="E571" s="39"/>
      <c r="F571" s="39"/>
      <c r="G571" s="184"/>
      <c r="H571" s="184"/>
      <c r="I571" s="184"/>
      <c r="J571" s="39" t="s">
        <v>1225</v>
      </c>
      <c r="K571" s="39"/>
      <c r="L571" s="39"/>
      <c r="M571" s="39"/>
      <c r="N571" s="40"/>
      <c r="O571" s="464"/>
      <c r="P571" s="1"/>
      <c r="Q571" s="1"/>
      <c r="R571" s="1"/>
      <c r="S571" s="1"/>
      <c r="T571" s="1"/>
      <c r="U571" s="1"/>
      <c r="V571" s="1"/>
      <c r="W571" s="1"/>
      <c r="X571" s="1"/>
      <c r="Y571" s="1"/>
      <c r="Z571" s="1"/>
    </row>
    <row r="572" spans="1:26" ht="13.5" customHeight="1">
      <c r="A572" s="1"/>
      <c r="B572" s="399"/>
      <c r="C572" s="418"/>
      <c r="D572" s="39" t="s">
        <v>1226</v>
      </c>
      <c r="E572" s="39"/>
      <c r="F572" s="39"/>
      <c r="G572" s="184"/>
      <c r="H572" s="184"/>
      <c r="I572" s="184"/>
      <c r="J572" s="39" t="s">
        <v>1227</v>
      </c>
      <c r="K572" s="39"/>
      <c r="L572" s="39"/>
      <c r="M572" s="39"/>
      <c r="N572" s="40"/>
      <c r="O572" s="464"/>
      <c r="P572" s="1"/>
      <c r="Q572" s="1"/>
      <c r="R572" s="1"/>
      <c r="S572" s="1"/>
      <c r="T572" s="1"/>
      <c r="U572" s="1"/>
      <c r="V572" s="1"/>
      <c r="W572" s="1"/>
      <c r="X572" s="1"/>
      <c r="Y572" s="1"/>
      <c r="Z572" s="1"/>
    </row>
    <row r="573" spans="1:26" ht="13.5" customHeight="1">
      <c r="A573" s="1"/>
      <c r="B573" s="399"/>
      <c r="C573" s="404"/>
      <c r="D573" s="39" t="s">
        <v>1228</v>
      </c>
      <c r="E573" s="42"/>
      <c r="F573" s="42"/>
      <c r="G573" s="184"/>
      <c r="H573" s="184"/>
      <c r="I573" s="184"/>
      <c r="J573" s="39" t="s">
        <v>1228</v>
      </c>
      <c r="K573" s="42"/>
      <c r="L573" s="42"/>
      <c r="M573" s="42"/>
      <c r="N573" s="43"/>
      <c r="O573" s="465"/>
      <c r="P573" s="1"/>
      <c r="Q573" s="1"/>
      <c r="R573" s="1"/>
      <c r="S573" s="1"/>
      <c r="T573" s="1"/>
      <c r="U573" s="1"/>
      <c r="V573" s="1"/>
      <c r="W573" s="1"/>
      <c r="X573" s="1"/>
      <c r="Y573" s="1"/>
      <c r="Z573" s="1"/>
    </row>
    <row r="574" spans="1:26" ht="13.5" customHeight="1">
      <c r="A574" s="1"/>
      <c r="B574" s="399"/>
      <c r="C574" s="418"/>
      <c r="D574" s="39"/>
      <c r="E574" s="39"/>
      <c r="F574" s="39"/>
      <c r="G574" s="39" t="s">
        <v>1229</v>
      </c>
      <c r="H574" s="39"/>
      <c r="I574" s="39"/>
      <c r="J574" s="39"/>
      <c r="K574" s="39"/>
      <c r="L574" s="39"/>
      <c r="M574" s="39"/>
      <c r="N574" s="40"/>
      <c r="O574" s="402"/>
      <c r="P574" s="1"/>
      <c r="Q574" s="1"/>
      <c r="R574" s="1"/>
      <c r="S574" s="1"/>
      <c r="T574" s="1"/>
      <c r="U574" s="1"/>
      <c r="V574" s="1"/>
      <c r="W574" s="1"/>
      <c r="X574" s="1"/>
      <c r="Y574" s="1"/>
      <c r="Z574" s="1"/>
    </row>
    <row r="575" spans="1:26" ht="17.25" customHeight="1">
      <c r="A575" s="1"/>
      <c r="B575" s="399"/>
      <c r="C575" s="466"/>
      <c r="D575" s="467"/>
      <c r="E575" s="467"/>
      <c r="F575" s="39"/>
      <c r="G575" s="39"/>
      <c r="H575" s="39"/>
      <c r="I575" s="39"/>
      <c r="J575" s="1149"/>
      <c r="K575" s="922"/>
      <c r="L575" s="922"/>
      <c r="M575" s="922"/>
      <c r="N575" s="924"/>
      <c r="O575" s="468"/>
      <c r="P575" s="1"/>
      <c r="Q575" s="1"/>
      <c r="R575" s="1"/>
      <c r="S575" s="1"/>
      <c r="T575" s="1"/>
      <c r="U575" s="1"/>
      <c r="V575" s="1"/>
      <c r="W575" s="1"/>
      <c r="X575" s="1"/>
      <c r="Y575" s="1"/>
      <c r="Z575" s="1"/>
    </row>
    <row r="576" spans="1:26" ht="18.75" customHeight="1">
      <c r="A576" s="1"/>
      <c r="B576" s="399"/>
      <c r="C576" s="1150"/>
      <c r="D576" s="936"/>
      <c r="E576" s="936"/>
      <c r="F576" s="416"/>
      <c r="G576" s="416"/>
      <c r="H576" s="416"/>
      <c r="I576" s="416"/>
      <c r="J576" s="936"/>
      <c r="K576" s="936"/>
      <c r="L576" s="936"/>
      <c r="M576" s="936"/>
      <c r="N576" s="938"/>
      <c r="O576" s="468"/>
      <c r="P576" s="1"/>
      <c r="Q576" s="1"/>
      <c r="R576" s="1"/>
      <c r="S576" s="1"/>
      <c r="T576" s="1"/>
      <c r="U576" s="1"/>
      <c r="V576" s="1"/>
      <c r="W576" s="1"/>
      <c r="X576" s="1"/>
      <c r="Y576" s="1"/>
      <c r="Z576" s="1"/>
    </row>
    <row r="577" spans="1:26" ht="13.5" customHeight="1">
      <c r="A577" s="1"/>
      <c r="B577" s="469"/>
      <c r="C577" s="470"/>
      <c r="D577" s="470"/>
      <c r="E577" s="470"/>
      <c r="F577" s="470"/>
      <c r="G577" s="470"/>
      <c r="H577" s="470"/>
      <c r="I577" s="470"/>
      <c r="J577" s="470"/>
      <c r="K577" s="470"/>
      <c r="L577" s="470"/>
      <c r="M577" s="470"/>
      <c r="N577" s="470"/>
      <c r="O577" s="471"/>
      <c r="P577" s="1"/>
      <c r="Q577" s="1"/>
      <c r="R577" s="1"/>
      <c r="S577" s="1"/>
      <c r="T577" s="1"/>
      <c r="U577" s="1"/>
      <c r="V577" s="1"/>
      <c r="W577" s="1"/>
      <c r="X577" s="1"/>
      <c r="Y577" s="1"/>
      <c r="Z577" s="1"/>
    </row>
    <row r="578" spans="1:26" ht="13.5" customHeight="1">
      <c r="A578" s="1"/>
      <c r="B578" s="184"/>
      <c r="C578" s="184"/>
      <c r="D578" s="184"/>
      <c r="E578" s="184"/>
      <c r="F578" s="184"/>
      <c r="G578" s="184"/>
      <c r="H578" s="184"/>
      <c r="I578" s="184"/>
      <c r="J578" s="184"/>
      <c r="K578" s="184"/>
      <c r="L578" s="184"/>
      <c r="M578" s="184"/>
      <c r="N578" s="184"/>
      <c r="O578" s="184"/>
      <c r="P578" s="1"/>
      <c r="Q578" s="1"/>
      <c r="R578" s="1"/>
      <c r="S578" s="1"/>
      <c r="T578" s="1"/>
      <c r="U578" s="1"/>
      <c r="V578" s="1"/>
      <c r="W578" s="1"/>
      <c r="X578" s="1"/>
      <c r="Y578" s="1"/>
      <c r="Z578" s="1"/>
    </row>
    <row r="579" spans="1:26" ht="13.5" customHeight="1">
      <c r="A579" s="1"/>
      <c r="B579" s="184"/>
      <c r="C579" s="184"/>
      <c r="D579" s="184"/>
      <c r="E579" s="184"/>
      <c r="F579" s="184"/>
      <c r="G579" s="184"/>
      <c r="H579" s="184"/>
      <c r="I579" s="184"/>
      <c r="J579" s="184"/>
      <c r="K579" s="184"/>
      <c r="L579" s="184"/>
      <c r="M579" s="184"/>
      <c r="N579" s="184"/>
      <c r="O579" s="184"/>
      <c r="P579" s="1"/>
      <c r="Q579" s="1"/>
      <c r="R579" s="1"/>
      <c r="S579" s="1"/>
      <c r="T579" s="1"/>
      <c r="U579" s="1"/>
      <c r="V579" s="1"/>
      <c r="W579" s="1"/>
      <c r="X579" s="1"/>
      <c r="Y579" s="1"/>
      <c r="Z579" s="1"/>
    </row>
    <row r="580" spans="1:26" ht="13.5" customHeight="1">
      <c r="A580" s="1"/>
      <c r="B580" s="396"/>
      <c r="C580" s="397"/>
      <c r="D580" s="397"/>
      <c r="E580" s="397"/>
      <c r="F580" s="397"/>
      <c r="G580" s="397"/>
      <c r="H580" s="397"/>
      <c r="I580" s="397"/>
      <c r="J580" s="397"/>
      <c r="K580" s="397"/>
      <c r="L580" s="397"/>
      <c r="M580" s="397"/>
      <c r="N580" s="397"/>
      <c r="O580" s="398"/>
      <c r="P580" s="1"/>
      <c r="Q580" s="1"/>
      <c r="R580" s="1"/>
      <c r="S580" s="1"/>
      <c r="T580" s="1"/>
      <c r="U580" s="1"/>
      <c r="V580" s="1"/>
      <c r="W580" s="1"/>
      <c r="X580" s="1"/>
      <c r="Y580" s="1"/>
      <c r="Z580" s="1"/>
    </row>
    <row r="581" spans="1:26" ht="13.5" customHeight="1">
      <c r="A581" s="1"/>
      <c r="B581" s="399"/>
      <c r="C581" s="400"/>
      <c r="D581" s="401"/>
      <c r="E581" s="400"/>
      <c r="F581" s="184"/>
      <c r="G581" s="184"/>
      <c r="H581" s="184"/>
      <c r="I581" s="184"/>
      <c r="J581" s="184"/>
      <c r="K581" s="184"/>
      <c r="L581" s="184"/>
      <c r="M581" s="184"/>
      <c r="N581" s="184"/>
      <c r="O581" s="402"/>
      <c r="P581" s="1"/>
      <c r="Q581" s="1"/>
      <c r="R581" s="1"/>
      <c r="S581" s="1"/>
      <c r="T581" s="1"/>
      <c r="U581" s="1"/>
      <c r="V581" s="1"/>
      <c r="W581" s="1"/>
      <c r="X581" s="1"/>
      <c r="Y581" s="1"/>
      <c r="Z581" s="1"/>
    </row>
    <row r="582" spans="1:26" ht="13.5" customHeight="1">
      <c r="A582" s="1"/>
      <c r="B582" s="399"/>
      <c r="C582" s="39"/>
      <c r="D582" s="39"/>
      <c r="E582" s="39"/>
      <c r="F582" s="39"/>
      <c r="G582" s="39"/>
      <c r="H582" s="39"/>
      <c r="I582" s="39"/>
      <c r="J582" s="39"/>
      <c r="K582" s="39"/>
      <c r="L582" s="39"/>
      <c r="M582" s="39"/>
      <c r="N582" s="39"/>
      <c r="O582" s="402"/>
      <c r="P582" s="1"/>
      <c r="Q582" s="1"/>
      <c r="R582" s="1"/>
      <c r="S582" s="1"/>
      <c r="T582" s="1"/>
      <c r="U582" s="1"/>
      <c r="V582" s="1"/>
      <c r="W582" s="1"/>
      <c r="X582" s="1"/>
      <c r="Y582" s="1"/>
      <c r="Z582" s="1"/>
    </row>
    <row r="583" spans="1:26" ht="13.5" customHeight="1">
      <c r="A583" s="1"/>
      <c r="B583" s="399"/>
      <c r="C583" s="1124"/>
      <c r="D583" s="927"/>
      <c r="E583" s="1014" t="str">
        <f>+Datos!$C$9</f>
        <v>CONSEJO SUPERIOR  DE  JUDICATURA– DIRECCIÓN  EJECUTIVA  SECCIONAL  DE ADMINISTRACIÓN JUDICIAL DE BUCARAMANGA</v>
      </c>
      <c r="F583" s="926"/>
      <c r="G583" s="926"/>
      <c r="H583" s="926"/>
      <c r="I583" s="926"/>
      <c r="J583" s="926"/>
      <c r="K583" s="927"/>
      <c r="L583" s="925" t="s">
        <v>1</v>
      </c>
      <c r="M583" s="931"/>
      <c r="N583" s="933">
        <f>Datos!$C$4</f>
        <v>1</v>
      </c>
      <c r="O583" s="403"/>
      <c r="P583" s="1"/>
      <c r="Q583" s="1"/>
      <c r="R583" s="1"/>
      <c r="S583" s="1"/>
      <c r="T583" s="1"/>
      <c r="U583" s="1"/>
      <c r="V583" s="1"/>
      <c r="W583" s="1"/>
      <c r="X583" s="1"/>
      <c r="Y583" s="1"/>
      <c r="Z583" s="1"/>
    </row>
    <row r="584" spans="1:26" ht="13.5" customHeight="1">
      <c r="A584" s="1"/>
      <c r="B584" s="399"/>
      <c r="C584" s="920"/>
      <c r="D584" s="924"/>
      <c r="E584" s="920"/>
      <c r="F584" s="922"/>
      <c r="G584" s="922"/>
      <c r="H584" s="922"/>
      <c r="I584" s="922"/>
      <c r="J584" s="922"/>
      <c r="K584" s="924"/>
      <c r="L584" s="920"/>
      <c r="M584" s="932"/>
      <c r="N584" s="934"/>
      <c r="O584" s="403"/>
      <c r="P584" s="1"/>
      <c r="Q584" s="1"/>
      <c r="R584" s="1"/>
      <c r="S584" s="1"/>
      <c r="T584" s="1"/>
      <c r="U584" s="1"/>
      <c r="V584" s="1"/>
      <c r="W584" s="1"/>
      <c r="X584" s="1"/>
      <c r="Y584" s="1"/>
      <c r="Z584" s="1"/>
    </row>
    <row r="585" spans="1:26" ht="13.5" customHeight="1">
      <c r="A585" s="1"/>
      <c r="B585" s="399"/>
      <c r="C585" s="920"/>
      <c r="D585" s="924"/>
      <c r="E585" s="919" t="str">
        <f>Datos!$C$13</f>
        <v xml:space="preserve">BGA - 030 - 2026 </v>
      </c>
      <c r="F585" s="922"/>
      <c r="G585" s="922"/>
      <c r="H585" s="922"/>
      <c r="I585" s="922"/>
      <c r="J585" s="922"/>
      <c r="K585" s="922"/>
      <c r="L585" s="925" t="s">
        <v>29</v>
      </c>
      <c r="M585" s="926"/>
      <c r="N585" s="927"/>
      <c r="O585" s="403"/>
      <c r="P585" s="1"/>
      <c r="Q585" s="1"/>
      <c r="R585" s="1"/>
      <c r="S585" s="1"/>
      <c r="T585" s="1"/>
      <c r="U585" s="1"/>
      <c r="V585" s="1"/>
      <c r="W585" s="1"/>
      <c r="X585" s="1"/>
      <c r="Y585" s="1"/>
      <c r="Z585" s="1"/>
    </row>
    <row r="586" spans="1:26" ht="13.5" customHeight="1">
      <c r="A586" s="1"/>
      <c r="B586" s="399"/>
      <c r="C586" s="920"/>
      <c r="D586" s="924"/>
      <c r="E586" s="405"/>
      <c r="F586" s="406"/>
      <c r="G586" s="406"/>
      <c r="H586" s="406"/>
      <c r="I586" s="406"/>
      <c r="J586" s="406"/>
      <c r="K586" s="42"/>
      <c r="L586" s="919">
        <v>1</v>
      </c>
      <c r="M586" s="921" t="s">
        <v>30</v>
      </c>
      <c r="N586" s="923">
        <v>1</v>
      </c>
      <c r="O586" s="403"/>
      <c r="P586" s="1"/>
      <c r="Q586" s="1"/>
      <c r="R586" s="1"/>
      <c r="S586" s="1"/>
      <c r="T586" s="1"/>
      <c r="U586" s="1"/>
      <c r="V586" s="1"/>
      <c r="W586" s="1"/>
      <c r="X586" s="1"/>
      <c r="Y586" s="1"/>
      <c r="Z586" s="1"/>
    </row>
    <row r="587" spans="1:26" ht="12.75" customHeight="1">
      <c r="A587" s="1"/>
      <c r="B587" s="399"/>
      <c r="C587" s="920"/>
      <c r="D587" s="924"/>
      <c r="E587"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87" s="922"/>
      <c r="G587" s="922"/>
      <c r="H587" s="922"/>
      <c r="I587" s="922"/>
      <c r="J587" s="922"/>
      <c r="K587" s="922"/>
      <c r="L587" s="920"/>
      <c r="M587" s="922"/>
      <c r="N587" s="924"/>
      <c r="O587" s="403"/>
      <c r="P587" s="1"/>
      <c r="Q587" s="1"/>
      <c r="R587" s="1"/>
      <c r="S587" s="1"/>
      <c r="T587" s="1"/>
      <c r="U587" s="1"/>
      <c r="V587" s="1"/>
      <c r="W587" s="1"/>
      <c r="X587" s="1"/>
      <c r="Y587" s="1"/>
      <c r="Z587" s="1"/>
    </row>
    <row r="588" spans="1:26" ht="13.5" customHeight="1">
      <c r="A588" s="1"/>
      <c r="B588" s="399"/>
      <c r="C588" s="920"/>
      <c r="D588" s="924"/>
      <c r="E588" s="920"/>
      <c r="F588" s="922"/>
      <c r="G588" s="922"/>
      <c r="H588" s="922"/>
      <c r="I588" s="922"/>
      <c r="J588" s="922"/>
      <c r="K588" s="922"/>
      <c r="L588" s="925" t="s">
        <v>2</v>
      </c>
      <c r="M588" s="926"/>
      <c r="N588" s="927"/>
      <c r="O588" s="403"/>
      <c r="P588" s="1"/>
      <c r="Q588" s="1"/>
      <c r="R588" s="1"/>
      <c r="S588" s="1"/>
      <c r="T588" s="1"/>
      <c r="U588" s="1"/>
      <c r="V588" s="1"/>
      <c r="W588" s="1"/>
      <c r="X588" s="1"/>
      <c r="Y588" s="1"/>
      <c r="Z588" s="1"/>
    </row>
    <row r="589" spans="1:26" ht="13.5" customHeight="1">
      <c r="A589" s="1"/>
      <c r="B589" s="399"/>
      <c r="C589" s="920"/>
      <c r="D589" s="924"/>
      <c r="E589" s="407"/>
      <c r="F589" s="216"/>
      <c r="G589" s="216"/>
      <c r="H589" s="216"/>
      <c r="I589" s="216"/>
      <c r="J589" s="216"/>
      <c r="K589" s="216"/>
      <c r="L589" s="408" t="s">
        <v>3</v>
      </c>
      <c r="M589" s="409" t="s">
        <v>4</v>
      </c>
      <c r="N589" s="410" t="s">
        <v>5</v>
      </c>
      <c r="O589" s="403"/>
      <c r="P589" s="1"/>
      <c r="Q589" s="1"/>
      <c r="R589" s="1"/>
      <c r="S589" s="1"/>
      <c r="T589" s="1"/>
      <c r="U589" s="1"/>
      <c r="V589" s="1"/>
      <c r="W589" s="1"/>
      <c r="X589" s="1"/>
      <c r="Y589" s="1"/>
      <c r="Z589" s="1"/>
    </row>
    <row r="590" spans="1:26" ht="13.5" customHeight="1">
      <c r="A590" s="1"/>
      <c r="B590" s="399"/>
      <c r="C590" s="920"/>
      <c r="D590" s="924"/>
      <c r="E590" s="1125" t="s">
        <v>1186</v>
      </c>
      <c r="F590" s="945"/>
      <c r="G590" s="945"/>
      <c r="H590" s="945"/>
      <c r="I590" s="945"/>
      <c r="J590" s="945"/>
      <c r="K590" s="945"/>
      <c r="L590" s="928">
        <f>+Datos!C501</f>
        <v>0</v>
      </c>
      <c r="M590" s="935">
        <f>+Datos!D501</f>
        <v>0</v>
      </c>
      <c r="N590" s="937">
        <f>+Datos!E501</f>
        <v>0</v>
      </c>
      <c r="O590" s="411"/>
      <c r="P590" s="1"/>
      <c r="Q590" s="1"/>
      <c r="R590" s="1"/>
      <c r="S590" s="1"/>
      <c r="T590" s="1"/>
      <c r="U590" s="1"/>
      <c r="V590" s="1"/>
      <c r="W590" s="1"/>
      <c r="X590" s="1"/>
      <c r="Y590" s="1"/>
      <c r="Z590" s="1"/>
    </row>
    <row r="591" spans="1:26" ht="13.5" customHeight="1">
      <c r="A591" s="1"/>
      <c r="B591" s="399"/>
      <c r="C591" s="929"/>
      <c r="D591" s="938"/>
      <c r="E591" s="929"/>
      <c r="F591" s="936"/>
      <c r="G591" s="936"/>
      <c r="H591" s="936"/>
      <c r="I591" s="936"/>
      <c r="J591" s="936"/>
      <c r="K591" s="936"/>
      <c r="L591" s="929"/>
      <c r="M591" s="936"/>
      <c r="N591" s="938"/>
      <c r="O591" s="403"/>
      <c r="P591" s="1"/>
      <c r="Q591" s="1"/>
      <c r="R591" s="1"/>
      <c r="S591" s="1"/>
      <c r="T591" s="1"/>
      <c r="U591" s="1"/>
      <c r="V591" s="1"/>
      <c r="W591" s="1"/>
      <c r="X591" s="1"/>
      <c r="Y591" s="1"/>
      <c r="Z591" s="1"/>
    </row>
    <row r="592" spans="1:26" ht="13.5" customHeight="1">
      <c r="A592" s="1"/>
      <c r="B592" s="399"/>
      <c r="C592" s="404"/>
      <c r="D592" s="38"/>
      <c r="E592" s="38"/>
      <c r="F592" s="38"/>
      <c r="G592" s="38"/>
      <c r="H592" s="38"/>
      <c r="I592" s="38"/>
      <c r="J592" s="38"/>
      <c r="K592" s="38"/>
      <c r="L592" s="39"/>
      <c r="M592" s="39"/>
      <c r="N592" s="40"/>
      <c r="O592" s="414"/>
      <c r="P592" s="1"/>
      <c r="Q592" s="1"/>
      <c r="R592" s="1"/>
      <c r="S592" s="1"/>
      <c r="T592" s="1"/>
      <c r="U592" s="1"/>
      <c r="V592" s="1"/>
      <c r="W592" s="1"/>
      <c r="X592" s="1"/>
      <c r="Y592" s="1"/>
      <c r="Z592" s="1"/>
    </row>
    <row r="593" spans="1:26" ht="18" customHeight="1">
      <c r="A593" s="395"/>
      <c r="B593" s="399"/>
      <c r="C593" s="412" t="s">
        <v>1187</v>
      </c>
      <c r="D593" s="1126" t="s">
        <v>1188</v>
      </c>
      <c r="E593" s="922"/>
      <c r="F593" s="922"/>
      <c r="G593" s="922"/>
      <c r="H593" s="922"/>
      <c r="I593" s="922"/>
      <c r="J593" s="922"/>
      <c r="K593" s="922"/>
      <c r="L593" s="922"/>
      <c r="M593" s="1"/>
      <c r="N593" s="413"/>
      <c r="O593" s="414"/>
      <c r="P593" s="1"/>
      <c r="Q593" s="1"/>
      <c r="R593" s="1"/>
      <c r="S593" s="1"/>
      <c r="T593" s="1"/>
      <c r="U593" s="1"/>
      <c r="V593" s="1"/>
      <c r="W593" s="1"/>
      <c r="X593" s="1"/>
      <c r="Y593" s="1"/>
      <c r="Z593" s="1"/>
    </row>
    <row r="594" spans="1:26" ht="13.5" customHeight="1">
      <c r="A594" s="395"/>
      <c r="B594" s="399"/>
      <c r="C594" s="412" t="s">
        <v>1189</v>
      </c>
      <c r="D594" s="1126" t="s">
        <v>1190</v>
      </c>
      <c r="E594" s="922"/>
      <c r="F594" s="922"/>
      <c r="G594" s="922"/>
      <c r="H594" s="922"/>
      <c r="I594" s="922"/>
      <c r="J594" s="922"/>
      <c r="K594" s="922"/>
      <c r="L594" s="922"/>
      <c r="M594" s="1"/>
      <c r="N594" s="413"/>
      <c r="O594" s="403"/>
      <c r="P594" s="1"/>
      <c r="Q594" s="1"/>
      <c r="R594" s="1"/>
      <c r="S594" s="1"/>
      <c r="T594" s="1"/>
      <c r="U594" s="1"/>
      <c r="V594" s="1"/>
      <c r="W594" s="1"/>
      <c r="X594" s="1"/>
      <c r="Y594" s="1"/>
      <c r="Z594" s="1"/>
    </row>
    <row r="595" spans="1:26" ht="13.5" customHeight="1">
      <c r="A595" s="395"/>
      <c r="B595" s="399"/>
      <c r="C595" s="415"/>
      <c r="D595" s="416"/>
      <c r="E595" s="416"/>
      <c r="F595" s="416"/>
      <c r="G595" s="416"/>
      <c r="H595" s="416"/>
      <c r="I595" s="416"/>
      <c r="J595" s="416"/>
      <c r="K595" s="416"/>
      <c r="L595" s="416"/>
      <c r="M595" s="416"/>
      <c r="N595" s="417"/>
      <c r="O595" s="402"/>
      <c r="P595" s="1"/>
      <c r="Q595" s="1"/>
      <c r="R595" s="1"/>
      <c r="S595" s="1"/>
      <c r="T595" s="1"/>
      <c r="U595" s="1"/>
      <c r="V595" s="1"/>
      <c r="W595" s="1"/>
      <c r="X595" s="1"/>
      <c r="Y595" s="1"/>
      <c r="Z595" s="1"/>
    </row>
    <row r="596" spans="1:26" ht="13.5" customHeight="1">
      <c r="A596" s="395"/>
      <c r="B596" s="399"/>
      <c r="C596" s="418"/>
      <c r="D596" s="39"/>
      <c r="E596" s="39"/>
      <c r="F596" s="39"/>
      <c r="G596" s="39"/>
      <c r="H596" s="39"/>
      <c r="I596" s="39"/>
      <c r="J596" s="39"/>
      <c r="K596" s="39"/>
      <c r="L596" s="39"/>
      <c r="M596" s="39"/>
      <c r="N596" s="40"/>
      <c r="O596" s="402"/>
      <c r="P596" s="1"/>
      <c r="Q596" s="1"/>
      <c r="R596" s="1"/>
      <c r="S596" s="1"/>
      <c r="T596" s="1"/>
      <c r="U596" s="1"/>
      <c r="V596" s="1"/>
      <c r="W596" s="1"/>
      <c r="X596" s="1"/>
      <c r="Y596" s="1"/>
      <c r="Z596" s="1"/>
    </row>
    <row r="597" spans="1:26" ht="13.5" customHeight="1">
      <c r="A597" s="395"/>
      <c r="B597" s="399"/>
      <c r="C597" s="925" t="s">
        <v>1191</v>
      </c>
      <c r="D597" s="926"/>
      <c r="E597" s="926"/>
      <c r="F597" s="926"/>
      <c r="G597" s="926"/>
      <c r="H597" s="926"/>
      <c r="I597" s="926"/>
      <c r="J597" s="926"/>
      <c r="K597" s="926"/>
      <c r="L597" s="926"/>
      <c r="M597" s="926"/>
      <c r="N597" s="927"/>
      <c r="O597" s="419"/>
      <c r="P597" s="1"/>
      <c r="Q597" s="1"/>
      <c r="R597" s="1"/>
      <c r="S597" s="1"/>
      <c r="T597" s="1"/>
      <c r="U597" s="1"/>
      <c r="V597" s="1"/>
      <c r="W597" s="1"/>
      <c r="X597" s="1"/>
      <c r="Y597" s="1"/>
      <c r="Z597" s="1"/>
    </row>
    <row r="598" spans="1:26" ht="13.5" customHeight="1">
      <c r="A598" s="395"/>
      <c r="B598" s="399"/>
      <c r="C598" s="418"/>
      <c r="D598" s="39"/>
      <c r="E598" s="39"/>
      <c r="F598" s="39"/>
      <c r="G598" s="39"/>
      <c r="H598" s="39"/>
      <c r="I598" s="39"/>
      <c r="J598" s="39"/>
      <c r="K598" s="39"/>
      <c r="L598" s="39"/>
      <c r="M598" s="39"/>
      <c r="N598" s="40"/>
      <c r="O598" s="402"/>
      <c r="P598" s="1"/>
      <c r="Q598" s="1"/>
      <c r="R598" s="1"/>
      <c r="S598" s="1"/>
      <c r="T598" s="1"/>
      <c r="U598" s="1"/>
      <c r="V598" s="1"/>
      <c r="W598" s="1"/>
      <c r="X598" s="1"/>
      <c r="Y598" s="1"/>
      <c r="Z598" s="1"/>
    </row>
    <row r="599" spans="1:26" ht="13.5" customHeight="1">
      <c r="A599" s="395"/>
      <c r="B599" s="399"/>
      <c r="C599" s="420" t="s">
        <v>965</v>
      </c>
      <c r="D599" s="1136" t="s">
        <v>17</v>
      </c>
      <c r="E599" s="1131"/>
      <c r="F599" s="1131"/>
      <c r="G599" s="1131"/>
      <c r="H599" s="1131"/>
      <c r="I599" s="1131"/>
      <c r="J599" s="1131"/>
      <c r="K599" s="1137"/>
      <c r="L599" s="1130" t="s">
        <v>1192</v>
      </c>
      <c r="M599" s="1137"/>
      <c r="N599" s="420" t="s">
        <v>950</v>
      </c>
      <c r="O599" s="419"/>
      <c r="P599" s="1"/>
      <c r="Q599" s="1"/>
      <c r="R599" s="1"/>
      <c r="S599" s="1"/>
      <c r="T599" s="1"/>
      <c r="U599" s="1"/>
      <c r="V599" s="1"/>
      <c r="W599" s="1"/>
      <c r="X599" s="1"/>
      <c r="Y599" s="1"/>
      <c r="Z599" s="1"/>
    </row>
    <row r="600" spans="1:26" ht="13.5" customHeight="1">
      <c r="A600" s="395"/>
      <c r="B600" s="421"/>
      <c r="C600" s="422" t="s">
        <v>1190</v>
      </c>
      <c r="D600" s="1151" t="s">
        <v>1249</v>
      </c>
      <c r="E600" s="979"/>
      <c r="F600" s="979"/>
      <c r="G600" s="979"/>
      <c r="H600" s="979"/>
      <c r="I600" s="979"/>
      <c r="J600" s="979"/>
      <c r="K600" s="980"/>
      <c r="L600" s="1138" t="s">
        <v>741</v>
      </c>
      <c r="M600" s="980"/>
      <c r="N600" s="423">
        <v>1</v>
      </c>
      <c r="O600" s="424"/>
      <c r="P600" s="1"/>
      <c r="Q600" s="1"/>
      <c r="R600" s="1"/>
      <c r="S600" s="1"/>
      <c r="T600" s="1"/>
      <c r="U600" s="1"/>
      <c r="V600" s="1"/>
      <c r="W600" s="1"/>
      <c r="X600" s="1"/>
      <c r="Y600" s="1"/>
      <c r="Z600" s="1"/>
    </row>
    <row r="601" spans="1:26" ht="13.5" customHeight="1">
      <c r="A601" s="395"/>
      <c r="B601" s="399"/>
      <c r="C601" s="1129" t="s">
        <v>1195</v>
      </c>
      <c r="D601" s="926"/>
      <c r="E601" s="926"/>
      <c r="F601" s="926"/>
      <c r="G601" s="926"/>
      <c r="H601" s="926"/>
      <c r="I601" s="926"/>
      <c r="J601" s="926"/>
      <c r="K601" s="926"/>
      <c r="L601" s="926"/>
      <c r="M601" s="926"/>
      <c r="N601" s="927"/>
      <c r="O601" s="426"/>
      <c r="P601" s="1"/>
      <c r="Q601" s="1"/>
      <c r="R601" s="1"/>
      <c r="S601" s="1"/>
      <c r="T601" s="1"/>
      <c r="U601" s="1"/>
      <c r="V601" s="1"/>
      <c r="W601" s="1"/>
      <c r="X601" s="1"/>
      <c r="Y601" s="1"/>
      <c r="Z601" s="1"/>
    </row>
    <row r="602" spans="1:26" ht="13.5" customHeight="1">
      <c r="A602" s="395"/>
      <c r="B602" s="399"/>
      <c r="C602" s="920"/>
      <c r="D602" s="922"/>
      <c r="E602" s="922"/>
      <c r="F602" s="922"/>
      <c r="G602" s="922"/>
      <c r="H602" s="922"/>
      <c r="I602" s="922"/>
      <c r="J602" s="922"/>
      <c r="K602" s="922"/>
      <c r="L602" s="922"/>
      <c r="M602" s="922"/>
      <c r="N602" s="924"/>
      <c r="O602" s="426"/>
      <c r="P602" s="1"/>
      <c r="Q602" s="1"/>
      <c r="R602" s="1"/>
      <c r="S602" s="1"/>
      <c r="T602" s="1"/>
      <c r="U602" s="1"/>
      <c r="V602" s="1"/>
      <c r="W602" s="1"/>
      <c r="X602" s="1"/>
      <c r="Y602" s="1"/>
      <c r="Z602" s="1"/>
    </row>
    <row r="603" spans="1:26" ht="13.5" customHeight="1">
      <c r="A603" s="395"/>
      <c r="B603" s="399"/>
      <c r="C603" s="929"/>
      <c r="D603" s="936"/>
      <c r="E603" s="936"/>
      <c r="F603" s="936"/>
      <c r="G603" s="936"/>
      <c r="H603" s="936"/>
      <c r="I603" s="936"/>
      <c r="J603" s="936"/>
      <c r="K603" s="936"/>
      <c r="L603" s="936"/>
      <c r="M603" s="936"/>
      <c r="N603" s="938"/>
      <c r="O603" s="426"/>
      <c r="P603" s="1"/>
      <c r="Q603" s="1"/>
      <c r="R603" s="1"/>
      <c r="S603" s="1"/>
      <c r="T603" s="1"/>
      <c r="U603" s="1"/>
      <c r="V603" s="1"/>
      <c r="W603" s="1"/>
      <c r="X603" s="1"/>
      <c r="Y603" s="1"/>
      <c r="Z603" s="1"/>
    </row>
    <row r="604" spans="1:26" ht="13.5" customHeight="1">
      <c r="A604" s="395"/>
      <c r="B604" s="399"/>
      <c r="C604" s="1130" t="s">
        <v>17</v>
      </c>
      <c r="D604" s="1131"/>
      <c r="E604" s="1131"/>
      <c r="F604" s="1000"/>
      <c r="G604" s="1135" t="s">
        <v>1196</v>
      </c>
      <c r="H604" s="1000"/>
      <c r="I604" s="1139" t="s">
        <v>1197</v>
      </c>
      <c r="J604" s="1140"/>
      <c r="K604" s="427" t="s">
        <v>1198</v>
      </c>
      <c r="L604" s="1135" t="s">
        <v>1199</v>
      </c>
      <c r="M604" s="1000"/>
      <c r="N604" s="428" t="s">
        <v>1200</v>
      </c>
      <c r="O604" s="419"/>
      <c r="P604" s="1"/>
      <c r="Q604" s="1"/>
      <c r="R604" s="1"/>
      <c r="S604" s="1"/>
      <c r="T604" s="1"/>
      <c r="U604" s="1"/>
      <c r="V604" s="1"/>
      <c r="W604" s="1"/>
      <c r="X604" s="1"/>
      <c r="Y604" s="1"/>
      <c r="Z604" s="1"/>
    </row>
    <row r="605" spans="1:26" ht="13.5" customHeight="1">
      <c r="A605" s="395"/>
      <c r="B605" s="399"/>
      <c r="C605" s="1128" t="s">
        <v>1201</v>
      </c>
      <c r="D605" s="940"/>
      <c r="E605" s="940"/>
      <c r="F605" s="941"/>
      <c r="G605" s="1142"/>
      <c r="H605" s="941"/>
      <c r="I605" s="1142"/>
      <c r="J605" s="941"/>
      <c r="K605" s="429"/>
      <c r="L605" s="1143">
        <v>0.1</v>
      </c>
      <c r="M605" s="941"/>
      <c r="N605" s="430">
        <f>+L605*N636</f>
        <v>11556.966666666669</v>
      </c>
      <c r="O605" s="431"/>
      <c r="P605" s="1"/>
      <c r="Q605" s="1"/>
      <c r="R605" s="1"/>
      <c r="S605" s="1"/>
      <c r="T605" s="1"/>
      <c r="U605" s="1"/>
      <c r="V605" s="1"/>
      <c r="W605" s="1"/>
      <c r="X605" s="1"/>
      <c r="Y605" s="1"/>
      <c r="Z605" s="1"/>
    </row>
    <row r="606" spans="1:26" ht="13.5" customHeight="1">
      <c r="A606" s="395" t="str">
        <f t="array" ref="A606">IF(C606&lt;&gt;0,INDEX(CodEquipos,MATCH(C606,Equipos,0),),)</f>
        <v>EQ-01</v>
      </c>
      <c r="B606" s="399"/>
      <c r="C606" s="1128" t="s">
        <v>271</v>
      </c>
      <c r="D606" s="940"/>
      <c r="E606" s="940"/>
      <c r="F606" s="941"/>
      <c r="G606" s="1142"/>
      <c r="H606" s="941"/>
      <c r="I606" s="1142"/>
      <c r="J606" s="941"/>
      <c r="K606" s="432">
        <f>IF($A606&gt;0,(VLOOKUP($A606,TablaEquipos,7,FALSE)),"")</f>
        <v>13833.75</v>
      </c>
      <c r="L606" s="1141">
        <f>+L631/8</f>
        <v>0.75</v>
      </c>
      <c r="M606" s="941"/>
      <c r="N606" s="430">
        <f t="shared" ref="N606:N608" si="33">IF(L606&gt;0,K606/L606,"")</f>
        <v>18445</v>
      </c>
      <c r="O606" s="431"/>
      <c r="P606" s="1"/>
      <c r="Q606" s="1"/>
      <c r="R606" s="1"/>
      <c r="S606" s="1"/>
      <c r="T606" s="1"/>
      <c r="U606" s="1"/>
      <c r="V606" s="1"/>
      <c r="W606" s="1"/>
      <c r="X606" s="1"/>
      <c r="Y606" s="1"/>
      <c r="Z606" s="1"/>
    </row>
    <row r="607" spans="1:26" ht="13.5" customHeight="1">
      <c r="A607" s="395">
        <f t="array" ref="A607">IF(C607&lt;&gt;0,INDEX(CodEquipos,MATCH(C607,Equipos,0),),)</f>
        <v>0</v>
      </c>
      <c r="B607" s="399"/>
      <c r="C607" s="1128"/>
      <c r="D607" s="940"/>
      <c r="E607" s="940"/>
      <c r="F607" s="941"/>
      <c r="G607" s="1142"/>
      <c r="H607" s="941"/>
      <c r="I607" s="1142"/>
      <c r="J607" s="941"/>
      <c r="K607" s="432" t="str">
        <f>IF($A607&gt;0,(VLOOKUP($A607,TablaEquipos,7,FALSE)),"")</f>
        <v/>
      </c>
      <c r="L607" s="1141"/>
      <c r="M607" s="941"/>
      <c r="N607" s="430" t="str">
        <f t="shared" si="33"/>
        <v/>
      </c>
      <c r="O607" s="431"/>
      <c r="P607" s="1"/>
      <c r="Q607" s="1"/>
      <c r="R607" s="1"/>
      <c r="S607" s="1"/>
      <c r="T607" s="1"/>
      <c r="U607" s="1"/>
      <c r="V607" s="1"/>
      <c r="W607" s="1"/>
      <c r="X607" s="1"/>
      <c r="Y607" s="1"/>
      <c r="Z607" s="1"/>
    </row>
    <row r="608" spans="1:26" ht="13.5" customHeight="1">
      <c r="A608" s="395">
        <f t="array" ref="A608">IF(C608&lt;&gt;0,INDEX(CodEquipos,MATCH(C608,Equipos,0),),)</f>
        <v>0</v>
      </c>
      <c r="B608" s="399"/>
      <c r="C608" s="1128"/>
      <c r="D608" s="940"/>
      <c r="E608" s="940"/>
      <c r="F608" s="941"/>
      <c r="G608" s="1144"/>
      <c r="H608" s="1145"/>
      <c r="I608" s="1142"/>
      <c r="J608" s="941"/>
      <c r="K608" s="432" t="str">
        <f>IF($A608&gt;0,(VLOOKUP($A608,TablaEquipos,7,FALSE)),"")</f>
        <v/>
      </c>
      <c r="L608" s="1141"/>
      <c r="M608" s="941"/>
      <c r="N608" s="430" t="str">
        <f t="shared" si="33"/>
        <v/>
      </c>
      <c r="O608" s="431"/>
      <c r="P608" s="1"/>
      <c r="Q608" s="1"/>
      <c r="R608" s="1"/>
      <c r="S608" s="1"/>
      <c r="T608" s="1"/>
      <c r="U608" s="1"/>
      <c r="V608" s="1"/>
      <c r="W608" s="1"/>
      <c r="X608" s="1"/>
      <c r="Y608" s="1"/>
      <c r="Z608" s="1"/>
    </row>
    <row r="609" spans="1:26" ht="13.5" customHeight="1">
      <c r="A609" s="395"/>
      <c r="B609" s="399"/>
      <c r="C609" s="1127" t="s">
        <v>1202</v>
      </c>
      <c r="D609" s="965"/>
      <c r="E609" s="965"/>
      <c r="F609" s="965"/>
      <c r="G609" s="965"/>
      <c r="H609" s="965"/>
      <c r="I609" s="965"/>
      <c r="J609" s="965"/>
      <c r="K609" s="965"/>
      <c r="L609" s="965"/>
      <c r="M609" s="966"/>
      <c r="N609" s="433">
        <f>+SUM(N605:N608)</f>
        <v>30001.966666666667</v>
      </c>
      <c r="O609" s="431"/>
      <c r="P609" s="1"/>
      <c r="Q609" s="1"/>
      <c r="R609" s="1"/>
      <c r="S609" s="1"/>
      <c r="T609" s="1"/>
      <c r="U609" s="1"/>
      <c r="V609" s="1"/>
      <c r="W609" s="1"/>
      <c r="X609" s="1"/>
      <c r="Y609" s="1"/>
      <c r="Z609" s="1"/>
    </row>
    <row r="610" spans="1:26" ht="13.5" customHeight="1">
      <c r="A610" s="395"/>
      <c r="B610" s="399"/>
      <c r="C610" s="1129" t="s">
        <v>1203</v>
      </c>
      <c r="D610" s="926"/>
      <c r="E610" s="926"/>
      <c r="F610" s="926"/>
      <c r="G610" s="926"/>
      <c r="H610" s="926"/>
      <c r="I610" s="926"/>
      <c r="J610" s="926"/>
      <c r="K610" s="926"/>
      <c r="L610" s="926"/>
      <c r="M610" s="926"/>
      <c r="N610" s="927"/>
      <c r="O610" s="426"/>
      <c r="P610" s="1"/>
      <c r="Q610" s="1"/>
      <c r="R610" s="1"/>
      <c r="S610" s="1"/>
      <c r="T610" s="1"/>
      <c r="U610" s="1"/>
      <c r="V610" s="1"/>
      <c r="W610" s="1"/>
      <c r="X610" s="1"/>
      <c r="Y610" s="1"/>
      <c r="Z610" s="1"/>
    </row>
    <row r="611" spans="1:26" ht="13.5" customHeight="1">
      <c r="A611" s="395"/>
      <c r="B611" s="399"/>
      <c r="C611" s="920"/>
      <c r="D611" s="922"/>
      <c r="E611" s="922"/>
      <c r="F611" s="922"/>
      <c r="G611" s="922"/>
      <c r="H611" s="922"/>
      <c r="I611" s="922"/>
      <c r="J611" s="922"/>
      <c r="K611" s="922"/>
      <c r="L611" s="922"/>
      <c r="M611" s="922"/>
      <c r="N611" s="924"/>
      <c r="O611" s="426"/>
      <c r="P611" s="1"/>
      <c r="Q611" s="1"/>
      <c r="R611" s="1"/>
      <c r="S611" s="1"/>
      <c r="T611" s="1"/>
      <c r="U611" s="1"/>
      <c r="V611" s="1"/>
      <c r="W611" s="1"/>
      <c r="X611" s="1"/>
      <c r="Y611" s="1"/>
      <c r="Z611" s="1"/>
    </row>
    <row r="612" spans="1:26" ht="13.5" customHeight="1">
      <c r="A612" s="395"/>
      <c r="B612" s="399"/>
      <c r="C612" s="929"/>
      <c r="D612" s="936"/>
      <c r="E612" s="936"/>
      <c r="F612" s="936"/>
      <c r="G612" s="936"/>
      <c r="H612" s="936"/>
      <c r="I612" s="936"/>
      <c r="J612" s="936"/>
      <c r="K612" s="936"/>
      <c r="L612" s="936"/>
      <c r="M612" s="936"/>
      <c r="N612" s="938"/>
      <c r="O612" s="426"/>
      <c r="P612" s="1"/>
      <c r="Q612" s="1"/>
      <c r="R612" s="1"/>
      <c r="S612" s="1"/>
      <c r="T612" s="1"/>
      <c r="U612" s="1"/>
      <c r="V612" s="1"/>
      <c r="W612" s="1"/>
      <c r="X612" s="1"/>
      <c r="Y612" s="1"/>
      <c r="Z612" s="1"/>
    </row>
    <row r="613" spans="1:26" ht="13.5" customHeight="1">
      <c r="A613" s="395"/>
      <c r="B613" s="399"/>
      <c r="C613" s="1130" t="s">
        <v>17</v>
      </c>
      <c r="D613" s="1131"/>
      <c r="E613" s="1131"/>
      <c r="F613" s="1131"/>
      <c r="G613" s="1131"/>
      <c r="H613" s="1131"/>
      <c r="I613" s="1000"/>
      <c r="J613" s="434" t="s">
        <v>1192</v>
      </c>
      <c r="K613" s="427" t="s">
        <v>950</v>
      </c>
      <c r="L613" s="1135" t="s">
        <v>1204</v>
      </c>
      <c r="M613" s="1000"/>
      <c r="N613" s="428" t="s">
        <v>1200</v>
      </c>
      <c r="O613" s="419"/>
      <c r="P613" s="1"/>
      <c r="Q613" s="1"/>
      <c r="R613" s="1"/>
      <c r="S613" s="1"/>
      <c r="T613" s="1"/>
      <c r="U613" s="1"/>
      <c r="V613" s="1"/>
      <c r="W613" s="1"/>
      <c r="X613" s="1"/>
      <c r="Y613" s="1"/>
      <c r="Z613" s="1"/>
    </row>
    <row r="614" spans="1:26" ht="13.5" customHeight="1">
      <c r="A614" s="395" t="str">
        <f t="array" ref="A614">IF(C614&lt;&gt;0,INDEX(CodMat,MATCH(C614,Materiales,0),),)</f>
        <v>MAT_C-01</v>
      </c>
      <c r="B614" s="399"/>
      <c r="C614" s="1128" t="s">
        <v>1205</v>
      </c>
      <c r="D614" s="940"/>
      <c r="E614" s="940"/>
      <c r="F614" s="940"/>
      <c r="G614" s="940"/>
      <c r="H614" s="940"/>
      <c r="I614" s="941"/>
      <c r="J614" s="435" t="str">
        <f>IF($A614&gt;0,(VLOOKUP($A614,TablaInsumos,5,FALSE)),"")</f>
        <v>LT</v>
      </c>
      <c r="K614" s="436">
        <v>190</v>
      </c>
      <c r="L614" s="1134">
        <f>IF($A614&gt;0,(VLOOKUP($A614,TablaInsumos,7,FALSE)),"")</f>
        <v>46</v>
      </c>
      <c r="M614" s="941"/>
      <c r="N614" s="430">
        <f t="shared" ref="N614:N618" si="34">IF(K614&gt;0,L614*K614,"")</f>
        <v>8740</v>
      </c>
      <c r="O614" s="431"/>
      <c r="P614" s="1"/>
      <c r="Q614" s="1"/>
      <c r="R614" s="1"/>
      <c r="S614" s="1"/>
      <c r="T614" s="1"/>
      <c r="U614" s="1"/>
      <c r="V614" s="1"/>
      <c r="W614" s="1"/>
      <c r="X614" s="1"/>
      <c r="Y614" s="1"/>
      <c r="Z614" s="1"/>
    </row>
    <row r="615" spans="1:26" ht="13.5" customHeight="1">
      <c r="A615" s="395" t="str">
        <f t="array" ref="A615">IF(C615&lt;&gt;0,INDEX(CodMat,MATCH(C615,Materiales,0),),)</f>
        <v>MAT_C-03</v>
      </c>
      <c r="B615" s="399"/>
      <c r="C615" s="1128" t="s">
        <v>1206</v>
      </c>
      <c r="D615" s="940"/>
      <c r="E615" s="940"/>
      <c r="F615" s="940"/>
      <c r="G615" s="940"/>
      <c r="H615" s="940"/>
      <c r="I615" s="941"/>
      <c r="J615" s="435" t="str">
        <f>IF($A615&gt;0,(VLOOKUP($A615,TablaInsumos,5,FALSE)),"")</f>
        <v>M3</v>
      </c>
      <c r="K615" s="436">
        <v>0.67</v>
      </c>
      <c r="L615" s="1134">
        <f>IF($A615&gt;0,(VLOOKUP($A615,TablaInsumos,7,FALSE)),"")</f>
        <v>86414</v>
      </c>
      <c r="M615" s="941"/>
      <c r="N615" s="430">
        <f t="shared" si="34"/>
        <v>57897.380000000005</v>
      </c>
      <c r="O615" s="431"/>
      <c r="P615" s="1"/>
      <c r="Q615" s="1"/>
      <c r="R615" s="1"/>
      <c r="S615" s="1"/>
      <c r="T615" s="1"/>
      <c r="U615" s="1"/>
      <c r="V615" s="1"/>
      <c r="W615" s="1"/>
      <c r="X615" s="1"/>
      <c r="Y615" s="1"/>
      <c r="Z615" s="1"/>
    </row>
    <row r="616" spans="1:26" ht="13.5" customHeight="1">
      <c r="A616" s="395" t="e">
        <f t="array" ref="A616">IF(C616&lt;&gt;0,INDEX(CodMat,MATCH(C616,Materiales,0),),)</f>
        <v>#N/A</v>
      </c>
      <c r="B616" s="399"/>
      <c r="C616" s="1128" t="s">
        <v>1233</v>
      </c>
      <c r="D616" s="940"/>
      <c r="E616" s="940"/>
      <c r="F616" s="940"/>
      <c r="G616" s="940"/>
      <c r="H616" s="940"/>
      <c r="I616" s="941"/>
      <c r="J616" s="435" t="e">
        <f>IF($A616&gt;0,(VLOOKUP($A616,TablaInsumos,5,FALSE)),"")</f>
        <v>#N/A</v>
      </c>
      <c r="K616" s="436">
        <v>0.67</v>
      </c>
      <c r="L616" s="1134" t="e">
        <f>IF($A616&gt;0,(VLOOKUP($A616,TablaInsumos,7,FALSE)),"")</f>
        <v>#N/A</v>
      </c>
      <c r="M616" s="941"/>
      <c r="N616" s="430" t="e">
        <f t="shared" si="34"/>
        <v>#N/A</v>
      </c>
      <c r="O616" s="431"/>
      <c r="P616" s="1"/>
      <c r="Q616" s="1"/>
      <c r="R616" s="1"/>
      <c r="S616" s="1"/>
      <c r="T616" s="1"/>
      <c r="U616" s="1"/>
      <c r="V616" s="1"/>
      <c r="W616" s="1"/>
      <c r="X616" s="1"/>
      <c r="Y616" s="1"/>
      <c r="Z616" s="1"/>
    </row>
    <row r="617" spans="1:26" ht="13.5" customHeight="1">
      <c r="A617" s="395" t="str">
        <f t="array" ref="A617">IF(C617&lt;&gt;0,INDEX(CodMat,MATCH(C617,Materiales,0),),)</f>
        <v>MAT_C-12</v>
      </c>
      <c r="B617" s="399"/>
      <c r="C617" s="1128" t="s">
        <v>1207</v>
      </c>
      <c r="D617" s="940"/>
      <c r="E617" s="940"/>
      <c r="F617" s="940"/>
      <c r="G617" s="940"/>
      <c r="H617" s="940"/>
      <c r="I617" s="941"/>
      <c r="J617" s="435" t="str">
        <f>IF($A617&gt;0,(VLOOKUP($A617,TablaInsumos,5,FALSE)),"")</f>
        <v>KG</v>
      </c>
      <c r="K617" s="436">
        <v>420</v>
      </c>
      <c r="L617" s="1134">
        <f>IF($A617&gt;0,(VLOOKUP($A617,TablaInsumos,7,FALSE)),"")</f>
        <v>1164</v>
      </c>
      <c r="M617" s="941"/>
      <c r="N617" s="430">
        <f t="shared" si="34"/>
        <v>488880</v>
      </c>
      <c r="O617" s="431"/>
      <c r="P617" s="1"/>
      <c r="Q617" s="1"/>
      <c r="R617" s="1"/>
      <c r="S617" s="1"/>
      <c r="T617" s="1"/>
      <c r="U617" s="1"/>
      <c r="V617" s="1"/>
      <c r="W617" s="1"/>
      <c r="X617" s="1"/>
      <c r="Y617" s="1"/>
      <c r="Z617" s="1"/>
    </row>
    <row r="618" spans="1:26" ht="13.5" customHeight="1">
      <c r="A618" s="395"/>
      <c r="B618" s="399"/>
      <c r="C618" s="1128" t="str">
        <f>IF($A618&gt;0,(VLOOKUP($A618,TablaInsumos,3,FALSE)),"")</f>
        <v/>
      </c>
      <c r="D618" s="940"/>
      <c r="E618" s="940"/>
      <c r="F618" s="940"/>
      <c r="G618" s="940"/>
      <c r="H618" s="940"/>
      <c r="I618" s="941"/>
      <c r="J618" s="435" t="str">
        <f>IF($A618&gt;0,(VLOOKUP($A618,TablaInsumos,5,FALSE)),"")</f>
        <v/>
      </c>
      <c r="K618" s="472"/>
      <c r="L618" s="1134" t="str">
        <f>IF($A618&gt;0,(VLOOKUP($A618,TablaInsumos,7,FALSE)),"")</f>
        <v/>
      </c>
      <c r="M618" s="941"/>
      <c r="N618" s="430" t="str">
        <f t="shared" si="34"/>
        <v/>
      </c>
      <c r="O618" s="431"/>
      <c r="P618" s="1"/>
      <c r="Q618" s="1"/>
      <c r="R618" s="1"/>
      <c r="S618" s="1"/>
      <c r="T618" s="1"/>
      <c r="U618" s="1"/>
      <c r="V618" s="1"/>
      <c r="W618" s="1"/>
      <c r="X618" s="1"/>
      <c r="Y618" s="1"/>
      <c r="Z618" s="1"/>
    </row>
    <row r="619" spans="1:26" ht="13.5" customHeight="1">
      <c r="A619" s="395"/>
      <c r="B619" s="399"/>
      <c r="C619" s="1127" t="s">
        <v>1202</v>
      </c>
      <c r="D619" s="965"/>
      <c r="E619" s="965"/>
      <c r="F619" s="965"/>
      <c r="G619" s="965"/>
      <c r="H619" s="965"/>
      <c r="I619" s="965"/>
      <c r="J619" s="965"/>
      <c r="K619" s="965"/>
      <c r="L619" s="965"/>
      <c r="M619" s="966"/>
      <c r="N619" s="433" t="e">
        <f>+SUM(N614:N618)</f>
        <v>#N/A</v>
      </c>
      <c r="O619" s="431"/>
      <c r="P619" s="1"/>
      <c r="Q619" s="1"/>
      <c r="R619" s="1"/>
      <c r="S619" s="1"/>
      <c r="T619" s="1"/>
      <c r="U619" s="1"/>
      <c r="V619" s="1"/>
      <c r="W619" s="1"/>
      <c r="X619" s="1"/>
      <c r="Y619" s="1"/>
      <c r="Z619" s="1"/>
    </row>
    <row r="620" spans="1:26" ht="13.5" customHeight="1">
      <c r="A620" s="395"/>
      <c r="B620" s="399"/>
      <c r="C620" s="1129" t="s">
        <v>1208</v>
      </c>
      <c r="D620" s="926"/>
      <c r="E620" s="926"/>
      <c r="F620" s="926"/>
      <c r="G620" s="926"/>
      <c r="H620" s="926"/>
      <c r="I620" s="926"/>
      <c r="J620" s="926"/>
      <c r="K620" s="926"/>
      <c r="L620" s="926"/>
      <c r="M620" s="926"/>
      <c r="N620" s="927"/>
      <c r="O620" s="426"/>
      <c r="P620" s="1"/>
      <c r="Q620" s="1"/>
      <c r="R620" s="1"/>
      <c r="S620" s="1"/>
      <c r="T620" s="1"/>
      <c r="U620" s="1"/>
      <c r="V620" s="1"/>
      <c r="W620" s="1"/>
      <c r="X620" s="1"/>
      <c r="Y620" s="1"/>
      <c r="Z620" s="1"/>
    </row>
    <row r="621" spans="1:26" ht="13.5" customHeight="1">
      <c r="A621" s="395"/>
      <c r="B621" s="399"/>
      <c r="C621" s="920"/>
      <c r="D621" s="922"/>
      <c r="E621" s="922"/>
      <c r="F621" s="922"/>
      <c r="G621" s="922"/>
      <c r="H621" s="922"/>
      <c r="I621" s="922"/>
      <c r="J621" s="922"/>
      <c r="K621" s="922"/>
      <c r="L621" s="922"/>
      <c r="M621" s="922"/>
      <c r="N621" s="924"/>
      <c r="O621" s="426"/>
      <c r="P621" s="1"/>
      <c r="Q621" s="1"/>
      <c r="R621" s="1"/>
      <c r="S621" s="1"/>
      <c r="T621" s="1"/>
      <c r="U621" s="1"/>
      <c r="V621" s="1"/>
      <c r="W621" s="1"/>
      <c r="X621" s="1"/>
      <c r="Y621" s="1"/>
      <c r="Z621" s="1"/>
    </row>
    <row r="622" spans="1:26" ht="13.5" customHeight="1">
      <c r="A622" s="395"/>
      <c r="B622" s="399"/>
      <c r="C622" s="929"/>
      <c r="D622" s="936"/>
      <c r="E622" s="936"/>
      <c r="F622" s="936"/>
      <c r="G622" s="936"/>
      <c r="H622" s="936"/>
      <c r="I622" s="936"/>
      <c r="J622" s="936"/>
      <c r="K622" s="936"/>
      <c r="L622" s="936"/>
      <c r="M622" s="936"/>
      <c r="N622" s="938"/>
      <c r="O622" s="426"/>
      <c r="P622" s="1"/>
      <c r="Q622" s="1"/>
      <c r="R622" s="1"/>
      <c r="S622" s="1"/>
      <c r="T622" s="1"/>
      <c r="U622" s="1"/>
      <c r="V622" s="1"/>
      <c r="W622" s="1"/>
      <c r="X622" s="1"/>
      <c r="Y622" s="1"/>
      <c r="Z622" s="1"/>
    </row>
    <row r="623" spans="1:26" ht="13.5" customHeight="1">
      <c r="A623" s="395"/>
      <c r="B623" s="399"/>
      <c r="C623" s="1130" t="s">
        <v>1209</v>
      </c>
      <c r="D623" s="1131"/>
      <c r="E623" s="1131"/>
      <c r="F623" s="1131"/>
      <c r="G623" s="1131"/>
      <c r="H623" s="1132"/>
      <c r="I623" s="427" t="s">
        <v>1210</v>
      </c>
      <c r="J623" s="438" t="s">
        <v>1211</v>
      </c>
      <c r="K623" s="439" t="s">
        <v>1250</v>
      </c>
      <c r="L623" s="1135" t="s">
        <v>1213</v>
      </c>
      <c r="M623" s="1000"/>
      <c r="N623" s="428" t="s">
        <v>1200</v>
      </c>
      <c r="O623" s="419"/>
      <c r="P623" s="1"/>
      <c r="Q623" s="1"/>
      <c r="R623" s="1"/>
      <c r="S623" s="1"/>
      <c r="T623" s="1"/>
      <c r="U623" s="1"/>
      <c r="V623" s="1"/>
      <c r="W623" s="1"/>
      <c r="X623" s="1"/>
      <c r="Y623" s="1"/>
      <c r="Z623" s="1"/>
    </row>
    <row r="624" spans="1:26" ht="13.5" customHeight="1">
      <c r="A624" s="395" t="str">
        <f t="array" ref="A624">IF(C624&lt;&gt;0,INDEX(CodTransporte,MATCH(C624,Transporte,0),),)</f>
        <v>T-03</v>
      </c>
      <c r="B624" s="399"/>
      <c r="C624" s="1128" t="s">
        <v>859</v>
      </c>
      <c r="D624" s="940"/>
      <c r="E624" s="940"/>
      <c r="F624" s="940"/>
      <c r="G624" s="940"/>
      <c r="H624" s="940"/>
      <c r="I624" s="440">
        <f>+K615+K616</f>
        <v>1.34</v>
      </c>
      <c r="J624" s="441">
        <f>IF($A624&gt;0,(VLOOKUP($A624,TablaTransporte,6,FALSE)),"")</f>
        <v>50.849999999999994</v>
      </c>
      <c r="K624" s="442" t="str">
        <f>IF($A624&gt;0,(VLOOKUP($A624,TablaTransporte,5,FALSE)),"")</f>
        <v>M3-KM</v>
      </c>
      <c r="L624" s="1134">
        <f>IF($A624&gt;0,(VLOOKUP($A624,TablaTransporte,7,FALSE)),"")</f>
        <v>2332.3500491642089</v>
      </c>
      <c r="M624" s="941"/>
      <c r="N624" s="430">
        <f t="shared" ref="N624:N625" si="35">IF(I624&gt;0,J624*L624*I624,"")</f>
        <v>158924.00000000003</v>
      </c>
      <c r="O624" s="431"/>
      <c r="P624" s="1"/>
      <c r="Q624" s="1"/>
      <c r="R624" s="1"/>
      <c r="S624" s="1"/>
      <c r="T624" s="1"/>
      <c r="U624" s="1"/>
      <c r="V624" s="1"/>
      <c r="W624" s="1"/>
      <c r="X624" s="1"/>
      <c r="Y624" s="1"/>
      <c r="Z624" s="1"/>
    </row>
    <row r="625" spans="1:26" ht="13.5" customHeight="1">
      <c r="A625" s="395" t="str">
        <f t="array" ref="A625">IF(C625&lt;&gt;0,INDEX(CodTransporte,MATCH(C625,Transporte,0),),)</f>
        <v>T-02</v>
      </c>
      <c r="B625" s="399"/>
      <c r="C625" s="1128" t="s">
        <v>857</v>
      </c>
      <c r="D625" s="940"/>
      <c r="E625" s="940"/>
      <c r="F625" s="940"/>
      <c r="G625" s="940"/>
      <c r="H625" s="940"/>
      <c r="I625" s="440">
        <f>+(K617/50)*0.035</f>
        <v>0.29400000000000004</v>
      </c>
      <c r="J625" s="441">
        <f>IF($A625&gt;0,(VLOOKUP($A625,TablaTransporte,6,FALSE)),"")</f>
        <v>50.849999999999994</v>
      </c>
      <c r="K625" s="442" t="str">
        <f>IF($A625&gt;0,(VLOOKUP($A625,TablaTransporte,5,FALSE)),"")</f>
        <v>M3-KM</v>
      </c>
      <c r="L625" s="1134">
        <f>IF($A625&gt;0,(VLOOKUP($A625,TablaTransporte,7,FALSE)),"")</f>
        <v>2332.3500491642089</v>
      </c>
      <c r="M625" s="941"/>
      <c r="N625" s="430">
        <f t="shared" si="35"/>
        <v>34868.400000000009</v>
      </c>
      <c r="O625" s="431"/>
      <c r="P625" s="1"/>
      <c r="Q625" s="1"/>
      <c r="R625" s="1"/>
      <c r="S625" s="1"/>
      <c r="T625" s="1"/>
      <c r="U625" s="1"/>
      <c r="V625" s="1"/>
      <c r="W625" s="1"/>
      <c r="X625" s="1"/>
      <c r="Y625" s="1"/>
      <c r="Z625" s="1"/>
    </row>
    <row r="626" spans="1:26" ht="13.5" customHeight="1">
      <c r="A626" s="395"/>
      <c r="B626" s="399"/>
      <c r="C626" s="1127" t="s">
        <v>1202</v>
      </c>
      <c r="D626" s="965"/>
      <c r="E626" s="965"/>
      <c r="F626" s="965"/>
      <c r="G626" s="965"/>
      <c r="H626" s="965"/>
      <c r="I626" s="965"/>
      <c r="J626" s="965"/>
      <c r="K626" s="965"/>
      <c r="L626" s="965"/>
      <c r="M626" s="966"/>
      <c r="N626" s="433">
        <f>+SUM(N624:N625)</f>
        <v>193792.40000000002</v>
      </c>
      <c r="O626" s="431"/>
      <c r="P626" s="1"/>
      <c r="Q626" s="1"/>
      <c r="R626" s="1"/>
      <c r="S626" s="1"/>
      <c r="T626" s="1"/>
      <c r="U626" s="1"/>
      <c r="V626" s="1"/>
      <c r="W626" s="1"/>
      <c r="X626" s="1"/>
      <c r="Y626" s="1"/>
      <c r="Z626" s="1"/>
    </row>
    <row r="627" spans="1:26" ht="13.5" customHeight="1">
      <c r="A627" s="395"/>
      <c r="B627" s="399"/>
      <c r="C627" s="1129" t="s">
        <v>1214</v>
      </c>
      <c r="D627" s="926"/>
      <c r="E627" s="926"/>
      <c r="F627" s="926"/>
      <c r="G627" s="926"/>
      <c r="H627" s="926"/>
      <c r="I627" s="926"/>
      <c r="J627" s="926"/>
      <c r="K627" s="926"/>
      <c r="L627" s="926"/>
      <c r="M627" s="926"/>
      <c r="N627" s="927"/>
      <c r="O627" s="426"/>
      <c r="P627" s="1"/>
      <c r="Q627" s="1"/>
      <c r="R627" s="1"/>
      <c r="S627" s="1"/>
      <c r="T627" s="1"/>
      <c r="U627" s="1"/>
      <c r="V627" s="1"/>
      <c r="W627" s="1"/>
      <c r="X627" s="1"/>
      <c r="Y627" s="1"/>
      <c r="Z627" s="1"/>
    </row>
    <row r="628" spans="1:26" ht="13.5" customHeight="1">
      <c r="A628" s="395"/>
      <c r="B628" s="399"/>
      <c r="C628" s="920"/>
      <c r="D628" s="922"/>
      <c r="E628" s="922"/>
      <c r="F628" s="922"/>
      <c r="G628" s="922"/>
      <c r="H628" s="922"/>
      <c r="I628" s="922"/>
      <c r="J628" s="922"/>
      <c r="K628" s="922"/>
      <c r="L628" s="922"/>
      <c r="M628" s="922"/>
      <c r="N628" s="924"/>
      <c r="O628" s="426"/>
      <c r="P628" s="1"/>
      <c r="Q628" s="1"/>
      <c r="R628" s="1"/>
      <c r="S628" s="1"/>
      <c r="T628" s="1"/>
      <c r="U628" s="1"/>
      <c r="V628" s="1"/>
      <c r="W628" s="1"/>
      <c r="X628" s="1"/>
      <c r="Y628" s="1"/>
      <c r="Z628" s="1"/>
    </row>
    <row r="629" spans="1:26" ht="13.5" customHeight="1">
      <c r="A629" s="395"/>
      <c r="B629" s="399"/>
      <c r="C629" s="929"/>
      <c r="D629" s="936"/>
      <c r="E629" s="936"/>
      <c r="F629" s="936"/>
      <c r="G629" s="936"/>
      <c r="H629" s="936"/>
      <c r="I629" s="936"/>
      <c r="J629" s="936"/>
      <c r="K629" s="936"/>
      <c r="L629" s="936"/>
      <c r="M629" s="936"/>
      <c r="N629" s="938"/>
      <c r="O629" s="426"/>
      <c r="P629" s="1"/>
      <c r="Q629" s="1"/>
      <c r="R629" s="1"/>
      <c r="S629" s="1"/>
      <c r="T629" s="1"/>
      <c r="U629" s="1"/>
      <c r="V629" s="1"/>
      <c r="W629" s="1"/>
      <c r="X629" s="1"/>
      <c r="Y629" s="1"/>
      <c r="Z629" s="1"/>
    </row>
    <row r="630" spans="1:26" ht="13.5" customHeight="1">
      <c r="A630" s="395"/>
      <c r="B630" s="399"/>
      <c r="C630" s="1130" t="s">
        <v>1215</v>
      </c>
      <c r="D630" s="1131"/>
      <c r="E630" s="1131"/>
      <c r="F630" s="1131"/>
      <c r="G630" s="1131"/>
      <c r="H630" s="1132"/>
      <c r="I630" s="427" t="s">
        <v>1216</v>
      </c>
      <c r="J630" s="443" t="s">
        <v>1217</v>
      </c>
      <c r="K630" s="444" t="s">
        <v>1218</v>
      </c>
      <c r="L630" s="1133" t="s">
        <v>1199</v>
      </c>
      <c r="M630" s="1000"/>
      <c r="N630" s="445" t="s">
        <v>1200</v>
      </c>
      <c r="O630" s="446"/>
      <c r="P630" s="1"/>
      <c r="Q630" s="1"/>
      <c r="R630" s="1"/>
      <c r="S630" s="1"/>
      <c r="T630" s="1"/>
      <c r="U630" s="1"/>
      <c r="V630" s="1"/>
      <c r="W630" s="1"/>
      <c r="X630" s="1"/>
      <c r="Y630" s="1"/>
      <c r="Z630" s="1"/>
    </row>
    <row r="631" spans="1:26" ht="13.5" customHeight="1">
      <c r="A631" s="395" t="str">
        <f t="array" ref="A631">IF(C631&lt;&gt;0,INDEX(CodMO,MATCH(C631,MO,0),),)</f>
        <v>M.O-05</v>
      </c>
      <c r="B631" s="399"/>
      <c r="C631" s="1128" t="s">
        <v>139</v>
      </c>
      <c r="D631" s="940"/>
      <c r="E631" s="940"/>
      <c r="F631" s="940"/>
      <c r="G631" s="940"/>
      <c r="H631" s="940"/>
      <c r="I631" s="447">
        <f>IF($A631&gt;0,(VLOOKUP($A631,TablaMO,8,FALSE)),"")</f>
        <v>125030.16666666667</v>
      </c>
      <c r="J631" s="448">
        <f>IF($A631&gt;0,(VLOOKUP($A631,TablaMO,10,FALSE)),"")</f>
        <v>0.67071666666666663</v>
      </c>
      <c r="K631" s="447">
        <f>IF($A631&gt;0,(VLOOKUP($A631,TablaMO,11,FALSE)),"")</f>
        <v>208890</v>
      </c>
      <c r="L631" s="1146">
        <v>6</v>
      </c>
      <c r="M631" s="941"/>
      <c r="N631" s="430">
        <f t="shared" ref="N631:N635" si="36">IF(L631&gt;0,K631/L631,"")</f>
        <v>34815</v>
      </c>
      <c r="O631" s="449"/>
      <c r="P631" s="1"/>
      <c r="Q631" s="1"/>
      <c r="R631" s="1"/>
      <c r="S631" s="1"/>
      <c r="T631" s="1"/>
      <c r="U631" s="1"/>
      <c r="V631" s="1"/>
      <c r="W631" s="1"/>
      <c r="X631" s="1"/>
      <c r="Y631" s="1"/>
      <c r="Z631" s="1"/>
    </row>
    <row r="632" spans="1:26" ht="13.5" customHeight="1">
      <c r="A632" s="395" t="str">
        <f t="array" ref="A632">IF(C632&lt;&gt;0,INDEX(CodMO,MATCH(C632,MO,0),),)</f>
        <v>M.O-01</v>
      </c>
      <c r="B632" s="399"/>
      <c r="C632" s="1128" t="s">
        <v>130</v>
      </c>
      <c r="D632" s="940"/>
      <c r="E632" s="940"/>
      <c r="F632" s="940"/>
      <c r="G632" s="940"/>
      <c r="H632" s="940"/>
      <c r="I632" s="447">
        <f>IF($A632&gt;0,(VLOOKUP($A632,TablaMO,8,FALSE)),"")</f>
        <v>72503.016666666677</v>
      </c>
      <c r="J632" s="448">
        <f>IF($A632&gt;0,(VLOOKUP($A632,TablaMO,10,FALSE)),"")</f>
        <v>0.67071666666666663</v>
      </c>
      <c r="K632" s="447">
        <f>IF($A632&gt;0,(VLOOKUP($A632,TablaMO,11,FALSE)),"")</f>
        <v>121132</v>
      </c>
      <c r="L632" s="1146">
        <f>L631</f>
        <v>6</v>
      </c>
      <c r="M632" s="941"/>
      <c r="N632" s="430">
        <f t="shared" si="36"/>
        <v>20188.666666666668</v>
      </c>
      <c r="O632" s="449"/>
      <c r="P632" s="1"/>
      <c r="Q632" s="1"/>
      <c r="R632" s="1"/>
      <c r="S632" s="1"/>
      <c r="T632" s="1"/>
      <c r="U632" s="1"/>
      <c r="V632" s="1"/>
      <c r="W632" s="1"/>
      <c r="X632" s="1"/>
      <c r="Y632" s="1"/>
      <c r="Z632" s="1"/>
    </row>
    <row r="633" spans="1:26" ht="13.5" customHeight="1">
      <c r="A633" s="395" t="str">
        <f t="array" ref="A633">IF(C633&lt;&gt;0,INDEX(CodMO,MATCH(C633,MO,0),),)</f>
        <v>M.O-02</v>
      </c>
      <c r="B633" s="399"/>
      <c r="C633" s="1128" t="s">
        <v>133</v>
      </c>
      <c r="D633" s="940"/>
      <c r="E633" s="940"/>
      <c r="F633" s="940"/>
      <c r="G633" s="940"/>
      <c r="H633" s="940"/>
      <c r="I633" s="447">
        <f>IF($A633&gt;0,(VLOOKUP($A633,TablaMO,8,FALSE)),"")</f>
        <v>72503.016666666677</v>
      </c>
      <c r="J633" s="448">
        <f>IF($A633&gt;0,(VLOOKUP($A633,TablaMO,10,FALSE)),"")</f>
        <v>0.67071666666666663</v>
      </c>
      <c r="K633" s="447">
        <f>IF($A633&gt;0,(VLOOKUP($A633,TablaMO,11,FALSE)),"")</f>
        <v>121132</v>
      </c>
      <c r="L633" s="1146">
        <f t="shared" ref="L633:L634" si="37">L631</f>
        <v>6</v>
      </c>
      <c r="M633" s="941"/>
      <c r="N633" s="430">
        <f t="shared" si="36"/>
        <v>20188.666666666668</v>
      </c>
      <c r="O633" s="449"/>
      <c r="P633" s="1"/>
      <c r="Q633" s="1"/>
      <c r="R633" s="1"/>
      <c r="S633" s="1"/>
      <c r="T633" s="1"/>
      <c r="U633" s="1"/>
      <c r="V633" s="1"/>
      <c r="W633" s="1"/>
      <c r="X633" s="1"/>
      <c r="Y633" s="1"/>
      <c r="Z633" s="1"/>
    </row>
    <row r="634" spans="1:26" ht="13.5" customHeight="1">
      <c r="A634" s="395" t="str">
        <f t="array" ref="A634">IF(C634&lt;&gt;0,INDEX(CodMO,MATCH(C634,MO,0),),)</f>
        <v>M.O-03</v>
      </c>
      <c r="B634" s="399"/>
      <c r="C634" s="1128" t="s">
        <v>135</v>
      </c>
      <c r="D634" s="940"/>
      <c r="E634" s="940"/>
      <c r="F634" s="940"/>
      <c r="G634" s="940"/>
      <c r="H634" s="940"/>
      <c r="I634" s="447">
        <f>IF($A634&gt;0,(VLOOKUP($A634,TablaMO,8,FALSE)),"")</f>
        <v>72503.016666666677</v>
      </c>
      <c r="J634" s="448">
        <f>IF($A634&gt;0,(VLOOKUP($A634,TablaMO,10,FALSE)),"")</f>
        <v>0.67071666666666663</v>
      </c>
      <c r="K634" s="447">
        <f>IF($A634&gt;0,(VLOOKUP($A634,TablaMO,11,FALSE)),"")</f>
        <v>121132</v>
      </c>
      <c r="L634" s="1146">
        <f t="shared" si="37"/>
        <v>6</v>
      </c>
      <c r="M634" s="941"/>
      <c r="N634" s="430">
        <f t="shared" si="36"/>
        <v>20188.666666666668</v>
      </c>
      <c r="O634" s="449"/>
      <c r="P634" s="1"/>
      <c r="Q634" s="1"/>
      <c r="R634" s="1"/>
      <c r="S634" s="1"/>
      <c r="T634" s="1"/>
      <c r="U634" s="1"/>
      <c r="V634" s="1"/>
      <c r="W634" s="1"/>
      <c r="X634" s="1"/>
      <c r="Y634" s="1"/>
      <c r="Z634" s="1"/>
    </row>
    <row r="635" spans="1:26" ht="13.5" customHeight="1">
      <c r="A635" s="395" t="str">
        <f t="array" ref="A635">IF(C635&lt;&gt;0,INDEX(CodMO,MATCH(C635,MO,0),),)</f>
        <v>M.O-04</v>
      </c>
      <c r="B635" s="399"/>
      <c r="C635" s="1152" t="s">
        <v>137</v>
      </c>
      <c r="D635" s="945"/>
      <c r="E635" s="945"/>
      <c r="F635" s="945"/>
      <c r="G635" s="945"/>
      <c r="H635" s="945"/>
      <c r="I635" s="474">
        <f>IF($A635&gt;0,(VLOOKUP($A635,TablaMO,8,FALSE)),"")</f>
        <v>72503.016666666677</v>
      </c>
      <c r="J635" s="475">
        <f>IF($A635&gt;0,(VLOOKUP($A635,TablaMO,10,FALSE)),"")</f>
        <v>0.67071666666666663</v>
      </c>
      <c r="K635" s="474">
        <f>IF($A635&gt;0,(VLOOKUP($A635,TablaMO,11,FALSE)),"")</f>
        <v>121132</v>
      </c>
      <c r="L635" s="1153">
        <f>L631</f>
        <v>6</v>
      </c>
      <c r="M635" s="1039"/>
      <c r="N635" s="430">
        <f t="shared" si="36"/>
        <v>20188.666666666668</v>
      </c>
      <c r="O635" s="449"/>
      <c r="P635" s="1"/>
      <c r="Q635" s="1"/>
      <c r="R635" s="1"/>
      <c r="S635" s="1"/>
      <c r="T635" s="1"/>
      <c r="U635" s="1"/>
      <c r="V635" s="1"/>
      <c r="W635" s="1"/>
      <c r="X635" s="1"/>
      <c r="Y635" s="1"/>
      <c r="Z635" s="1"/>
    </row>
    <row r="636" spans="1:26" ht="13.5" customHeight="1">
      <c r="A636" s="395"/>
      <c r="B636" s="399"/>
      <c r="C636" s="1127" t="s">
        <v>1202</v>
      </c>
      <c r="D636" s="965"/>
      <c r="E636" s="965"/>
      <c r="F636" s="965"/>
      <c r="G636" s="965"/>
      <c r="H636" s="965"/>
      <c r="I636" s="965"/>
      <c r="J636" s="965"/>
      <c r="K636" s="965"/>
      <c r="L636" s="965"/>
      <c r="M636" s="966"/>
      <c r="N636" s="476">
        <f>+SUM(N631:N635)</f>
        <v>115569.66666666669</v>
      </c>
      <c r="O636" s="431"/>
      <c r="P636" s="1"/>
      <c r="Q636" s="1"/>
      <c r="R636" s="1"/>
      <c r="S636" s="1"/>
      <c r="T636" s="1"/>
      <c r="U636" s="1"/>
      <c r="V636" s="1"/>
      <c r="W636" s="1"/>
      <c r="X636" s="1"/>
      <c r="Y636" s="1"/>
      <c r="Z636" s="1"/>
    </row>
    <row r="637" spans="1:26" ht="13.5" customHeight="1">
      <c r="A637" s="395"/>
      <c r="B637" s="399"/>
      <c r="C637" s="418"/>
      <c r="D637" s="39"/>
      <c r="E637" s="39"/>
      <c r="F637" s="39"/>
      <c r="G637" s="39"/>
      <c r="H637" s="39"/>
      <c r="I637" s="39"/>
      <c r="J637" s="39"/>
      <c r="K637" s="39"/>
      <c r="L637" s="39"/>
      <c r="M637" s="39"/>
      <c r="N637" s="40"/>
      <c r="O637" s="402"/>
      <c r="P637" s="1"/>
      <c r="Q637" s="1"/>
      <c r="R637" s="1"/>
      <c r="S637" s="1"/>
      <c r="T637" s="1"/>
      <c r="U637" s="1"/>
      <c r="V637" s="1"/>
      <c r="W637" s="1"/>
      <c r="X637" s="1"/>
      <c r="Y637" s="1"/>
      <c r="Z637" s="1"/>
    </row>
    <row r="638" spans="1:26" ht="13.5" customHeight="1">
      <c r="A638" s="395"/>
      <c r="B638" s="399"/>
      <c r="C638" s="1147" t="s">
        <v>1219</v>
      </c>
      <c r="D638" s="965"/>
      <c r="E638" s="965"/>
      <c r="F638" s="965"/>
      <c r="G638" s="965"/>
      <c r="H638" s="965"/>
      <c r="I638" s="965"/>
      <c r="J638" s="965"/>
      <c r="K638" s="965"/>
      <c r="L638" s="965"/>
      <c r="M638" s="966"/>
      <c r="N638" s="450" t="e">
        <f>+SUM(N636,N626,N619,N609)</f>
        <v>#N/A</v>
      </c>
      <c r="O638" s="451"/>
      <c r="P638" s="1"/>
      <c r="Q638" s="1"/>
      <c r="R638" s="1"/>
      <c r="S638" s="1"/>
      <c r="T638" s="1"/>
      <c r="U638" s="1"/>
      <c r="V638" s="1"/>
      <c r="W638" s="1"/>
      <c r="X638" s="1"/>
      <c r="Y638" s="1"/>
      <c r="Z638" s="1"/>
    </row>
    <row r="639" spans="1:26" ht="13.5" customHeight="1">
      <c r="A639" s="395"/>
      <c r="B639" s="399"/>
      <c r="C639" s="1129" t="s">
        <v>1220</v>
      </c>
      <c r="D639" s="926"/>
      <c r="E639" s="926"/>
      <c r="F639" s="926"/>
      <c r="G639" s="926"/>
      <c r="H639" s="926"/>
      <c r="I639" s="926"/>
      <c r="J639" s="926"/>
      <c r="K639" s="926"/>
      <c r="L639" s="926"/>
      <c r="M639" s="926"/>
      <c r="N639" s="927"/>
      <c r="O639" s="426"/>
      <c r="P639" s="1"/>
      <c r="Q639" s="1"/>
      <c r="R639" s="1"/>
      <c r="S639" s="1"/>
      <c r="T639" s="1"/>
      <c r="U639" s="1"/>
      <c r="V639" s="1"/>
      <c r="W639" s="1"/>
      <c r="X639" s="1"/>
      <c r="Y639" s="1"/>
      <c r="Z639" s="1"/>
    </row>
    <row r="640" spans="1:26" ht="13.5" customHeight="1">
      <c r="A640" s="395"/>
      <c r="B640" s="399"/>
      <c r="C640" s="920"/>
      <c r="D640" s="922"/>
      <c r="E640" s="922"/>
      <c r="F640" s="922"/>
      <c r="G640" s="922"/>
      <c r="H640" s="922"/>
      <c r="I640" s="922"/>
      <c r="J640" s="922"/>
      <c r="K640" s="922"/>
      <c r="L640" s="922"/>
      <c r="M640" s="922"/>
      <c r="N640" s="924"/>
      <c r="O640" s="426"/>
      <c r="P640" s="1"/>
      <c r="Q640" s="1"/>
      <c r="R640" s="1"/>
      <c r="S640" s="1"/>
      <c r="T640" s="1"/>
      <c r="U640" s="1"/>
      <c r="V640" s="1"/>
      <c r="W640" s="1"/>
      <c r="X640" s="1"/>
      <c r="Y640" s="1"/>
      <c r="Z640" s="1"/>
    </row>
    <row r="641" spans="1:26" ht="13.5" customHeight="1">
      <c r="A641" s="1"/>
      <c r="B641" s="399"/>
      <c r="C641" s="929"/>
      <c r="D641" s="936"/>
      <c r="E641" s="936"/>
      <c r="F641" s="936"/>
      <c r="G641" s="936"/>
      <c r="H641" s="936"/>
      <c r="I641" s="936"/>
      <c r="J641" s="936"/>
      <c r="K641" s="936"/>
      <c r="L641" s="936"/>
      <c r="M641" s="936"/>
      <c r="N641" s="938"/>
      <c r="O641" s="426"/>
      <c r="P641" s="1"/>
      <c r="Q641" s="1"/>
      <c r="R641" s="1"/>
      <c r="S641" s="1"/>
      <c r="T641" s="1"/>
      <c r="U641" s="1"/>
      <c r="V641" s="1"/>
      <c r="W641" s="1"/>
      <c r="X641" s="1"/>
      <c r="Y641" s="1"/>
      <c r="Z641" s="1"/>
    </row>
    <row r="642" spans="1:26" ht="13.5" customHeight="1">
      <c r="A642" s="1"/>
      <c r="B642" s="399"/>
      <c r="C642" s="1130" t="s">
        <v>1221</v>
      </c>
      <c r="D642" s="1131"/>
      <c r="E642" s="1131"/>
      <c r="F642" s="1131"/>
      <c r="G642" s="1131"/>
      <c r="H642" s="1132"/>
      <c r="I642" s="438"/>
      <c r="J642" s="438"/>
      <c r="K642" s="438"/>
      <c r="L642" s="1133" t="s">
        <v>1222</v>
      </c>
      <c r="M642" s="1000"/>
      <c r="N642" s="445" t="s">
        <v>1223</v>
      </c>
      <c r="O642" s="446"/>
      <c r="P642" s="1"/>
      <c r="Q642" s="1"/>
      <c r="R642" s="1"/>
      <c r="S642" s="1"/>
      <c r="T642" s="1"/>
      <c r="U642" s="1"/>
      <c r="V642" s="1"/>
      <c r="W642" s="1"/>
      <c r="X642" s="1"/>
      <c r="Y642" s="1"/>
      <c r="Z642" s="1"/>
    </row>
    <row r="643" spans="1:26" ht="13.5" customHeight="1">
      <c r="A643" s="1"/>
      <c r="B643" s="399"/>
      <c r="C643" s="1128" t="s">
        <v>19</v>
      </c>
      <c r="D643" s="940"/>
      <c r="E643" s="940"/>
      <c r="F643" s="940"/>
      <c r="G643" s="940"/>
      <c r="H643" s="940"/>
      <c r="I643" s="452"/>
      <c r="J643" s="452"/>
      <c r="K643" s="452"/>
      <c r="L643" s="1148">
        <f>+Datos!$E$18</f>
        <v>0.25</v>
      </c>
      <c r="M643" s="941"/>
      <c r="N643" s="430" t="e">
        <f>+L643*N638</f>
        <v>#N/A</v>
      </c>
      <c r="O643" s="453"/>
      <c r="P643" s="1"/>
      <c r="Q643" s="1"/>
      <c r="R643" s="1"/>
      <c r="S643" s="1"/>
      <c r="T643" s="1"/>
      <c r="U643" s="1"/>
      <c r="V643" s="1"/>
      <c r="W643" s="1"/>
      <c r="X643" s="1"/>
      <c r="Y643" s="1"/>
      <c r="Z643" s="1"/>
    </row>
    <row r="644" spans="1:26" ht="13.5" customHeight="1">
      <c r="A644" s="1"/>
      <c r="B644" s="399"/>
      <c r="C644" s="454" t="s">
        <v>20</v>
      </c>
      <c r="D644" s="455"/>
      <c r="E644" s="455"/>
      <c r="F644" s="455"/>
      <c r="G644" s="455"/>
      <c r="H644" s="455"/>
      <c r="I644" s="452"/>
      <c r="J644" s="452"/>
      <c r="K644" s="452"/>
      <c r="L644" s="1148">
        <f>+Datos!$E$19</f>
        <v>0.01</v>
      </c>
      <c r="M644" s="941"/>
      <c r="N644" s="430" t="e">
        <f>+L644*N638</f>
        <v>#N/A</v>
      </c>
      <c r="O644" s="453"/>
      <c r="P644" s="1"/>
      <c r="Q644" s="1"/>
      <c r="R644" s="1"/>
      <c r="S644" s="1"/>
      <c r="T644" s="1"/>
      <c r="U644" s="1"/>
      <c r="V644" s="1"/>
      <c r="W644" s="1"/>
      <c r="X644" s="1"/>
      <c r="Y644" s="1"/>
      <c r="Z644" s="1"/>
    </row>
    <row r="645" spans="1:26" ht="13.5" customHeight="1">
      <c r="A645" s="1"/>
      <c r="B645" s="399"/>
      <c r="C645" s="456" t="s">
        <v>21</v>
      </c>
      <c r="D645" s="457"/>
      <c r="E645" s="457"/>
      <c r="F645" s="457"/>
      <c r="G645" s="457"/>
      <c r="H645" s="457"/>
      <c r="I645" s="458"/>
      <c r="J645" s="458"/>
      <c r="K645" s="458"/>
      <c r="L645" s="1148">
        <f>+Datos!$E$20</f>
        <v>0.05</v>
      </c>
      <c r="M645" s="941"/>
      <c r="N645" s="430" t="e">
        <f>+L645*N638</f>
        <v>#N/A</v>
      </c>
      <c r="O645" s="453"/>
      <c r="P645" s="1"/>
      <c r="Q645" s="1"/>
      <c r="R645" s="1"/>
      <c r="S645" s="1"/>
      <c r="T645" s="1"/>
      <c r="U645" s="1"/>
      <c r="V645" s="1"/>
      <c r="W645" s="1"/>
      <c r="X645" s="1"/>
      <c r="Y645" s="1"/>
      <c r="Z645" s="1"/>
    </row>
    <row r="646" spans="1:26" ht="13.5" customHeight="1">
      <c r="A646" s="1"/>
      <c r="B646" s="399"/>
      <c r="C646" s="1127" t="s">
        <v>1202</v>
      </c>
      <c r="D646" s="965"/>
      <c r="E646" s="965"/>
      <c r="F646" s="965"/>
      <c r="G646" s="965"/>
      <c r="H646" s="965"/>
      <c r="I646" s="965"/>
      <c r="J646" s="965"/>
      <c r="K646" s="965"/>
      <c r="L646" s="965"/>
      <c r="M646" s="966"/>
      <c r="N646" s="433" t="e">
        <f>+SUM(N643:N645)</f>
        <v>#N/A</v>
      </c>
      <c r="O646" s="453"/>
      <c r="P646" s="1"/>
      <c r="Q646" s="1"/>
      <c r="R646" s="1"/>
      <c r="S646" s="1"/>
      <c r="T646" s="1"/>
      <c r="U646" s="1"/>
      <c r="V646" s="1"/>
      <c r="W646" s="1"/>
      <c r="X646" s="1"/>
      <c r="Y646" s="1"/>
      <c r="Z646" s="1"/>
    </row>
    <row r="647" spans="1:26" ht="13.5" customHeight="1">
      <c r="A647" s="1"/>
      <c r="B647" s="399"/>
      <c r="C647" s="418"/>
      <c r="D647" s="39"/>
      <c r="E647" s="39"/>
      <c r="F647" s="39"/>
      <c r="G647" s="39"/>
      <c r="H647" s="39"/>
      <c r="I647" s="39"/>
      <c r="J647" s="39"/>
      <c r="K647" s="39"/>
      <c r="L647" s="39"/>
      <c r="M647" s="39"/>
      <c r="N647" s="40"/>
      <c r="O647" s="402"/>
      <c r="P647" s="1"/>
      <c r="Q647" s="1"/>
      <c r="R647" s="1"/>
      <c r="S647" s="1"/>
      <c r="T647" s="1"/>
      <c r="U647" s="1"/>
      <c r="V647" s="1"/>
      <c r="W647" s="1"/>
      <c r="X647" s="1"/>
      <c r="Y647" s="1"/>
      <c r="Z647" s="1"/>
    </row>
    <row r="648" spans="1:26" ht="13.5" customHeight="1">
      <c r="A648" s="1"/>
      <c r="B648" s="399"/>
      <c r="C648" s="1147" t="s">
        <v>1224</v>
      </c>
      <c r="D648" s="965"/>
      <c r="E648" s="965"/>
      <c r="F648" s="965"/>
      <c r="G648" s="965"/>
      <c r="H648" s="965"/>
      <c r="I648" s="965"/>
      <c r="J648" s="965"/>
      <c r="K648" s="965"/>
      <c r="L648" s="965"/>
      <c r="M648" s="966"/>
      <c r="N648" s="459" t="e">
        <f>+ROUND(SUM(N646,N638),0)</f>
        <v>#N/A</v>
      </c>
      <c r="O648" s="453"/>
      <c r="P648" s="1"/>
      <c r="Q648" s="1"/>
      <c r="R648" s="1"/>
      <c r="S648" s="1"/>
      <c r="T648" s="1"/>
      <c r="U648" s="1"/>
      <c r="V648" s="1"/>
      <c r="W648" s="1"/>
      <c r="X648" s="1"/>
      <c r="Y648" s="1"/>
      <c r="Z648" s="1"/>
    </row>
    <row r="649" spans="1:26" ht="13.5" customHeight="1">
      <c r="A649" s="1"/>
      <c r="B649" s="399"/>
      <c r="C649" s="460"/>
      <c r="D649" s="461"/>
      <c r="E649" s="461"/>
      <c r="F649" s="461"/>
      <c r="G649" s="461"/>
      <c r="H649" s="461"/>
      <c r="I649" s="461"/>
      <c r="J649" s="461"/>
      <c r="K649" s="461"/>
      <c r="L649" s="461"/>
      <c r="M649" s="461"/>
      <c r="N649" s="462"/>
      <c r="O649" s="402"/>
      <c r="P649" s="1"/>
      <c r="Q649" s="1"/>
      <c r="R649" s="1"/>
      <c r="S649" s="1"/>
      <c r="T649" s="1"/>
      <c r="U649" s="1"/>
      <c r="V649" s="1"/>
      <c r="W649" s="1"/>
      <c r="X649" s="1"/>
      <c r="Y649" s="1"/>
      <c r="Z649" s="1"/>
    </row>
    <row r="650" spans="1:26" ht="13.5" customHeight="1">
      <c r="A650" s="1"/>
      <c r="B650" s="399"/>
      <c r="C650" s="418"/>
      <c r="D650" s="39"/>
      <c r="E650" s="39"/>
      <c r="F650" s="39"/>
      <c r="G650" s="39"/>
      <c r="H650" s="39"/>
      <c r="I650" s="39"/>
      <c r="J650" s="39"/>
      <c r="K650" s="39"/>
      <c r="L650" s="39"/>
      <c r="M650" s="39"/>
      <c r="N650" s="40"/>
      <c r="O650" s="402"/>
      <c r="P650" s="1"/>
      <c r="Q650" s="1"/>
      <c r="R650" s="1"/>
      <c r="S650" s="1"/>
      <c r="T650" s="1"/>
      <c r="U650" s="1"/>
      <c r="V650" s="1"/>
      <c r="W650" s="1"/>
      <c r="X650" s="1"/>
      <c r="Y650" s="1"/>
      <c r="Z650" s="1"/>
    </row>
    <row r="651" spans="1:26" ht="13.5" customHeight="1">
      <c r="A651" s="1"/>
      <c r="B651" s="399"/>
      <c r="C651" s="418"/>
      <c r="D651" s="39"/>
      <c r="E651" s="39"/>
      <c r="F651" s="39"/>
      <c r="G651" s="39"/>
      <c r="H651" s="39"/>
      <c r="I651" s="39"/>
      <c r="J651" s="39"/>
      <c r="K651" s="39"/>
      <c r="L651" s="39"/>
      <c r="M651" s="39"/>
      <c r="N651" s="40"/>
      <c r="O651" s="402"/>
      <c r="P651" s="1"/>
      <c r="Q651" s="1"/>
      <c r="R651" s="1"/>
      <c r="S651" s="1"/>
      <c r="T651" s="1"/>
      <c r="U651" s="1"/>
      <c r="V651" s="1"/>
      <c r="W651" s="1"/>
      <c r="X651" s="1"/>
      <c r="Y651" s="1"/>
      <c r="Z651" s="1"/>
    </row>
    <row r="652" spans="1:26" ht="13.5" customHeight="1">
      <c r="A652" s="1"/>
      <c r="B652" s="399"/>
      <c r="C652" s="418"/>
      <c r="D652" s="463"/>
      <c r="E652" s="463"/>
      <c r="F652" s="463"/>
      <c r="G652" s="184"/>
      <c r="H652" s="184"/>
      <c r="I652" s="184"/>
      <c r="J652" s="463"/>
      <c r="K652" s="463"/>
      <c r="L652" s="463"/>
      <c r="M652" s="463"/>
      <c r="N652" s="40"/>
      <c r="O652" s="402"/>
      <c r="P652" s="1"/>
      <c r="Q652" s="1"/>
      <c r="R652" s="1"/>
      <c r="S652" s="1"/>
      <c r="T652" s="1"/>
      <c r="U652" s="1"/>
      <c r="V652" s="1"/>
      <c r="W652" s="1"/>
      <c r="X652" s="1"/>
      <c r="Y652" s="1"/>
      <c r="Z652" s="1"/>
    </row>
    <row r="653" spans="1:26" ht="13.5" customHeight="1">
      <c r="A653" s="1"/>
      <c r="B653" s="399"/>
      <c r="C653" s="418"/>
      <c r="D653" s="39" t="s">
        <v>1225</v>
      </c>
      <c r="E653" s="39"/>
      <c r="F653" s="39"/>
      <c r="G653" s="184"/>
      <c r="H653" s="184"/>
      <c r="I653" s="184"/>
      <c r="J653" s="39" t="s">
        <v>1225</v>
      </c>
      <c r="K653" s="39"/>
      <c r="L653" s="39"/>
      <c r="M653" s="39"/>
      <c r="N653" s="40"/>
      <c r="O653" s="464"/>
      <c r="P653" s="1"/>
      <c r="Q653" s="1"/>
      <c r="R653" s="1"/>
      <c r="S653" s="1"/>
      <c r="T653" s="1"/>
      <c r="U653" s="1"/>
      <c r="V653" s="1"/>
      <c r="W653" s="1"/>
      <c r="X653" s="1"/>
      <c r="Y653" s="1"/>
      <c r="Z653" s="1"/>
    </row>
    <row r="654" spans="1:26" ht="13.5" customHeight="1">
      <c r="A654" s="1"/>
      <c r="B654" s="399"/>
      <c r="C654" s="418"/>
      <c r="D654" s="39" t="s">
        <v>1226</v>
      </c>
      <c r="E654" s="39"/>
      <c r="F654" s="39"/>
      <c r="G654" s="184"/>
      <c r="H654" s="184"/>
      <c r="I654" s="184"/>
      <c r="J654" s="39" t="s">
        <v>1227</v>
      </c>
      <c r="K654" s="39"/>
      <c r="L654" s="39"/>
      <c r="M654" s="39"/>
      <c r="N654" s="40"/>
      <c r="O654" s="464"/>
      <c r="P654" s="1"/>
      <c r="Q654" s="1"/>
      <c r="R654" s="1"/>
      <c r="S654" s="1"/>
      <c r="T654" s="1"/>
      <c r="U654" s="1"/>
      <c r="V654" s="1"/>
      <c r="W654" s="1"/>
      <c r="X654" s="1"/>
      <c r="Y654" s="1"/>
      <c r="Z654" s="1"/>
    </row>
    <row r="655" spans="1:26" ht="13.5" customHeight="1">
      <c r="A655" s="1"/>
      <c r="B655" s="399"/>
      <c r="C655" s="404"/>
      <c r="D655" s="39" t="s">
        <v>1228</v>
      </c>
      <c r="E655" s="42"/>
      <c r="F655" s="42"/>
      <c r="G655" s="184"/>
      <c r="H655" s="184"/>
      <c r="I655" s="184"/>
      <c r="J655" s="39" t="s">
        <v>1228</v>
      </c>
      <c r="K655" s="42"/>
      <c r="L655" s="42"/>
      <c r="M655" s="42"/>
      <c r="N655" s="43"/>
      <c r="O655" s="465"/>
      <c r="P655" s="1"/>
      <c r="Q655" s="1"/>
      <c r="R655" s="1"/>
      <c r="S655" s="1"/>
      <c r="T655" s="1"/>
      <c r="U655" s="1"/>
      <c r="V655" s="1"/>
      <c r="W655" s="1"/>
      <c r="X655" s="1"/>
      <c r="Y655" s="1"/>
      <c r="Z655" s="1"/>
    </row>
    <row r="656" spans="1:26" ht="13.5" customHeight="1">
      <c r="A656" s="1"/>
      <c r="B656" s="399"/>
      <c r="C656" s="418"/>
      <c r="D656" s="39"/>
      <c r="E656" s="39"/>
      <c r="F656" s="39"/>
      <c r="G656" s="39" t="s">
        <v>1229</v>
      </c>
      <c r="H656" s="39"/>
      <c r="I656" s="39"/>
      <c r="J656" s="39"/>
      <c r="K656" s="39"/>
      <c r="L656" s="39"/>
      <c r="M656" s="39"/>
      <c r="N656" s="40"/>
      <c r="O656" s="402"/>
      <c r="P656" s="1"/>
      <c r="Q656" s="1"/>
      <c r="R656" s="1"/>
      <c r="S656" s="1"/>
      <c r="T656" s="1"/>
      <c r="U656" s="1"/>
      <c r="V656" s="1"/>
      <c r="W656" s="1"/>
      <c r="X656" s="1"/>
      <c r="Y656" s="1"/>
      <c r="Z656" s="1"/>
    </row>
    <row r="657" spans="1:26" ht="17.25" customHeight="1">
      <c r="A657" s="1"/>
      <c r="B657" s="399"/>
      <c r="C657" s="466"/>
      <c r="D657" s="467"/>
      <c r="E657" s="467"/>
      <c r="F657" s="39"/>
      <c r="G657" s="39"/>
      <c r="H657" s="39"/>
      <c r="I657" s="39"/>
      <c r="J657" s="1149"/>
      <c r="K657" s="922"/>
      <c r="L657" s="922"/>
      <c r="M657" s="922"/>
      <c r="N657" s="924"/>
      <c r="O657" s="468"/>
      <c r="P657" s="1"/>
      <c r="Q657" s="1"/>
      <c r="R657" s="1"/>
      <c r="S657" s="1"/>
      <c r="T657" s="1"/>
      <c r="U657" s="1"/>
      <c r="V657" s="1"/>
      <c r="W657" s="1"/>
      <c r="X657" s="1"/>
      <c r="Y657" s="1"/>
      <c r="Z657" s="1"/>
    </row>
    <row r="658" spans="1:26" ht="18.75" customHeight="1">
      <c r="A658" s="1"/>
      <c r="B658" s="399"/>
      <c r="C658" s="1150"/>
      <c r="D658" s="936"/>
      <c r="E658" s="936"/>
      <c r="F658" s="416"/>
      <c r="G658" s="416"/>
      <c r="H658" s="416"/>
      <c r="I658" s="416"/>
      <c r="J658" s="936"/>
      <c r="K658" s="936"/>
      <c r="L658" s="936"/>
      <c r="M658" s="936"/>
      <c r="N658" s="938"/>
      <c r="O658" s="468"/>
      <c r="P658" s="1"/>
      <c r="Q658" s="1"/>
      <c r="R658" s="1"/>
      <c r="S658" s="1"/>
      <c r="T658" s="1"/>
      <c r="U658" s="1"/>
      <c r="V658" s="1"/>
      <c r="W658" s="1"/>
      <c r="X658" s="1"/>
      <c r="Y658" s="1"/>
      <c r="Z658" s="1"/>
    </row>
    <row r="659" spans="1:26" ht="13.5" customHeight="1">
      <c r="A659" s="1"/>
      <c r="B659" s="469"/>
      <c r="C659" s="470"/>
      <c r="D659" s="470"/>
      <c r="E659" s="470"/>
      <c r="F659" s="470"/>
      <c r="G659" s="470"/>
      <c r="H659" s="470"/>
      <c r="I659" s="470"/>
      <c r="J659" s="470"/>
      <c r="K659" s="470"/>
      <c r="L659" s="470"/>
      <c r="M659" s="470"/>
      <c r="N659" s="470"/>
      <c r="O659" s="471"/>
      <c r="P659" s="1"/>
      <c r="Q659" s="1"/>
      <c r="R659" s="1"/>
      <c r="S659" s="1"/>
      <c r="T659" s="1"/>
      <c r="U659" s="1"/>
      <c r="V659" s="1"/>
      <c r="W659" s="1"/>
      <c r="X659" s="1"/>
      <c r="Y659" s="1"/>
      <c r="Z659" s="1"/>
    </row>
    <row r="660" spans="1:26" ht="13.5" customHeight="1">
      <c r="A660" s="1"/>
      <c r="B660" s="184"/>
      <c r="C660" s="184"/>
      <c r="D660" s="184"/>
      <c r="E660" s="184"/>
      <c r="F660" s="184"/>
      <c r="G660" s="184"/>
      <c r="H660" s="184"/>
      <c r="I660" s="184"/>
      <c r="J660" s="184"/>
      <c r="K660" s="184"/>
      <c r="L660" s="184"/>
      <c r="M660" s="184"/>
      <c r="N660" s="184"/>
      <c r="O660" s="184"/>
      <c r="P660" s="1"/>
      <c r="Q660" s="1"/>
      <c r="R660" s="1"/>
      <c r="S660" s="1"/>
      <c r="T660" s="1"/>
      <c r="U660" s="1"/>
      <c r="V660" s="1"/>
      <c r="W660" s="1"/>
      <c r="X660" s="1"/>
      <c r="Y660" s="1"/>
      <c r="Z660" s="1"/>
    </row>
    <row r="661" spans="1:26" ht="13.5" customHeight="1">
      <c r="A661" s="1"/>
      <c r="B661" s="184"/>
      <c r="C661" s="184"/>
      <c r="D661" s="184"/>
      <c r="E661" s="184"/>
      <c r="F661" s="184"/>
      <c r="G661" s="184"/>
      <c r="H661" s="184"/>
      <c r="I661" s="184"/>
      <c r="J661" s="184"/>
      <c r="K661" s="184"/>
      <c r="L661" s="184"/>
      <c r="M661" s="184"/>
      <c r="N661" s="184"/>
      <c r="O661" s="184"/>
      <c r="P661" s="1"/>
      <c r="Q661" s="1"/>
      <c r="R661" s="1"/>
      <c r="S661" s="1"/>
      <c r="T661" s="1"/>
      <c r="U661" s="1"/>
      <c r="V661" s="1"/>
      <c r="W661" s="1"/>
      <c r="X661" s="1"/>
      <c r="Y661" s="1"/>
      <c r="Z661" s="1"/>
    </row>
    <row r="662" spans="1:26" ht="13.5" customHeight="1">
      <c r="A662" s="1"/>
      <c r="B662" s="396"/>
      <c r="C662" s="397"/>
      <c r="D662" s="397"/>
      <c r="E662" s="397"/>
      <c r="F662" s="397"/>
      <c r="G662" s="397"/>
      <c r="H662" s="397"/>
      <c r="I662" s="397"/>
      <c r="J662" s="397"/>
      <c r="K662" s="397"/>
      <c r="L662" s="397"/>
      <c r="M662" s="397"/>
      <c r="N662" s="397"/>
      <c r="O662" s="398"/>
      <c r="P662" s="1"/>
      <c r="Q662" s="1"/>
      <c r="R662" s="1"/>
      <c r="S662" s="1"/>
      <c r="T662" s="1"/>
      <c r="U662" s="1"/>
      <c r="V662" s="1"/>
      <c r="W662" s="1"/>
      <c r="X662" s="1"/>
      <c r="Y662" s="1"/>
      <c r="Z662" s="1"/>
    </row>
    <row r="663" spans="1:26" ht="13.5" customHeight="1">
      <c r="A663" s="1"/>
      <c r="B663" s="399"/>
      <c r="C663" s="400"/>
      <c r="D663" s="401"/>
      <c r="E663" s="400"/>
      <c r="F663" s="184"/>
      <c r="G663" s="184"/>
      <c r="H663" s="184"/>
      <c r="I663" s="184"/>
      <c r="J663" s="184"/>
      <c r="K663" s="184"/>
      <c r="L663" s="184"/>
      <c r="M663" s="184"/>
      <c r="N663" s="184"/>
      <c r="O663" s="402"/>
      <c r="P663" s="1"/>
      <c r="Q663" s="1"/>
      <c r="R663" s="1"/>
      <c r="S663" s="1"/>
      <c r="T663" s="1"/>
      <c r="U663" s="1"/>
      <c r="V663" s="1"/>
      <c r="W663" s="1"/>
      <c r="X663" s="1"/>
      <c r="Y663" s="1"/>
      <c r="Z663" s="1"/>
    </row>
    <row r="664" spans="1:26" ht="13.5" customHeight="1">
      <c r="A664" s="1"/>
      <c r="B664" s="399"/>
      <c r="C664" s="39"/>
      <c r="D664" s="39"/>
      <c r="E664" s="39"/>
      <c r="F664" s="39"/>
      <c r="G664" s="39"/>
      <c r="H664" s="39"/>
      <c r="I664" s="39"/>
      <c r="J664" s="39"/>
      <c r="K664" s="39"/>
      <c r="L664" s="39"/>
      <c r="M664" s="39"/>
      <c r="N664" s="39"/>
      <c r="O664" s="402"/>
      <c r="P664" s="1"/>
      <c r="Q664" s="1"/>
      <c r="R664" s="1"/>
      <c r="S664" s="1"/>
      <c r="T664" s="1"/>
      <c r="U664" s="1"/>
      <c r="V664" s="1"/>
      <c r="W664" s="1"/>
      <c r="X664" s="1"/>
      <c r="Y664" s="1"/>
      <c r="Z664" s="1"/>
    </row>
    <row r="665" spans="1:26" ht="13.5" customHeight="1">
      <c r="A665" s="1"/>
      <c r="B665" s="399"/>
      <c r="C665" s="1124"/>
      <c r="D665" s="927"/>
      <c r="E665" s="1014" t="str">
        <f>+Datos!$C$9</f>
        <v>CONSEJO SUPERIOR  DE  JUDICATURA– DIRECCIÓN  EJECUTIVA  SECCIONAL  DE ADMINISTRACIÓN JUDICIAL DE BUCARAMANGA</v>
      </c>
      <c r="F665" s="926"/>
      <c r="G665" s="926"/>
      <c r="H665" s="926"/>
      <c r="I665" s="926"/>
      <c r="J665" s="926"/>
      <c r="K665" s="927"/>
      <c r="L665" s="925" t="s">
        <v>1</v>
      </c>
      <c r="M665" s="931"/>
      <c r="N665" s="933">
        <f>Datos!$C$4</f>
        <v>1</v>
      </c>
      <c r="O665" s="403"/>
      <c r="P665" s="1"/>
      <c r="Q665" s="1"/>
      <c r="R665" s="1"/>
      <c r="S665" s="1"/>
      <c r="T665" s="1"/>
      <c r="U665" s="1"/>
      <c r="V665" s="1"/>
      <c r="W665" s="1"/>
      <c r="X665" s="1"/>
      <c r="Y665" s="1"/>
      <c r="Z665" s="1"/>
    </row>
    <row r="666" spans="1:26" ht="13.5" customHeight="1">
      <c r="A666" s="1"/>
      <c r="B666" s="399"/>
      <c r="C666" s="920"/>
      <c r="D666" s="924"/>
      <c r="E666" s="920"/>
      <c r="F666" s="922"/>
      <c r="G666" s="922"/>
      <c r="H666" s="922"/>
      <c r="I666" s="922"/>
      <c r="J666" s="922"/>
      <c r="K666" s="924"/>
      <c r="L666" s="920"/>
      <c r="M666" s="932"/>
      <c r="N666" s="934"/>
      <c r="O666" s="403"/>
      <c r="P666" s="1"/>
      <c r="Q666" s="1"/>
      <c r="R666" s="1"/>
      <c r="S666" s="1"/>
      <c r="T666" s="1"/>
      <c r="U666" s="1"/>
      <c r="V666" s="1"/>
      <c r="W666" s="1"/>
      <c r="X666" s="1"/>
      <c r="Y666" s="1"/>
      <c r="Z666" s="1"/>
    </row>
    <row r="667" spans="1:26" ht="13.5" customHeight="1">
      <c r="A667" s="1"/>
      <c r="B667" s="399"/>
      <c r="C667" s="920"/>
      <c r="D667" s="924"/>
      <c r="E667" s="919" t="str">
        <f>Datos!$C$13</f>
        <v xml:space="preserve">BGA - 030 - 2026 </v>
      </c>
      <c r="F667" s="922"/>
      <c r="G667" s="922"/>
      <c r="H667" s="922"/>
      <c r="I667" s="922"/>
      <c r="J667" s="922"/>
      <c r="K667" s="922"/>
      <c r="L667" s="925" t="s">
        <v>29</v>
      </c>
      <c r="M667" s="926"/>
      <c r="N667" s="927"/>
      <c r="O667" s="403"/>
      <c r="P667" s="1"/>
      <c r="Q667" s="1"/>
      <c r="R667" s="1"/>
      <c r="S667" s="1"/>
      <c r="T667" s="1"/>
      <c r="U667" s="1"/>
      <c r="V667" s="1"/>
      <c r="W667" s="1"/>
      <c r="X667" s="1"/>
      <c r="Y667" s="1"/>
      <c r="Z667" s="1"/>
    </row>
    <row r="668" spans="1:26" ht="13.5" customHeight="1">
      <c r="A668" s="1"/>
      <c r="B668" s="399"/>
      <c r="C668" s="920"/>
      <c r="D668" s="924"/>
      <c r="E668" s="405"/>
      <c r="F668" s="406"/>
      <c r="G668" s="406"/>
      <c r="H668" s="406"/>
      <c r="I668" s="406"/>
      <c r="J668" s="406"/>
      <c r="K668" s="42"/>
      <c r="L668" s="919">
        <v>1</v>
      </c>
      <c r="M668" s="921" t="s">
        <v>30</v>
      </c>
      <c r="N668" s="923">
        <v>1</v>
      </c>
      <c r="O668" s="403"/>
      <c r="P668" s="1"/>
      <c r="Q668" s="1"/>
      <c r="R668" s="1"/>
      <c r="S668" s="1"/>
      <c r="T668" s="1"/>
      <c r="U668" s="1"/>
      <c r="V668" s="1"/>
      <c r="W668" s="1"/>
      <c r="X668" s="1"/>
      <c r="Y668" s="1"/>
      <c r="Z668" s="1"/>
    </row>
    <row r="669" spans="1:26" ht="12.75" customHeight="1">
      <c r="A669" s="1"/>
      <c r="B669" s="399"/>
      <c r="C669" s="920"/>
      <c r="D669" s="924"/>
      <c r="E669"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669" s="922"/>
      <c r="G669" s="922"/>
      <c r="H669" s="922"/>
      <c r="I669" s="922"/>
      <c r="J669" s="922"/>
      <c r="K669" s="922"/>
      <c r="L669" s="920"/>
      <c r="M669" s="922"/>
      <c r="N669" s="924"/>
      <c r="O669" s="403"/>
      <c r="P669" s="1"/>
      <c r="Q669" s="1"/>
      <c r="R669" s="1"/>
      <c r="S669" s="1"/>
      <c r="T669" s="1"/>
      <c r="U669" s="1"/>
      <c r="V669" s="1"/>
      <c r="W669" s="1"/>
      <c r="X669" s="1"/>
      <c r="Y669" s="1"/>
      <c r="Z669" s="1"/>
    </row>
    <row r="670" spans="1:26" ht="13.5" customHeight="1">
      <c r="A670" s="1"/>
      <c r="B670" s="399"/>
      <c r="C670" s="920"/>
      <c r="D670" s="924"/>
      <c r="E670" s="920"/>
      <c r="F670" s="922"/>
      <c r="G670" s="922"/>
      <c r="H670" s="922"/>
      <c r="I670" s="922"/>
      <c r="J670" s="922"/>
      <c r="K670" s="922"/>
      <c r="L670" s="925" t="s">
        <v>2</v>
      </c>
      <c r="M670" s="926"/>
      <c r="N670" s="927"/>
      <c r="O670" s="403"/>
      <c r="P670" s="1"/>
      <c r="Q670" s="1"/>
      <c r="R670" s="1"/>
      <c r="S670" s="1"/>
      <c r="T670" s="1"/>
      <c r="U670" s="1"/>
      <c r="V670" s="1"/>
      <c r="W670" s="1"/>
      <c r="X670" s="1"/>
      <c r="Y670" s="1"/>
      <c r="Z670" s="1"/>
    </row>
    <row r="671" spans="1:26" ht="13.5" customHeight="1">
      <c r="A671" s="1"/>
      <c r="B671" s="399"/>
      <c r="C671" s="920"/>
      <c r="D671" s="924"/>
      <c r="E671" s="407"/>
      <c r="F671" s="216"/>
      <c r="G671" s="216"/>
      <c r="H671" s="216"/>
      <c r="I671" s="216"/>
      <c r="J671" s="216"/>
      <c r="K671" s="216"/>
      <c r="L671" s="408" t="s">
        <v>3</v>
      </c>
      <c r="M671" s="409" t="s">
        <v>4</v>
      </c>
      <c r="N671" s="410" t="s">
        <v>5</v>
      </c>
      <c r="O671" s="403"/>
      <c r="P671" s="1"/>
      <c r="Q671" s="1"/>
      <c r="R671" s="1"/>
      <c r="S671" s="1"/>
      <c r="T671" s="1"/>
      <c r="U671" s="1"/>
      <c r="V671" s="1"/>
      <c r="W671" s="1"/>
      <c r="X671" s="1"/>
      <c r="Y671" s="1"/>
      <c r="Z671" s="1"/>
    </row>
    <row r="672" spans="1:26" ht="13.5" customHeight="1">
      <c r="A672" s="1"/>
      <c r="B672" s="399"/>
      <c r="C672" s="920"/>
      <c r="D672" s="924"/>
      <c r="E672" s="1125" t="s">
        <v>1186</v>
      </c>
      <c r="F672" s="945"/>
      <c r="G672" s="945"/>
      <c r="H672" s="945"/>
      <c r="I672" s="945"/>
      <c r="J672" s="945"/>
      <c r="K672" s="945"/>
      <c r="L672" s="928">
        <f>+Datos!C583</f>
        <v>0</v>
      </c>
      <c r="M672" s="935">
        <f>+Datos!D583</f>
        <v>0</v>
      </c>
      <c r="N672" s="937">
        <f>+Datos!E583</f>
        <v>0</v>
      </c>
      <c r="O672" s="411"/>
      <c r="P672" s="1"/>
      <c r="Q672" s="1"/>
      <c r="R672" s="1"/>
      <c r="S672" s="1"/>
      <c r="T672" s="1"/>
      <c r="U672" s="1"/>
      <c r="V672" s="1"/>
      <c r="W672" s="1"/>
      <c r="X672" s="1"/>
      <c r="Y672" s="1"/>
      <c r="Z672" s="1"/>
    </row>
    <row r="673" spans="1:26" ht="13.5" customHeight="1">
      <c r="A673" s="395"/>
      <c r="B673" s="399"/>
      <c r="C673" s="929"/>
      <c r="D673" s="938"/>
      <c r="E673" s="929"/>
      <c r="F673" s="936"/>
      <c r="G673" s="936"/>
      <c r="H673" s="936"/>
      <c r="I673" s="936"/>
      <c r="J673" s="936"/>
      <c r="K673" s="936"/>
      <c r="L673" s="929"/>
      <c r="M673" s="936"/>
      <c r="N673" s="938"/>
      <c r="O673" s="403"/>
      <c r="P673" s="1"/>
      <c r="Q673" s="1"/>
      <c r="R673" s="1"/>
      <c r="S673" s="1"/>
      <c r="T673" s="1"/>
      <c r="U673" s="1"/>
      <c r="V673" s="1"/>
      <c r="W673" s="1"/>
      <c r="X673" s="1"/>
      <c r="Y673" s="1"/>
      <c r="Z673" s="1"/>
    </row>
    <row r="674" spans="1:26" ht="13.5" customHeight="1">
      <c r="A674" s="395"/>
      <c r="B674" s="399"/>
      <c r="C674" s="404"/>
      <c r="D674" s="38"/>
      <c r="E674" s="38"/>
      <c r="F674" s="38"/>
      <c r="G674" s="38"/>
      <c r="H674" s="38"/>
      <c r="I674" s="38"/>
      <c r="J674" s="38"/>
      <c r="K674" s="38"/>
      <c r="L674" s="39"/>
      <c r="M674" s="39"/>
      <c r="N674" s="40"/>
      <c r="O674" s="414"/>
      <c r="P674" s="1"/>
      <c r="Q674" s="1"/>
      <c r="R674" s="1"/>
      <c r="S674" s="1"/>
      <c r="T674" s="1"/>
      <c r="U674" s="1"/>
      <c r="V674" s="1"/>
      <c r="W674" s="1"/>
      <c r="X674" s="1"/>
      <c r="Y674" s="1"/>
      <c r="Z674" s="1"/>
    </row>
    <row r="675" spans="1:26" ht="18" customHeight="1">
      <c r="A675" s="395"/>
      <c r="B675" s="399"/>
      <c r="C675" s="412" t="s">
        <v>1187</v>
      </c>
      <c r="D675" s="1126" t="s">
        <v>1188</v>
      </c>
      <c r="E675" s="922"/>
      <c r="F675" s="922"/>
      <c r="G675" s="922"/>
      <c r="H675" s="922"/>
      <c r="I675" s="922"/>
      <c r="J675" s="922"/>
      <c r="K675" s="922"/>
      <c r="L675" s="922"/>
      <c r="M675" s="1"/>
      <c r="N675" s="413"/>
      <c r="O675" s="414"/>
      <c r="P675" s="1"/>
      <c r="Q675" s="1"/>
      <c r="R675" s="1"/>
      <c r="S675" s="1"/>
      <c r="T675" s="1"/>
      <c r="U675" s="1"/>
      <c r="V675" s="1"/>
      <c r="W675" s="1"/>
      <c r="X675" s="1"/>
      <c r="Y675" s="1"/>
      <c r="Z675" s="1"/>
    </row>
    <row r="676" spans="1:26" ht="13.5" customHeight="1">
      <c r="A676" s="395"/>
      <c r="B676" s="399"/>
      <c r="C676" s="412" t="s">
        <v>1189</v>
      </c>
      <c r="D676" s="1126" t="s">
        <v>1190</v>
      </c>
      <c r="E676" s="922"/>
      <c r="F676" s="922"/>
      <c r="G676" s="922"/>
      <c r="H676" s="922"/>
      <c r="I676" s="922"/>
      <c r="J676" s="922"/>
      <c r="K676" s="922"/>
      <c r="L676" s="922"/>
      <c r="M676" s="1"/>
      <c r="N676" s="413"/>
      <c r="O676" s="403"/>
      <c r="P676" s="1"/>
      <c r="Q676" s="1"/>
      <c r="R676" s="1"/>
      <c r="S676" s="1"/>
      <c r="T676" s="1"/>
      <c r="U676" s="1"/>
      <c r="V676" s="1"/>
      <c r="W676" s="1"/>
      <c r="X676" s="1"/>
      <c r="Y676" s="1"/>
      <c r="Z676" s="1"/>
    </row>
    <row r="677" spans="1:26" ht="13.5" customHeight="1">
      <c r="A677" s="395"/>
      <c r="B677" s="399"/>
      <c r="C677" s="415"/>
      <c r="D677" s="416"/>
      <c r="E677" s="416"/>
      <c r="F677" s="416"/>
      <c r="G677" s="416"/>
      <c r="H677" s="416"/>
      <c r="I677" s="416"/>
      <c r="J677" s="416"/>
      <c r="K677" s="416"/>
      <c r="L677" s="416"/>
      <c r="M677" s="416"/>
      <c r="N677" s="417"/>
      <c r="O677" s="402"/>
      <c r="P677" s="1"/>
      <c r="Q677" s="1"/>
      <c r="R677" s="1"/>
      <c r="S677" s="1"/>
      <c r="T677" s="1"/>
      <c r="U677" s="1"/>
      <c r="V677" s="1"/>
      <c r="W677" s="1"/>
      <c r="X677" s="1"/>
      <c r="Y677" s="1"/>
      <c r="Z677" s="1"/>
    </row>
    <row r="678" spans="1:26" ht="13.5" customHeight="1">
      <c r="A678" s="395"/>
      <c r="B678" s="399"/>
      <c r="C678" s="418"/>
      <c r="D678" s="39"/>
      <c r="E678" s="39"/>
      <c r="F678" s="39"/>
      <c r="G678" s="39"/>
      <c r="H678" s="39"/>
      <c r="I678" s="39"/>
      <c r="J678" s="39"/>
      <c r="K678" s="39"/>
      <c r="L678" s="39"/>
      <c r="M678" s="39"/>
      <c r="N678" s="40"/>
      <c r="O678" s="402"/>
      <c r="P678" s="1"/>
      <c r="Q678" s="1"/>
      <c r="R678" s="1"/>
      <c r="S678" s="1"/>
      <c r="T678" s="1"/>
      <c r="U678" s="1"/>
      <c r="V678" s="1"/>
      <c r="W678" s="1"/>
      <c r="X678" s="1"/>
      <c r="Y678" s="1"/>
      <c r="Z678" s="1"/>
    </row>
    <row r="679" spans="1:26" ht="13.5" customHeight="1">
      <c r="A679" s="395"/>
      <c r="B679" s="399"/>
      <c r="C679" s="925" t="s">
        <v>1191</v>
      </c>
      <c r="D679" s="926"/>
      <c r="E679" s="926"/>
      <c r="F679" s="926"/>
      <c r="G679" s="926"/>
      <c r="H679" s="926"/>
      <c r="I679" s="926"/>
      <c r="J679" s="926"/>
      <c r="K679" s="926"/>
      <c r="L679" s="926"/>
      <c r="M679" s="926"/>
      <c r="N679" s="927"/>
      <c r="O679" s="419"/>
      <c r="P679" s="1"/>
      <c r="Q679" s="1"/>
      <c r="R679" s="1"/>
      <c r="S679" s="1"/>
      <c r="T679" s="1"/>
      <c r="U679" s="1"/>
      <c r="V679" s="1"/>
      <c r="W679" s="1"/>
      <c r="X679" s="1"/>
      <c r="Y679" s="1"/>
      <c r="Z679" s="1"/>
    </row>
    <row r="680" spans="1:26" ht="13.5" customHeight="1">
      <c r="A680" s="395"/>
      <c r="B680" s="399"/>
      <c r="C680" s="418"/>
      <c r="D680" s="39"/>
      <c r="E680" s="39"/>
      <c r="F680" s="39"/>
      <c r="G680" s="39"/>
      <c r="H680" s="39"/>
      <c r="I680" s="39"/>
      <c r="J680" s="39"/>
      <c r="K680" s="39"/>
      <c r="L680" s="39"/>
      <c r="M680" s="39"/>
      <c r="N680" s="40"/>
      <c r="O680" s="402"/>
      <c r="P680" s="1"/>
      <c r="Q680" s="1"/>
      <c r="R680" s="1"/>
      <c r="S680" s="1"/>
      <c r="T680" s="1"/>
      <c r="U680" s="1"/>
      <c r="V680" s="1"/>
      <c r="W680" s="1"/>
      <c r="X680" s="1"/>
      <c r="Y680" s="1"/>
      <c r="Z680" s="1"/>
    </row>
    <row r="681" spans="1:26" ht="13.5" customHeight="1">
      <c r="A681" s="395"/>
      <c r="B681" s="399"/>
      <c r="C681" s="420" t="s">
        <v>965</v>
      </c>
      <c r="D681" s="1136" t="s">
        <v>17</v>
      </c>
      <c r="E681" s="1131"/>
      <c r="F681" s="1131"/>
      <c r="G681" s="1131"/>
      <c r="H681" s="1131"/>
      <c r="I681" s="1131"/>
      <c r="J681" s="1131"/>
      <c r="K681" s="1137"/>
      <c r="L681" s="1130" t="s">
        <v>1192</v>
      </c>
      <c r="M681" s="1137"/>
      <c r="N681" s="420" t="s">
        <v>950</v>
      </c>
      <c r="O681" s="419"/>
      <c r="P681" s="1"/>
      <c r="Q681" s="1"/>
      <c r="R681" s="1"/>
      <c r="S681" s="1"/>
      <c r="T681" s="1"/>
      <c r="U681" s="1"/>
      <c r="V681" s="1"/>
      <c r="W681" s="1"/>
      <c r="X681" s="1"/>
      <c r="Y681" s="1"/>
      <c r="Z681" s="1"/>
    </row>
    <row r="682" spans="1:26" ht="13.5" customHeight="1">
      <c r="A682" s="395"/>
      <c r="B682" s="421"/>
      <c r="C682" s="422" t="s">
        <v>1190</v>
      </c>
      <c r="D682" s="1151" t="s">
        <v>1251</v>
      </c>
      <c r="E682" s="979"/>
      <c r="F682" s="979"/>
      <c r="G682" s="979"/>
      <c r="H682" s="979"/>
      <c r="I682" s="979"/>
      <c r="J682" s="979"/>
      <c r="K682" s="980"/>
      <c r="L682" s="1138" t="s">
        <v>741</v>
      </c>
      <c r="M682" s="980"/>
      <c r="N682" s="423">
        <v>1</v>
      </c>
      <c r="O682" s="424"/>
      <c r="P682" s="1"/>
      <c r="Q682" s="1"/>
      <c r="R682" s="1"/>
      <c r="S682" s="1"/>
      <c r="T682" s="1"/>
      <c r="U682" s="1"/>
      <c r="V682" s="1"/>
      <c r="W682" s="1"/>
      <c r="X682" s="1"/>
      <c r="Y682" s="1"/>
      <c r="Z682" s="1"/>
    </row>
    <row r="683" spans="1:26" ht="13.5" customHeight="1">
      <c r="A683" s="395"/>
      <c r="B683" s="399"/>
      <c r="C683" s="1129" t="s">
        <v>1195</v>
      </c>
      <c r="D683" s="926"/>
      <c r="E683" s="926"/>
      <c r="F683" s="926"/>
      <c r="G683" s="926"/>
      <c r="H683" s="926"/>
      <c r="I683" s="926"/>
      <c r="J683" s="926"/>
      <c r="K683" s="926"/>
      <c r="L683" s="926"/>
      <c r="M683" s="926"/>
      <c r="N683" s="927"/>
      <c r="O683" s="426"/>
      <c r="P683" s="1"/>
      <c r="Q683" s="1"/>
      <c r="R683" s="1"/>
      <c r="S683" s="1"/>
      <c r="T683" s="1"/>
      <c r="U683" s="1"/>
      <c r="V683" s="1"/>
      <c r="W683" s="1"/>
      <c r="X683" s="1"/>
      <c r="Y683" s="1"/>
      <c r="Z683" s="1"/>
    </row>
    <row r="684" spans="1:26" ht="13.5" customHeight="1">
      <c r="A684" s="395"/>
      <c r="B684" s="399"/>
      <c r="C684" s="920"/>
      <c r="D684" s="922"/>
      <c r="E684" s="922"/>
      <c r="F684" s="922"/>
      <c r="G684" s="922"/>
      <c r="H684" s="922"/>
      <c r="I684" s="922"/>
      <c r="J684" s="922"/>
      <c r="K684" s="922"/>
      <c r="L684" s="922"/>
      <c r="M684" s="922"/>
      <c r="N684" s="924"/>
      <c r="O684" s="426"/>
      <c r="P684" s="1"/>
      <c r="Q684" s="1"/>
      <c r="R684" s="1"/>
      <c r="S684" s="1"/>
      <c r="T684" s="1"/>
      <c r="U684" s="1"/>
      <c r="V684" s="1"/>
      <c r="W684" s="1"/>
      <c r="X684" s="1"/>
      <c r="Y684" s="1"/>
      <c r="Z684" s="1"/>
    </row>
    <row r="685" spans="1:26" ht="13.5" customHeight="1">
      <c r="A685" s="395"/>
      <c r="B685" s="399"/>
      <c r="C685" s="929"/>
      <c r="D685" s="936"/>
      <c r="E685" s="936"/>
      <c r="F685" s="936"/>
      <c r="G685" s="936"/>
      <c r="H685" s="936"/>
      <c r="I685" s="936"/>
      <c r="J685" s="936"/>
      <c r="K685" s="936"/>
      <c r="L685" s="936"/>
      <c r="M685" s="936"/>
      <c r="N685" s="938"/>
      <c r="O685" s="426"/>
      <c r="P685" s="1"/>
      <c r="Q685" s="1"/>
      <c r="R685" s="1"/>
      <c r="S685" s="1"/>
      <c r="T685" s="1"/>
      <c r="U685" s="1"/>
      <c r="V685" s="1"/>
      <c r="W685" s="1"/>
      <c r="X685" s="1"/>
      <c r="Y685" s="1"/>
      <c r="Z685" s="1"/>
    </row>
    <row r="686" spans="1:26" ht="13.5" customHeight="1">
      <c r="A686" s="395"/>
      <c r="B686" s="399"/>
      <c r="C686" s="1130" t="s">
        <v>17</v>
      </c>
      <c r="D686" s="1131"/>
      <c r="E686" s="1131"/>
      <c r="F686" s="1000"/>
      <c r="G686" s="1135" t="s">
        <v>1196</v>
      </c>
      <c r="H686" s="1000"/>
      <c r="I686" s="1139" t="s">
        <v>1197</v>
      </c>
      <c r="J686" s="1140"/>
      <c r="K686" s="427" t="s">
        <v>1198</v>
      </c>
      <c r="L686" s="1135" t="s">
        <v>1199</v>
      </c>
      <c r="M686" s="1000"/>
      <c r="N686" s="428" t="s">
        <v>1200</v>
      </c>
      <c r="O686" s="419"/>
      <c r="P686" s="1"/>
      <c r="Q686" s="1"/>
      <c r="R686" s="1"/>
      <c r="S686" s="1"/>
      <c r="T686" s="1"/>
      <c r="U686" s="1"/>
      <c r="V686" s="1"/>
      <c r="W686" s="1"/>
      <c r="X686" s="1"/>
      <c r="Y686" s="1"/>
      <c r="Z686" s="1"/>
    </row>
    <row r="687" spans="1:26" ht="13.5" customHeight="1">
      <c r="A687" s="395"/>
      <c r="B687" s="399"/>
      <c r="C687" s="1128" t="s">
        <v>1201</v>
      </c>
      <c r="D687" s="940"/>
      <c r="E687" s="940"/>
      <c r="F687" s="941"/>
      <c r="G687" s="1142"/>
      <c r="H687" s="941"/>
      <c r="I687" s="1142"/>
      <c r="J687" s="941"/>
      <c r="K687" s="429"/>
      <c r="L687" s="1143">
        <v>0.05</v>
      </c>
      <c r="M687" s="941"/>
      <c r="N687" s="430">
        <f>+L687*N718</f>
        <v>2506.411111111111</v>
      </c>
      <c r="O687" s="431"/>
      <c r="P687" s="1"/>
      <c r="Q687" s="1"/>
      <c r="R687" s="1"/>
      <c r="S687" s="1"/>
      <c r="T687" s="1"/>
      <c r="U687" s="1"/>
      <c r="V687" s="1"/>
      <c r="W687" s="1"/>
      <c r="X687" s="1"/>
      <c r="Y687" s="1"/>
      <c r="Z687" s="1"/>
    </row>
    <row r="688" spans="1:26" ht="13.5" customHeight="1">
      <c r="A688" s="395" t="str">
        <f t="array" ref="A688">IF(C688&lt;&gt;0,INDEX(CodEquipos,MATCH(C688,Equipos,0),),)</f>
        <v>EQ-01</v>
      </c>
      <c r="B688" s="399"/>
      <c r="C688" s="1128" t="s">
        <v>271</v>
      </c>
      <c r="D688" s="940"/>
      <c r="E688" s="940"/>
      <c r="F688" s="941"/>
      <c r="G688" s="1142"/>
      <c r="H688" s="941"/>
      <c r="I688" s="1142"/>
      <c r="J688" s="941"/>
      <c r="K688" s="432">
        <f>IF($A688&gt;0,(VLOOKUP($A688,TablaEquipos,7,FALSE)),"")</f>
        <v>13833.75</v>
      </c>
      <c r="L688" s="1141">
        <f>L713/8</f>
        <v>1.125</v>
      </c>
      <c r="M688" s="941"/>
      <c r="N688" s="430">
        <f t="shared" ref="N688:N690" si="38">IF(L688&gt;0,K688/L688,"")</f>
        <v>12296.666666666666</v>
      </c>
      <c r="O688" s="431"/>
      <c r="P688" s="1"/>
      <c r="Q688" s="1"/>
      <c r="R688" s="1"/>
      <c r="S688" s="1"/>
      <c r="T688" s="1"/>
      <c r="U688" s="1"/>
      <c r="V688" s="1"/>
      <c r="W688" s="1"/>
      <c r="X688" s="1"/>
      <c r="Y688" s="1"/>
      <c r="Z688" s="1"/>
    </row>
    <row r="689" spans="1:26" ht="13.5" customHeight="1">
      <c r="A689" s="395">
        <f t="array" ref="A689">IF(C689&lt;&gt;0,INDEX(CodEquipos,MATCH(C689,Equipos,0),),)</f>
        <v>0</v>
      </c>
      <c r="B689" s="399"/>
      <c r="C689" s="1128"/>
      <c r="D689" s="940"/>
      <c r="E689" s="940"/>
      <c r="F689" s="941"/>
      <c r="G689" s="1142"/>
      <c r="H689" s="941"/>
      <c r="I689" s="1142"/>
      <c r="J689" s="941"/>
      <c r="K689" s="432" t="str">
        <f>IF($A689&gt;0,(VLOOKUP($A689,TablaEquipos,7,FALSE)),"")</f>
        <v/>
      </c>
      <c r="L689" s="1141"/>
      <c r="M689" s="941"/>
      <c r="N689" s="430" t="str">
        <f t="shared" si="38"/>
        <v/>
      </c>
      <c r="O689" s="431"/>
      <c r="P689" s="1"/>
      <c r="Q689" s="1"/>
      <c r="R689" s="1"/>
      <c r="S689" s="1"/>
      <c r="T689" s="1"/>
      <c r="U689" s="1"/>
      <c r="V689" s="1"/>
      <c r="W689" s="1"/>
      <c r="X689" s="1"/>
      <c r="Y689" s="1"/>
      <c r="Z689" s="1"/>
    </row>
    <row r="690" spans="1:26" ht="13.5" customHeight="1">
      <c r="A690" s="395">
        <f t="array" ref="A690">IF(C690&lt;&gt;0,INDEX(CodEquipos,MATCH(C690,Equipos,0),),)</f>
        <v>0</v>
      </c>
      <c r="B690" s="399"/>
      <c r="C690" s="1128"/>
      <c r="D690" s="940"/>
      <c r="E690" s="940"/>
      <c r="F690" s="941"/>
      <c r="G690" s="1144"/>
      <c r="H690" s="1145"/>
      <c r="I690" s="1142"/>
      <c r="J690" s="941"/>
      <c r="K690" s="432" t="str">
        <f>IF($A690&gt;0,(VLOOKUP($A690,TablaEquipos,7,FALSE)),"")</f>
        <v/>
      </c>
      <c r="L690" s="1141"/>
      <c r="M690" s="941"/>
      <c r="N690" s="430" t="str">
        <f t="shared" si="38"/>
        <v/>
      </c>
      <c r="O690" s="431"/>
      <c r="P690" s="1"/>
      <c r="Q690" s="1"/>
      <c r="R690" s="1"/>
      <c r="S690" s="1"/>
      <c r="T690" s="1"/>
      <c r="U690" s="1"/>
      <c r="V690" s="1"/>
      <c r="W690" s="1"/>
      <c r="X690" s="1"/>
      <c r="Y690" s="1"/>
      <c r="Z690" s="1"/>
    </row>
    <row r="691" spans="1:26" ht="13.5" customHeight="1">
      <c r="A691" s="395"/>
      <c r="B691" s="399"/>
      <c r="C691" s="1127" t="s">
        <v>1202</v>
      </c>
      <c r="D691" s="965"/>
      <c r="E691" s="965"/>
      <c r="F691" s="965"/>
      <c r="G691" s="965"/>
      <c r="H691" s="965"/>
      <c r="I691" s="965"/>
      <c r="J691" s="965"/>
      <c r="K691" s="965"/>
      <c r="L691" s="965"/>
      <c r="M691" s="966"/>
      <c r="N691" s="433">
        <f>+SUM(N687:N690)</f>
        <v>14803.077777777777</v>
      </c>
      <c r="O691" s="431"/>
      <c r="P691" s="1"/>
      <c r="Q691" s="1"/>
      <c r="R691" s="1"/>
      <c r="S691" s="1"/>
      <c r="T691" s="1"/>
      <c r="U691" s="1"/>
      <c r="V691" s="1"/>
      <c r="W691" s="1"/>
      <c r="X691" s="1"/>
      <c r="Y691" s="1"/>
      <c r="Z691" s="1"/>
    </row>
    <row r="692" spans="1:26" ht="13.5" customHeight="1">
      <c r="A692" s="395"/>
      <c r="B692" s="399"/>
      <c r="C692" s="1129" t="s">
        <v>1203</v>
      </c>
      <c r="D692" s="926"/>
      <c r="E692" s="926"/>
      <c r="F692" s="926"/>
      <c r="G692" s="926"/>
      <c r="H692" s="926"/>
      <c r="I692" s="926"/>
      <c r="J692" s="926"/>
      <c r="K692" s="926"/>
      <c r="L692" s="926"/>
      <c r="M692" s="926"/>
      <c r="N692" s="927"/>
      <c r="O692" s="426"/>
      <c r="P692" s="1"/>
      <c r="Q692" s="1"/>
      <c r="R692" s="1"/>
      <c r="S692" s="1"/>
      <c r="T692" s="1"/>
      <c r="U692" s="1"/>
      <c r="V692" s="1"/>
      <c r="W692" s="1"/>
      <c r="X692" s="1"/>
      <c r="Y692" s="1"/>
      <c r="Z692" s="1"/>
    </row>
    <row r="693" spans="1:26" ht="13.5" customHeight="1">
      <c r="A693" s="395"/>
      <c r="B693" s="399"/>
      <c r="C693" s="920"/>
      <c r="D693" s="922"/>
      <c r="E693" s="922"/>
      <c r="F693" s="922"/>
      <c r="G693" s="922"/>
      <c r="H693" s="922"/>
      <c r="I693" s="922"/>
      <c r="J693" s="922"/>
      <c r="K693" s="922"/>
      <c r="L693" s="922"/>
      <c r="M693" s="922"/>
      <c r="N693" s="924"/>
      <c r="O693" s="426"/>
      <c r="P693" s="1"/>
      <c r="Q693" s="1"/>
      <c r="R693" s="1"/>
      <c r="S693" s="1"/>
      <c r="T693" s="1"/>
      <c r="U693" s="1"/>
      <c r="V693" s="1"/>
      <c r="W693" s="1"/>
      <c r="X693" s="1"/>
      <c r="Y693" s="1"/>
      <c r="Z693" s="1"/>
    </row>
    <row r="694" spans="1:26" ht="13.5" customHeight="1">
      <c r="A694" s="395"/>
      <c r="B694" s="399"/>
      <c r="C694" s="929"/>
      <c r="D694" s="936"/>
      <c r="E694" s="936"/>
      <c r="F694" s="936"/>
      <c r="G694" s="936"/>
      <c r="H694" s="936"/>
      <c r="I694" s="936"/>
      <c r="J694" s="936"/>
      <c r="K694" s="936"/>
      <c r="L694" s="936"/>
      <c r="M694" s="936"/>
      <c r="N694" s="938"/>
      <c r="O694" s="426"/>
      <c r="P694" s="1"/>
      <c r="Q694" s="1"/>
      <c r="R694" s="1"/>
      <c r="S694" s="1"/>
      <c r="T694" s="1"/>
      <c r="U694" s="1"/>
      <c r="V694" s="1"/>
      <c r="W694" s="1"/>
      <c r="X694" s="1"/>
      <c r="Y694" s="1"/>
      <c r="Z694" s="1"/>
    </row>
    <row r="695" spans="1:26" ht="13.5" customHeight="1">
      <c r="A695" s="395"/>
      <c r="B695" s="399"/>
      <c r="C695" s="1130" t="s">
        <v>17</v>
      </c>
      <c r="D695" s="1131"/>
      <c r="E695" s="1131"/>
      <c r="F695" s="1131"/>
      <c r="G695" s="1131"/>
      <c r="H695" s="1131"/>
      <c r="I695" s="1000"/>
      <c r="J695" s="434" t="s">
        <v>1192</v>
      </c>
      <c r="K695" s="427" t="s">
        <v>950</v>
      </c>
      <c r="L695" s="1135" t="s">
        <v>1204</v>
      </c>
      <c r="M695" s="1000"/>
      <c r="N695" s="428" t="s">
        <v>1200</v>
      </c>
      <c r="O695" s="419"/>
      <c r="P695" s="1"/>
      <c r="Q695" s="1"/>
      <c r="R695" s="1"/>
      <c r="S695" s="1"/>
      <c r="T695" s="1"/>
      <c r="U695" s="1"/>
      <c r="V695" s="1"/>
      <c r="W695" s="1"/>
      <c r="X695" s="1"/>
      <c r="Y695" s="1"/>
      <c r="Z695" s="1"/>
    </row>
    <row r="696" spans="1:26" ht="13.5" customHeight="1">
      <c r="A696" s="395" t="str">
        <f t="array" ref="A696">IF(C696&lt;&gt;0,INDEX(CodMat,MATCH(C696,Materiales,0),),)</f>
        <v>MAT_C-01</v>
      </c>
      <c r="B696" s="399"/>
      <c r="C696" s="1128" t="s">
        <v>1205</v>
      </c>
      <c r="D696" s="940"/>
      <c r="E696" s="940"/>
      <c r="F696" s="940"/>
      <c r="G696" s="940"/>
      <c r="H696" s="940"/>
      <c r="I696" s="941"/>
      <c r="J696" s="435" t="str">
        <f>IF($A696&gt;0,(VLOOKUP($A696,TablaInsumos,5,FALSE)),"")</f>
        <v>LT</v>
      </c>
      <c r="K696" s="436">
        <v>210</v>
      </c>
      <c r="L696" s="1134">
        <f>IF($A696&gt;0,(VLOOKUP($A696,TablaInsumos,7,FALSE)),"")</f>
        <v>46</v>
      </c>
      <c r="M696" s="941"/>
      <c r="N696" s="430">
        <f t="shared" ref="N696:N700" si="39">IF(K696&gt;0,L696*K696,"")</f>
        <v>9660</v>
      </c>
      <c r="O696" s="431"/>
      <c r="P696" s="1"/>
      <c r="Q696" s="1"/>
      <c r="R696" s="1"/>
      <c r="S696" s="1"/>
      <c r="T696" s="1"/>
      <c r="U696" s="1"/>
      <c r="V696" s="1"/>
      <c r="W696" s="1"/>
      <c r="X696" s="1"/>
      <c r="Y696" s="1"/>
      <c r="Z696" s="1"/>
    </row>
    <row r="697" spans="1:26" ht="13.5" customHeight="1">
      <c r="A697" s="395" t="str">
        <f t="array" ref="A697">IF(C697&lt;&gt;0,INDEX(CodMat,MATCH(C697,Materiales,0),),)</f>
        <v>MAT_C-03</v>
      </c>
      <c r="B697" s="399"/>
      <c r="C697" s="1128" t="s">
        <v>1206</v>
      </c>
      <c r="D697" s="940"/>
      <c r="E697" s="940"/>
      <c r="F697" s="940"/>
      <c r="G697" s="940"/>
      <c r="H697" s="940"/>
      <c r="I697" s="941"/>
      <c r="J697" s="435" t="str">
        <f>IF($A697&gt;0,(VLOOKUP($A697,TablaInsumos,5,FALSE)),"")</f>
        <v>M3</v>
      </c>
      <c r="K697" s="436">
        <v>1.1000000000000001</v>
      </c>
      <c r="L697" s="1134">
        <f>IF($A697&gt;0,(VLOOKUP($A697,TablaInsumos,7,FALSE)),"")</f>
        <v>86414</v>
      </c>
      <c r="M697" s="941"/>
      <c r="N697" s="430">
        <f t="shared" si="39"/>
        <v>95055.400000000009</v>
      </c>
      <c r="O697" s="431"/>
      <c r="P697" s="1"/>
      <c r="Q697" s="1"/>
      <c r="R697" s="1"/>
      <c r="S697" s="1"/>
      <c r="T697" s="1"/>
      <c r="U697" s="1"/>
      <c r="V697" s="1"/>
      <c r="W697" s="1"/>
      <c r="X697" s="1"/>
      <c r="Y697" s="1"/>
      <c r="Z697" s="1"/>
    </row>
    <row r="698" spans="1:26" ht="13.5" customHeight="1">
      <c r="A698" s="395" t="str">
        <f t="array" ref="A698">IF(C698&lt;&gt;0,INDEX(CodMat,MATCH(C698,Materiales,0),),)</f>
        <v>MAT_C-12</v>
      </c>
      <c r="B698" s="399"/>
      <c r="C698" s="1128" t="s">
        <v>1207</v>
      </c>
      <c r="D698" s="940"/>
      <c r="E698" s="940"/>
      <c r="F698" s="940"/>
      <c r="G698" s="940"/>
      <c r="H698" s="940"/>
      <c r="I698" s="941"/>
      <c r="J698" s="435" t="str">
        <f>IF($A698&gt;0,(VLOOKUP($A698,TablaInsumos,5,FALSE)),"")</f>
        <v>KG</v>
      </c>
      <c r="K698" s="436">
        <v>450</v>
      </c>
      <c r="L698" s="1134">
        <f>IF($A698&gt;0,(VLOOKUP($A698,TablaInsumos,7,FALSE)),"")</f>
        <v>1164</v>
      </c>
      <c r="M698" s="941"/>
      <c r="N698" s="430">
        <f t="shared" si="39"/>
        <v>523800</v>
      </c>
      <c r="O698" s="431"/>
      <c r="P698" s="1"/>
      <c r="Q698" s="1"/>
      <c r="R698" s="1"/>
      <c r="S698" s="1"/>
      <c r="T698" s="1"/>
      <c r="U698" s="1"/>
      <c r="V698" s="1"/>
      <c r="W698" s="1"/>
      <c r="X698" s="1"/>
      <c r="Y698" s="1"/>
      <c r="Z698" s="1"/>
    </row>
    <row r="699" spans="1:26" ht="13.5" customHeight="1">
      <c r="A699" s="395" t="str">
        <f t="array" ref="A699">IF(C699&lt;&gt;0,INDEX(CodMat,MATCH(C699,Materiales,0),),)</f>
        <v>MAT_EPYE-01</v>
      </c>
      <c r="B699" s="399"/>
      <c r="C699" s="1128" t="s">
        <v>1252</v>
      </c>
      <c r="D699" s="940"/>
      <c r="E699" s="940"/>
      <c r="F699" s="940"/>
      <c r="G699" s="940"/>
      <c r="H699" s="940"/>
      <c r="I699" s="941"/>
      <c r="J699" s="435" t="str">
        <f>IF($A699&gt;0,(VLOOKUP($A699,TablaInsumos,5,FALSE)),"")</f>
        <v>KG</v>
      </c>
      <c r="K699" s="436">
        <f>+(K698/50)</f>
        <v>9</v>
      </c>
      <c r="L699" s="1134">
        <f>IF($A699&gt;0,(VLOOKUP($A699,TablaInsumos,7,FALSE)),"")</f>
        <v>23088</v>
      </c>
      <c r="M699" s="941"/>
      <c r="N699" s="430">
        <f t="shared" si="39"/>
        <v>207792</v>
      </c>
      <c r="O699" s="431"/>
      <c r="P699" s="1"/>
      <c r="Q699" s="1"/>
      <c r="R699" s="1"/>
      <c r="S699" s="1"/>
      <c r="T699" s="1"/>
      <c r="U699" s="1"/>
      <c r="V699" s="1"/>
      <c r="W699" s="1"/>
      <c r="X699" s="1"/>
      <c r="Y699" s="1"/>
      <c r="Z699" s="1"/>
    </row>
    <row r="700" spans="1:26" ht="13.5" customHeight="1">
      <c r="A700" s="395"/>
      <c r="B700" s="399"/>
      <c r="C700" s="1128"/>
      <c r="D700" s="940"/>
      <c r="E700" s="940"/>
      <c r="F700" s="940"/>
      <c r="G700" s="940"/>
      <c r="H700" s="940"/>
      <c r="I700" s="941"/>
      <c r="J700" s="435" t="str">
        <f>IF($A700&gt;0,(VLOOKUP($A700,TablaInsumos,5,FALSE)),"")</f>
        <v/>
      </c>
      <c r="K700" s="472"/>
      <c r="L700" s="1134" t="str">
        <f>IF($A700&gt;0,(VLOOKUP($A700,TablaInsumos,7,FALSE)),"")</f>
        <v/>
      </c>
      <c r="M700" s="941"/>
      <c r="N700" s="430" t="str">
        <f t="shared" si="39"/>
        <v/>
      </c>
      <c r="O700" s="431"/>
      <c r="P700" s="1"/>
      <c r="Q700" s="1"/>
      <c r="R700" s="1"/>
      <c r="S700" s="1"/>
      <c r="T700" s="1"/>
      <c r="U700" s="1"/>
      <c r="V700" s="1"/>
      <c r="W700" s="1"/>
      <c r="X700" s="1"/>
      <c r="Y700" s="1"/>
      <c r="Z700" s="1"/>
    </row>
    <row r="701" spans="1:26" ht="13.5" customHeight="1">
      <c r="A701" s="395"/>
      <c r="B701" s="399"/>
      <c r="C701" s="1127" t="s">
        <v>1202</v>
      </c>
      <c r="D701" s="965"/>
      <c r="E701" s="965"/>
      <c r="F701" s="965"/>
      <c r="G701" s="965"/>
      <c r="H701" s="965"/>
      <c r="I701" s="965"/>
      <c r="J701" s="965"/>
      <c r="K701" s="965"/>
      <c r="L701" s="965"/>
      <c r="M701" s="966"/>
      <c r="N701" s="433">
        <f>+SUM(N696:N700)</f>
        <v>836307.4</v>
      </c>
      <c r="O701" s="431"/>
      <c r="P701" s="1"/>
      <c r="Q701" s="1"/>
      <c r="R701" s="1"/>
      <c r="S701" s="1"/>
      <c r="T701" s="1"/>
      <c r="U701" s="1"/>
      <c r="V701" s="1"/>
      <c r="W701" s="1"/>
      <c r="X701" s="1"/>
      <c r="Y701" s="1"/>
      <c r="Z701" s="1"/>
    </row>
    <row r="702" spans="1:26" ht="13.5" customHeight="1">
      <c r="A702" s="395"/>
      <c r="B702" s="399"/>
      <c r="C702" s="1129" t="s">
        <v>1208</v>
      </c>
      <c r="D702" s="926"/>
      <c r="E702" s="926"/>
      <c r="F702" s="926"/>
      <c r="G702" s="926"/>
      <c r="H702" s="926"/>
      <c r="I702" s="926"/>
      <c r="J702" s="926"/>
      <c r="K702" s="926"/>
      <c r="L702" s="926"/>
      <c r="M702" s="926"/>
      <c r="N702" s="927"/>
      <c r="O702" s="426"/>
      <c r="P702" s="1"/>
      <c r="Q702" s="1"/>
      <c r="R702" s="1"/>
      <c r="S702" s="1"/>
      <c r="T702" s="1"/>
      <c r="U702" s="1"/>
      <c r="V702" s="1"/>
      <c r="W702" s="1"/>
      <c r="X702" s="1"/>
      <c r="Y702" s="1"/>
      <c r="Z702" s="1"/>
    </row>
    <row r="703" spans="1:26" ht="13.5" customHeight="1">
      <c r="A703" s="395"/>
      <c r="B703" s="399"/>
      <c r="C703" s="920"/>
      <c r="D703" s="922"/>
      <c r="E703" s="922"/>
      <c r="F703" s="922"/>
      <c r="G703" s="922"/>
      <c r="H703" s="922"/>
      <c r="I703" s="922"/>
      <c r="J703" s="922"/>
      <c r="K703" s="922"/>
      <c r="L703" s="922"/>
      <c r="M703" s="922"/>
      <c r="N703" s="924"/>
      <c r="O703" s="426"/>
      <c r="P703" s="1"/>
      <c r="Q703" s="1"/>
      <c r="R703" s="1"/>
      <c r="S703" s="1"/>
      <c r="T703" s="1"/>
      <c r="U703" s="1"/>
      <c r="V703" s="1"/>
      <c r="W703" s="1"/>
      <c r="X703" s="1"/>
      <c r="Y703" s="1"/>
      <c r="Z703" s="1"/>
    </row>
    <row r="704" spans="1:26" ht="13.5" customHeight="1">
      <c r="A704" s="395"/>
      <c r="B704" s="399"/>
      <c r="C704" s="929"/>
      <c r="D704" s="936"/>
      <c r="E704" s="936"/>
      <c r="F704" s="936"/>
      <c r="G704" s="936"/>
      <c r="H704" s="936"/>
      <c r="I704" s="936"/>
      <c r="J704" s="936"/>
      <c r="K704" s="936"/>
      <c r="L704" s="936"/>
      <c r="M704" s="936"/>
      <c r="N704" s="938"/>
      <c r="O704" s="426"/>
      <c r="P704" s="1"/>
      <c r="Q704" s="1"/>
      <c r="R704" s="1"/>
      <c r="S704" s="1"/>
      <c r="T704" s="1"/>
      <c r="U704" s="1"/>
      <c r="V704" s="1"/>
      <c r="W704" s="1"/>
      <c r="X704" s="1"/>
      <c r="Y704" s="1"/>
      <c r="Z704" s="1"/>
    </row>
    <row r="705" spans="1:26" ht="13.5" customHeight="1">
      <c r="A705" s="395"/>
      <c r="B705" s="399"/>
      <c r="C705" s="1130" t="s">
        <v>1209</v>
      </c>
      <c r="D705" s="1131"/>
      <c r="E705" s="1131"/>
      <c r="F705" s="1131"/>
      <c r="G705" s="1131"/>
      <c r="H705" s="1132"/>
      <c r="I705" s="427" t="s">
        <v>1210</v>
      </c>
      <c r="J705" s="438" t="s">
        <v>1211</v>
      </c>
      <c r="K705" s="439" t="s">
        <v>1253</v>
      </c>
      <c r="L705" s="1135" t="s">
        <v>1213</v>
      </c>
      <c r="M705" s="1000"/>
      <c r="N705" s="428" t="s">
        <v>1200</v>
      </c>
      <c r="O705" s="419"/>
      <c r="P705" s="1"/>
      <c r="Q705" s="1"/>
      <c r="R705" s="1"/>
      <c r="S705" s="1"/>
      <c r="T705" s="1"/>
      <c r="U705" s="1"/>
      <c r="V705" s="1"/>
      <c r="W705" s="1"/>
      <c r="X705" s="1"/>
      <c r="Y705" s="1"/>
      <c r="Z705" s="1"/>
    </row>
    <row r="706" spans="1:26" ht="13.5" customHeight="1">
      <c r="A706" s="395" t="str">
        <f t="array" ref="A706">IF(C706&lt;&gt;0,INDEX(CodTransporte,MATCH(C706,Transporte,0),),)</f>
        <v>T-03</v>
      </c>
      <c r="B706" s="399"/>
      <c r="C706" s="1128" t="s">
        <v>859</v>
      </c>
      <c r="D706" s="940"/>
      <c r="E706" s="940"/>
      <c r="F706" s="940"/>
      <c r="G706" s="940"/>
      <c r="H706" s="940"/>
      <c r="I706" s="440">
        <f>+K697</f>
        <v>1.1000000000000001</v>
      </c>
      <c r="J706" s="441">
        <f>IF($A706&gt;0,(VLOOKUP($A706,TablaTransporte,6,FALSE)),"")</f>
        <v>50.849999999999994</v>
      </c>
      <c r="K706" s="442" t="str">
        <f>IF($A706&gt;0,(VLOOKUP($A706,TablaTransporte,5,FALSE)),"")</f>
        <v>M3-KM</v>
      </c>
      <c r="L706" s="1134">
        <f>IF($A706&gt;0,(VLOOKUP($A706,TablaTransporte,7,FALSE)),"")</f>
        <v>2332.3500491642089</v>
      </c>
      <c r="M706" s="941"/>
      <c r="N706" s="430">
        <f t="shared" ref="N706:N707" si="40">IF(I706&gt;0,J706*L706*I706,"")</f>
        <v>130460.00000000003</v>
      </c>
      <c r="O706" s="431"/>
      <c r="P706" s="1"/>
      <c r="Q706" s="1"/>
      <c r="R706" s="1"/>
      <c r="S706" s="1"/>
      <c r="T706" s="1"/>
      <c r="U706" s="1"/>
      <c r="V706" s="1"/>
      <c r="W706" s="1"/>
      <c r="X706" s="1"/>
      <c r="Y706" s="1"/>
      <c r="Z706" s="1"/>
    </row>
    <row r="707" spans="1:26" ht="13.5" customHeight="1">
      <c r="A707" s="395" t="str">
        <f t="array" ref="A707">IF(C707&lt;&gt;0,INDEX(CodTransporte,MATCH(C707,Transporte,0),),)</f>
        <v>T-02</v>
      </c>
      <c r="B707" s="399"/>
      <c r="C707" s="1128" t="s">
        <v>857</v>
      </c>
      <c r="D707" s="940"/>
      <c r="E707" s="940"/>
      <c r="F707" s="940"/>
      <c r="G707" s="940"/>
      <c r="H707" s="940"/>
      <c r="I707" s="440">
        <f>+(K698/50)*0.035</f>
        <v>0.31500000000000006</v>
      </c>
      <c r="J707" s="441">
        <f>IF($A707&gt;0,(VLOOKUP($A707,TablaTransporte,6,FALSE)),"")</f>
        <v>50.849999999999994</v>
      </c>
      <c r="K707" s="442" t="str">
        <f>IF($A707&gt;0,(VLOOKUP($A707,TablaTransporte,5,FALSE)),"")</f>
        <v>M3-KM</v>
      </c>
      <c r="L707" s="1134">
        <f>IF($A707&gt;0,(VLOOKUP($A707,TablaTransporte,7,FALSE)),"")</f>
        <v>2332.3500491642089</v>
      </c>
      <c r="M707" s="941"/>
      <c r="N707" s="430">
        <f t="shared" si="40"/>
        <v>37359.000000000015</v>
      </c>
      <c r="O707" s="431"/>
      <c r="P707" s="1"/>
      <c r="Q707" s="1"/>
      <c r="R707" s="1"/>
      <c r="S707" s="1"/>
      <c r="T707" s="1"/>
      <c r="U707" s="1"/>
      <c r="V707" s="1"/>
      <c r="W707" s="1"/>
      <c r="X707" s="1"/>
      <c r="Y707" s="1"/>
      <c r="Z707" s="1"/>
    </row>
    <row r="708" spans="1:26" ht="13.5" customHeight="1">
      <c r="A708" s="395"/>
      <c r="B708" s="399"/>
      <c r="C708" s="1127" t="s">
        <v>1202</v>
      </c>
      <c r="D708" s="965"/>
      <c r="E708" s="965"/>
      <c r="F708" s="965"/>
      <c r="G708" s="965"/>
      <c r="H708" s="965"/>
      <c r="I708" s="965"/>
      <c r="J708" s="965"/>
      <c r="K708" s="965"/>
      <c r="L708" s="965"/>
      <c r="M708" s="966"/>
      <c r="N708" s="433">
        <f>+SUM(N706:N707)</f>
        <v>167819.00000000006</v>
      </c>
      <c r="O708" s="431"/>
      <c r="P708" s="1"/>
      <c r="Q708" s="1"/>
      <c r="R708" s="1"/>
      <c r="S708" s="1"/>
      <c r="T708" s="1"/>
      <c r="U708" s="1"/>
      <c r="V708" s="1"/>
      <c r="W708" s="1"/>
      <c r="X708" s="1"/>
      <c r="Y708" s="1"/>
      <c r="Z708" s="1"/>
    </row>
    <row r="709" spans="1:26" ht="13.5" customHeight="1">
      <c r="A709" s="395"/>
      <c r="B709" s="399"/>
      <c r="C709" s="1129" t="s">
        <v>1214</v>
      </c>
      <c r="D709" s="926"/>
      <c r="E709" s="926"/>
      <c r="F709" s="926"/>
      <c r="G709" s="926"/>
      <c r="H709" s="926"/>
      <c r="I709" s="926"/>
      <c r="J709" s="926"/>
      <c r="K709" s="926"/>
      <c r="L709" s="926"/>
      <c r="M709" s="926"/>
      <c r="N709" s="927"/>
      <c r="O709" s="426"/>
      <c r="P709" s="1"/>
      <c r="Q709" s="1"/>
      <c r="R709" s="1"/>
      <c r="S709" s="1"/>
      <c r="T709" s="1"/>
      <c r="U709" s="1"/>
      <c r="V709" s="1"/>
      <c r="W709" s="1"/>
      <c r="X709" s="1"/>
      <c r="Y709" s="1"/>
      <c r="Z709" s="1"/>
    </row>
    <row r="710" spans="1:26" ht="13.5" customHeight="1">
      <c r="A710" s="395"/>
      <c r="B710" s="399"/>
      <c r="C710" s="920"/>
      <c r="D710" s="922"/>
      <c r="E710" s="922"/>
      <c r="F710" s="922"/>
      <c r="G710" s="922"/>
      <c r="H710" s="922"/>
      <c r="I710" s="922"/>
      <c r="J710" s="922"/>
      <c r="K710" s="922"/>
      <c r="L710" s="922"/>
      <c r="M710" s="922"/>
      <c r="N710" s="924"/>
      <c r="O710" s="426"/>
      <c r="P710" s="1"/>
      <c r="Q710" s="1"/>
      <c r="R710" s="1"/>
      <c r="S710" s="1"/>
      <c r="T710" s="1"/>
      <c r="U710" s="1"/>
      <c r="V710" s="1"/>
      <c r="W710" s="1"/>
      <c r="X710" s="1"/>
      <c r="Y710" s="1"/>
      <c r="Z710" s="1"/>
    </row>
    <row r="711" spans="1:26" ht="13.5" customHeight="1">
      <c r="A711" s="395"/>
      <c r="B711" s="399"/>
      <c r="C711" s="929"/>
      <c r="D711" s="936"/>
      <c r="E711" s="936"/>
      <c r="F711" s="936"/>
      <c r="G711" s="936"/>
      <c r="H711" s="936"/>
      <c r="I711" s="936"/>
      <c r="J711" s="936"/>
      <c r="K711" s="936"/>
      <c r="L711" s="936"/>
      <c r="M711" s="936"/>
      <c r="N711" s="938"/>
      <c r="O711" s="426"/>
      <c r="P711" s="1"/>
      <c r="Q711" s="1"/>
      <c r="R711" s="1"/>
      <c r="S711" s="1"/>
      <c r="T711" s="1"/>
      <c r="U711" s="1"/>
      <c r="V711" s="1"/>
      <c r="W711" s="1"/>
      <c r="X711" s="1"/>
      <c r="Y711" s="1"/>
      <c r="Z711" s="1"/>
    </row>
    <row r="712" spans="1:26" ht="13.5" customHeight="1">
      <c r="A712" s="395"/>
      <c r="B712" s="399"/>
      <c r="C712" s="1130" t="s">
        <v>1215</v>
      </c>
      <c r="D712" s="1131"/>
      <c r="E712" s="1131"/>
      <c r="F712" s="1131"/>
      <c r="G712" s="1131"/>
      <c r="H712" s="1132"/>
      <c r="I712" s="427" t="s">
        <v>1216</v>
      </c>
      <c r="J712" s="443" t="s">
        <v>1217</v>
      </c>
      <c r="K712" s="444" t="s">
        <v>1218</v>
      </c>
      <c r="L712" s="1133" t="s">
        <v>1199</v>
      </c>
      <c r="M712" s="1000"/>
      <c r="N712" s="445" t="s">
        <v>1200</v>
      </c>
      <c r="O712" s="446"/>
      <c r="P712" s="1"/>
      <c r="Q712" s="1"/>
      <c r="R712" s="1"/>
      <c r="S712" s="1"/>
      <c r="T712" s="1"/>
      <c r="U712" s="1"/>
      <c r="V712" s="1"/>
      <c r="W712" s="1"/>
      <c r="X712" s="1"/>
      <c r="Y712" s="1"/>
      <c r="Z712" s="1"/>
    </row>
    <row r="713" spans="1:26" ht="13.5" customHeight="1">
      <c r="A713" s="395" t="str">
        <f t="array" ref="A713">IF(C713&lt;&gt;0,INDEX(CodMO,MATCH(C713,MO,0),),)</f>
        <v>M.O-05</v>
      </c>
      <c r="B713" s="399"/>
      <c r="C713" s="1128" t="s">
        <v>139</v>
      </c>
      <c r="D713" s="940"/>
      <c r="E713" s="940"/>
      <c r="F713" s="940"/>
      <c r="G713" s="940"/>
      <c r="H713" s="940"/>
      <c r="I713" s="447">
        <f>IF($A713&gt;0,(VLOOKUP($A713,TablaMO,8,FALSE)),"")</f>
        <v>125030.16666666667</v>
      </c>
      <c r="J713" s="448">
        <f>IF($A713&gt;0,(VLOOKUP($A713,TablaMO,10,FALSE)),"")</f>
        <v>0.67071666666666663</v>
      </c>
      <c r="K713" s="447">
        <f>IF($A713&gt;0,(VLOOKUP($A713,TablaMO,11,FALSE)),"")</f>
        <v>208890</v>
      </c>
      <c r="L713" s="1146">
        <v>9</v>
      </c>
      <c r="M713" s="941"/>
      <c r="N713" s="430">
        <f t="shared" ref="N713:N717" si="41">IF(L713&gt;0,K713/L713,"")</f>
        <v>23210</v>
      </c>
      <c r="O713" s="449"/>
      <c r="P713" s="1"/>
      <c r="Q713" s="1"/>
      <c r="R713" s="1"/>
      <c r="S713" s="1"/>
      <c r="T713" s="1"/>
      <c r="U713" s="1"/>
      <c r="V713" s="1"/>
      <c r="W713" s="1"/>
      <c r="X713" s="1"/>
      <c r="Y713" s="1"/>
      <c r="Z713" s="1"/>
    </row>
    <row r="714" spans="1:26" ht="13.5" customHeight="1">
      <c r="A714" s="395" t="str">
        <f t="array" ref="A714">IF(C714&lt;&gt;0,INDEX(CodMO,MATCH(C714,MO,0),),)</f>
        <v>M.O-01</v>
      </c>
      <c r="B714" s="399"/>
      <c r="C714" s="1128" t="s">
        <v>130</v>
      </c>
      <c r="D714" s="940"/>
      <c r="E714" s="940"/>
      <c r="F714" s="940"/>
      <c r="G714" s="940"/>
      <c r="H714" s="940"/>
      <c r="I714" s="447">
        <f>IF($A714&gt;0,(VLOOKUP($A714,TablaMO,8,FALSE)),"")</f>
        <v>72503.016666666677</v>
      </c>
      <c r="J714" s="448">
        <f>IF($A714&gt;0,(VLOOKUP($A714,TablaMO,10,FALSE)),"")</f>
        <v>0.67071666666666663</v>
      </c>
      <c r="K714" s="447">
        <f>IF($A714&gt;0,(VLOOKUP($A714,TablaMO,11,FALSE)),"")</f>
        <v>121132</v>
      </c>
      <c r="L714" s="1146">
        <f>L713</f>
        <v>9</v>
      </c>
      <c r="M714" s="941"/>
      <c r="N714" s="430">
        <f t="shared" si="41"/>
        <v>13459.111111111111</v>
      </c>
      <c r="O714" s="449"/>
      <c r="P714" s="1"/>
      <c r="Q714" s="1"/>
      <c r="R714" s="1"/>
      <c r="S714" s="1"/>
      <c r="T714" s="1"/>
      <c r="U714" s="1"/>
      <c r="V714" s="1"/>
      <c r="W714" s="1"/>
      <c r="X714" s="1"/>
      <c r="Y714" s="1"/>
      <c r="Z714" s="1"/>
    </row>
    <row r="715" spans="1:26" ht="13.5" customHeight="1">
      <c r="A715" s="395" t="str">
        <f t="array" ref="A715">IF(C715&lt;&gt;0,INDEX(CodMO,MATCH(C715,MO,0),),)</f>
        <v>M.O-02</v>
      </c>
      <c r="B715" s="399"/>
      <c r="C715" s="1128" t="s">
        <v>133</v>
      </c>
      <c r="D715" s="940"/>
      <c r="E715" s="940"/>
      <c r="F715" s="940"/>
      <c r="G715" s="940"/>
      <c r="H715" s="940"/>
      <c r="I715" s="447">
        <f>IF($A715&gt;0,(VLOOKUP($A715,TablaMO,8,FALSE)),"")</f>
        <v>72503.016666666677</v>
      </c>
      <c r="J715" s="448">
        <f>IF($A715&gt;0,(VLOOKUP($A715,TablaMO,10,FALSE)),"")</f>
        <v>0.67071666666666663</v>
      </c>
      <c r="K715" s="447">
        <f>IF($A715&gt;0,(VLOOKUP($A715,TablaMO,11,FALSE)),"")</f>
        <v>121132</v>
      </c>
      <c r="L715" s="1146">
        <f>L713</f>
        <v>9</v>
      </c>
      <c r="M715" s="941"/>
      <c r="N715" s="430">
        <f t="shared" si="41"/>
        <v>13459.111111111111</v>
      </c>
      <c r="O715" s="449"/>
      <c r="P715" s="1"/>
      <c r="Q715" s="1"/>
      <c r="R715" s="1"/>
      <c r="S715" s="1"/>
      <c r="T715" s="1"/>
      <c r="U715" s="1"/>
      <c r="V715" s="1"/>
      <c r="W715" s="1"/>
      <c r="X715" s="1"/>
      <c r="Y715" s="1"/>
      <c r="Z715" s="1"/>
    </row>
    <row r="716" spans="1:26" ht="13.5" customHeight="1">
      <c r="A716" s="395">
        <f t="array" ref="A716">IF(C716&lt;&gt;0,INDEX(CodMO,MATCH(C716,MO,0),),)</f>
        <v>0</v>
      </c>
      <c r="B716" s="399"/>
      <c r="C716" s="1128"/>
      <c r="D716" s="940"/>
      <c r="E716" s="940"/>
      <c r="F716" s="940"/>
      <c r="G716" s="940"/>
      <c r="H716" s="940"/>
      <c r="I716" s="447" t="str">
        <f>IF($A716&gt;0,(VLOOKUP($A716,TablaMO,8,FALSE)),"")</f>
        <v/>
      </c>
      <c r="J716" s="448" t="str">
        <f>IF($A716&gt;0,(VLOOKUP($A716,TablaMO,10,FALSE)),"")</f>
        <v/>
      </c>
      <c r="K716" s="447" t="str">
        <f>IF($A716&gt;0,(VLOOKUP($A716,TablaMO,11,FALSE)),"")</f>
        <v/>
      </c>
      <c r="L716" s="1146"/>
      <c r="M716" s="941"/>
      <c r="N716" s="430" t="str">
        <f t="shared" si="41"/>
        <v/>
      </c>
      <c r="O716" s="449"/>
      <c r="P716" s="1"/>
      <c r="Q716" s="1"/>
      <c r="R716" s="1"/>
      <c r="S716" s="1"/>
      <c r="T716" s="1"/>
      <c r="U716" s="1"/>
      <c r="V716" s="1"/>
      <c r="W716" s="1"/>
      <c r="X716" s="1"/>
      <c r="Y716" s="1"/>
      <c r="Z716" s="1"/>
    </row>
    <row r="717" spans="1:26" ht="13.5" customHeight="1">
      <c r="A717" s="395">
        <f t="array" ref="A717">IF(C717&lt;&gt;0,INDEX(CodMO,MATCH(C717,MO,0),),)</f>
        <v>0</v>
      </c>
      <c r="B717" s="399"/>
      <c r="C717" s="1128"/>
      <c r="D717" s="940"/>
      <c r="E717" s="940"/>
      <c r="F717" s="940"/>
      <c r="G717" s="940"/>
      <c r="H717" s="940"/>
      <c r="I717" s="474" t="str">
        <f>IF($A717&gt;0,(VLOOKUP($A717,TablaMO,8,FALSE)),"")</f>
        <v/>
      </c>
      <c r="J717" s="475" t="str">
        <f>IF($A717&gt;0,(VLOOKUP($A717,TablaMO,10,FALSE)),"")</f>
        <v/>
      </c>
      <c r="K717" s="474" t="str">
        <f>IF($A717&gt;0,(VLOOKUP($A717,TablaMO,11,FALSE)),"")</f>
        <v/>
      </c>
      <c r="L717" s="1153"/>
      <c r="M717" s="1039"/>
      <c r="N717" s="430" t="str">
        <f t="shared" si="41"/>
        <v/>
      </c>
      <c r="O717" s="449"/>
      <c r="P717" s="1"/>
      <c r="Q717" s="1"/>
      <c r="R717" s="1"/>
      <c r="S717" s="1"/>
      <c r="T717" s="1"/>
      <c r="U717" s="1"/>
      <c r="V717" s="1"/>
      <c r="W717" s="1"/>
      <c r="X717" s="1"/>
      <c r="Y717" s="1"/>
      <c r="Z717" s="1"/>
    </row>
    <row r="718" spans="1:26" ht="13.5" customHeight="1">
      <c r="A718" s="395"/>
      <c r="B718" s="399"/>
      <c r="C718" s="1127" t="s">
        <v>1202</v>
      </c>
      <c r="D718" s="965"/>
      <c r="E718" s="965"/>
      <c r="F718" s="965"/>
      <c r="G718" s="965"/>
      <c r="H718" s="965"/>
      <c r="I718" s="965"/>
      <c r="J718" s="965"/>
      <c r="K718" s="965"/>
      <c r="L718" s="965"/>
      <c r="M718" s="966"/>
      <c r="N718" s="476">
        <f>+SUM(N713:N717)</f>
        <v>50128.222222222219</v>
      </c>
      <c r="O718" s="431"/>
      <c r="P718" s="1"/>
      <c r="Q718" s="1"/>
      <c r="R718" s="1"/>
      <c r="S718" s="1"/>
      <c r="T718" s="1"/>
      <c r="U718" s="1"/>
      <c r="V718" s="1"/>
      <c r="W718" s="1"/>
      <c r="X718" s="1"/>
      <c r="Y718" s="1"/>
      <c r="Z718" s="1"/>
    </row>
    <row r="719" spans="1:26" ht="13.5" customHeight="1">
      <c r="A719" s="395"/>
      <c r="B719" s="399"/>
      <c r="C719" s="418"/>
      <c r="D719" s="39"/>
      <c r="E719" s="39"/>
      <c r="F719" s="39"/>
      <c r="G719" s="39"/>
      <c r="H719" s="39"/>
      <c r="I719" s="39"/>
      <c r="J719" s="39"/>
      <c r="K719" s="39"/>
      <c r="L719" s="39"/>
      <c r="M719" s="39"/>
      <c r="N719" s="40"/>
      <c r="O719" s="402"/>
      <c r="P719" s="1"/>
      <c r="Q719" s="1"/>
      <c r="R719" s="1"/>
      <c r="S719" s="1"/>
      <c r="T719" s="1"/>
      <c r="U719" s="1"/>
      <c r="V719" s="1"/>
      <c r="W719" s="1"/>
      <c r="X719" s="1"/>
      <c r="Y719" s="1"/>
      <c r="Z719" s="1"/>
    </row>
    <row r="720" spans="1:26" ht="13.5" customHeight="1">
      <c r="A720" s="395"/>
      <c r="B720" s="399"/>
      <c r="C720" s="1147" t="s">
        <v>1219</v>
      </c>
      <c r="D720" s="965"/>
      <c r="E720" s="965"/>
      <c r="F720" s="965"/>
      <c r="G720" s="965"/>
      <c r="H720" s="965"/>
      <c r="I720" s="965"/>
      <c r="J720" s="965"/>
      <c r="K720" s="965"/>
      <c r="L720" s="965"/>
      <c r="M720" s="966"/>
      <c r="N720" s="450">
        <f>+SUM(N718,N708,N701,N691)</f>
        <v>1069057.7000000002</v>
      </c>
      <c r="O720" s="451"/>
      <c r="P720" s="1"/>
      <c r="Q720" s="1"/>
      <c r="R720" s="1"/>
      <c r="S720" s="1"/>
      <c r="T720" s="1"/>
      <c r="U720" s="1"/>
      <c r="V720" s="1"/>
      <c r="W720" s="1"/>
      <c r="X720" s="1"/>
      <c r="Y720" s="1"/>
      <c r="Z720" s="1"/>
    </row>
    <row r="721" spans="1:26" ht="13.5" customHeight="1">
      <c r="A721" s="1"/>
      <c r="B721" s="399"/>
      <c r="C721" s="1129" t="s">
        <v>1220</v>
      </c>
      <c r="D721" s="926"/>
      <c r="E721" s="926"/>
      <c r="F721" s="926"/>
      <c r="G721" s="926"/>
      <c r="H721" s="926"/>
      <c r="I721" s="926"/>
      <c r="J721" s="926"/>
      <c r="K721" s="926"/>
      <c r="L721" s="926"/>
      <c r="M721" s="926"/>
      <c r="N721" s="927"/>
      <c r="O721" s="426"/>
      <c r="P721" s="1"/>
      <c r="Q721" s="1"/>
      <c r="R721" s="1"/>
      <c r="S721" s="1"/>
      <c r="T721" s="1"/>
      <c r="U721" s="1"/>
      <c r="V721" s="1"/>
      <c r="W721" s="1"/>
      <c r="X721" s="1"/>
      <c r="Y721" s="1"/>
      <c r="Z721" s="1"/>
    </row>
    <row r="722" spans="1:26" ht="13.5" customHeight="1">
      <c r="A722" s="1"/>
      <c r="B722" s="399"/>
      <c r="C722" s="920"/>
      <c r="D722" s="922"/>
      <c r="E722" s="922"/>
      <c r="F722" s="922"/>
      <c r="G722" s="922"/>
      <c r="H722" s="922"/>
      <c r="I722" s="922"/>
      <c r="J722" s="922"/>
      <c r="K722" s="922"/>
      <c r="L722" s="922"/>
      <c r="M722" s="922"/>
      <c r="N722" s="924"/>
      <c r="O722" s="426"/>
      <c r="P722" s="1"/>
      <c r="Q722" s="1"/>
      <c r="R722" s="1"/>
      <c r="S722" s="1"/>
      <c r="T722" s="1"/>
      <c r="U722" s="1"/>
      <c r="V722" s="1"/>
      <c r="W722" s="1"/>
      <c r="X722" s="1"/>
      <c r="Y722" s="1"/>
      <c r="Z722" s="1"/>
    </row>
    <row r="723" spans="1:26" ht="13.5" customHeight="1">
      <c r="A723" s="1"/>
      <c r="B723" s="399"/>
      <c r="C723" s="929"/>
      <c r="D723" s="936"/>
      <c r="E723" s="936"/>
      <c r="F723" s="936"/>
      <c r="G723" s="936"/>
      <c r="H723" s="936"/>
      <c r="I723" s="936"/>
      <c r="J723" s="936"/>
      <c r="K723" s="936"/>
      <c r="L723" s="936"/>
      <c r="M723" s="936"/>
      <c r="N723" s="938"/>
      <c r="O723" s="426"/>
      <c r="P723" s="1"/>
      <c r="Q723" s="1"/>
      <c r="R723" s="1"/>
      <c r="S723" s="1"/>
      <c r="T723" s="1"/>
      <c r="U723" s="1"/>
      <c r="V723" s="1"/>
      <c r="W723" s="1"/>
      <c r="X723" s="1"/>
      <c r="Y723" s="1"/>
      <c r="Z723" s="1"/>
    </row>
    <row r="724" spans="1:26" ht="13.5" customHeight="1">
      <c r="A724" s="1"/>
      <c r="B724" s="399"/>
      <c r="C724" s="1130" t="s">
        <v>1221</v>
      </c>
      <c r="D724" s="1131"/>
      <c r="E724" s="1131"/>
      <c r="F724" s="1131"/>
      <c r="G724" s="1131"/>
      <c r="H724" s="1132"/>
      <c r="I724" s="438"/>
      <c r="J724" s="438"/>
      <c r="K724" s="438"/>
      <c r="L724" s="1133" t="s">
        <v>1222</v>
      </c>
      <c r="M724" s="1000"/>
      <c r="N724" s="445" t="s">
        <v>1223</v>
      </c>
      <c r="O724" s="446"/>
      <c r="P724" s="1"/>
      <c r="Q724" s="1"/>
      <c r="R724" s="1"/>
      <c r="S724" s="1"/>
      <c r="T724" s="1"/>
      <c r="U724" s="1"/>
      <c r="V724" s="1"/>
      <c r="W724" s="1"/>
      <c r="X724" s="1"/>
      <c r="Y724" s="1"/>
      <c r="Z724" s="1"/>
    </row>
    <row r="725" spans="1:26" ht="13.5" customHeight="1">
      <c r="A725" s="1"/>
      <c r="B725" s="399"/>
      <c r="C725" s="1128" t="s">
        <v>19</v>
      </c>
      <c r="D725" s="940"/>
      <c r="E725" s="940"/>
      <c r="F725" s="940"/>
      <c r="G725" s="940"/>
      <c r="H725" s="940"/>
      <c r="I725" s="452"/>
      <c r="J725" s="452"/>
      <c r="K725" s="452"/>
      <c r="L725" s="1148">
        <f>+Datos!$E$18</f>
        <v>0.25</v>
      </c>
      <c r="M725" s="941"/>
      <c r="N725" s="430">
        <f>+L725*N720</f>
        <v>267264.42500000005</v>
      </c>
      <c r="O725" s="453"/>
      <c r="P725" s="1"/>
      <c r="Q725" s="1"/>
      <c r="R725" s="1"/>
      <c r="S725" s="1"/>
      <c r="T725" s="1"/>
      <c r="U725" s="1"/>
      <c r="V725" s="1"/>
      <c r="W725" s="1"/>
      <c r="X725" s="1"/>
      <c r="Y725" s="1"/>
      <c r="Z725" s="1"/>
    </row>
    <row r="726" spans="1:26" ht="13.5" customHeight="1">
      <c r="A726" s="1"/>
      <c r="B726" s="399"/>
      <c r="C726" s="454" t="s">
        <v>20</v>
      </c>
      <c r="D726" s="455"/>
      <c r="E726" s="455"/>
      <c r="F726" s="455"/>
      <c r="G726" s="455"/>
      <c r="H726" s="455"/>
      <c r="I726" s="452"/>
      <c r="J726" s="452"/>
      <c r="K726" s="452"/>
      <c r="L726" s="1148">
        <f>+Datos!$E$19</f>
        <v>0.01</v>
      </c>
      <c r="M726" s="941"/>
      <c r="N726" s="430">
        <f>+L726*N720</f>
        <v>10690.577000000003</v>
      </c>
      <c r="O726" s="453"/>
      <c r="P726" s="1"/>
      <c r="Q726" s="1"/>
      <c r="R726" s="1"/>
      <c r="S726" s="1"/>
      <c r="T726" s="1"/>
      <c r="U726" s="1"/>
      <c r="V726" s="1"/>
      <c r="W726" s="1"/>
      <c r="X726" s="1"/>
      <c r="Y726" s="1"/>
      <c r="Z726" s="1"/>
    </row>
    <row r="727" spans="1:26" ht="13.5" customHeight="1">
      <c r="A727" s="1"/>
      <c r="B727" s="399"/>
      <c r="C727" s="456" t="s">
        <v>21</v>
      </c>
      <c r="D727" s="457"/>
      <c r="E727" s="457"/>
      <c r="F727" s="457"/>
      <c r="G727" s="457"/>
      <c r="H727" s="457"/>
      <c r="I727" s="458"/>
      <c r="J727" s="458"/>
      <c r="K727" s="458"/>
      <c r="L727" s="1148">
        <f>+Datos!$E$20</f>
        <v>0.05</v>
      </c>
      <c r="M727" s="941"/>
      <c r="N727" s="430">
        <f>+L727*N720</f>
        <v>53452.885000000009</v>
      </c>
      <c r="O727" s="453"/>
      <c r="P727" s="1"/>
      <c r="Q727" s="1"/>
      <c r="R727" s="1"/>
      <c r="S727" s="1"/>
      <c r="T727" s="1"/>
      <c r="U727" s="1"/>
      <c r="V727" s="1"/>
      <c r="W727" s="1"/>
      <c r="X727" s="1"/>
      <c r="Y727" s="1"/>
      <c r="Z727" s="1"/>
    </row>
    <row r="728" spans="1:26" ht="13.5" customHeight="1">
      <c r="A728" s="1"/>
      <c r="B728" s="399"/>
      <c r="C728" s="1127" t="s">
        <v>1202</v>
      </c>
      <c r="D728" s="965"/>
      <c r="E728" s="965"/>
      <c r="F728" s="965"/>
      <c r="G728" s="965"/>
      <c r="H728" s="965"/>
      <c r="I728" s="965"/>
      <c r="J728" s="965"/>
      <c r="K728" s="965"/>
      <c r="L728" s="965"/>
      <c r="M728" s="966"/>
      <c r="N728" s="433">
        <f>+SUM(N725:N727)</f>
        <v>331407.88700000005</v>
      </c>
      <c r="O728" s="453"/>
      <c r="P728" s="1"/>
      <c r="Q728" s="1"/>
      <c r="R728" s="1"/>
      <c r="S728" s="1"/>
      <c r="T728" s="1"/>
      <c r="U728" s="1"/>
      <c r="V728" s="1"/>
      <c r="W728" s="1"/>
      <c r="X728" s="1"/>
      <c r="Y728" s="1"/>
      <c r="Z728" s="1"/>
    </row>
    <row r="729" spans="1:26" ht="13.5" customHeight="1">
      <c r="A729" s="1"/>
      <c r="B729" s="399"/>
      <c r="C729" s="418"/>
      <c r="D729" s="39"/>
      <c r="E729" s="39"/>
      <c r="F729" s="39"/>
      <c r="G729" s="39"/>
      <c r="H729" s="39"/>
      <c r="I729" s="39"/>
      <c r="J729" s="39"/>
      <c r="K729" s="39"/>
      <c r="L729" s="39"/>
      <c r="M729" s="39"/>
      <c r="N729" s="40"/>
      <c r="O729" s="402"/>
      <c r="P729" s="1"/>
      <c r="Q729" s="1"/>
      <c r="R729" s="1"/>
      <c r="S729" s="1"/>
      <c r="T729" s="1"/>
      <c r="U729" s="1"/>
      <c r="V729" s="1"/>
      <c r="W729" s="1"/>
      <c r="X729" s="1"/>
      <c r="Y729" s="1"/>
      <c r="Z729" s="1"/>
    </row>
    <row r="730" spans="1:26" ht="13.5" customHeight="1">
      <c r="A730" s="1"/>
      <c r="B730" s="399"/>
      <c r="C730" s="1147" t="s">
        <v>1224</v>
      </c>
      <c r="D730" s="965"/>
      <c r="E730" s="965"/>
      <c r="F730" s="965"/>
      <c r="G730" s="965"/>
      <c r="H730" s="965"/>
      <c r="I730" s="965"/>
      <c r="J730" s="965"/>
      <c r="K730" s="965"/>
      <c r="L730" s="965"/>
      <c r="M730" s="966"/>
      <c r="N730" s="459">
        <f>+ROUND(SUM(N728,N720),0)</f>
        <v>1400466</v>
      </c>
      <c r="O730" s="453"/>
      <c r="P730" s="1"/>
      <c r="Q730" s="1"/>
      <c r="R730" s="1"/>
      <c r="S730" s="1"/>
      <c r="T730" s="1"/>
      <c r="U730" s="1"/>
      <c r="V730" s="1"/>
      <c r="W730" s="1"/>
      <c r="X730" s="1"/>
      <c r="Y730" s="1"/>
      <c r="Z730" s="1"/>
    </row>
    <row r="731" spans="1:26" ht="13.5" customHeight="1">
      <c r="A731" s="1"/>
      <c r="B731" s="399"/>
      <c r="C731" s="460"/>
      <c r="D731" s="461"/>
      <c r="E731" s="461"/>
      <c r="F731" s="461"/>
      <c r="G731" s="461"/>
      <c r="H731" s="461"/>
      <c r="I731" s="461"/>
      <c r="J731" s="461"/>
      <c r="K731" s="461"/>
      <c r="L731" s="461"/>
      <c r="M731" s="461"/>
      <c r="N731" s="462"/>
      <c r="O731" s="402"/>
      <c r="P731" s="1"/>
      <c r="Q731" s="1"/>
      <c r="R731" s="1"/>
      <c r="S731" s="1"/>
      <c r="T731" s="1"/>
      <c r="U731" s="1"/>
      <c r="V731" s="1"/>
      <c r="W731" s="1"/>
      <c r="X731" s="1"/>
      <c r="Y731" s="1"/>
      <c r="Z731" s="1"/>
    </row>
    <row r="732" spans="1:26" ht="13.5" customHeight="1">
      <c r="A732" s="1"/>
      <c r="B732" s="399"/>
      <c r="C732" s="418"/>
      <c r="D732" s="39"/>
      <c r="E732" s="39"/>
      <c r="F732" s="39"/>
      <c r="G732" s="39"/>
      <c r="H732" s="39"/>
      <c r="I732" s="39"/>
      <c r="J732" s="39"/>
      <c r="K732" s="39"/>
      <c r="L732" s="39"/>
      <c r="M732" s="39"/>
      <c r="N732" s="40"/>
      <c r="O732" s="402"/>
      <c r="P732" s="1"/>
      <c r="Q732" s="1"/>
      <c r="R732" s="1"/>
      <c r="S732" s="1"/>
      <c r="T732" s="1"/>
      <c r="U732" s="1"/>
      <c r="V732" s="1"/>
      <c r="W732" s="1"/>
      <c r="X732" s="1"/>
      <c r="Y732" s="1"/>
      <c r="Z732" s="1"/>
    </row>
    <row r="733" spans="1:26" ht="13.5" customHeight="1">
      <c r="A733" s="1"/>
      <c r="B733" s="399"/>
      <c r="C733" s="418"/>
      <c r="D733" s="39"/>
      <c r="E733" s="39"/>
      <c r="F733" s="39"/>
      <c r="G733" s="39"/>
      <c r="H733" s="39"/>
      <c r="I733" s="39"/>
      <c r="J733" s="39"/>
      <c r="K733" s="39"/>
      <c r="L733" s="39"/>
      <c r="M733" s="39"/>
      <c r="N733" s="40"/>
      <c r="O733" s="402"/>
      <c r="P733" s="1"/>
      <c r="Q733" s="1"/>
      <c r="R733" s="1"/>
      <c r="S733" s="1"/>
      <c r="T733" s="1"/>
      <c r="U733" s="1"/>
      <c r="V733" s="1"/>
      <c r="W733" s="1"/>
      <c r="X733" s="1"/>
      <c r="Y733" s="1"/>
      <c r="Z733" s="1"/>
    </row>
    <row r="734" spans="1:26" ht="13.5" customHeight="1">
      <c r="A734" s="1"/>
      <c r="B734" s="399"/>
      <c r="C734" s="418"/>
      <c r="D734" s="463"/>
      <c r="E734" s="463"/>
      <c r="F734" s="463"/>
      <c r="G734" s="184"/>
      <c r="H734" s="184"/>
      <c r="I734" s="184"/>
      <c r="J734" s="463"/>
      <c r="K734" s="463"/>
      <c r="L734" s="463"/>
      <c r="M734" s="463"/>
      <c r="N734" s="40"/>
      <c r="O734" s="402"/>
      <c r="P734" s="1"/>
      <c r="Q734" s="1"/>
      <c r="R734" s="1"/>
      <c r="S734" s="1"/>
      <c r="T734" s="1"/>
      <c r="U734" s="1"/>
      <c r="V734" s="1"/>
      <c r="W734" s="1"/>
      <c r="X734" s="1"/>
      <c r="Y734" s="1"/>
      <c r="Z734" s="1"/>
    </row>
    <row r="735" spans="1:26" ht="13.5" customHeight="1">
      <c r="A735" s="1"/>
      <c r="B735" s="399"/>
      <c r="C735" s="418"/>
      <c r="D735" s="39" t="s">
        <v>1225</v>
      </c>
      <c r="E735" s="39"/>
      <c r="F735" s="39"/>
      <c r="G735" s="184"/>
      <c r="H735" s="184"/>
      <c r="I735" s="184"/>
      <c r="J735" s="39" t="s">
        <v>1225</v>
      </c>
      <c r="K735" s="39"/>
      <c r="L735" s="39"/>
      <c r="M735" s="39"/>
      <c r="N735" s="40"/>
      <c r="O735" s="464"/>
      <c r="P735" s="1"/>
      <c r="Q735" s="1"/>
      <c r="R735" s="1"/>
      <c r="S735" s="1"/>
      <c r="T735" s="1"/>
      <c r="U735" s="1"/>
      <c r="V735" s="1"/>
      <c r="W735" s="1"/>
      <c r="X735" s="1"/>
      <c r="Y735" s="1"/>
      <c r="Z735" s="1"/>
    </row>
    <row r="736" spans="1:26" ht="13.5" customHeight="1">
      <c r="A736" s="1"/>
      <c r="B736" s="399"/>
      <c r="C736" s="418"/>
      <c r="D736" s="39" t="s">
        <v>1226</v>
      </c>
      <c r="E736" s="39"/>
      <c r="F736" s="39"/>
      <c r="G736" s="184"/>
      <c r="H736" s="184"/>
      <c r="I736" s="184"/>
      <c r="J736" s="39" t="s">
        <v>1227</v>
      </c>
      <c r="K736" s="39"/>
      <c r="L736" s="39"/>
      <c r="M736" s="39"/>
      <c r="N736" s="40"/>
      <c r="O736" s="464"/>
      <c r="P736" s="1"/>
      <c r="Q736" s="1"/>
      <c r="R736" s="1"/>
      <c r="S736" s="1"/>
      <c r="T736" s="1"/>
      <c r="U736" s="1"/>
      <c r="V736" s="1"/>
      <c r="W736" s="1"/>
      <c r="X736" s="1"/>
      <c r="Y736" s="1"/>
      <c r="Z736" s="1"/>
    </row>
    <row r="737" spans="1:26" ht="13.5" customHeight="1">
      <c r="A737" s="1"/>
      <c r="B737" s="399"/>
      <c r="C737" s="404"/>
      <c r="D737" s="39" t="s">
        <v>1228</v>
      </c>
      <c r="E737" s="42"/>
      <c r="F737" s="42"/>
      <c r="G737" s="184"/>
      <c r="H737" s="184"/>
      <c r="I737" s="184"/>
      <c r="J737" s="39" t="s">
        <v>1228</v>
      </c>
      <c r="K737" s="42"/>
      <c r="L737" s="42"/>
      <c r="M737" s="42"/>
      <c r="N737" s="43"/>
      <c r="O737" s="465"/>
      <c r="P737" s="1"/>
      <c r="Q737" s="1"/>
      <c r="R737" s="1"/>
      <c r="S737" s="1"/>
      <c r="T737" s="1"/>
      <c r="U737" s="1"/>
      <c r="V737" s="1"/>
      <c r="W737" s="1"/>
      <c r="X737" s="1"/>
      <c r="Y737" s="1"/>
      <c r="Z737" s="1"/>
    </row>
    <row r="738" spans="1:26" ht="13.5" customHeight="1">
      <c r="A738" s="1"/>
      <c r="B738" s="399"/>
      <c r="C738" s="418"/>
      <c r="D738" s="39"/>
      <c r="E738" s="39"/>
      <c r="F738" s="39"/>
      <c r="G738" s="39" t="s">
        <v>1229</v>
      </c>
      <c r="H738" s="39"/>
      <c r="I738" s="39"/>
      <c r="J738" s="39"/>
      <c r="K738" s="39"/>
      <c r="L738" s="39"/>
      <c r="M738" s="39"/>
      <c r="N738" s="40"/>
      <c r="O738" s="402"/>
      <c r="P738" s="1"/>
      <c r="Q738" s="1"/>
      <c r="R738" s="1"/>
      <c r="S738" s="1"/>
      <c r="T738" s="1"/>
      <c r="U738" s="1"/>
      <c r="V738" s="1"/>
      <c r="W738" s="1"/>
      <c r="X738" s="1"/>
      <c r="Y738" s="1"/>
      <c r="Z738" s="1"/>
    </row>
    <row r="739" spans="1:26" ht="17.25" customHeight="1">
      <c r="A739" s="1"/>
      <c r="B739" s="399"/>
      <c r="C739" s="466"/>
      <c r="D739" s="467"/>
      <c r="E739" s="467"/>
      <c r="F739" s="39"/>
      <c r="G739" s="39"/>
      <c r="H739" s="39"/>
      <c r="I739" s="39"/>
      <c r="J739" s="1149"/>
      <c r="K739" s="922"/>
      <c r="L739" s="922"/>
      <c r="M739" s="922"/>
      <c r="N739" s="924"/>
      <c r="O739" s="468"/>
      <c r="P739" s="1"/>
      <c r="Q739" s="1"/>
      <c r="R739" s="1"/>
      <c r="S739" s="1"/>
      <c r="T739" s="1"/>
      <c r="U739" s="1"/>
      <c r="V739" s="1"/>
      <c r="W739" s="1"/>
      <c r="X739" s="1"/>
      <c r="Y739" s="1"/>
      <c r="Z739" s="1"/>
    </row>
    <row r="740" spans="1:26" ht="18.75" customHeight="1">
      <c r="A740" s="1"/>
      <c r="B740" s="399"/>
      <c r="C740" s="1150"/>
      <c r="D740" s="936"/>
      <c r="E740" s="936"/>
      <c r="F740" s="416"/>
      <c r="G740" s="416"/>
      <c r="H740" s="416"/>
      <c r="I740" s="416"/>
      <c r="J740" s="936"/>
      <c r="K740" s="936"/>
      <c r="L740" s="936"/>
      <c r="M740" s="936"/>
      <c r="N740" s="938"/>
      <c r="O740" s="468"/>
      <c r="P740" s="1"/>
      <c r="Q740" s="1"/>
      <c r="R740" s="1"/>
      <c r="S740" s="1"/>
      <c r="T740" s="1"/>
      <c r="U740" s="1"/>
      <c r="V740" s="1"/>
      <c r="W740" s="1"/>
      <c r="X740" s="1"/>
      <c r="Y740" s="1"/>
      <c r="Z740" s="1"/>
    </row>
    <row r="741" spans="1:26" ht="13.5" customHeight="1">
      <c r="A741" s="1"/>
      <c r="B741" s="469"/>
      <c r="C741" s="470"/>
      <c r="D741" s="470"/>
      <c r="E741" s="470"/>
      <c r="F741" s="470"/>
      <c r="G741" s="470"/>
      <c r="H741" s="470"/>
      <c r="I741" s="470"/>
      <c r="J741" s="470"/>
      <c r="K741" s="470"/>
      <c r="L741" s="470"/>
      <c r="M741" s="470"/>
      <c r="N741" s="470"/>
      <c r="O741" s="471"/>
      <c r="P741" s="1"/>
      <c r="Q741" s="1"/>
      <c r="R741" s="1"/>
      <c r="S741" s="1"/>
      <c r="T741" s="1"/>
      <c r="U741" s="1"/>
      <c r="V741" s="1"/>
      <c r="W741" s="1"/>
      <c r="X741" s="1"/>
      <c r="Y741" s="1"/>
      <c r="Z741" s="1"/>
    </row>
    <row r="742" spans="1:26" ht="13.5" customHeight="1">
      <c r="A742" s="1"/>
      <c r="B742" s="184"/>
      <c r="C742" s="184"/>
      <c r="D742" s="184"/>
      <c r="E742" s="184"/>
      <c r="F742" s="184"/>
      <c r="G742" s="184"/>
      <c r="H742" s="184"/>
      <c r="I742" s="184"/>
      <c r="J742" s="184"/>
      <c r="K742" s="184"/>
      <c r="L742" s="184"/>
      <c r="M742" s="184"/>
      <c r="N742" s="184"/>
      <c r="O742" s="184"/>
      <c r="P742" s="1"/>
      <c r="Q742" s="1"/>
      <c r="R742" s="1"/>
      <c r="S742" s="1"/>
      <c r="T742" s="1"/>
      <c r="U742" s="1"/>
      <c r="V742" s="1"/>
      <c r="W742" s="1"/>
      <c r="X742" s="1"/>
      <c r="Y742" s="1"/>
      <c r="Z742" s="1"/>
    </row>
    <row r="743" spans="1:26" ht="13.5" customHeight="1">
      <c r="A743" s="1"/>
      <c r="B743" s="184"/>
      <c r="C743" s="184"/>
      <c r="D743" s="184"/>
      <c r="E743" s="184"/>
      <c r="F743" s="184"/>
      <c r="G743" s="184"/>
      <c r="H743" s="184"/>
      <c r="I743" s="184"/>
      <c r="J743" s="184"/>
      <c r="K743" s="184"/>
      <c r="L743" s="184"/>
      <c r="M743" s="184"/>
      <c r="N743" s="184"/>
      <c r="O743" s="184"/>
      <c r="P743" s="1"/>
      <c r="Q743" s="1"/>
      <c r="R743" s="1"/>
      <c r="S743" s="1"/>
      <c r="T743" s="1"/>
      <c r="U743" s="1"/>
      <c r="V743" s="1"/>
      <c r="W743" s="1"/>
      <c r="X743" s="1"/>
      <c r="Y743" s="1"/>
      <c r="Z743" s="1"/>
    </row>
    <row r="744" spans="1:26" ht="13.5" customHeight="1">
      <c r="A744" s="1"/>
      <c r="B744" s="396"/>
      <c r="C744" s="397"/>
      <c r="D744" s="397"/>
      <c r="E744" s="397"/>
      <c r="F744" s="397"/>
      <c r="G744" s="397"/>
      <c r="H744" s="397"/>
      <c r="I744" s="397"/>
      <c r="J744" s="397"/>
      <c r="K744" s="397"/>
      <c r="L744" s="397"/>
      <c r="M744" s="397"/>
      <c r="N744" s="397"/>
      <c r="O744" s="398"/>
      <c r="P744" s="1"/>
      <c r="Q744" s="1"/>
      <c r="R744" s="1"/>
      <c r="S744" s="1"/>
      <c r="T744" s="1"/>
      <c r="U744" s="1"/>
      <c r="V744" s="1"/>
      <c r="W744" s="1"/>
      <c r="X744" s="1"/>
      <c r="Y744" s="1"/>
      <c r="Z744" s="1"/>
    </row>
    <row r="745" spans="1:26" ht="13.5" customHeight="1">
      <c r="A745" s="1"/>
      <c r="B745" s="399"/>
      <c r="C745" s="400"/>
      <c r="D745" s="401"/>
      <c r="E745" s="400"/>
      <c r="F745" s="184"/>
      <c r="G745" s="184"/>
      <c r="H745" s="184"/>
      <c r="I745" s="184"/>
      <c r="J745" s="184"/>
      <c r="K745" s="184"/>
      <c r="L745" s="184"/>
      <c r="M745" s="184"/>
      <c r="N745" s="184"/>
      <c r="O745" s="402"/>
      <c r="P745" s="1"/>
      <c r="Q745" s="1"/>
      <c r="R745" s="1"/>
      <c r="S745" s="1"/>
      <c r="T745" s="1"/>
      <c r="U745" s="1"/>
      <c r="V745" s="1"/>
      <c r="W745" s="1"/>
      <c r="X745" s="1"/>
      <c r="Y745" s="1"/>
      <c r="Z745" s="1"/>
    </row>
    <row r="746" spans="1:26" ht="13.5" customHeight="1">
      <c r="A746" s="1"/>
      <c r="B746" s="399"/>
      <c r="C746" s="39"/>
      <c r="D746" s="39"/>
      <c r="E746" s="39"/>
      <c r="F746" s="39"/>
      <c r="G746" s="39"/>
      <c r="H746" s="39"/>
      <c r="I746" s="39"/>
      <c r="J746" s="39"/>
      <c r="K746" s="39"/>
      <c r="L746" s="39"/>
      <c r="M746" s="39"/>
      <c r="N746" s="39"/>
      <c r="O746" s="402"/>
      <c r="P746" s="1"/>
      <c r="Q746" s="1"/>
      <c r="R746" s="1"/>
      <c r="S746" s="1"/>
      <c r="T746" s="1"/>
      <c r="U746" s="1"/>
      <c r="V746" s="1"/>
      <c r="W746" s="1"/>
      <c r="X746" s="1"/>
      <c r="Y746" s="1"/>
      <c r="Z746" s="1"/>
    </row>
    <row r="747" spans="1:26" ht="13.5" customHeight="1">
      <c r="A747" s="1"/>
      <c r="B747" s="399"/>
      <c r="C747" s="1124"/>
      <c r="D747" s="927"/>
      <c r="E747" s="1014" t="str">
        <f>+Datos!$C$9</f>
        <v>CONSEJO SUPERIOR  DE  JUDICATURA– DIRECCIÓN  EJECUTIVA  SECCIONAL  DE ADMINISTRACIÓN JUDICIAL DE BUCARAMANGA</v>
      </c>
      <c r="F747" s="926"/>
      <c r="G747" s="926"/>
      <c r="H747" s="926"/>
      <c r="I747" s="926"/>
      <c r="J747" s="926"/>
      <c r="K747" s="927"/>
      <c r="L747" s="925" t="s">
        <v>1</v>
      </c>
      <c r="M747" s="931"/>
      <c r="N747" s="933">
        <f>Datos!$C$4</f>
        <v>1</v>
      </c>
      <c r="O747" s="403"/>
      <c r="P747" s="1"/>
      <c r="Q747" s="1"/>
      <c r="R747" s="1"/>
      <c r="S747" s="1"/>
      <c r="T747" s="1"/>
      <c r="U747" s="1"/>
      <c r="V747" s="1"/>
      <c r="W747" s="1"/>
      <c r="X747" s="1"/>
      <c r="Y747" s="1"/>
      <c r="Z747" s="1"/>
    </row>
    <row r="748" spans="1:26" ht="13.5" customHeight="1">
      <c r="A748" s="1"/>
      <c r="B748" s="399"/>
      <c r="C748" s="920"/>
      <c r="D748" s="924"/>
      <c r="E748" s="920"/>
      <c r="F748" s="922"/>
      <c r="G748" s="922"/>
      <c r="H748" s="922"/>
      <c r="I748" s="922"/>
      <c r="J748" s="922"/>
      <c r="K748" s="924"/>
      <c r="L748" s="920"/>
      <c r="M748" s="932"/>
      <c r="N748" s="934"/>
      <c r="O748" s="403"/>
      <c r="P748" s="1"/>
      <c r="Q748" s="1"/>
      <c r="R748" s="1"/>
      <c r="S748" s="1"/>
      <c r="T748" s="1"/>
      <c r="U748" s="1"/>
      <c r="V748" s="1"/>
      <c r="W748" s="1"/>
      <c r="X748" s="1"/>
      <c r="Y748" s="1"/>
      <c r="Z748" s="1"/>
    </row>
    <row r="749" spans="1:26" ht="13.5" customHeight="1">
      <c r="A749" s="1"/>
      <c r="B749" s="399"/>
      <c r="C749" s="920"/>
      <c r="D749" s="924"/>
      <c r="E749" s="919" t="str">
        <f>Datos!$C$13</f>
        <v xml:space="preserve">BGA - 030 - 2026 </v>
      </c>
      <c r="F749" s="922"/>
      <c r="G749" s="922"/>
      <c r="H749" s="922"/>
      <c r="I749" s="922"/>
      <c r="J749" s="922"/>
      <c r="K749" s="922"/>
      <c r="L749" s="925" t="s">
        <v>29</v>
      </c>
      <c r="M749" s="926"/>
      <c r="N749" s="927"/>
      <c r="O749" s="403"/>
      <c r="P749" s="1"/>
      <c r="Q749" s="1"/>
      <c r="R749" s="1"/>
      <c r="S749" s="1"/>
      <c r="T749" s="1"/>
      <c r="U749" s="1"/>
      <c r="V749" s="1"/>
      <c r="W749" s="1"/>
      <c r="X749" s="1"/>
      <c r="Y749" s="1"/>
      <c r="Z749" s="1"/>
    </row>
    <row r="750" spans="1:26" ht="13.5" customHeight="1">
      <c r="A750" s="1"/>
      <c r="B750" s="399"/>
      <c r="C750" s="920"/>
      <c r="D750" s="924"/>
      <c r="E750" s="405"/>
      <c r="F750" s="406"/>
      <c r="G750" s="406"/>
      <c r="H750" s="406"/>
      <c r="I750" s="406"/>
      <c r="J750" s="406"/>
      <c r="K750" s="42"/>
      <c r="L750" s="919">
        <v>1</v>
      </c>
      <c r="M750" s="921" t="s">
        <v>30</v>
      </c>
      <c r="N750" s="923">
        <v>1</v>
      </c>
      <c r="O750" s="403"/>
      <c r="P750" s="1"/>
      <c r="Q750" s="1"/>
      <c r="R750" s="1"/>
      <c r="S750" s="1"/>
      <c r="T750" s="1"/>
      <c r="U750" s="1"/>
      <c r="V750" s="1"/>
      <c r="W750" s="1"/>
      <c r="X750" s="1"/>
      <c r="Y750" s="1"/>
      <c r="Z750" s="1"/>
    </row>
    <row r="751" spans="1:26" ht="12.75" customHeight="1">
      <c r="A751" s="1"/>
      <c r="B751" s="399"/>
      <c r="C751" s="920"/>
      <c r="D751" s="924"/>
      <c r="E751"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751" s="922"/>
      <c r="G751" s="922"/>
      <c r="H751" s="922"/>
      <c r="I751" s="922"/>
      <c r="J751" s="922"/>
      <c r="K751" s="922"/>
      <c r="L751" s="920"/>
      <c r="M751" s="922"/>
      <c r="N751" s="924"/>
      <c r="O751" s="403"/>
      <c r="P751" s="1"/>
      <c r="Q751" s="1"/>
      <c r="R751" s="1"/>
      <c r="S751" s="1"/>
      <c r="T751" s="1"/>
      <c r="U751" s="1"/>
      <c r="V751" s="1"/>
      <c r="W751" s="1"/>
      <c r="X751" s="1"/>
      <c r="Y751" s="1"/>
      <c r="Z751" s="1"/>
    </row>
    <row r="752" spans="1:26" ht="13.5" customHeight="1">
      <c r="A752" s="1"/>
      <c r="B752" s="399"/>
      <c r="C752" s="920"/>
      <c r="D752" s="924"/>
      <c r="E752" s="920"/>
      <c r="F752" s="922"/>
      <c r="G752" s="922"/>
      <c r="H752" s="922"/>
      <c r="I752" s="922"/>
      <c r="J752" s="922"/>
      <c r="K752" s="922"/>
      <c r="L752" s="925" t="s">
        <v>2</v>
      </c>
      <c r="M752" s="926"/>
      <c r="N752" s="927"/>
      <c r="O752" s="403"/>
      <c r="P752" s="1"/>
      <c r="Q752" s="1"/>
      <c r="R752" s="1"/>
      <c r="S752" s="1"/>
      <c r="T752" s="1"/>
      <c r="U752" s="1"/>
      <c r="V752" s="1"/>
      <c r="W752" s="1"/>
      <c r="X752" s="1"/>
      <c r="Y752" s="1"/>
      <c r="Z752" s="1"/>
    </row>
    <row r="753" spans="1:26" ht="13.5" customHeight="1">
      <c r="A753" s="1"/>
      <c r="B753" s="399"/>
      <c r="C753" s="920"/>
      <c r="D753" s="924"/>
      <c r="E753" s="407"/>
      <c r="F753" s="216"/>
      <c r="G753" s="216"/>
      <c r="H753" s="216"/>
      <c r="I753" s="216"/>
      <c r="J753" s="216"/>
      <c r="K753" s="216"/>
      <c r="L753" s="408" t="s">
        <v>3</v>
      </c>
      <c r="M753" s="409" t="s">
        <v>4</v>
      </c>
      <c r="N753" s="410" t="s">
        <v>5</v>
      </c>
      <c r="O753" s="403"/>
      <c r="P753" s="1"/>
      <c r="Q753" s="1"/>
      <c r="R753" s="1"/>
      <c r="S753" s="1"/>
      <c r="T753" s="1"/>
      <c r="U753" s="1"/>
      <c r="V753" s="1"/>
      <c r="W753" s="1"/>
      <c r="X753" s="1"/>
      <c r="Y753" s="1"/>
      <c r="Z753" s="1"/>
    </row>
    <row r="754" spans="1:26" ht="13.5" customHeight="1">
      <c r="A754" s="1"/>
      <c r="B754" s="399"/>
      <c r="C754" s="920"/>
      <c r="D754" s="924"/>
      <c r="E754" s="1125" t="s">
        <v>1186</v>
      </c>
      <c r="F754" s="945"/>
      <c r="G754" s="945"/>
      <c r="H754" s="945"/>
      <c r="I754" s="945"/>
      <c r="J754" s="945"/>
      <c r="K754" s="945"/>
      <c r="L754" s="928">
        <f>+Datos!C665</f>
        <v>0</v>
      </c>
      <c r="M754" s="935">
        <f>+Datos!D665</f>
        <v>0</v>
      </c>
      <c r="N754" s="937">
        <f>+Datos!E665</f>
        <v>0</v>
      </c>
      <c r="O754" s="411"/>
      <c r="P754" s="1"/>
      <c r="Q754" s="1"/>
      <c r="R754" s="1"/>
      <c r="S754" s="1"/>
      <c r="T754" s="1"/>
      <c r="U754" s="1"/>
      <c r="V754" s="1"/>
      <c r="W754" s="1"/>
      <c r="X754" s="1"/>
      <c r="Y754" s="1"/>
      <c r="Z754" s="1"/>
    </row>
    <row r="755" spans="1:26" ht="13.5" customHeight="1">
      <c r="A755" s="1"/>
      <c r="B755" s="399"/>
      <c r="C755" s="929"/>
      <c r="D755" s="938"/>
      <c r="E755" s="929"/>
      <c r="F755" s="936"/>
      <c r="G755" s="936"/>
      <c r="H755" s="936"/>
      <c r="I755" s="936"/>
      <c r="J755" s="936"/>
      <c r="K755" s="936"/>
      <c r="L755" s="929"/>
      <c r="M755" s="936"/>
      <c r="N755" s="938"/>
      <c r="O755" s="403"/>
      <c r="P755" s="1"/>
      <c r="Q755" s="1"/>
      <c r="R755" s="1"/>
      <c r="S755" s="1"/>
      <c r="T755" s="1"/>
      <c r="U755" s="1"/>
      <c r="V755" s="1"/>
      <c r="W755" s="1"/>
      <c r="X755" s="1"/>
      <c r="Y755" s="1"/>
      <c r="Z755" s="1"/>
    </row>
    <row r="756" spans="1:26" ht="13.5" customHeight="1">
      <c r="A756" s="1"/>
      <c r="B756" s="399"/>
      <c r="C756" s="404"/>
      <c r="D756" s="38"/>
      <c r="E756" s="38"/>
      <c r="F756" s="38"/>
      <c r="G756" s="38"/>
      <c r="H756" s="38"/>
      <c r="I756" s="38"/>
      <c r="J756" s="38"/>
      <c r="K756" s="38"/>
      <c r="L756" s="39"/>
      <c r="M756" s="39"/>
      <c r="N756" s="40"/>
      <c r="O756" s="414"/>
      <c r="P756" s="1"/>
      <c r="Q756" s="1"/>
      <c r="R756" s="1"/>
      <c r="S756" s="1"/>
      <c r="T756" s="1"/>
      <c r="U756" s="1"/>
      <c r="V756" s="1"/>
      <c r="W756" s="1"/>
      <c r="X756" s="1"/>
      <c r="Y756" s="1"/>
      <c r="Z756" s="1"/>
    </row>
    <row r="757" spans="1:26" ht="18" customHeight="1">
      <c r="A757" s="1"/>
      <c r="B757" s="399"/>
      <c r="C757" s="412" t="s">
        <v>1187</v>
      </c>
      <c r="D757" s="1126" t="s">
        <v>1188</v>
      </c>
      <c r="E757" s="922"/>
      <c r="F757" s="922"/>
      <c r="G757" s="922"/>
      <c r="H757" s="922"/>
      <c r="I757" s="922"/>
      <c r="J757" s="922"/>
      <c r="K757" s="922"/>
      <c r="L757" s="922"/>
      <c r="M757" s="1"/>
      <c r="N757" s="413"/>
      <c r="O757" s="414"/>
      <c r="P757" s="1"/>
      <c r="Q757" s="1"/>
      <c r="R757" s="1"/>
      <c r="S757" s="1"/>
      <c r="T757" s="1"/>
      <c r="U757" s="1"/>
      <c r="V757" s="1"/>
      <c r="W757" s="1"/>
      <c r="X757" s="1"/>
      <c r="Y757" s="1"/>
      <c r="Z757" s="1"/>
    </row>
    <row r="758" spans="1:26" ht="13.5" customHeight="1">
      <c r="A758" s="1"/>
      <c r="B758" s="399"/>
      <c r="C758" s="412" t="s">
        <v>1189</v>
      </c>
      <c r="D758" s="1126" t="s">
        <v>1190</v>
      </c>
      <c r="E758" s="922"/>
      <c r="F758" s="922"/>
      <c r="G758" s="922"/>
      <c r="H758" s="922"/>
      <c r="I758" s="922"/>
      <c r="J758" s="922"/>
      <c r="K758" s="922"/>
      <c r="L758" s="922"/>
      <c r="M758" s="1"/>
      <c r="N758" s="413"/>
      <c r="O758" s="403"/>
      <c r="P758" s="1"/>
      <c r="Q758" s="1"/>
      <c r="R758" s="1"/>
      <c r="S758" s="1"/>
      <c r="T758" s="1"/>
      <c r="U758" s="1"/>
      <c r="V758" s="1"/>
      <c r="W758" s="1"/>
      <c r="X758" s="1"/>
      <c r="Y758" s="1"/>
      <c r="Z758" s="1"/>
    </row>
    <row r="759" spans="1:26" ht="13.5" customHeight="1">
      <c r="A759" s="1"/>
      <c r="B759" s="399"/>
      <c r="C759" s="415"/>
      <c r="D759" s="416"/>
      <c r="E759" s="416"/>
      <c r="F759" s="416"/>
      <c r="G759" s="416"/>
      <c r="H759" s="416"/>
      <c r="I759" s="416"/>
      <c r="J759" s="416"/>
      <c r="K759" s="416"/>
      <c r="L759" s="416"/>
      <c r="M759" s="416"/>
      <c r="N759" s="417"/>
      <c r="O759" s="402"/>
      <c r="P759" s="1"/>
      <c r="Q759" s="1"/>
      <c r="R759" s="1"/>
      <c r="S759" s="1"/>
      <c r="T759" s="1"/>
      <c r="U759" s="1"/>
      <c r="V759" s="1"/>
      <c r="W759" s="1"/>
      <c r="X759" s="1"/>
      <c r="Y759" s="1"/>
      <c r="Z759" s="1"/>
    </row>
    <row r="760" spans="1:26" ht="13.5" customHeight="1">
      <c r="A760" s="1"/>
      <c r="B760" s="399"/>
      <c r="C760" s="418"/>
      <c r="D760" s="39"/>
      <c r="E760" s="39"/>
      <c r="F760" s="39"/>
      <c r="G760" s="39"/>
      <c r="H760" s="39"/>
      <c r="I760" s="39"/>
      <c r="J760" s="39"/>
      <c r="K760" s="39"/>
      <c r="L760" s="39"/>
      <c r="M760" s="39"/>
      <c r="N760" s="40"/>
      <c r="O760" s="402"/>
      <c r="P760" s="1"/>
      <c r="Q760" s="1"/>
      <c r="R760" s="1"/>
      <c r="S760" s="1"/>
      <c r="T760" s="1"/>
      <c r="U760" s="1"/>
      <c r="V760" s="1"/>
      <c r="W760" s="1"/>
      <c r="X760" s="1"/>
      <c r="Y760" s="1"/>
      <c r="Z760" s="1"/>
    </row>
    <row r="761" spans="1:26" ht="13.5" customHeight="1">
      <c r="A761" s="1"/>
      <c r="B761" s="399"/>
      <c r="C761" s="925" t="s">
        <v>1191</v>
      </c>
      <c r="D761" s="926"/>
      <c r="E761" s="926"/>
      <c r="F761" s="926"/>
      <c r="G761" s="926"/>
      <c r="H761" s="926"/>
      <c r="I761" s="926"/>
      <c r="J761" s="926"/>
      <c r="K761" s="926"/>
      <c r="L761" s="926"/>
      <c r="M761" s="926"/>
      <c r="N761" s="927"/>
      <c r="O761" s="419"/>
      <c r="P761" s="1"/>
      <c r="Q761" s="1"/>
      <c r="R761" s="1"/>
      <c r="S761" s="1"/>
      <c r="T761" s="1"/>
      <c r="U761" s="1"/>
      <c r="V761" s="1"/>
      <c r="W761" s="1"/>
      <c r="X761" s="1"/>
      <c r="Y761" s="1"/>
      <c r="Z761" s="1"/>
    </row>
    <row r="762" spans="1:26" ht="13.5" customHeight="1">
      <c r="A762" s="1"/>
      <c r="B762" s="399"/>
      <c r="C762" s="418"/>
      <c r="D762" s="39"/>
      <c r="E762" s="39"/>
      <c r="F762" s="39"/>
      <c r="G762" s="39"/>
      <c r="H762" s="39"/>
      <c r="I762" s="39"/>
      <c r="J762" s="39"/>
      <c r="K762" s="39"/>
      <c r="L762" s="39"/>
      <c r="M762" s="39"/>
      <c r="N762" s="40"/>
      <c r="O762" s="402"/>
      <c r="P762" s="1"/>
      <c r="Q762" s="1"/>
      <c r="R762" s="1"/>
      <c r="S762" s="1"/>
      <c r="T762" s="1"/>
      <c r="U762" s="1"/>
      <c r="V762" s="1"/>
      <c r="W762" s="1"/>
      <c r="X762" s="1"/>
      <c r="Y762" s="1"/>
      <c r="Z762" s="1"/>
    </row>
    <row r="763" spans="1:26" ht="13.5" customHeight="1">
      <c r="A763" s="1"/>
      <c r="B763" s="399"/>
      <c r="C763" s="420" t="s">
        <v>965</v>
      </c>
      <c r="D763" s="1136" t="s">
        <v>17</v>
      </c>
      <c r="E763" s="1131"/>
      <c r="F763" s="1131"/>
      <c r="G763" s="1131"/>
      <c r="H763" s="1131"/>
      <c r="I763" s="1131"/>
      <c r="J763" s="1131"/>
      <c r="K763" s="1137"/>
      <c r="L763" s="1130" t="s">
        <v>1192</v>
      </c>
      <c r="M763" s="1137"/>
      <c r="N763" s="420" t="s">
        <v>950</v>
      </c>
      <c r="O763" s="419"/>
      <c r="P763" s="1"/>
      <c r="Q763" s="1"/>
      <c r="R763" s="1"/>
      <c r="S763" s="1"/>
      <c r="T763" s="1"/>
      <c r="U763" s="1"/>
      <c r="V763" s="1"/>
      <c r="W763" s="1"/>
      <c r="X763" s="1"/>
      <c r="Y763" s="1"/>
      <c r="Z763" s="1"/>
    </row>
    <row r="764" spans="1:26" ht="13.5" customHeight="1">
      <c r="A764" s="1"/>
      <c r="B764" s="421"/>
      <c r="C764" s="422" t="s">
        <v>1190</v>
      </c>
      <c r="D764" s="1151" t="s">
        <v>1254</v>
      </c>
      <c r="E764" s="979"/>
      <c r="F764" s="979"/>
      <c r="G764" s="979"/>
      <c r="H764" s="979"/>
      <c r="I764" s="979"/>
      <c r="J764" s="979"/>
      <c r="K764" s="980"/>
      <c r="L764" s="1138" t="s">
        <v>741</v>
      </c>
      <c r="M764" s="980"/>
      <c r="N764" s="423">
        <v>1</v>
      </c>
      <c r="O764" s="424"/>
      <c r="P764" s="1"/>
      <c r="Q764" s="1"/>
      <c r="R764" s="1"/>
      <c r="S764" s="1"/>
      <c r="T764" s="1"/>
      <c r="U764" s="1"/>
      <c r="V764" s="1"/>
      <c r="W764" s="1"/>
      <c r="X764" s="1"/>
      <c r="Y764" s="1"/>
      <c r="Z764" s="1"/>
    </row>
    <row r="765" spans="1:26" ht="13.5" customHeight="1">
      <c r="A765" s="1"/>
      <c r="B765" s="399"/>
      <c r="C765" s="1129" t="s">
        <v>1195</v>
      </c>
      <c r="D765" s="926"/>
      <c r="E765" s="926"/>
      <c r="F765" s="926"/>
      <c r="G765" s="926"/>
      <c r="H765" s="926"/>
      <c r="I765" s="926"/>
      <c r="J765" s="926"/>
      <c r="K765" s="926"/>
      <c r="L765" s="926"/>
      <c r="M765" s="926"/>
      <c r="N765" s="927"/>
      <c r="O765" s="426"/>
      <c r="P765" s="1"/>
      <c r="Q765" s="1"/>
      <c r="R765" s="1"/>
      <c r="S765" s="1"/>
      <c r="T765" s="1"/>
      <c r="U765" s="1"/>
      <c r="V765" s="1"/>
      <c r="W765" s="1"/>
      <c r="X765" s="1"/>
      <c r="Y765" s="1"/>
      <c r="Z765" s="1"/>
    </row>
    <row r="766" spans="1:26" ht="13.5" customHeight="1">
      <c r="A766" s="1"/>
      <c r="B766" s="399"/>
      <c r="C766" s="920"/>
      <c r="D766" s="922"/>
      <c r="E766" s="922"/>
      <c r="F766" s="922"/>
      <c r="G766" s="922"/>
      <c r="H766" s="922"/>
      <c r="I766" s="922"/>
      <c r="J766" s="922"/>
      <c r="K766" s="922"/>
      <c r="L766" s="922"/>
      <c r="M766" s="922"/>
      <c r="N766" s="924"/>
      <c r="O766" s="426"/>
      <c r="P766" s="1"/>
      <c r="Q766" s="1"/>
      <c r="R766" s="1"/>
      <c r="S766" s="1"/>
      <c r="T766" s="1"/>
      <c r="U766" s="1"/>
      <c r="V766" s="1"/>
      <c r="W766" s="1"/>
      <c r="X766" s="1"/>
      <c r="Y766" s="1"/>
      <c r="Z766" s="1"/>
    </row>
    <row r="767" spans="1:26" ht="13.5" customHeight="1">
      <c r="A767" s="1"/>
      <c r="B767" s="399"/>
      <c r="C767" s="929"/>
      <c r="D767" s="936"/>
      <c r="E767" s="936"/>
      <c r="F767" s="936"/>
      <c r="G767" s="936"/>
      <c r="H767" s="936"/>
      <c r="I767" s="936"/>
      <c r="J767" s="936"/>
      <c r="K767" s="936"/>
      <c r="L767" s="936"/>
      <c r="M767" s="936"/>
      <c r="N767" s="938"/>
      <c r="O767" s="426"/>
      <c r="P767" s="1"/>
      <c r="Q767" s="1"/>
      <c r="R767" s="1"/>
      <c r="S767" s="1"/>
      <c r="T767" s="1"/>
      <c r="U767" s="1"/>
      <c r="V767" s="1"/>
      <c r="W767" s="1"/>
      <c r="X767" s="1"/>
      <c r="Y767" s="1"/>
      <c r="Z767" s="1"/>
    </row>
    <row r="768" spans="1:26" ht="13.5" customHeight="1">
      <c r="A768" s="1"/>
      <c r="B768" s="399"/>
      <c r="C768" s="1130" t="s">
        <v>17</v>
      </c>
      <c r="D768" s="1131"/>
      <c r="E768" s="1131"/>
      <c r="F768" s="1000"/>
      <c r="G768" s="1135" t="s">
        <v>1196</v>
      </c>
      <c r="H768" s="1000"/>
      <c r="I768" s="1139" t="s">
        <v>1197</v>
      </c>
      <c r="J768" s="1140"/>
      <c r="K768" s="427" t="s">
        <v>1198</v>
      </c>
      <c r="L768" s="1135" t="s">
        <v>1199</v>
      </c>
      <c r="M768" s="1000"/>
      <c r="N768" s="428" t="s">
        <v>1200</v>
      </c>
      <c r="O768" s="419"/>
      <c r="P768" s="1"/>
      <c r="Q768" s="1"/>
      <c r="R768" s="1"/>
      <c r="S768" s="1"/>
      <c r="T768" s="1"/>
      <c r="U768" s="1"/>
      <c r="V768" s="1"/>
      <c r="W768" s="1"/>
      <c r="X768" s="1"/>
      <c r="Y768" s="1"/>
      <c r="Z768" s="1"/>
    </row>
    <row r="769" spans="1:26" ht="13.5" customHeight="1">
      <c r="A769" s="395"/>
      <c r="B769" s="399"/>
      <c r="C769" s="1128" t="s">
        <v>1201</v>
      </c>
      <c r="D769" s="940"/>
      <c r="E769" s="940"/>
      <c r="F769" s="941"/>
      <c r="G769" s="1142"/>
      <c r="H769" s="941"/>
      <c r="I769" s="1142"/>
      <c r="J769" s="941"/>
      <c r="K769" s="429"/>
      <c r="L769" s="1143">
        <v>0.1</v>
      </c>
      <c r="M769" s="941"/>
      <c r="N769" s="430">
        <f>+L769*N800</f>
        <v>5639.4250000000002</v>
      </c>
      <c r="O769" s="431"/>
      <c r="P769" s="1"/>
      <c r="Q769" s="1"/>
      <c r="R769" s="1"/>
      <c r="S769" s="1"/>
      <c r="T769" s="1"/>
      <c r="U769" s="1"/>
      <c r="V769" s="1"/>
      <c r="W769" s="1"/>
      <c r="X769" s="1"/>
      <c r="Y769" s="1"/>
      <c r="Z769" s="1"/>
    </row>
    <row r="770" spans="1:26" ht="13.5" customHeight="1">
      <c r="A770" s="395" t="str">
        <f t="array" ref="A770">IF(C770&lt;&gt;0,INDEX(CodEquipos,MATCH(C770,Equipos,0),),)</f>
        <v>EQ-01</v>
      </c>
      <c r="B770" s="399"/>
      <c r="C770" s="1128" t="s">
        <v>271</v>
      </c>
      <c r="D770" s="940"/>
      <c r="E770" s="940"/>
      <c r="F770" s="941"/>
      <c r="G770" s="1142"/>
      <c r="H770" s="941"/>
      <c r="I770" s="1142"/>
      <c r="J770" s="941"/>
      <c r="K770" s="432">
        <f>IF($A770&gt;0,(VLOOKUP($A770,TablaEquipos,7,FALSE)),"")</f>
        <v>13833.75</v>
      </c>
      <c r="L770" s="1141">
        <f>+L795/8</f>
        <v>1</v>
      </c>
      <c r="M770" s="941"/>
      <c r="N770" s="430">
        <f t="shared" ref="N770:N772" si="42">IF(L770&gt;0,K770/L770,"")</f>
        <v>13833.75</v>
      </c>
      <c r="O770" s="431"/>
      <c r="P770" s="1"/>
      <c r="Q770" s="1"/>
      <c r="R770" s="1"/>
      <c r="S770" s="1"/>
      <c r="T770" s="1"/>
      <c r="U770" s="1"/>
      <c r="V770" s="1"/>
      <c r="W770" s="1"/>
      <c r="X770" s="1"/>
      <c r="Y770" s="1"/>
      <c r="Z770" s="1"/>
    </row>
    <row r="771" spans="1:26" ht="13.5" customHeight="1">
      <c r="A771" s="395">
        <f t="array" ref="A771">IF(C771&lt;&gt;0,INDEX(CodEquipos,MATCH(C771,Equipos,0),),)</f>
        <v>0</v>
      </c>
      <c r="B771" s="399"/>
      <c r="C771" s="1128"/>
      <c r="D771" s="940"/>
      <c r="E771" s="940"/>
      <c r="F771" s="941"/>
      <c r="G771" s="1142"/>
      <c r="H771" s="941"/>
      <c r="I771" s="1142"/>
      <c r="J771" s="941"/>
      <c r="K771" s="432" t="str">
        <f>IF($A771&gt;0,(VLOOKUP($A771,TablaEquipos,7,FALSE)),"")</f>
        <v/>
      </c>
      <c r="L771" s="1141"/>
      <c r="M771" s="941"/>
      <c r="N771" s="430" t="str">
        <f t="shared" si="42"/>
        <v/>
      </c>
      <c r="O771" s="431"/>
      <c r="P771" s="1"/>
      <c r="Q771" s="1"/>
      <c r="R771" s="1"/>
      <c r="S771" s="1"/>
      <c r="T771" s="1"/>
      <c r="U771" s="1"/>
      <c r="V771" s="1"/>
      <c r="W771" s="1"/>
      <c r="X771" s="1"/>
      <c r="Y771" s="1"/>
      <c r="Z771" s="1"/>
    </row>
    <row r="772" spans="1:26" ht="13.5" customHeight="1">
      <c r="A772" s="395">
        <f t="array" ref="A772">IF(C772&lt;&gt;0,INDEX(CodEquipos,MATCH(C772,Equipos,0),),)</f>
        <v>0</v>
      </c>
      <c r="B772" s="399"/>
      <c r="C772" s="1128"/>
      <c r="D772" s="940"/>
      <c r="E772" s="940"/>
      <c r="F772" s="941"/>
      <c r="G772" s="1144"/>
      <c r="H772" s="1145"/>
      <c r="I772" s="1142"/>
      <c r="J772" s="941"/>
      <c r="K772" s="432" t="str">
        <f>IF($A772&gt;0,(VLOOKUP($A772,TablaEquipos,7,FALSE)),"")</f>
        <v/>
      </c>
      <c r="L772" s="1141"/>
      <c r="M772" s="941"/>
      <c r="N772" s="430" t="str">
        <f t="shared" si="42"/>
        <v/>
      </c>
      <c r="O772" s="431"/>
      <c r="P772" s="1"/>
      <c r="Q772" s="1"/>
      <c r="R772" s="1"/>
      <c r="S772" s="1"/>
      <c r="T772" s="1"/>
      <c r="U772" s="1"/>
      <c r="V772" s="1"/>
      <c r="W772" s="1"/>
      <c r="X772" s="1"/>
      <c r="Y772" s="1"/>
      <c r="Z772" s="1"/>
    </row>
    <row r="773" spans="1:26" ht="13.5" customHeight="1">
      <c r="A773" s="395"/>
      <c r="B773" s="399"/>
      <c r="C773" s="1127" t="s">
        <v>1202</v>
      </c>
      <c r="D773" s="965"/>
      <c r="E773" s="965"/>
      <c r="F773" s="965"/>
      <c r="G773" s="965"/>
      <c r="H773" s="965"/>
      <c r="I773" s="965"/>
      <c r="J773" s="965"/>
      <c r="K773" s="965"/>
      <c r="L773" s="965"/>
      <c r="M773" s="966"/>
      <c r="N773" s="433">
        <f>+SUM(N769:N772)</f>
        <v>19473.174999999999</v>
      </c>
      <c r="O773" s="431"/>
      <c r="P773" s="1"/>
      <c r="Q773" s="1"/>
      <c r="R773" s="1"/>
      <c r="S773" s="1"/>
      <c r="T773" s="1"/>
      <c r="U773" s="1"/>
      <c r="V773" s="1"/>
      <c r="W773" s="1"/>
      <c r="X773" s="1"/>
      <c r="Y773" s="1"/>
      <c r="Z773" s="1"/>
    </row>
    <row r="774" spans="1:26" ht="13.5" customHeight="1">
      <c r="A774" s="395"/>
      <c r="B774" s="399"/>
      <c r="C774" s="1129" t="s">
        <v>1203</v>
      </c>
      <c r="D774" s="926"/>
      <c r="E774" s="926"/>
      <c r="F774" s="926"/>
      <c r="G774" s="926"/>
      <c r="H774" s="926"/>
      <c r="I774" s="926"/>
      <c r="J774" s="926"/>
      <c r="K774" s="926"/>
      <c r="L774" s="926"/>
      <c r="M774" s="926"/>
      <c r="N774" s="927"/>
      <c r="O774" s="426"/>
      <c r="P774" s="1"/>
      <c r="Q774" s="1"/>
      <c r="R774" s="1"/>
      <c r="S774" s="1"/>
      <c r="T774" s="1"/>
      <c r="U774" s="1"/>
      <c r="V774" s="1"/>
      <c r="W774" s="1"/>
      <c r="X774" s="1"/>
      <c r="Y774" s="1"/>
      <c r="Z774" s="1"/>
    </row>
    <row r="775" spans="1:26" ht="13.5" customHeight="1">
      <c r="A775" s="395"/>
      <c r="B775" s="399"/>
      <c r="C775" s="920"/>
      <c r="D775" s="922"/>
      <c r="E775" s="922"/>
      <c r="F775" s="922"/>
      <c r="G775" s="922"/>
      <c r="H775" s="922"/>
      <c r="I775" s="922"/>
      <c r="J775" s="922"/>
      <c r="K775" s="922"/>
      <c r="L775" s="922"/>
      <c r="M775" s="922"/>
      <c r="N775" s="924"/>
      <c r="O775" s="426"/>
      <c r="P775" s="1"/>
      <c r="Q775" s="1"/>
      <c r="R775" s="1"/>
      <c r="S775" s="1"/>
      <c r="T775" s="1"/>
      <c r="U775" s="1"/>
      <c r="V775" s="1"/>
      <c r="W775" s="1"/>
      <c r="X775" s="1"/>
      <c r="Y775" s="1"/>
      <c r="Z775" s="1"/>
    </row>
    <row r="776" spans="1:26" ht="13.5" customHeight="1">
      <c r="A776" s="395"/>
      <c r="B776" s="399"/>
      <c r="C776" s="929"/>
      <c r="D776" s="936"/>
      <c r="E776" s="936"/>
      <c r="F776" s="936"/>
      <c r="G776" s="936"/>
      <c r="H776" s="936"/>
      <c r="I776" s="936"/>
      <c r="J776" s="936"/>
      <c r="K776" s="936"/>
      <c r="L776" s="936"/>
      <c r="M776" s="936"/>
      <c r="N776" s="938"/>
      <c r="O776" s="426"/>
      <c r="P776" s="1"/>
      <c r="Q776" s="1"/>
      <c r="R776" s="1"/>
      <c r="S776" s="1"/>
      <c r="T776" s="1"/>
      <c r="U776" s="1"/>
      <c r="V776" s="1"/>
      <c r="W776" s="1"/>
      <c r="X776" s="1"/>
      <c r="Y776" s="1"/>
      <c r="Z776" s="1"/>
    </row>
    <row r="777" spans="1:26" ht="13.5" customHeight="1">
      <c r="A777" s="395"/>
      <c r="B777" s="399"/>
      <c r="C777" s="1130" t="s">
        <v>17</v>
      </c>
      <c r="D777" s="1131"/>
      <c r="E777" s="1131"/>
      <c r="F777" s="1131"/>
      <c r="G777" s="1131"/>
      <c r="H777" s="1131"/>
      <c r="I777" s="1000"/>
      <c r="J777" s="434" t="s">
        <v>1192</v>
      </c>
      <c r="K777" s="427" t="s">
        <v>950</v>
      </c>
      <c r="L777" s="1135" t="s">
        <v>1204</v>
      </c>
      <c r="M777" s="1000"/>
      <c r="N777" s="428" t="s">
        <v>1200</v>
      </c>
      <c r="O777" s="419"/>
      <c r="P777" s="1"/>
      <c r="Q777" s="1"/>
      <c r="R777" s="1"/>
      <c r="S777" s="1"/>
      <c r="T777" s="1"/>
      <c r="U777" s="1"/>
      <c r="V777" s="1"/>
      <c r="W777" s="1"/>
      <c r="X777" s="1"/>
      <c r="Y777" s="1"/>
      <c r="Z777" s="1"/>
    </row>
    <row r="778" spans="1:26" ht="13.5" customHeight="1">
      <c r="A778" s="395" t="str">
        <f t="array" ref="A778">IF(C778&lt;&gt;0,INDEX(CodMat,MATCH(C778,Materiales,0),),)</f>
        <v>MAT_C-01</v>
      </c>
      <c r="B778" s="399"/>
      <c r="C778" s="1128" t="s">
        <v>1205</v>
      </c>
      <c r="D778" s="940"/>
      <c r="E778" s="940"/>
      <c r="F778" s="940"/>
      <c r="G778" s="940"/>
      <c r="H778" s="940"/>
      <c r="I778" s="941"/>
      <c r="J778" s="435" t="str">
        <f>IF($A778&gt;0,(VLOOKUP($A778,TablaInsumos,5,FALSE)),"")</f>
        <v>LT</v>
      </c>
      <c r="K778" s="436">
        <v>194</v>
      </c>
      <c r="L778" s="1134">
        <f>IF($A778&gt;0,(VLOOKUP($A778,TablaInsumos,7,FALSE)),"")</f>
        <v>46</v>
      </c>
      <c r="M778" s="941"/>
      <c r="N778" s="430">
        <f t="shared" ref="N778:N782" si="43">IF(K778&gt;0,L778*K778,"")</f>
        <v>8924</v>
      </c>
      <c r="O778" s="431"/>
      <c r="P778" s="1"/>
      <c r="Q778" s="1"/>
      <c r="R778" s="1"/>
      <c r="S778" s="1"/>
      <c r="T778" s="1"/>
      <c r="U778" s="1"/>
      <c r="V778" s="1"/>
      <c r="W778" s="1"/>
      <c r="X778" s="1"/>
      <c r="Y778" s="1"/>
      <c r="Z778" s="1"/>
    </row>
    <row r="779" spans="1:26" ht="13.5" customHeight="1">
      <c r="A779" s="395" t="str">
        <f t="array" ref="A779">IF(C779&lt;&gt;0,INDEX(CodMat,MATCH(C779,Materiales,0),),)</f>
        <v>MAT_C-03</v>
      </c>
      <c r="B779" s="399"/>
      <c r="C779" s="1128" t="s">
        <v>1206</v>
      </c>
      <c r="D779" s="940"/>
      <c r="E779" s="940"/>
      <c r="F779" s="940"/>
      <c r="G779" s="940"/>
      <c r="H779" s="940"/>
      <c r="I779" s="941"/>
      <c r="J779" s="435" t="str">
        <f>IF($A779&gt;0,(VLOOKUP($A779,TablaInsumos,5,FALSE)),"")</f>
        <v>M3</v>
      </c>
      <c r="K779" s="436">
        <v>1.1599999999999999</v>
      </c>
      <c r="L779" s="1134">
        <f>IF($A779&gt;0,(VLOOKUP($A779,TablaInsumos,7,FALSE)),"")</f>
        <v>86414</v>
      </c>
      <c r="M779" s="941"/>
      <c r="N779" s="430">
        <f t="shared" si="43"/>
        <v>100240.23999999999</v>
      </c>
      <c r="O779" s="431"/>
      <c r="P779" s="1"/>
      <c r="Q779" s="1"/>
      <c r="R779" s="1"/>
      <c r="S779" s="1"/>
      <c r="T779" s="1"/>
      <c r="U779" s="1"/>
      <c r="V779" s="1"/>
      <c r="W779" s="1"/>
      <c r="X779" s="1"/>
      <c r="Y779" s="1"/>
      <c r="Z779" s="1"/>
    </row>
    <row r="780" spans="1:26" ht="13.5" customHeight="1">
      <c r="A780" s="395" t="str">
        <f t="array" ref="A780">IF(C780&lt;&gt;0,INDEX(CodMat,MATCH(C780,Materiales,0),),)</f>
        <v>MAT_C-12</v>
      </c>
      <c r="B780" s="399"/>
      <c r="C780" s="1128" t="s">
        <v>1207</v>
      </c>
      <c r="D780" s="940"/>
      <c r="E780" s="940"/>
      <c r="F780" s="940"/>
      <c r="G780" s="940"/>
      <c r="H780" s="940"/>
      <c r="I780" s="941"/>
      <c r="J780" s="435" t="str">
        <f>IF($A780&gt;0,(VLOOKUP($A780,TablaInsumos,5,FALSE)),"")</f>
        <v>KG</v>
      </c>
      <c r="K780" s="436">
        <v>375</v>
      </c>
      <c r="L780" s="1134">
        <f>IF($A780&gt;0,(VLOOKUP($A780,TablaInsumos,7,FALSE)),"")</f>
        <v>1164</v>
      </c>
      <c r="M780" s="941"/>
      <c r="N780" s="430">
        <f t="shared" si="43"/>
        <v>436500</v>
      </c>
      <c r="O780" s="431"/>
      <c r="P780" s="1"/>
      <c r="Q780" s="1"/>
      <c r="R780" s="1"/>
      <c r="S780" s="1"/>
      <c r="T780" s="1"/>
      <c r="U780" s="1"/>
      <c r="V780" s="1"/>
      <c r="W780" s="1"/>
      <c r="X780" s="1"/>
      <c r="Y780" s="1"/>
      <c r="Z780" s="1"/>
    </row>
    <row r="781" spans="1:26" ht="13.5" customHeight="1">
      <c r="A781" s="395" t="str">
        <f t="array" ref="A781">IF(C781&lt;&gt;0,INDEX(CodMat,MATCH(C781,Materiales,0),),)</f>
        <v>MAT_EPYE-01</v>
      </c>
      <c r="B781" s="399"/>
      <c r="C781" s="1128" t="s">
        <v>1252</v>
      </c>
      <c r="D781" s="940"/>
      <c r="E781" s="940"/>
      <c r="F781" s="940"/>
      <c r="G781" s="940"/>
      <c r="H781" s="940"/>
      <c r="I781" s="941"/>
      <c r="J781" s="435" t="str">
        <f>IF($A781&gt;0,(VLOOKUP($A781,TablaInsumos,5,FALSE)),"")</f>
        <v>KG</v>
      </c>
      <c r="K781" s="436">
        <f>+(K780/50)</f>
        <v>7.5</v>
      </c>
      <c r="L781" s="1134">
        <f>IF($A781&gt;0,(VLOOKUP($A781,TablaInsumos,7,FALSE)),"")</f>
        <v>23088</v>
      </c>
      <c r="M781" s="941"/>
      <c r="N781" s="430">
        <f t="shared" si="43"/>
        <v>173160</v>
      </c>
      <c r="O781" s="431"/>
      <c r="P781" s="1"/>
      <c r="Q781" s="1"/>
      <c r="R781" s="1"/>
      <c r="S781" s="1"/>
      <c r="T781" s="1"/>
      <c r="U781" s="1"/>
      <c r="V781" s="1"/>
      <c r="W781" s="1"/>
      <c r="X781" s="1"/>
      <c r="Y781" s="1"/>
      <c r="Z781" s="1"/>
    </row>
    <row r="782" spans="1:26" ht="13.5" customHeight="1">
      <c r="A782" s="395">
        <f t="array" ref="A782">IF(C782&lt;&gt;0,INDEX(CodMat,MATCH(C782,Materiales,0),),)</f>
        <v>0</v>
      </c>
      <c r="B782" s="399"/>
      <c r="C782" s="1128"/>
      <c r="D782" s="940"/>
      <c r="E782" s="940"/>
      <c r="F782" s="940"/>
      <c r="G782" s="940"/>
      <c r="H782" s="940"/>
      <c r="I782" s="941"/>
      <c r="J782" s="435" t="str">
        <f>IF($A782&gt;0,(VLOOKUP($A782,TablaInsumos,5,FALSE)),"")</f>
        <v/>
      </c>
      <c r="K782" s="472"/>
      <c r="L782" s="1134" t="str">
        <f>IF($A782&gt;0,(VLOOKUP($A782,TablaInsumos,7,FALSE)),"")</f>
        <v/>
      </c>
      <c r="M782" s="941"/>
      <c r="N782" s="430" t="str">
        <f t="shared" si="43"/>
        <v/>
      </c>
      <c r="O782" s="431"/>
      <c r="P782" s="1"/>
      <c r="Q782" s="1"/>
      <c r="R782" s="1"/>
      <c r="S782" s="1"/>
      <c r="T782" s="1"/>
      <c r="U782" s="1"/>
      <c r="V782" s="1"/>
      <c r="W782" s="1"/>
      <c r="X782" s="1"/>
      <c r="Y782" s="1"/>
      <c r="Z782" s="1"/>
    </row>
    <row r="783" spans="1:26" ht="13.5" customHeight="1">
      <c r="A783" s="395"/>
      <c r="B783" s="399"/>
      <c r="C783" s="1127" t="s">
        <v>1202</v>
      </c>
      <c r="D783" s="965"/>
      <c r="E783" s="965"/>
      <c r="F783" s="965"/>
      <c r="G783" s="965"/>
      <c r="H783" s="965"/>
      <c r="I783" s="965"/>
      <c r="J783" s="965"/>
      <c r="K783" s="965"/>
      <c r="L783" s="965"/>
      <c r="M783" s="966"/>
      <c r="N783" s="433">
        <f>+SUM(N778:N782)</f>
        <v>718824.24</v>
      </c>
      <c r="O783" s="431"/>
      <c r="P783" s="1"/>
      <c r="Q783" s="1"/>
      <c r="R783" s="1"/>
      <c r="S783" s="1"/>
      <c r="T783" s="1"/>
      <c r="U783" s="1"/>
      <c r="V783" s="1"/>
      <c r="W783" s="1"/>
      <c r="X783" s="1"/>
      <c r="Y783" s="1"/>
      <c r="Z783" s="1"/>
    </row>
    <row r="784" spans="1:26" ht="13.5" customHeight="1">
      <c r="A784" s="395"/>
      <c r="B784" s="399"/>
      <c r="C784" s="1129" t="s">
        <v>1208</v>
      </c>
      <c r="D784" s="926"/>
      <c r="E784" s="926"/>
      <c r="F784" s="926"/>
      <c r="G784" s="926"/>
      <c r="H784" s="926"/>
      <c r="I784" s="926"/>
      <c r="J784" s="926"/>
      <c r="K784" s="926"/>
      <c r="L784" s="926"/>
      <c r="M784" s="926"/>
      <c r="N784" s="927"/>
      <c r="O784" s="426"/>
      <c r="P784" s="1"/>
      <c r="Q784" s="1"/>
      <c r="R784" s="1"/>
      <c r="S784" s="1"/>
      <c r="T784" s="1"/>
      <c r="U784" s="1"/>
      <c r="V784" s="1"/>
      <c r="W784" s="1"/>
      <c r="X784" s="1"/>
      <c r="Y784" s="1"/>
      <c r="Z784" s="1"/>
    </row>
    <row r="785" spans="1:26" ht="13.5" customHeight="1">
      <c r="A785" s="395"/>
      <c r="B785" s="399"/>
      <c r="C785" s="920"/>
      <c r="D785" s="922"/>
      <c r="E785" s="922"/>
      <c r="F785" s="922"/>
      <c r="G785" s="922"/>
      <c r="H785" s="922"/>
      <c r="I785" s="922"/>
      <c r="J785" s="922"/>
      <c r="K785" s="922"/>
      <c r="L785" s="922"/>
      <c r="M785" s="922"/>
      <c r="N785" s="924"/>
      <c r="O785" s="426"/>
      <c r="P785" s="1"/>
      <c r="Q785" s="1"/>
      <c r="R785" s="1"/>
      <c r="S785" s="1"/>
      <c r="T785" s="1"/>
      <c r="U785" s="1"/>
      <c r="V785" s="1"/>
      <c r="W785" s="1"/>
      <c r="X785" s="1"/>
      <c r="Y785" s="1"/>
      <c r="Z785" s="1"/>
    </row>
    <row r="786" spans="1:26" ht="13.5" customHeight="1">
      <c r="A786" s="395"/>
      <c r="B786" s="399"/>
      <c r="C786" s="929"/>
      <c r="D786" s="936"/>
      <c r="E786" s="936"/>
      <c r="F786" s="936"/>
      <c r="G786" s="936"/>
      <c r="H786" s="936"/>
      <c r="I786" s="936"/>
      <c r="J786" s="936"/>
      <c r="K786" s="936"/>
      <c r="L786" s="936"/>
      <c r="M786" s="936"/>
      <c r="N786" s="938"/>
      <c r="O786" s="426"/>
      <c r="P786" s="1"/>
      <c r="Q786" s="1"/>
      <c r="R786" s="1"/>
      <c r="S786" s="1"/>
      <c r="T786" s="1"/>
      <c r="U786" s="1"/>
      <c r="V786" s="1"/>
      <c r="W786" s="1"/>
      <c r="X786" s="1"/>
      <c r="Y786" s="1"/>
      <c r="Z786" s="1"/>
    </row>
    <row r="787" spans="1:26" ht="13.5" customHeight="1">
      <c r="A787" s="395"/>
      <c r="B787" s="399"/>
      <c r="C787" s="1130" t="s">
        <v>1209</v>
      </c>
      <c r="D787" s="1131"/>
      <c r="E787" s="1131"/>
      <c r="F787" s="1131"/>
      <c r="G787" s="1131"/>
      <c r="H787" s="1132"/>
      <c r="I787" s="427" t="s">
        <v>1210</v>
      </c>
      <c r="J787" s="438" t="s">
        <v>1211</v>
      </c>
      <c r="K787" s="439" t="s">
        <v>1255</v>
      </c>
      <c r="L787" s="1135" t="s">
        <v>1213</v>
      </c>
      <c r="M787" s="1000"/>
      <c r="N787" s="428" t="s">
        <v>1200</v>
      </c>
      <c r="O787" s="419"/>
      <c r="P787" s="1"/>
      <c r="Q787" s="1"/>
      <c r="R787" s="1"/>
      <c r="S787" s="1"/>
      <c r="T787" s="1"/>
      <c r="U787" s="1"/>
      <c r="V787" s="1"/>
      <c r="W787" s="1"/>
      <c r="X787" s="1"/>
      <c r="Y787" s="1"/>
      <c r="Z787" s="1"/>
    </row>
    <row r="788" spans="1:26" ht="13.5" customHeight="1">
      <c r="A788" s="395" t="str">
        <f t="array" ref="A788">IF(C788&lt;&gt;0,INDEX(CodTransporte,MATCH(C788,Transporte,0),),)</f>
        <v>T-03</v>
      </c>
      <c r="B788" s="399"/>
      <c r="C788" s="1128" t="s">
        <v>859</v>
      </c>
      <c r="D788" s="940"/>
      <c r="E788" s="940"/>
      <c r="F788" s="940"/>
      <c r="G788" s="940"/>
      <c r="H788" s="940"/>
      <c r="I788" s="440">
        <f>+K779</f>
        <v>1.1599999999999999</v>
      </c>
      <c r="J788" s="441">
        <f>IF($A788&gt;0,(VLOOKUP($A788,TablaTransporte,6,FALSE)),"")</f>
        <v>50.849999999999994</v>
      </c>
      <c r="K788" s="442" t="str">
        <f>IF($A788&gt;0,(VLOOKUP($A788,TablaTransporte,5,FALSE)),"")</f>
        <v>M3-KM</v>
      </c>
      <c r="L788" s="1134">
        <f>IF($A788&gt;0,(VLOOKUP($A788,TablaTransporte,7,FALSE)),"")</f>
        <v>2332.3500491642089</v>
      </c>
      <c r="M788" s="941"/>
      <c r="N788" s="430">
        <f t="shared" ref="N788:N789" si="44">IF(I788&gt;0,J788*L788*I788,"")</f>
        <v>137576</v>
      </c>
      <c r="O788" s="431"/>
      <c r="P788" s="1"/>
      <c r="Q788" s="1"/>
      <c r="R788" s="1"/>
      <c r="S788" s="1"/>
      <c r="T788" s="1"/>
      <c r="U788" s="1"/>
      <c r="V788" s="1"/>
      <c r="W788" s="1"/>
      <c r="X788" s="1"/>
      <c r="Y788" s="1"/>
      <c r="Z788" s="1"/>
    </row>
    <row r="789" spans="1:26" ht="13.5" customHeight="1">
      <c r="A789" s="395" t="str">
        <f t="array" ref="A789">IF(C789&lt;&gt;0,INDEX(CodTransporte,MATCH(C789,Transporte,0),),)</f>
        <v>T-02</v>
      </c>
      <c r="B789" s="399"/>
      <c r="C789" s="1128" t="s">
        <v>857</v>
      </c>
      <c r="D789" s="940"/>
      <c r="E789" s="940"/>
      <c r="F789" s="940"/>
      <c r="G789" s="940"/>
      <c r="H789" s="940"/>
      <c r="I789" s="440">
        <f>+(K780/50)*0.035</f>
        <v>0.26250000000000001</v>
      </c>
      <c r="J789" s="441">
        <f>IF($A789&gt;0,(VLOOKUP($A789,TablaTransporte,6,FALSE)),"")</f>
        <v>50.849999999999994</v>
      </c>
      <c r="K789" s="442" t="str">
        <f>IF($A789&gt;0,(VLOOKUP($A789,TablaTransporte,5,FALSE)),"")</f>
        <v>M3-KM</v>
      </c>
      <c r="L789" s="1134">
        <f>IF($A789&gt;0,(VLOOKUP($A789,TablaTransporte,7,FALSE)),"")</f>
        <v>2332.3500491642089</v>
      </c>
      <c r="M789" s="941"/>
      <c r="N789" s="430">
        <f t="shared" si="44"/>
        <v>31132.500000000004</v>
      </c>
      <c r="O789" s="431"/>
      <c r="P789" s="1"/>
      <c r="Q789" s="1"/>
      <c r="R789" s="1"/>
      <c r="S789" s="1"/>
      <c r="T789" s="1"/>
      <c r="U789" s="1"/>
      <c r="V789" s="1"/>
      <c r="W789" s="1"/>
      <c r="X789" s="1"/>
      <c r="Y789" s="1"/>
      <c r="Z789" s="1"/>
    </row>
    <row r="790" spans="1:26" ht="13.5" customHeight="1">
      <c r="A790" s="395"/>
      <c r="B790" s="399"/>
      <c r="C790" s="1127" t="s">
        <v>1202</v>
      </c>
      <c r="D790" s="965"/>
      <c r="E790" s="965"/>
      <c r="F790" s="965"/>
      <c r="G790" s="965"/>
      <c r="H790" s="965"/>
      <c r="I790" s="965"/>
      <c r="J790" s="965"/>
      <c r="K790" s="965"/>
      <c r="L790" s="965"/>
      <c r="M790" s="966"/>
      <c r="N790" s="433">
        <f>+SUM(N788:N789)</f>
        <v>168708.5</v>
      </c>
      <c r="O790" s="431"/>
      <c r="P790" s="1"/>
      <c r="Q790" s="1"/>
      <c r="R790" s="1"/>
      <c r="S790" s="1"/>
      <c r="T790" s="1"/>
      <c r="U790" s="1"/>
      <c r="V790" s="1"/>
      <c r="W790" s="1"/>
      <c r="X790" s="1"/>
      <c r="Y790" s="1"/>
      <c r="Z790" s="1"/>
    </row>
    <row r="791" spans="1:26" ht="13.5" customHeight="1">
      <c r="A791" s="395"/>
      <c r="B791" s="399"/>
      <c r="C791" s="1129" t="s">
        <v>1214</v>
      </c>
      <c r="D791" s="926"/>
      <c r="E791" s="926"/>
      <c r="F791" s="926"/>
      <c r="G791" s="926"/>
      <c r="H791" s="926"/>
      <c r="I791" s="926"/>
      <c r="J791" s="926"/>
      <c r="K791" s="926"/>
      <c r="L791" s="926"/>
      <c r="M791" s="926"/>
      <c r="N791" s="927"/>
      <c r="O791" s="426"/>
      <c r="P791" s="1"/>
      <c r="Q791" s="1"/>
      <c r="R791" s="1"/>
      <c r="S791" s="1"/>
      <c r="T791" s="1"/>
      <c r="U791" s="1"/>
      <c r="V791" s="1"/>
      <c r="W791" s="1"/>
      <c r="X791" s="1"/>
      <c r="Y791" s="1"/>
      <c r="Z791" s="1"/>
    </row>
    <row r="792" spans="1:26" ht="13.5" customHeight="1">
      <c r="A792" s="395"/>
      <c r="B792" s="399"/>
      <c r="C792" s="920"/>
      <c r="D792" s="922"/>
      <c r="E792" s="922"/>
      <c r="F792" s="922"/>
      <c r="G792" s="922"/>
      <c r="H792" s="922"/>
      <c r="I792" s="922"/>
      <c r="J792" s="922"/>
      <c r="K792" s="922"/>
      <c r="L792" s="922"/>
      <c r="M792" s="922"/>
      <c r="N792" s="924"/>
      <c r="O792" s="426"/>
      <c r="P792" s="1"/>
      <c r="Q792" s="1"/>
      <c r="R792" s="1"/>
      <c r="S792" s="1"/>
      <c r="T792" s="1"/>
      <c r="U792" s="1"/>
      <c r="V792" s="1"/>
      <c r="W792" s="1"/>
      <c r="X792" s="1"/>
      <c r="Y792" s="1"/>
      <c r="Z792" s="1"/>
    </row>
    <row r="793" spans="1:26" ht="13.5" customHeight="1">
      <c r="A793" s="395"/>
      <c r="B793" s="399"/>
      <c r="C793" s="929"/>
      <c r="D793" s="936"/>
      <c r="E793" s="936"/>
      <c r="F793" s="936"/>
      <c r="G793" s="936"/>
      <c r="H793" s="936"/>
      <c r="I793" s="936"/>
      <c r="J793" s="936"/>
      <c r="K793" s="936"/>
      <c r="L793" s="936"/>
      <c r="M793" s="936"/>
      <c r="N793" s="938"/>
      <c r="O793" s="426"/>
      <c r="P793" s="1"/>
      <c r="Q793" s="1"/>
      <c r="R793" s="1"/>
      <c r="S793" s="1"/>
      <c r="T793" s="1"/>
      <c r="U793" s="1"/>
      <c r="V793" s="1"/>
      <c r="W793" s="1"/>
      <c r="X793" s="1"/>
      <c r="Y793" s="1"/>
      <c r="Z793" s="1"/>
    </row>
    <row r="794" spans="1:26" ht="13.5" customHeight="1">
      <c r="A794" s="395"/>
      <c r="B794" s="399"/>
      <c r="C794" s="1130" t="s">
        <v>1215</v>
      </c>
      <c r="D794" s="1131"/>
      <c r="E794" s="1131"/>
      <c r="F794" s="1131"/>
      <c r="G794" s="1131"/>
      <c r="H794" s="1132"/>
      <c r="I794" s="427" t="s">
        <v>1216</v>
      </c>
      <c r="J794" s="443" t="s">
        <v>1217</v>
      </c>
      <c r="K794" s="444" t="s">
        <v>1218</v>
      </c>
      <c r="L794" s="1133" t="s">
        <v>1199</v>
      </c>
      <c r="M794" s="1000"/>
      <c r="N794" s="445" t="s">
        <v>1200</v>
      </c>
      <c r="O794" s="446"/>
      <c r="P794" s="1"/>
      <c r="Q794" s="1"/>
      <c r="R794" s="1"/>
      <c r="S794" s="1"/>
      <c r="T794" s="1"/>
      <c r="U794" s="1"/>
      <c r="V794" s="1"/>
      <c r="W794" s="1"/>
      <c r="X794" s="1"/>
      <c r="Y794" s="1"/>
      <c r="Z794" s="1"/>
    </row>
    <row r="795" spans="1:26" ht="13.5" customHeight="1">
      <c r="A795" s="395" t="str">
        <f t="array" ref="A795">IF(C795&lt;&gt;0,INDEX(CodMO,MATCH(C795,MO,0),),)</f>
        <v>M.O-05</v>
      </c>
      <c r="B795" s="399"/>
      <c r="C795" s="1128" t="s">
        <v>139</v>
      </c>
      <c r="D795" s="940"/>
      <c r="E795" s="940"/>
      <c r="F795" s="940"/>
      <c r="G795" s="940"/>
      <c r="H795" s="940"/>
      <c r="I795" s="447">
        <f>IF($A795&gt;0,(VLOOKUP($A795,TablaMO,8,FALSE)),"")</f>
        <v>125030.16666666667</v>
      </c>
      <c r="J795" s="448">
        <f>IF($A795&gt;0,(VLOOKUP($A795,TablaMO,10,FALSE)),"")</f>
        <v>0.67071666666666663</v>
      </c>
      <c r="K795" s="447">
        <f>IF($A795&gt;0,(VLOOKUP($A795,TablaMO,11,FALSE)),"")</f>
        <v>208890</v>
      </c>
      <c r="L795" s="1146">
        <v>8</v>
      </c>
      <c r="M795" s="941"/>
      <c r="N795" s="430">
        <f t="shared" ref="N795:N799" si="45">IF(L795&gt;0,K795/L795,"")</f>
        <v>26111.25</v>
      </c>
      <c r="O795" s="449"/>
      <c r="P795" s="1"/>
      <c r="Q795" s="1"/>
      <c r="R795" s="1"/>
      <c r="S795" s="1"/>
      <c r="T795" s="1"/>
      <c r="U795" s="1"/>
      <c r="V795" s="1"/>
      <c r="W795" s="1"/>
      <c r="X795" s="1"/>
      <c r="Y795" s="1"/>
      <c r="Z795" s="1"/>
    </row>
    <row r="796" spans="1:26" ht="13.5" customHeight="1">
      <c r="A796" s="395" t="str">
        <f t="array" ref="A796">IF(C796&lt;&gt;0,INDEX(CodMO,MATCH(C796,MO,0),),)</f>
        <v>M.O-01</v>
      </c>
      <c r="B796" s="399"/>
      <c r="C796" s="1128" t="s">
        <v>130</v>
      </c>
      <c r="D796" s="940"/>
      <c r="E796" s="940"/>
      <c r="F796" s="940"/>
      <c r="G796" s="940"/>
      <c r="H796" s="940"/>
      <c r="I796" s="447">
        <f>IF($A796&gt;0,(VLOOKUP($A796,TablaMO,8,FALSE)),"")</f>
        <v>72503.016666666677</v>
      </c>
      <c r="J796" s="448">
        <f>IF($A796&gt;0,(VLOOKUP($A796,TablaMO,10,FALSE)),"")</f>
        <v>0.67071666666666663</v>
      </c>
      <c r="K796" s="447">
        <f>IF($A796&gt;0,(VLOOKUP($A796,TablaMO,11,FALSE)),"")</f>
        <v>121132</v>
      </c>
      <c r="L796" s="1146">
        <f>L795</f>
        <v>8</v>
      </c>
      <c r="M796" s="941"/>
      <c r="N796" s="430">
        <f t="shared" si="45"/>
        <v>15141.5</v>
      </c>
      <c r="O796" s="449"/>
      <c r="P796" s="1"/>
      <c r="Q796" s="1"/>
      <c r="R796" s="1"/>
      <c r="S796" s="1"/>
      <c r="T796" s="1"/>
      <c r="U796" s="1"/>
      <c r="V796" s="1"/>
      <c r="W796" s="1"/>
      <c r="X796" s="1"/>
      <c r="Y796" s="1"/>
      <c r="Z796" s="1"/>
    </row>
    <row r="797" spans="1:26" ht="13.5" customHeight="1">
      <c r="A797" s="395" t="str">
        <f t="array" ref="A797">IF(C797&lt;&gt;0,INDEX(CodMO,MATCH(C797,MO,0),),)</f>
        <v>M.O-02</v>
      </c>
      <c r="B797" s="399"/>
      <c r="C797" s="1128" t="s">
        <v>133</v>
      </c>
      <c r="D797" s="940"/>
      <c r="E797" s="940"/>
      <c r="F797" s="940"/>
      <c r="G797" s="940"/>
      <c r="H797" s="940"/>
      <c r="I797" s="447">
        <f>IF($A797&gt;0,(VLOOKUP($A797,TablaMO,8,FALSE)),"")</f>
        <v>72503.016666666677</v>
      </c>
      <c r="J797" s="448">
        <f>IF($A797&gt;0,(VLOOKUP($A797,TablaMO,10,FALSE)),"")</f>
        <v>0.67071666666666663</v>
      </c>
      <c r="K797" s="447">
        <f>IF($A797&gt;0,(VLOOKUP($A797,TablaMO,11,FALSE)),"")</f>
        <v>121132</v>
      </c>
      <c r="L797" s="1146">
        <f>L795</f>
        <v>8</v>
      </c>
      <c r="M797" s="941"/>
      <c r="N797" s="430">
        <f t="shared" si="45"/>
        <v>15141.5</v>
      </c>
      <c r="O797" s="449"/>
      <c r="P797" s="1"/>
      <c r="Q797" s="1"/>
      <c r="R797" s="1"/>
      <c r="S797" s="1"/>
      <c r="T797" s="1"/>
      <c r="U797" s="1"/>
      <c r="V797" s="1"/>
      <c r="W797" s="1"/>
      <c r="X797" s="1"/>
      <c r="Y797" s="1"/>
      <c r="Z797" s="1"/>
    </row>
    <row r="798" spans="1:26" ht="13.5" customHeight="1">
      <c r="A798" s="395">
        <f t="array" ref="A798">IF(C798&lt;&gt;0,INDEX(CodMO,MATCH(C798,MO,0),),)</f>
        <v>0</v>
      </c>
      <c r="B798" s="399"/>
      <c r="C798" s="1128"/>
      <c r="D798" s="940"/>
      <c r="E798" s="940"/>
      <c r="F798" s="940"/>
      <c r="G798" s="940"/>
      <c r="H798" s="940"/>
      <c r="I798" s="447" t="str">
        <f>IF($A798&gt;0,(VLOOKUP($A798,TablaMO,8,FALSE)),"")</f>
        <v/>
      </c>
      <c r="J798" s="448" t="str">
        <f>IF($A798&gt;0,(VLOOKUP($A798,TablaMO,10,FALSE)),"")</f>
        <v/>
      </c>
      <c r="K798" s="447" t="str">
        <f>IF($A798&gt;0,(VLOOKUP($A798,TablaMO,11,FALSE)),"")</f>
        <v/>
      </c>
      <c r="L798" s="1146"/>
      <c r="M798" s="941"/>
      <c r="N798" s="430" t="str">
        <f t="shared" si="45"/>
        <v/>
      </c>
      <c r="O798" s="449"/>
      <c r="P798" s="1"/>
      <c r="Q798" s="1"/>
      <c r="R798" s="1"/>
      <c r="S798" s="1"/>
      <c r="T798" s="1"/>
      <c r="U798" s="1"/>
      <c r="V798" s="1"/>
      <c r="W798" s="1"/>
      <c r="X798" s="1"/>
      <c r="Y798" s="1"/>
      <c r="Z798" s="1"/>
    </row>
    <row r="799" spans="1:26" ht="13.5" customHeight="1">
      <c r="A799" s="395">
        <f t="array" ref="A799">IF(C799&lt;&gt;0,INDEX(CodMO,MATCH(C799,MO,0),),)</f>
        <v>0</v>
      </c>
      <c r="B799" s="399"/>
      <c r="C799" s="1128"/>
      <c r="D799" s="940"/>
      <c r="E799" s="940"/>
      <c r="F799" s="940"/>
      <c r="G799" s="940"/>
      <c r="H799" s="940"/>
      <c r="I799" s="474" t="str">
        <f>IF($A799&gt;0,(VLOOKUP($A799,TablaMO,8,FALSE)),"")</f>
        <v/>
      </c>
      <c r="J799" s="475" t="str">
        <f>IF($A799&gt;0,(VLOOKUP($A799,TablaMO,10,FALSE)),"")</f>
        <v/>
      </c>
      <c r="K799" s="474" t="str">
        <f>IF($A799&gt;0,(VLOOKUP($A799,TablaMO,11,FALSE)),"")</f>
        <v/>
      </c>
      <c r="L799" s="1153"/>
      <c r="M799" s="1039"/>
      <c r="N799" s="430" t="str">
        <f t="shared" si="45"/>
        <v/>
      </c>
      <c r="O799" s="449"/>
      <c r="P799" s="1"/>
      <c r="Q799" s="1"/>
      <c r="R799" s="1"/>
      <c r="S799" s="1"/>
      <c r="T799" s="1"/>
      <c r="U799" s="1"/>
      <c r="V799" s="1"/>
      <c r="W799" s="1"/>
      <c r="X799" s="1"/>
      <c r="Y799" s="1"/>
      <c r="Z799" s="1"/>
    </row>
    <row r="800" spans="1:26" ht="13.5" customHeight="1">
      <c r="A800" s="395"/>
      <c r="B800" s="399"/>
      <c r="C800" s="1127" t="s">
        <v>1202</v>
      </c>
      <c r="D800" s="965"/>
      <c r="E800" s="965"/>
      <c r="F800" s="965"/>
      <c r="G800" s="965"/>
      <c r="H800" s="965"/>
      <c r="I800" s="965"/>
      <c r="J800" s="965"/>
      <c r="K800" s="965"/>
      <c r="L800" s="965"/>
      <c r="M800" s="966"/>
      <c r="N800" s="476">
        <f>+SUM(N795:N799)</f>
        <v>56394.25</v>
      </c>
      <c r="O800" s="431"/>
      <c r="P800" s="1"/>
      <c r="Q800" s="1"/>
      <c r="R800" s="1"/>
      <c r="S800" s="1"/>
      <c r="T800" s="1"/>
      <c r="U800" s="1"/>
      <c r="V800" s="1"/>
      <c r="W800" s="1"/>
      <c r="X800" s="1"/>
      <c r="Y800" s="1"/>
      <c r="Z800" s="1"/>
    </row>
    <row r="801" spans="1:26" ht="13.5" customHeight="1">
      <c r="A801" s="1"/>
      <c r="B801" s="399"/>
      <c r="C801" s="418"/>
      <c r="D801" s="39"/>
      <c r="E801" s="39"/>
      <c r="F801" s="39"/>
      <c r="G801" s="39"/>
      <c r="H801" s="39"/>
      <c r="I801" s="39"/>
      <c r="J801" s="39"/>
      <c r="K801" s="39"/>
      <c r="L801" s="39"/>
      <c r="M801" s="39"/>
      <c r="N801" s="40"/>
      <c r="O801" s="402"/>
      <c r="P801" s="1"/>
      <c r="Q801" s="1"/>
      <c r="R801" s="1"/>
      <c r="S801" s="1"/>
      <c r="T801" s="1"/>
      <c r="U801" s="1"/>
      <c r="V801" s="1"/>
      <c r="W801" s="1"/>
      <c r="X801" s="1"/>
      <c r="Y801" s="1"/>
      <c r="Z801" s="1"/>
    </row>
    <row r="802" spans="1:26" ht="13.5" customHeight="1">
      <c r="A802" s="1"/>
      <c r="B802" s="399"/>
      <c r="C802" s="1147" t="s">
        <v>1219</v>
      </c>
      <c r="D802" s="965"/>
      <c r="E802" s="965"/>
      <c r="F802" s="965"/>
      <c r="G802" s="965"/>
      <c r="H802" s="965"/>
      <c r="I802" s="965"/>
      <c r="J802" s="965"/>
      <c r="K802" s="965"/>
      <c r="L802" s="965"/>
      <c r="M802" s="966"/>
      <c r="N802" s="450">
        <f>+SUM(N800,N790,N783,N773)</f>
        <v>963400.16500000004</v>
      </c>
      <c r="O802" s="451"/>
      <c r="P802" s="1"/>
      <c r="Q802" s="1"/>
      <c r="R802" s="1"/>
      <c r="S802" s="1"/>
      <c r="T802" s="1"/>
      <c r="U802" s="1"/>
      <c r="V802" s="1"/>
      <c r="W802" s="1"/>
      <c r="X802" s="1"/>
      <c r="Y802" s="1"/>
      <c r="Z802" s="1"/>
    </row>
    <row r="803" spans="1:26" ht="13.5" customHeight="1">
      <c r="A803" s="1"/>
      <c r="B803" s="399"/>
      <c r="C803" s="1129" t="s">
        <v>1220</v>
      </c>
      <c r="D803" s="926"/>
      <c r="E803" s="926"/>
      <c r="F803" s="926"/>
      <c r="G803" s="926"/>
      <c r="H803" s="926"/>
      <c r="I803" s="926"/>
      <c r="J803" s="926"/>
      <c r="K803" s="926"/>
      <c r="L803" s="926"/>
      <c r="M803" s="926"/>
      <c r="N803" s="927"/>
      <c r="O803" s="426"/>
      <c r="P803" s="1"/>
      <c r="Q803" s="1"/>
      <c r="R803" s="1"/>
      <c r="S803" s="1"/>
      <c r="T803" s="1"/>
      <c r="U803" s="1"/>
      <c r="V803" s="1"/>
      <c r="W803" s="1"/>
      <c r="X803" s="1"/>
      <c r="Y803" s="1"/>
      <c r="Z803" s="1"/>
    </row>
    <row r="804" spans="1:26" ht="13.5" customHeight="1">
      <c r="A804" s="1"/>
      <c r="B804" s="399"/>
      <c r="C804" s="920"/>
      <c r="D804" s="922"/>
      <c r="E804" s="922"/>
      <c r="F804" s="922"/>
      <c r="G804" s="922"/>
      <c r="H804" s="922"/>
      <c r="I804" s="922"/>
      <c r="J804" s="922"/>
      <c r="K804" s="922"/>
      <c r="L804" s="922"/>
      <c r="M804" s="922"/>
      <c r="N804" s="924"/>
      <c r="O804" s="426"/>
      <c r="P804" s="1"/>
      <c r="Q804" s="1"/>
      <c r="R804" s="1"/>
      <c r="S804" s="1"/>
      <c r="T804" s="1"/>
      <c r="U804" s="1"/>
      <c r="V804" s="1"/>
      <c r="W804" s="1"/>
      <c r="X804" s="1"/>
      <c r="Y804" s="1"/>
      <c r="Z804" s="1"/>
    </row>
    <row r="805" spans="1:26" ht="13.5" customHeight="1">
      <c r="A805" s="1"/>
      <c r="B805" s="399"/>
      <c r="C805" s="929"/>
      <c r="D805" s="936"/>
      <c r="E805" s="936"/>
      <c r="F805" s="936"/>
      <c r="G805" s="936"/>
      <c r="H805" s="936"/>
      <c r="I805" s="936"/>
      <c r="J805" s="936"/>
      <c r="K805" s="936"/>
      <c r="L805" s="936"/>
      <c r="M805" s="936"/>
      <c r="N805" s="938"/>
      <c r="O805" s="426"/>
      <c r="P805" s="1"/>
      <c r="Q805" s="1"/>
      <c r="R805" s="1"/>
      <c r="S805" s="1"/>
      <c r="T805" s="1"/>
      <c r="U805" s="1"/>
      <c r="V805" s="1"/>
      <c r="W805" s="1"/>
      <c r="X805" s="1"/>
      <c r="Y805" s="1"/>
      <c r="Z805" s="1"/>
    </row>
    <row r="806" spans="1:26" ht="13.5" customHeight="1">
      <c r="A806" s="1"/>
      <c r="B806" s="399"/>
      <c r="C806" s="1130" t="s">
        <v>1221</v>
      </c>
      <c r="D806" s="1131"/>
      <c r="E806" s="1131"/>
      <c r="F806" s="1131"/>
      <c r="G806" s="1131"/>
      <c r="H806" s="1132"/>
      <c r="I806" s="438"/>
      <c r="J806" s="438"/>
      <c r="K806" s="438"/>
      <c r="L806" s="1133" t="s">
        <v>1222</v>
      </c>
      <c r="M806" s="1000"/>
      <c r="N806" s="445" t="s">
        <v>1223</v>
      </c>
      <c r="O806" s="446"/>
      <c r="P806" s="1"/>
      <c r="Q806" s="1"/>
      <c r="R806" s="1"/>
      <c r="S806" s="1"/>
      <c r="T806" s="1"/>
      <c r="U806" s="1"/>
      <c r="V806" s="1"/>
      <c r="W806" s="1"/>
      <c r="X806" s="1"/>
      <c r="Y806" s="1"/>
      <c r="Z806" s="1"/>
    </row>
    <row r="807" spans="1:26" ht="13.5" customHeight="1">
      <c r="A807" s="1"/>
      <c r="B807" s="399"/>
      <c r="C807" s="1128" t="s">
        <v>19</v>
      </c>
      <c r="D807" s="940"/>
      <c r="E807" s="940"/>
      <c r="F807" s="940"/>
      <c r="G807" s="940"/>
      <c r="H807" s="940"/>
      <c r="I807" s="452"/>
      <c r="J807" s="452"/>
      <c r="K807" s="452"/>
      <c r="L807" s="1148">
        <f>+Datos!$E$18</f>
        <v>0.25</v>
      </c>
      <c r="M807" s="941"/>
      <c r="N807" s="430">
        <f>+L807*N802</f>
        <v>240850.04125000001</v>
      </c>
      <c r="O807" s="453"/>
      <c r="P807" s="1"/>
      <c r="Q807" s="1"/>
      <c r="R807" s="1"/>
      <c r="S807" s="1"/>
      <c r="T807" s="1"/>
      <c r="U807" s="1"/>
      <c r="V807" s="1"/>
      <c r="W807" s="1"/>
      <c r="X807" s="1"/>
      <c r="Y807" s="1"/>
      <c r="Z807" s="1"/>
    </row>
    <row r="808" spans="1:26" ht="13.5" customHeight="1">
      <c r="A808" s="1"/>
      <c r="B808" s="399"/>
      <c r="C808" s="454" t="s">
        <v>20</v>
      </c>
      <c r="D808" s="455"/>
      <c r="E808" s="455"/>
      <c r="F808" s="455"/>
      <c r="G808" s="455"/>
      <c r="H808" s="455"/>
      <c r="I808" s="452"/>
      <c r="J808" s="452"/>
      <c r="K808" s="452"/>
      <c r="L808" s="1148">
        <f>+Datos!$E$19</f>
        <v>0.01</v>
      </c>
      <c r="M808" s="941"/>
      <c r="N808" s="430">
        <f>+L808*N802</f>
        <v>9634.0016500000002</v>
      </c>
      <c r="O808" s="453"/>
      <c r="P808" s="1"/>
      <c r="Q808" s="1"/>
      <c r="R808" s="1"/>
      <c r="S808" s="1"/>
      <c r="T808" s="1"/>
      <c r="U808" s="1"/>
      <c r="V808" s="1"/>
      <c r="W808" s="1"/>
      <c r="X808" s="1"/>
      <c r="Y808" s="1"/>
      <c r="Z808" s="1"/>
    </row>
    <row r="809" spans="1:26" ht="13.5" customHeight="1">
      <c r="A809" s="1"/>
      <c r="B809" s="399"/>
      <c r="C809" s="456" t="s">
        <v>21</v>
      </c>
      <c r="D809" s="457"/>
      <c r="E809" s="457"/>
      <c r="F809" s="457"/>
      <c r="G809" s="457"/>
      <c r="H809" s="457"/>
      <c r="I809" s="458"/>
      <c r="J809" s="458"/>
      <c r="K809" s="458"/>
      <c r="L809" s="1148">
        <f>+Datos!$E$20</f>
        <v>0.05</v>
      </c>
      <c r="M809" s="941"/>
      <c r="N809" s="430">
        <f>+L809*N802</f>
        <v>48170.008250000006</v>
      </c>
      <c r="O809" s="453"/>
      <c r="P809" s="1"/>
      <c r="Q809" s="1"/>
      <c r="R809" s="1"/>
      <c r="S809" s="1"/>
      <c r="T809" s="1"/>
      <c r="U809" s="1"/>
      <c r="V809" s="1"/>
      <c r="W809" s="1"/>
      <c r="X809" s="1"/>
      <c r="Y809" s="1"/>
      <c r="Z809" s="1"/>
    </row>
    <row r="810" spans="1:26" ht="13.5" customHeight="1">
      <c r="A810" s="1"/>
      <c r="B810" s="399"/>
      <c r="C810" s="1127" t="s">
        <v>1202</v>
      </c>
      <c r="D810" s="965"/>
      <c r="E810" s="965"/>
      <c r="F810" s="965"/>
      <c r="G810" s="965"/>
      <c r="H810" s="965"/>
      <c r="I810" s="965"/>
      <c r="J810" s="965"/>
      <c r="K810" s="965"/>
      <c r="L810" s="965"/>
      <c r="M810" s="966"/>
      <c r="N810" s="433">
        <f>+SUM(N807:N809)</f>
        <v>298654.05115000001</v>
      </c>
      <c r="O810" s="453"/>
      <c r="P810" s="1"/>
      <c r="Q810" s="1"/>
      <c r="R810" s="1"/>
      <c r="S810" s="1"/>
      <c r="T810" s="1"/>
      <c r="U810" s="1"/>
      <c r="V810" s="1"/>
      <c r="W810" s="1"/>
      <c r="X810" s="1"/>
      <c r="Y810" s="1"/>
      <c r="Z810" s="1"/>
    </row>
    <row r="811" spans="1:26" ht="13.5" customHeight="1">
      <c r="A811" s="1"/>
      <c r="B811" s="399"/>
      <c r="C811" s="418"/>
      <c r="D811" s="39"/>
      <c r="E811" s="39"/>
      <c r="F811" s="39"/>
      <c r="G811" s="39"/>
      <c r="H811" s="39"/>
      <c r="I811" s="39"/>
      <c r="J811" s="39"/>
      <c r="K811" s="39"/>
      <c r="L811" s="39"/>
      <c r="M811" s="39"/>
      <c r="N811" s="40"/>
      <c r="O811" s="402"/>
      <c r="P811" s="1"/>
      <c r="Q811" s="1"/>
      <c r="R811" s="1"/>
      <c r="S811" s="1"/>
      <c r="T811" s="1"/>
      <c r="U811" s="1"/>
      <c r="V811" s="1"/>
      <c r="W811" s="1"/>
      <c r="X811" s="1"/>
      <c r="Y811" s="1"/>
      <c r="Z811" s="1"/>
    </row>
    <row r="812" spans="1:26" ht="13.5" customHeight="1">
      <c r="A812" s="1"/>
      <c r="B812" s="399"/>
      <c r="C812" s="1147" t="s">
        <v>1224</v>
      </c>
      <c r="D812" s="965"/>
      <c r="E812" s="965"/>
      <c r="F812" s="965"/>
      <c r="G812" s="965"/>
      <c r="H812" s="965"/>
      <c r="I812" s="965"/>
      <c r="J812" s="965"/>
      <c r="K812" s="965"/>
      <c r="L812" s="965"/>
      <c r="M812" s="966"/>
      <c r="N812" s="459">
        <f>+ROUND(SUM(N810,N802),0)</f>
        <v>1262054</v>
      </c>
      <c r="O812" s="453"/>
      <c r="P812" s="1"/>
      <c r="Q812" s="1"/>
      <c r="R812" s="1"/>
      <c r="S812" s="1"/>
      <c r="T812" s="1"/>
      <c r="U812" s="1"/>
      <c r="V812" s="1"/>
      <c r="W812" s="1"/>
      <c r="X812" s="1"/>
      <c r="Y812" s="1"/>
      <c r="Z812" s="1"/>
    </row>
    <row r="813" spans="1:26" ht="13.5" customHeight="1">
      <c r="A813" s="1"/>
      <c r="B813" s="399"/>
      <c r="C813" s="460"/>
      <c r="D813" s="461"/>
      <c r="E813" s="461"/>
      <c r="F813" s="461"/>
      <c r="G813" s="461"/>
      <c r="H813" s="461"/>
      <c r="I813" s="461"/>
      <c r="J813" s="461"/>
      <c r="K813" s="461"/>
      <c r="L813" s="461"/>
      <c r="M813" s="461"/>
      <c r="N813" s="462"/>
      <c r="O813" s="402"/>
      <c r="P813" s="1"/>
      <c r="Q813" s="1"/>
      <c r="R813" s="1"/>
      <c r="S813" s="1"/>
      <c r="T813" s="1"/>
      <c r="U813" s="1"/>
      <c r="V813" s="1"/>
      <c r="W813" s="1"/>
      <c r="X813" s="1"/>
      <c r="Y813" s="1"/>
      <c r="Z813" s="1"/>
    </row>
    <row r="814" spans="1:26" ht="13.5" customHeight="1">
      <c r="A814" s="1"/>
      <c r="B814" s="399"/>
      <c r="C814" s="418"/>
      <c r="D814" s="39"/>
      <c r="E814" s="39"/>
      <c r="F814" s="39"/>
      <c r="G814" s="39"/>
      <c r="H814" s="39"/>
      <c r="I814" s="39"/>
      <c r="J814" s="39"/>
      <c r="K814" s="39"/>
      <c r="L814" s="39"/>
      <c r="M814" s="39"/>
      <c r="N814" s="40"/>
      <c r="O814" s="402"/>
      <c r="P814" s="1"/>
      <c r="Q814" s="1"/>
      <c r="R814" s="1"/>
      <c r="S814" s="1"/>
      <c r="T814" s="1"/>
      <c r="U814" s="1"/>
      <c r="V814" s="1"/>
      <c r="W814" s="1"/>
      <c r="X814" s="1"/>
      <c r="Y814" s="1"/>
      <c r="Z814" s="1"/>
    </row>
    <row r="815" spans="1:26" ht="13.5" customHeight="1">
      <c r="A815" s="1"/>
      <c r="B815" s="399"/>
      <c r="C815" s="418"/>
      <c r="D815" s="39"/>
      <c r="E815" s="39"/>
      <c r="F815" s="39"/>
      <c r="G815" s="39"/>
      <c r="H815" s="39"/>
      <c r="I815" s="39"/>
      <c r="J815" s="39"/>
      <c r="K815" s="39"/>
      <c r="L815" s="39"/>
      <c r="M815" s="39"/>
      <c r="N815" s="40"/>
      <c r="O815" s="402"/>
      <c r="P815" s="1"/>
      <c r="Q815" s="1"/>
      <c r="R815" s="1"/>
      <c r="S815" s="1"/>
      <c r="T815" s="1"/>
      <c r="U815" s="1"/>
      <c r="V815" s="1"/>
      <c r="W815" s="1"/>
      <c r="X815" s="1"/>
      <c r="Y815" s="1"/>
      <c r="Z815" s="1"/>
    </row>
    <row r="816" spans="1:26" ht="13.5" customHeight="1">
      <c r="A816" s="1"/>
      <c r="B816" s="399"/>
      <c r="C816" s="418"/>
      <c r="D816" s="463"/>
      <c r="E816" s="463"/>
      <c r="F816" s="463"/>
      <c r="G816" s="184"/>
      <c r="H816" s="184"/>
      <c r="I816" s="184"/>
      <c r="J816" s="463"/>
      <c r="K816" s="463"/>
      <c r="L816" s="463"/>
      <c r="M816" s="463"/>
      <c r="N816" s="40"/>
      <c r="O816" s="402"/>
      <c r="P816" s="1"/>
      <c r="Q816" s="1"/>
      <c r="R816" s="1"/>
      <c r="S816" s="1"/>
      <c r="T816" s="1"/>
      <c r="U816" s="1"/>
      <c r="V816" s="1"/>
      <c r="W816" s="1"/>
      <c r="X816" s="1"/>
      <c r="Y816" s="1"/>
      <c r="Z816" s="1"/>
    </row>
    <row r="817" spans="1:26" ht="13.5" customHeight="1">
      <c r="A817" s="1"/>
      <c r="B817" s="399"/>
      <c r="C817" s="418"/>
      <c r="D817" s="39" t="s">
        <v>1225</v>
      </c>
      <c r="E817" s="39"/>
      <c r="F817" s="39"/>
      <c r="G817" s="184"/>
      <c r="H817" s="184"/>
      <c r="I817" s="184"/>
      <c r="J817" s="39" t="s">
        <v>1225</v>
      </c>
      <c r="K817" s="39"/>
      <c r="L817" s="39"/>
      <c r="M817" s="39"/>
      <c r="N817" s="40"/>
      <c r="O817" s="464"/>
      <c r="P817" s="1"/>
      <c r="Q817" s="1"/>
      <c r="R817" s="1"/>
      <c r="S817" s="1"/>
      <c r="T817" s="1"/>
      <c r="U817" s="1"/>
      <c r="V817" s="1"/>
      <c r="W817" s="1"/>
      <c r="X817" s="1"/>
      <c r="Y817" s="1"/>
      <c r="Z817" s="1"/>
    </row>
    <row r="818" spans="1:26" ht="13.5" customHeight="1">
      <c r="A818" s="1"/>
      <c r="B818" s="399"/>
      <c r="C818" s="418"/>
      <c r="D818" s="39" t="s">
        <v>1226</v>
      </c>
      <c r="E818" s="39"/>
      <c r="F818" s="39"/>
      <c r="G818" s="184"/>
      <c r="H818" s="184"/>
      <c r="I818" s="184"/>
      <c r="J818" s="39" t="s">
        <v>1227</v>
      </c>
      <c r="K818" s="39"/>
      <c r="L818" s="39"/>
      <c r="M818" s="39"/>
      <c r="N818" s="40"/>
      <c r="O818" s="464"/>
      <c r="P818" s="1"/>
      <c r="Q818" s="1"/>
      <c r="R818" s="1"/>
      <c r="S818" s="1"/>
      <c r="T818" s="1"/>
      <c r="U818" s="1"/>
      <c r="V818" s="1"/>
      <c r="W818" s="1"/>
      <c r="X818" s="1"/>
      <c r="Y818" s="1"/>
      <c r="Z818" s="1"/>
    </row>
    <row r="819" spans="1:26" ht="13.5" customHeight="1">
      <c r="A819" s="1"/>
      <c r="B819" s="399"/>
      <c r="C819" s="404"/>
      <c r="D819" s="39" t="s">
        <v>1228</v>
      </c>
      <c r="E819" s="42"/>
      <c r="F819" s="42"/>
      <c r="G819" s="184"/>
      <c r="H819" s="184"/>
      <c r="I819" s="184"/>
      <c r="J819" s="39" t="s">
        <v>1228</v>
      </c>
      <c r="K819" s="42"/>
      <c r="L819" s="42"/>
      <c r="M819" s="42"/>
      <c r="N819" s="43"/>
      <c r="O819" s="465"/>
      <c r="P819" s="1"/>
      <c r="Q819" s="1"/>
      <c r="R819" s="1"/>
      <c r="S819" s="1"/>
      <c r="T819" s="1"/>
      <c r="U819" s="1"/>
      <c r="V819" s="1"/>
      <c r="W819" s="1"/>
      <c r="X819" s="1"/>
      <c r="Y819" s="1"/>
      <c r="Z819" s="1"/>
    </row>
    <row r="820" spans="1:26" ht="13.5" customHeight="1">
      <c r="A820" s="1"/>
      <c r="B820" s="399"/>
      <c r="C820" s="418"/>
      <c r="D820" s="39"/>
      <c r="E820" s="39"/>
      <c r="F820" s="39"/>
      <c r="G820" s="39" t="s">
        <v>1229</v>
      </c>
      <c r="H820" s="39"/>
      <c r="I820" s="39"/>
      <c r="J820" s="39"/>
      <c r="K820" s="39"/>
      <c r="L820" s="39"/>
      <c r="M820" s="39"/>
      <c r="N820" s="40"/>
      <c r="O820" s="402"/>
      <c r="P820" s="1"/>
      <c r="Q820" s="1"/>
      <c r="R820" s="1"/>
      <c r="S820" s="1"/>
      <c r="T820" s="1"/>
      <c r="U820" s="1"/>
      <c r="V820" s="1"/>
      <c r="W820" s="1"/>
      <c r="X820" s="1"/>
      <c r="Y820" s="1"/>
      <c r="Z820" s="1"/>
    </row>
    <row r="821" spans="1:26" ht="17.25" customHeight="1">
      <c r="A821" s="1"/>
      <c r="B821" s="399"/>
      <c r="C821" s="466"/>
      <c r="D821" s="467"/>
      <c r="E821" s="467"/>
      <c r="F821" s="39"/>
      <c r="G821" s="39"/>
      <c r="H821" s="39"/>
      <c r="I821" s="39"/>
      <c r="J821" s="1149"/>
      <c r="K821" s="922"/>
      <c r="L821" s="922"/>
      <c r="M821" s="922"/>
      <c r="N821" s="924"/>
      <c r="O821" s="468"/>
      <c r="P821" s="1"/>
      <c r="Q821" s="1"/>
      <c r="R821" s="1"/>
      <c r="S821" s="1"/>
      <c r="T821" s="1"/>
      <c r="U821" s="1"/>
      <c r="V821" s="1"/>
      <c r="W821" s="1"/>
      <c r="X821" s="1"/>
      <c r="Y821" s="1"/>
      <c r="Z821" s="1"/>
    </row>
    <row r="822" spans="1:26" ht="18.75" customHeight="1">
      <c r="A822" s="1"/>
      <c r="B822" s="399"/>
      <c r="C822" s="1150"/>
      <c r="D822" s="936"/>
      <c r="E822" s="936"/>
      <c r="F822" s="416"/>
      <c r="G822" s="416"/>
      <c r="H822" s="416"/>
      <c r="I822" s="416"/>
      <c r="J822" s="936"/>
      <c r="K822" s="936"/>
      <c r="L822" s="936"/>
      <c r="M822" s="936"/>
      <c r="N822" s="938"/>
      <c r="O822" s="468"/>
      <c r="P822" s="1"/>
      <c r="Q822" s="1"/>
      <c r="R822" s="1"/>
      <c r="S822" s="1"/>
      <c r="T822" s="1"/>
      <c r="U822" s="1"/>
      <c r="V822" s="1"/>
      <c r="W822" s="1"/>
      <c r="X822" s="1"/>
      <c r="Y822" s="1"/>
      <c r="Z822" s="1"/>
    </row>
    <row r="823" spans="1:26" ht="13.5" customHeight="1">
      <c r="A823" s="1"/>
      <c r="B823" s="469"/>
      <c r="C823" s="470"/>
      <c r="D823" s="470"/>
      <c r="E823" s="470"/>
      <c r="F823" s="470"/>
      <c r="G823" s="470"/>
      <c r="H823" s="470"/>
      <c r="I823" s="470"/>
      <c r="J823" s="470"/>
      <c r="K823" s="470"/>
      <c r="L823" s="470"/>
      <c r="M823" s="470"/>
      <c r="N823" s="470"/>
      <c r="O823" s="471"/>
      <c r="P823" s="1"/>
      <c r="Q823" s="1"/>
      <c r="R823" s="1"/>
      <c r="S823" s="1"/>
      <c r="T823" s="1"/>
      <c r="U823" s="1"/>
      <c r="V823" s="1"/>
      <c r="W823" s="1"/>
      <c r="X823" s="1"/>
      <c r="Y823" s="1"/>
      <c r="Z823" s="1"/>
    </row>
    <row r="824" spans="1:26" ht="13.5" customHeight="1">
      <c r="A824" s="1"/>
      <c r="B824" s="184"/>
      <c r="C824" s="184"/>
      <c r="D824" s="184"/>
      <c r="E824" s="184"/>
      <c r="F824" s="184"/>
      <c r="G824" s="184"/>
      <c r="H824" s="184"/>
      <c r="I824" s="184"/>
      <c r="J824" s="184"/>
      <c r="K824" s="184"/>
      <c r="L824" s="184"/>
      <c r="M824" s="184"/>
      <c r="N824" s="184"/>
      <c r="O824" s="184"/>
      <c r="P824" s="1"/>
      <c r="Q824" s="1"/>
      <c r="R824" s="1"/>
      <c r="S824" s="1"/>
      <c r="T824" s="1"/>
      <c r="U824" s="1"/>
      <c r="V824" s="1"/>
      <c r="W824" s="1"/>
      <c r="X824" s="1"/>
      <c r="Y824" s="1"/>
      <c r="Z824" s="1"/>
    </row>
    <row r="825" spans="1:26" ht="13.5" customHeight="1">
      <c r="A825" s="1"/>
      <c r="B825" s="184"/>
      <c r="C825" s="184"/>
      <c r="D825" s="184"/>
      <c r="E825" s="184"/>
      <c r="F825" s="184"/>
      <c r="G825" s="184"/>
      <c r="H825" s="184"/>
      <c r="I825" s="184"/>
      <c r="J825" s="184"/>
      <c r="K825" s="184"/>
      <c r="L825" s="184"/>
      <c r="M825" s="184"/>
      <c r="N825" s="184"/>
      <c r="O825" s="184"/>
      <c r="P825" s="1"/>
      <c r="Q825" s="1"/>
      <c r="R825" s="1"/>
      <c r="S825" s="1"/>
      <c r="T825" s="1"/>
      <c r="U825" s="1"/>
      <c r="V825" s="1"/>
      <c r="W825" s="1"/>
      <c r="X825" s="1"/>
      <c r="Y825" s="1"/>
      <c r="Z825" s="1"/>
    </row>
    <row r="826" spans="1:26" ht="13.5" customHeight="1">
      <c r="A826" s="1"/>
      <c r="B826" s="396"/>
      <c r="C826" s="397"/>
      <c r="D826" s="397"/>
      <c r="E826" s="397"/>
      <c r="F826" s="397"/>
      <c r="G826" s="397"/>
      <c r="H826" s="397"/>
      <c r="I826" s="397"/>
      <c r="J826" s="397"/>
      <c r="K826" s="397"/>
      <c r="L826" s="397"/>
      <c r="M826" s="397"/>
      <c r="N826" s="397"/>
      <c r="O826" s="398"/>
      <c r="P826" s="1"/>
      <c r="Q826" s="1"/>
      <c r="R826" s="1"/>
      <c r="S826" s="1"/>
      <c r="T826" s="1"/>
      <c r="U826" s="1"/>
      <c r="V826" s="1"/>
      <c r="W826" s="1"/>
      <c r="X826" s="1"/>
      <c r="Y826" s="1"/>
      <c r="Z826" s="1"/>
    </row>
    <row r="827" spans="1:26" ht="13.5" customHeight="1">
      <c r="A827" s="1"/>
      <c r="B827" s="399"/>
      <c r="C827" s="400"/>
      <c r="D827" s="401"/>
      <c r="E827" s="400"/>
      <c r="F827" s="184"/>
      <c r="G827" s="184"/>
      <c r="H827" s="184"/>
      <c r="I827" s="184"/>
      <c r="J827" s="184"/>
      <c r="K827" s="184"/>
      <c r="L827" s="184"/>
      <c r="M827" s="184"/>
      <c r="N827" s="184"/>
      <c r="O827" s="402"/>
      <c r="P827" s="1"/>
      <c r="Q827" s="1"/>
      <c r="R827" s="1"/>
      <c r="S827" s="1"/>
      <c r="T827" s="1"/>
      <c r="U827" s="1"/>
      <c r="V827" s="1"/>
      <c r="W827" s="1"/>
      <c r="X827" s="1"/>
      <c r="Y827" s="1"/>
      <c r="Z827" s="1"/>
    </row>
    <row r="828" spans="1:26" ht="13.5" customHeight="1">
      <c r="A828" s="1"/>
      <c r="B828" s="399"/>
      <c r="C828" s="39"/>
      <c r="D828" s="39"/>
      <c r="E828" s="39"/>
      <c r="F828" s="39"/>
      <c r="G828" s="39"/>
      <c r="H828" s="39"/>
      <c r="I828" s="39"/>
      <c r="J828" s="39"/>
      <c r="K828" s="39"/>
      <c r="L828" s="39"/>
      <c r="M828" s="39"/>
      <c r="N828" s="39"/>
      <c r="O828" s="402"/>
      <c r="P828" s="1"/>
      <c r="Q828" s="1"/>
      <c r="R828" s="1"/>
      <c r="S828" s="1"/>
      <c r="T828" s="1"/>
      <c r="U828" s="1"/>
      <c r="V828" s="1"/>
      <c r="W828" s="1"/>
      <c r="X828" s="1"/>
      <c r="Y828" s="1"/>
      <c r="Z828" s="1"/>
    </row>
    <row r="829" spans="1:26" ht="13.5" customHeight="1">
      <c r="A829" s="1"/>
      <c r="B829" s="399"/>
      <c r="C829" s="1124"/>
      <c r="D829" s="927"/>
      <c r="E829" s="1014" t="str">
        <f>+Datos!$C$9</f>
        <v>CONSEJO SUPERIOR  DE  JUDICATURA– DIRECCIÓN  EJECUTIVA  SECCIONAL  DE ADMINISTRACIÓN JUDICIAL DE BUCARAMANGA</v>
      </c>
      <c r="F829" s="926"/>
      <c r="G829" s="926"/>
      <c r="H829" s="926"/>
      <c r="I829" s="926"/>
      <c r="J829" s="926"/>
      <c r="K829" s="927"/>
      <c r="L829" s="925" t="s">
        <v>1</v>
      </c>
      <c r="M829" s="931"/>
      <c r="N829" s="933">
        <f>Datos!$C$4</f>
        <v>1</v>
      </c>
      <c r="O829" s="403"/>
      <c r="P829" s="1"/>
      <c r="Q829" s="1"/>
      <c r="R829" s="1"/>
      <c r="S829" s="1"/>
      <c r="T829" s="1"/>
      <c r="U829" s="1"/>
      <c r="V829" s="1"/>
      <c r="W829" s="1"/>
      <c r="X829" s="1"/>
      <c r="Y829" s="1"/>
      <c r="Z829" s="1"/>
    </row>
    <row r="830" spans="1:26" ht="13.5" customHeight="1">
      <c r="A830" s="1"/>
      <c r="B830" s="399"/>
      <c r="C830" s="920"/>
      <c r="D830" s="924"/>
      <c r="E830" s="920"/>
      <c r="F830" s="922"/>
      <c r="G830" s="922"/>
      <c r="H830" s="922"/>
      <c r="I830" s="922"/>
      <c r="J830" s="922"/>
      <c r="K830" s="924"/>
      <c r="L830" s="920"/>
      <c r="M830" s="932"/>
      <c r="N830" s="934"/>
      <c r="O830" s="403"/>
      <c r="P830" s="1"/>
      <c r="Q830" s="1"/>
      <c r="R830" s="1"/>
      <c r="S830" s="1"/>
      <c r="T830" s="1"/>
      <c r="U830" s="1"/>
      <c r="V830" s="1"/>
      <c r="W830" s="1"/>
      <c r="X830" s="1"/>
      <c r="Y830" s="1"/>
      <c r="Z830" s="1"/>
    </row>
    <row r="831" spans="1:26" ht="13.5" customHeight="1">
      <c r="A831" s="1"/>
      <c r="B831" s="399"/>
      <c r="C831" s="920"/>
      <c r="D831" s="924"/>
      <c r="E831" s="919" t="str">
        <f>Datos!$C$13</f>
        <v xml:space="preserve">BGA - 030 - 2026 </v>
      </c>
      <c r="F831" s="922"/>
      <c r="G831" s="922"/>
      <c r="H831" s="922"/>
      <c r="I831" s="922"/>
      <c r="J831" s="922"/>
      <c r="K831" s="922"/>
      <c r="L831" s="925" t="s">
        <v>29</v>
      </c>
      <c r="M831" s="926"/>
      <c r="N831" s="927"/>
      <c r="O831" s="403"/>
      <c r="P831" s="1"/>
      <c r="Q831" s="1"/>
      <c r="R831" s="1"/>
      <c r="S831" s="1"/>
      <c r="T831" s="1"/>
      <c r="U831" s="1"/>
      <c r="V831" s="1"/>
      <c r="W831" s="1"/>
      <c r="X831" s="1"/>
      <c r="Y831" s="1"/>
      <c r="Z831" s="1"/>
    </row>
    <row r="832" spans="1:26" ht="13.5" customHeight="1">
      <c r="A832" s="1"/>
      <c r="B832" s="399"/>
      <c r="C832" s="920"/>
      <c r="D832" s="924"/>
      <c r="E832" s="405"/>
      <c r="F832" s="406"/>
      <c r="G832" s="406"/>
      <c r="H832" s="406"/>
      <c r="I832" s="406"/>
      <c r="J832" s="406"/>
      <c r="K832" s="42"/>
      <c r="L832" s="919">
        <v>1</v>
      </c>
      <c r="M832" s="921" t="s">
        <v>30</v>
      </c>
      <c r="N832" s="923">
        <v>1</v>
      </c>
      <c r="O832" s="403"/>
      <c r="P832" s="1"/>
      <c r="Q832" s="1"/>
      <c r="R832" s="1"/>
      <c r="S832" s="1"/>
      <c r="T832" s="1"/>
      <c r="U832" s="1"/>
      <c r="V832" s="1"/>
      <c r="W832" s="1"/>
      <c r="X832" s="1"/>
      <c r="Y832" s="1"/>
      <c r="Z832" s="1"/>
    </row>
    <row r="833" spans="1:26" ht="12.75" customHeight="1">
      <c r="A833" s="1"/>
      <c r="B833" s="399"/>
      <c r="C833" s="920"/>
      <c r="D833" s="924"/>
      <c r="E833"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833" s="922"/>
      <c r="G833" s="922"/>
      <c r="H833" s="922"/>
      <c r="I833" s="922"/>
      <c r="J833" s="922"/>
      <c r="K833" s="922"/>
      <c r="L833" s="920"/>
      <c r="M833" s="922"/>
      <c r="N833" s="924"/>
      <c r="O833" s="403"/>
      <c r="P833" s="1"/>
      <c r="Q833" s="1"/>
      <c r="R833" s="1"/>
      <c r="S833" s="1"/>
      <c r="T833" s="1"/>
      <c r="U833" s="1"/>
      <c r="V833" s="1"/>
      <c r="W833" s="1"/>
      <c r="X833" s="1"/>
      <c r="Y833" s="1"/>
      <c r="Z833" s="1"/>
    </row>
    <row r="834" spans="1:26" ht="13.5" customHeight="1">
      <c r="A834" s="1"/>
      <c r="B834" s="399"/>
      <c r="C834" s="920"/>
      <c r="D834" s="924"/>
      <c r="E834" s="920"/>
      <c r="F834" s="922"/>
      <c r="G834" s="922"/>
      <c r="H834" s="922"/>
      <c r="I834" s="922"/>
      <c r="J834" s="922"/>
      <c r="K834" s="922"/>
      <c r="L834" s="925" t="s">
        <v>2</v>
      </c>
      <c r="M834" s="926"/>
      <c r="N834" s="927"/>
      <c r="O834" s="403"/>
      <c r="P834" s="1"/>
      <c r="Q834" s="1"/>
      <c r="R834" s="1"/>
      <c r="S834" s="1"/>
      <c r="T834" s="1"/>
      <c r="U834" s="1"/>
      <c r="V834" s="1"/>
      <c r="W834" s="1"/>
      <c r="X834" s="1"/>
      <c r="Y834" s="1"/>
      <c r="Z834" s="1"/>
    </row>
    <row r="835" spans="1:26" ht="13.5" customHeight="1">
      <c r="A835" s="1"/>
      <c r="B835" s="399"/>
      <c r="C835" s="920"/>
      <c r="D835" s="924"/>
      <c r="E835" s="407"/>
      <c r="F835" s="216"/>
      <c r="G835" s="216"/>
      <c r="H835" s="216"/>
      <c r="I835" s="216"/>
      <c r="J835" s="216"/>
      <c r="K835" s="216"/>
      <c r="L835" s="408" t="s">
        <v>3</v>
      </c>
      <c r="M835" s="409" t="s">
        <v>4</v>
      </c>
      <c r="N835" s="410" t="s">
        <v>5</v>
      </c>
      <c r="O835" s="403"/>
      <c r="P835" s="1"/>
      <c r="Q835" s="1"/>
      <c r="R835" s="1"/>
      <c r="S835" s="1"/>
      <c r="T835" s="1"/>
      <c r="U835" s="1"/>
      <c r="V835" s="1"/>
      <c r="W835" s="1"/>
      <c r="X835" s="1"/>
      <c r="Y835" s="1"/>
      <c r="Z835" s="1"/>
    </row>
    <row r="836" spans="1:26" ht="13.5" customHeight="1">
      <c r="A836" s="1"/>
      <c r="B836" s="399"/>
      <c r="C836" s="920"/>
      <c r="D836" s="924"/>
      <c r="E836" s="1125" t="s">
        <v>1186</v>
      </c>
      <c r="F836" s="945"/>
      <c r="G836" s="945"/>
      <c r="H836" s="945"/>
      <c r="I836" s="945"/>
      <c r="J836" s="945"/>
      <c r="K836" s="945"/>
      <c r="L836" s="928">
        <f>+Datos!C747</f>
        <v>0</v>
      </c>
      <c r="M836" s="935">
        <f>+Datos!D747</f>
        <v>0</v>
      </c>
      <c r="N836" s="937">
        <f>+Datos!E747</f>
        <v>0</v>
      </c>
      <c r="O836" s="411"/>
      <c r="P836" s="1"/>
      <c r="Q836" s="1"/>
      <c r="R836" s="1"/>
      <c r="S836" s="1"/>
      <c r="T836" s="1"/>
      <c r="U836" s="1"/>
      <c r="V836" s="1"/>
      <c r="W836" s="1"/>
      <c r="X836" s="1"/>
      <c r="Y836" s="1"/>
      <c r="Z836" s="1"/>
    </row>
    <row r="837" spans="1:26" ht="13.5" customHeight="1">
      <c r="A837" s="1"/>
      <c r="B837" s="399"/>
      <c r="C837" s="929"/>
      <c r="D837" s="938"/>
      <c r="E837" s="929"/>
      <c r="F837" s="936"/>
      <c r="G837" s="936"/>
      <c r="H837" s="936"/>
      <c r="I837" s="936"/>
      <c r="J837" s="936"/>
      <c r="K837" s="936"/>
      <c r="L837" s="929"/>
      <c r="M837" s="936"/>
      <c r="N837" s="938"/>
      <c r="O837" s="403"/>
      <c r="P837" s="1"/>
      <c r="Q837" s="1"/>
      <c r="R837" s="1"/>
      <c r="S837" s="1"/>
      <c r="T837" s="1"/>
      <c r="U837" s="1"/>
      <c r="V837" s="1"/>
      <c r="W837" s="1"/>
      <c r="X837" s="1"/>
      <c r="Y837" s="1"/>
      <c r="Z837" s="1"/>
    </row>
    <row r="838" spans="1:26" ht="13.5" customHeight="1">
      <c r="A838" s="1"/>
      <c r="B838" s="399"/>
      <c r="C838" s="404"/>
      <c r="D838" s="38"/>
      <c r="E838" s="38"/>
      <c r="F838" s="38"/>
      <c r="G838" s="38"/>
      <c r="H838" s="38"/>
      <c r="I838" s="38"/>
      <c r="J838" s="38"/>
      <c r="K838" s="38"/>
      <c r="L838" s="39"/>
      <c r="M838" s="39"/>
      <c r="N838" s="40"/>
      <c r="O838" s="414"/>
      <c r="P838" s="1"/>
      <c r="Q838" s="1"/>
      <c r="R838" s="1"/>
      <c r="S838" s="1"/>
      <c r="T838" s="1"/>
      <c r="U838" s="1"/>
      <c r="V838" s="1"/>
      <c r="W838" s="1"/>
      <c r="X838" s="1"/>
      <c r="Y838" s="1"/>
      <c r="Z838" s="1"/>
    </row>
    <row r="839" spans="1:26" ht="18" customHeight="1">
      <c r="A839" s="1"/>
      <c r="B839" s="399"/>
      <c r="C839" s="412" t="s">
        <v>1187</v>
      </c>
      <c r="D839" s="1126" t="s">
        <v>1188</v>
      </c>
      <c r="E839" s="922"/>
      <c r="F839" s="922"/>
      <c r="G839" s="922"/>
      <c r="H839" s="922"/>
      <c r="I839" s="922"/>
      <c r="J839" s="922"/>
      <c r="K839" s="922"/>
      <c r="L839" s="922"/>
      <c r="M839" s="1"/>
      <c r="N839" s="413"/>
      <c r="O839" s="414"/>
      <c r="P839" s="1"/>
      <c r="Q839" s="1"/>
      <c r="R839" s="1"/>
      <c r="S839" s="1"/>
      <c r="T839" s="1"/>
      <c r="U839" s="1"/>
      <c r="V839" s="1"/>
      <c r="W839" s="1"/>
      <c r="X839" s="1"/>
      <c r="Y839" s="1"/>
      <c r="Z839" s="1"/>
    </row>
    <row r="840" spans="1:26" ht="13.5" customHeight="1">
      <c r="A840" s="1"/>
      <c r="B840" s="399"/>
      <c r="C840" s="412" t="s">
        <v>1189</v>
      </c>
      <c r="D840" s="1126" t="s">
        <v>1190</v>
      </c>
      <c r="E840" s="922"/>
      <c r="F840" s="922"/>
      <c r="G840" s="922"/>
      <c r="H840" s="922"/>
      <c r="I840" s="922"/>
      <c r="J840" s="922"/>
      <c r="K840" s="922"/>
      <c r="L840" s="922"/>
      <c r="M840" s="1"/>
      <c r="N840" s="413"/>
      <c r="O840" s="403"/>
      <c r="P840" s="1"/>
      <c r="Q840" s="1"/>
      <c r="R840" s="1"/>
      <c r="S840" s="1"/>
      <c r="T840" s="1"/>
      <c r="U840" s="1"/>
      <c r="V840" s="1"/>
      <c r="W840" s="1"/>
      <c r="X840" s="1"/>
      <c r="Y840" s="1"/>
      <c r="Z840" s="1"/>
    </row>
    <row r="841" spans="1:26" ht="13.5" customHeight="1">
      <c r="A841" s="1"/>
      <c r="B841" s="399"/>
      <c r="C841" s="415"/>
      <c r="D841" s="416"/>
      <c r="E841" s="416"/>
      <c r="F841" s="416"/>
      <c r="G841" s="416"/>
      <c r="H841" s="416"/>
      <c r="I841" s="416"/>
      <c r="J841" s="416"/>
      <c r="K841" s="416"/>
      <c r="L841" s="416"/>
      <c r="M841" s="416"/>
      <c r="N841" s="417"/>
      <c r="O841" s="402"/>
      <c r="P841" s="1"/>
      <c r="Q841" s="1"/>
      <c r="R841" s="1"/>
      <c r="S841" s="1"/>
      <c r="T841" s="1"/>
      <c r="U841" s="1"/>
      <c r="V841" s="1"/>
      <c r="W841" s="1"/>
      <c r="X841" s="1"/>
      <c r="Y841" s="1"/>
      <c r="Z841" s="1"/>
    </row>
    <row r="842" spans="1:26" ht="13.5" customHeight="1">
      <c r="A842" s="1"/>
      <c r="B842" s="399"/>
      <c r="C842" s="418"/>
      <c r="D842" s="39"/>
      <c r="E842" s="39"/>
      <c r="F842" s="39"/>
      <c r="G842" s="39"/>
      <c r="H842" s="39"/>
      <c r="I842" s="39"/>
      <c r="J842" s="39"/>
      <c r="K842" s="39"/>
      <c r="L842" s="39"/>
      <c r="M842" s="39"/>
      <c r="N842" s="40"/>
      <c r="O842" s="402"/>
      <c r="P842" s="1"/>
      <c r="Q842" s="1"/>
      <c r="R842" s="1"/>
      <c r="S842" s="1"/>
      <c r="T842" s="1"/>
      <c r="U842" s="1"/>
      <c r="V842" s="1"/>
      <c r="W842" s="1"/>
      <c r="X842" s="1"/>
      <c r="Y842" s="1"/>
      <c r="Z842" s="1"/>
    </row>
    <row r="843" spans="1:26" ht="13.5" customHeight="1">
      <c r="A843" s="1"/>
      <c r="B843" s="399"/>
      <c r="C843" s="925" t="s">
        <v>1191</v>
      </c>
      <c r="D843" s="926"/>
      <c r="E843" s="926"/>
      <c r="F843" s="926"/>
      <c r="G843" s="926"/>
      <c r="H843" s="926"/>
      <c r="I843" s="926"/>
      <c r="J843" s="926"/>
      <c r="K843" s="926"/>
      <c r="L843" s="926"/>
      <c r="M843" s="926"/>
      <c r="N843" s="927"/>
      <c r="O843" s="419"/>
      <c r="P843" s="1"/>
      <c r="Q843" s="1"/>
      <c r="R843" s="1"/>
      <c r="S843" s="1"/>
      <c r="T843" s="1"/>
      <c r="U843" s="1"/>
      <c r="V843" s="1"/>
      <c r="W843" s="1"/>
      <c r="X843" s="1"/>
      <c r="Y843" s="1"/>
      <c r="Z843" s="1"/>
    </row>
    <row r="844" spans="1:26" ht="13.5" customHeight="1">
      <c r="A844" s="1"/>
      <c r="B844" s="399"/>
      <c r="C844" s="418"/>
      <c r="D844" s="39"/>
      <c r="E844" s="39"/>
      <c r="F844" s="39"/>
      <c r="G844" s="39"/>
      <c r="H844" s="39"/>
      <c r="I844" s="39"/>
      <c r="J844" s="39"/>
      <c r="K844" s="39"/>
      <c r="L844" s="39"/>
      <c r="M844" s="39"/>
      <c r="N844" s="40"/>
      <c r="O844" s="402"/>
      <c r="P844" s="1"/>
      <c r="Q844" s="1"/>
      <c r="R844" s="1"/>
      <c r="S844" s="1"/>
      <c r="T844" s="1"/>
      <c r="U844" s="1"/>
      <c r="V844" s="1"/>
      <c r="W844" s="1"/>
      <c r="X844" s="1"/>
      <c r="Y844" s="1"/>
      <c r="Z844" s="1"/>
    </row>
    <row r="845" spans="1:26" ht="13.5" customHeight="1">
      <c r="A845" s="1"/>
      <c r="B845" s="399"/>
      <c r="C845" s="420" t="s">
        <v>965</v>
      </c>
      <c r="D845" s="1136" t="s">
        <v>17</v>
      </c>
      <c r="E845" s="1131"/>
      <c r="F845" s="1131"/>
      <c r="G845" s="1131"/>
      <c r="H845" s="1131"/>
      <c r="I845" s="1131"/>
      <c r="J845" s="1131"/>
      <c r="K845" s="1137"/>
      <c r="L845" s="1130" t="s">
        <v>1192</v>
      </c>
      <c r="M845" s="1137"/>
      <c r="N845" s="420" t="s">
        <v>950</v>
      </c>
      <c r="O845" s="419"/>
      <c r="P845" s="1"/>
      <c r="Q845" s="1"/>
      <c r="R845" s="1"/>
      <c r="S845" s="1"/>
      <c r="T845" s="1"/>
      <c r="U845" s="1"/>
      <c r="V845" s="1"/>
      <c r="W845" s="1"/>
      <c r="X845" s="1"/>
      <c r="Y845" s="1"/>
      <c r="Z845" s="1"/>
    </row>
    <row r="846" spans="1:26" ht="13.5" customHeight="1">
      <c r="A846" s="1"/>
      <c r="B846" s="421"/>
      <c r="C846" s="422" t="s">
        <v>1190</v>
      </c>
      <c r="D846" s="1151" t="s">
        <v>1256</v>
      </c>
      <c r="E846" s="979"/>
      <c r="F846" s="979"/>
      <c r="G846" s="979"/>
      <c r="H846" s="979"/>
      <c r="I846" s="979"/>
      <c r="J846" s="979"/>
      <c r="K846" s="980"/>
      <c r="L846" s="1138" t="s">
        <v>741</v>
      </c>
      <c r="M846" s="980"/>
      <c r="N846" s="423">
        <v>1</v>
      </c>
      <c r="O846" s="424"/>
      <c r="P846" s="1"/>
      <c r="Q846" s="1"/>
      <c r="R846" s="1"/>
      <c r="S846" s="1"/>
      <c r="T846" s="1"/>
      <c r="U846" s="1"/>
      <c r="V846" s="1"/>
      <c r="W846" s="1"/>
      <c r="X846" s="1"/>
      <c r="Y846" s="1"/>
      <c r="Z846" s="1"/>
    </row>
    <row r="847" spans="1:26" ht="13.5" customHeight="1">
      <c r="A847" s="1"/>
      <c r="B847" s="399"/>
      <c r="C847" s="1129" t="s">
        <v>1195</v>
      </c>
      <c r="D847" s="926"/>
      <c r="E847" s="926"/>
      <c r="F847" s="926"/>
      <c r="G847" s="926"/>
      <c r="H847" s="926"/>
      <c r="I847" s="926"/>
      <c r="J847" s="926"/>
      <c r="K847" s="926"/>
      <c r="L847" s="926"/>
      <c r="M847" s="926"/>
      <c r="N847" s="927"/>
      <c r="O847" s="426"/>
      <c r="P847" s="1"/>
      <c r="Q847" s="1"/>
      <c r="R847" s="1"/>
      <c r="S847" s="1"/>
      <c r="T847" s="1"/>
      <c r="U847" s="1"/>
      <c r="V847" s="1"/>
      <c r="W847" s="1"/>
      <c r="X847" s="1"/>
      <c r="Y847" s="1"/>
      <c r="Z847" s="1"/>
    </row>
    <row r="848" spans="1:26" ht="13.5" customHeight="1">
      <c r="A848" s="1"/>
      <c r="B848" s="399"/>
      <c r="C848" s="920"/>
      <c r="D848" s="922"/>
      <c r="E848" s="922"/>
      <c r="F848" s="922"/>
      <c r="G848" s="922"/>
      <c r="H848" s="922"/>
      <c r="I848" s="922"/>
      <c r="J848" s="922"/>
      <c r="K848" s="922"/>
      <c r="L848" s="922"/>
      <c r="M848" s="922"/>
      <c r="N848" s="924"/>
      <c r="O848" s="426"/>
      <c r="P848" s="1"/>
      <c r="Q848" s="1"/>
      <c r="R848" s="1"/>
      <c r="S848" s="1"/>
      <c r="T848" s="1"/>
      <c r="U848" s="1"/>
      <c r="V848" s="1"/>
      <c r="W848" s="1"/>
      <c r="X848" s="1"/>
      <c r="Y848" s="1"/>
      <c r="Z848" s="1"/>
    </row>
    <row r="849" spans="1:26" ht="13.5" customHeight="1">
      <c r="A849" s="395"/>
      <c r="B849" s="399"/>
      <c r="C849" s="929"/>
      <c r="D849" s="936"/>
      <c r="E849" s="936"/>
      <c r="F849" s="936"/>
      <c r="G849" s="936"/>
      <c r="H849" s="936"/>
      <c r="I849" s="936"/>
      <c r="J849" s="936"/>
      <c r="K849" s="936"/>
      <c r="L849" s="936"/>
      <c r="M849" s="936"/>
      <c r="N849" s="938"/>
      <c r="O849" s="426"/>
      <c r="P849" s="1"/>
      <c r="Q849" s="1"/>
      <c r="R849" s="1"/>
      <c r="S849" s="1"/>
      <c r="T849" s="1"/>
      <c r="U849" s="1"/>
      <c r="V849" s="1"/>
      <c r="W849" s="1"/>
      <c r="X849" s="1"/>
      <c r="Y849" s="1"/>
      <c r="Z849" s="1"/>
    </row>
    <row r="850" spans="1:26" ht="13.5" customHeight="1">
      <c r="A850" s="395"/>
      <c r="B850" s="399"/>
      <c r="C850" s="1130" t="s">
        <v>17</v>
      </c>
      <c r="D850" s="1131"/>
      <c r="E850" s="1131"/>
      <c r="F850" s="1000"/>
      <c r="G850" s="1135" t="s">
        <v>1196</v>
      </c>
      <c r="H850" s="1000"/>
      <c r="I850" s="1139" t="s">
        <v>1197</v>
      </c>
      <c r="J850" s="1140"/>
      <c r="K850" s="427" t="s">
        <v>1198</v>
      </c>
      <c r="L850" s="1135" t="s">
        <v>1199</v>
      </c>
      <c r="M850" s="1000"/>
      <c r="N850" s="428" t="s">
        <v>1200</v>
      </c>
      <c r="O850" s="419"/>
      <c r="P850" s="1"/>
      <c r="Q850" s="1"/>
      <c r="R850" s="1"/>
      <c r="S850" s="1"/>
      <c r="T850" s="1"/>
      <c r="U850" s="1"/>
      <c r="V850" s="1"/>
      <c r="W850" s="1"/>
      <c r="X850" s="1"/>
      <c r="Y850" s="1"/>
      <c r="Z850" s="1"/>
    </row>
    <row r="851" spans="1:26" ht="13.5" customHeight="1">
      <c r="A851" s="395"/>
      <c r="B851" s="399"/>
      <c r="C851" s="1128" t="s">
        <v>1201</v>
      </c>
      <c r="D851" s="940"/>
      <c r="E851" s="940"/>
      <c r="F851" s="941"/>
      <c r="G851" s="1142"/>
      <c r="H851" s="941"/>
      <c r="I851" s="1142"/>
      <c r="J851" s="941"/>
      <c r="K851" s="429"/>
      <c r="L851" s="1143">
        <v>0.1</v>
      </c>
      <c r="M851" s="941"/>
      <c r="N851" s="430">
        <f>+L851*N882</f>
        <v>11556.966666666669</v>
      </c>
      <c r="O851" s="431"/>
      <c r="P851" s="1"/>
      <c r="Q851" s="1"/>
      <c r="R851" s="1"/>
      <c r="S851" s="1"/>
      <c r="T851" s="1"/>
      <c r="U851" s="1"/>
      <c r="V851" s="1"/>
      <c r="W851" s="1"/>
      <c r="X851" s="1"/>
      <c r="Y851" s="1"/>
      <c r="Z851" s="1"/>
    </row>
    <row r="852" spans="1:26" ht="13.5" customHeight="1">
      <c r="A852" s="395" t="str">
        <f t="array" ref="A852">IF(C852&lt;&gt;0,INDEX(CodEquipos,MATCH(C852,Equipos,0),),)</f>
        <v>EQ-01</v>
      </c>
      <c r="B852" s="399"/>
      <c r="C852" s="1128" t="s">
        <v>271</v>
      </c>
      <c r="D852" s="940"/>
      <c r="E852" s="940"/>
      <c r="F852" s="941"/>
      <c r="G852" s="1142"/>
      <c r="H852" s="941"/>
      <c r="I852" s="1142"/>
      <c r="J852" s="941"/>
      <c r="K852" s="432">
        <f>IF($A852&gt;0,(VLOOKUP($A852,TablaEquipos,7,FALSE)),"")</f>
        <v>13833.75</v>
      </c>
      <c r="L852" s="1141">
        <f>+L877/8</f>
        <v>0.75</v>
      </c>
      <c r="M852" s="941"/>
      <c r="N852" s="430">
        <f t="shared" ref="N852:N854" si="46">IF(L852&gt;0,K852/L852,"")</f>
        <v>18445</v>
      </c>
      <c r="O852" s="431"/>
      <c r="P852" s="1"/>
      <c r="Q852" s="1"/>
      <c r="R852" s="1"/>
      <c r="S852" s="1"/>
      <c r="T852" s="1"/>
      <c r="U852" s="1"/>
      <c r="V852" s="1"/>
      <c r="W852" s="1"/>
      <c r="X852" s="1"/>
      <c r="Y852" s="1"/>
      <c r="Z852" s="1"/>
    </row>
    <row r="853" spans="1:26" ht="13.5" customHeight="1">
      <c r="A853" s="395">
        <f t="array" ref="A853">IF(C853&lt;&gt;0,INDEX(CodEquipos,MATCH(C853,Equipos,0),),)</f>
        <v>0</v>
      </c>
      <c r="B853" s="399"/>
      <c r="C853" s="1128"/>
      <c r="D853" s="940"/>
      <c r="E853" s="940"/>
      <c r="F853" s="941"/>
      <c r="G853" s="1142"/>
      <c r="H853" s="941"/>
      <c r="I853" s="1142"/>
      <c r="J853" s="941"/>
      <c r="K853" s="432" t="str">
        <f>IF($A853&gt;0,(VLOOKUP($A853,TablaEquipos,7,FALSE)),"")</f>
        <v/>
      </c>
      <c r="L853" s="1141"/>
      <c r="M853" s="941"/>
      <c r="N853" s="430" t="str">
        <f t="shared" si="46"/>
        <v/>
      </c>
      <c r="O853" s="431"/>
      <c r="P853" s="1"/>
      <c r="Q853" s="1"/>
      <c r="R853" s="1"/>
      <c r="S853" s="1"/>
      <c r="T853" s="1"/>
      <c r="U853" s="1"/>
      <c r="V853" s="1"/>
      <c r="W853" s="1"/>
      <c r="X853" s="1"/>
      <c r="Y853" s="1"/>
      <c r="Z853" s="1"/>
    </row>
    <row r="854" spans="1:26" ht="13.5" customHeight="1">
      <c r="A854" s="395">
        <f t="array" ref="A854">IF(C854&lt;&gt;0,INDEX(CodEquipos,MATCH(C854,Equipos,0),),)</f>
        <v>0</v>
      </c>
      <c r="B854" s="399"/>
      <c r="C854" s="1128"/>
      <c r="D854" s="940"/>
      <c r="E854" s="940"/>
      <c r="F854" s="941"/>
      <c r="G854" s="1144"/>
      <c r="H854" s="1145"/>
      <c r="I854" s="1142"/>
      <c r="J854" s="941"/>
      <c r="K854" s="432" t="str">
        <f>IF($A854&gt;0,(VLOOKUP($A854,TablaEquipos,7,FALSE)),"")</f>
        <v/>
      </c>
      <c r="L854" s="1141"/>
      <c r="M854" s="941"/>
      <c r="N854" s="430" t="str">
        <f t="shared" si="46"/>
        <v/>
      </c>
      <c r="O854" s="431"/>
      <c r="P854" s="1"/>
      <c r="Q854" s="1"/>
      <c r="R854" s="1"/>
      <c r="S854" s="1"/>
      <c r="T854" s="1"/>
      <c r="U854" s="1"/>
      <c r="V854" s="1"/>
      <c r="W854" s="1"/>
      <c r="X854" s="1"/>
      <c r="Y854" s="1"/>
      <c r="Z854" s="1"/>
    </row>
    <row r="855" spans="1:26" ht="13.5" customHeight="1">
      <c r="A855" s="395"/>
      <c r="B855" s="399"/>
      <c r="C855" s="1127" t="s">
        <v>1202</v>
      </c>
      <c r="D855" s="965"/>
      <c r="E855" s="965"/>
      <c r="F855" s="965"/>
      <c r="G855" s="965"/>
      <c r="H855" s="965"/>
      <c r="I855" s="965"/>
      <c r="J855" s="965"/>
      <c r="K855" s="965"/>
      <c r="L855" s="965"/>
      <c r="M855" s="966"/>
      <c r="N855" s="433">
        <f>+SUM(N851:N854)</f>
        <v>30001.966666666667</v>
      </c>
      <c r="O855" s="431"/>
      <c r="P855" s="1"/>
      <c r="Q855" s="1"/>
      <c r="R855" s="1"/>
      <c r="S855" s="1"/>
      <c r="T855" s="1"/>
      <c r="U855" s="1"/>
      <c r="V855" s="1"/>
      <c r="W855" s="1"/>
      <c r="X855" s="1"/>
      <c r="Y855" s="1"/>
      <c r="Z855" s="1"/>
    </row>
    <row r="856" spans="1:26" ht="13.5" customHeight="1">
      <c r="A856" s="395"/>
      <c r="B856" s="399"/>
      <c r="C856" s="1129" t="s">
        <v>1203</v>
      </c>
      <c r="D856" s="926"/>
      <c r="E856" s="926"/>
      <c r="F856" s="926"/>
      <c r="G856" s="926"/>
      <c r="H856" s="926"/>
      <c r="I856" s="926"/>
      <c r="J856" s="926"/>
      <c r="K856" s="926"/>
      <c r="L856" s="926"/>
      <c r="M856" s="926"/>
      <c r="N856" s="927"/>
      <c r="O856" s="426"/>
      <c r="P856" s="1"/>
      <c r="Q856" s="1"/>
      <c r="R856" s="1"/>
      <c r="S856" s="1"/>
      <c r="T856" s="1"/>
      <c r="U856" s="1"/>
      <c r="V856" s="1"/>
      <c r="W856" s="1"/>
      <c r="X856" s="1"/>
      <c r="Y856" s="1"/>
      <c r="Z856" s="1"/>
    </row>
    <row r="857" spans="1:26" ht="13.5" customHeight="1">
      <c r="A857" s="395"/>
      <c r="B857" s="399"/>
      <c r="C857" s="920"/>
      <c r="D857" s="922"/>
      <c r="E857" s="922"/>
      <c r="F857" s="922"/>
      <c r="G857" s="922"/>
      <c r="H857" s="922"/>
      <c r="I857" s="922"/>
      <c r="J857" s="922"/>
      <c r="K857" s="922"/>
      <c r="L857" s="922"/>
      <c r="M857" s="922"/>
      <c r="N857" s="924"/>
      <c r="O857" s="426"/>
      <c r="P857" s="1"/>
      <c r="Q857" s="1"/>
      <c r="R857" s="1"/>
      <c r="S857" s="1"/>
      <c r="T857" s="1"/>
      <c r="U857" s="1"/>
      <c r="V857" s="1"/>
      <c r="W857" s="1"/>
      <c r="X857" s="1"/>
      <c r="Y857" s="1"/>
      <c r="Z857" s="1"/>
    </row>
    <row r="858" spans="1:26" ht="13.5" customHeight="1">
      <c r="A858" s="395"/>
      <c r="B858" s="399"/>
      <c r="C858" s="929"/>
      <c r="D858" s="936"/>
      <c r="E858" s="936"/>
      <c r="F858" s="936"/>
      <c r="G858" s="936"/>
      <c r="H858" s="936"/>
      <c r="I858" s="936"/>
      <c r="J858" s="936"/>
      <c r="K858" s="936"/>
      <c r="L858" s="936"/>
      <c r="M858" s="936"/>
      <c r="N858" s="938"/>
      <c r="O858" s="426"/>
      <c r="P858" s="1"/>
      <c r="Q858" s="1"/>
      <c r="R858" s="1"/>
      <c r="S858" s="1"/>
      <c r="T858" s="1"/>
      <c r="U858" s="1"/>
      <c r="V858" s="1"/>
      <c r="W858" s="1"/>
      <c r="X858" s="1"/>
      <c r="Y858" s="1"/>
      <c r="Z858" s="1"/>
    </row>
    <row r="859" spans="1:26" ht="13.5" customHeight="1">
      <c r="A859" s="395"/>
      <c r="B859" s="399"/>
      <c r="C859" s="1130" t="s">
        <v>17</v>
      </c>
      <c r="D859" s="1131"/>
      <c r="E859" s="1131"/>
      <c r="F859" s="1131"/>
      <c r="G859" s="1131"/>
      <c r="H859" s="1131"/>
      <c r="I859" s="1000"/>
      <c r="J859" s="434" t="s">
        <v>1192</v>
      </c>
      <c r="K859" s="427" t="s">
        <v>950</v>
      </c>
      <c r="L859" s="1135" t="s">
        <v>1204</v>
      </c>
      <c r="M859" s="1000"/>
      <c r="N859" s="428" t="s">
        <v>1200</v>
      </c>
      <c r="O859" s="419"/>
      <c r="P859" s="1"/>
      <c r="Q859" s="1"/>
      <c r="R859" s="1"/>
      <c r="S859" s="1"/>
      <c r="T859" s="1"/>
      <c r="U859" s="1"/>
      <c r="V859" s="1"/>
      <c r="W859" s="1"/>
      <c r="X859" s="1"/>
      <c r="Y859" s="1"/>
      <c r="Z859" s="1"/>
    </row>
    <row r="860" spans="1:26" ht="13.5" customHeight="1">
      <c r="A860" s="395" t="str">
        <f t="array" ref="A860">IF(C860&lt;&gt;0,INDEX(CodMat,MATCH(C860,Materiales,0),),)</f>
        <v>MAT_C-01</v>
      </c>
      <c r="B860" s="399"/>
      <c r="C860" s="1128" t="s">
        <v>1205</v>
      </c>
      <c r="D860" s="940"/>
      <c r="E860" s="940"/>
      <c r="F860" s="940"/>
      <c r="G860" s="940"/>
      <c r="H860" s="940"/>
      <c r="I860" s="941"/>
      <c r="J860" s="435" t="str">
        <f>IF($A860&gt;0,(VLOOKUP($A860,TablaInsumos,5,FALSE)),"")</f>
        <v>LT</v>
      </c>
      <c r="K860" s="436">
        <v>170</v>
      </c>
      <c r="L860" s="1134">
        <f>IF($A860&gt;0,(VLOOKUP($A860,TablaInsumos,7,FALSE)),"")</f>
        <v>46</v>
      </c>
      <c r="M860" s="941"/>
      <c r="N860" s="430">
        <f t="shared" ref="N860:N864" si="47">IF(K860&gt;0,L860*K860,"")</f>
        <v>7820</v>
      </c>
      <c r="O860" s="431"/>
      <c r="P860" s="1"/>
      <c r="Q860" s="1"/>
      <c r="R860" s="1"/>
      <c r="S860" s="1"/>
      <c r="T860" s="1"/>
      <c r="U860" s="1"/>
      <c r="V860" s="1"/>
      <c r="W860" s="1"/>
      <c r="X860" s="1"/>
      <c r="Y860" s="1"/>
      <c r="Z860" s="1"/>
    </row>
    <row r="861" spans="1:26" ht="13.5" customHeight="1">
      <c r="A861" s="395" t="str">
        <f t="array" ref="A861">IF(C861&lt;&gt;0,INDEX(CodMat,MATCH(C861,Materiales,0),),)</f>
        <v>MAT_C-03</v>
      </c>
      <c r="B861" s="399"/>
      <c r="C861" s="1128" t="s">
        <v>1206</v>
      </c>
      <c r="D861" s="940"/>
      <c r="E861" s="940"/>
      <c r="F861" s="940"/>
      <c r="G861" s="940"/>
      <c r="H861" s="940"/>
      <c r="I861" s="941"/>
      <c r="J861" s="435" t="str">
        <f>IF($A861&gt;0,(VLOOKUP($A861,TablaInsumos,5,FALSE)),"")</f>
        <v>M3</v>
      </c>
      <c r="K861" s="436">
        <v>0.52</v>
      </c>
      <c r="L861" s="1134">
        <f>IF($A861&gt;0,(VLOOKUP($A861,TablaInsumos,7,FALSE)),"")</f>
        <v>86414</v>
      </c>
      <c r="M861" s="941"/>
      <c r="N861" s="430">
        <f t="shared" si="47"/>
        <v>44935.28</v>
      </c>
      <c r="O861" s="431"/>
      <c r="P861" s="1"/>
      <c r="Q861" s="1"/>
      <c r="R861" s="1"/>
      <c r="S861" s="1"/>
      <c r="T861" s="1"/>
      <c r="U861" s="1"/>
      <c r="V861" s="1"/>
      <c r="W861" s="1"/>
      <c r="X861" s="1"/>
      <c r="Y861" s="1"/>
      <c r="Z861" s="1"/>
    </row>
    <row r="862" spans="1:26" ht="13.5" customHeight="1">
      <c r="A862" s="395" t="e">
        <f t="array" ref="A862">IF(C862&lt;&gt;0,INDEX(CodMat,MATCH(C862,Materiales,0),),)</f>
        <v>#N/A</v>
      </c>
      <c r="B862" s="399"/>
      <c r="C862" s="1128" t="s">
        <v>1233</v>
      </c>
      <c r="D862" s="940"/>
      <c r="E862" s="940"/>
      <c r="F862" s="940"/>
      <c r="G862" s="940"/>
      <c r="H862" s="940"/>
      <c r="I862" s="941"/>
      <c r="J862" s="435" t="e">
        <f>IF($A862&gt;0,(VLOOKUP($A862,TablaInsumos,5,FALSE)),"")</f>
        <v>#N/A</v>
      </c>
      <c r="K862" s="436">
        <v>0.9</v>
      </c>
      <c r="L862" s="1134" t="e">
        <f>IF($A862&gt;0,(VLOOKUP($A862,TablaInsumos,7,FALSE)),"")</f>
        <v>#N/A</v>
      </c>
      <c r="M862" s="941"/>
      <c r="N862" s="430" t="e">
        <f t="shared" si="47"/>
        <v>#N/A</v>
      </c>
      <c r="O862" s="431"/>
      <c r="P862" s="1"/>
      <c r="Q862" s="1"/>
      <c r="R862" s="1"/>
      <c r="S862" s="1"/>
      <c r="T862" s="1"/>
      <c r="U862" s="1"/>
      <c r="V862" s="1"/>
      <c r="W862" s="1"/>
      <c r="X862" s="1"/>
      <c r="Y862" s="1"/>
      <c r="Z862" s="1"/>
    </row>
    <row r="863" spans="1:26" ht="13.5" customHeight="1">
      <c r="A863" s="395" t="str">
        <f t="array" ref="A863">IF(C863&lt;&gt;0,INDEX(CodMat,MATCH(C863,Materiales,0),),)</f>
        <v>MAT_C-12</v>
      </c>
      <c r="B863" s="399"/>
      <c r="C863" s="1128" t="s">
        <v>1207</v>
      </c>
      <c r="D863" s="940"/>
      <c r="E863" s="940"/>
      <c r="F863" s="940"/>
      <c r="G863" s="940"/>
      <c r="H863" s="940"/>
      <c r="I863" s="941"/>
      <c r="J863" s="435" t="str">
        <f>IF($A863&gt;0,(VLOOKUP($A863,TablaInsumos,5,FALSE)),"")</f>
        <v>KG</v>
      </c>
      <c r="K863" s="436">
        <v>320</v>
      </c>
      <c r="L863" s="1134">
        <f>IF($A863&gt;0,(VLOOKUP($A863,TablaInsumos,7,FALSE)),"")</f>
        <v>1164</v>
      </c>
      <c r="M863" s="941"/>
      <c r="N863" s="430">
        <f t="shared" si="47"/>
        <v>372480</v>
      </c>
      <c r="O863" s="431"/>
      <c r="P863" s="1"/>
      <c r="Q863" s="1"/>
      <c r="R863" s="1"/>
      <c r="S863" s="1"/>
      <c r="T863" s="1"/>
      <c r="U863" s="1"/>
      <c r="V863" s="1"/>
      <c r="W863" s="1"/>
      <c r="X863" s="1"/>
      <c r="Y863" s="1"/>
      <c r="Z863" s="1"/>
    </row>
    <row r="864" spans="1:26" ht="13.5" customHeight="1">
      <c r="A864" s="395" t="str">
        <f t="array" ref="A864">IF(C864&lt;&gt;0,INDEX(CodMat,MATCH(C864,Materiales,0),),)</f>
        <v>MAT_EPYE-02</v>
      </c>
      <c r="B864" s="399"/>
      <c r="C864" s="1128" t="s">
        <v>1257</v>
      </c>
      <c r="D864" s="940"/>
      <c r="E864" s="940"/>
      <c r="F864" s="940"/>
      <c r="G864" s="940"/>
      <c r="H864" s="940"/>
      <c r="I864" s="941"/>
      <c r="J864" s="435" t="str">
        <f>IF($A864&gt;0,(VLOOKUP($A864,TablaInsumos,5,FALSE)),"")</f>
        <v>KG</v>
      </c>
      <c r="K864" s="436">
        <f>+(K863/50)</f>
        <v>6.4</v>
      </c>
      <c r="L864" s="1134">
        <f>IF($A864&gt;0,(VLOOKUP($A864,TablaInsumos,7,FALSE)),"")</f>
        <v>24367</v>
      </c>
      <c r="M864" s="941"/>
      <c r="N864" s="430">
        <f t="shared" si="47"/>
        <v>155948.80000000002</v>
      </c>
      <c r="O864" s="431"/>
      <c r="P864" s="1"/>
      <c r="Q864" s="1"/>
      <c r="R864" s="1"/>
      <c r="S864" s="1"/>
      <c r="T864" s="1"/>
      <c r="U864" s="1"/>
      <c r="V864" s="1"/>
      <c r="W864" s="1"/>
      <c r="X864" s="1"/>
      <c r="Y864" s="1"/>
      <c r="Z864" s="1"/>
    </row>
    <row r="865" spans="1:26" ht="13.5" customHeight="1">
      <c r="A865" s="395"/>
      <c r="B865" s="399"/>
      <c r="C865" s="1127" t="s">
        <v>1202</v>
      </c>
      <c r="D865" s="965"/>
      <c r="E865" s="965"/>
      <c r="F865" s="965"/>
      <c r="G865" s="965"/>
      <c r="H865" s="965"/>
      <c r="I865" s="965"/>
      <c r="J865" s="965"/>
      <c r="K865" s="965"/>
      <c r="L865" s="965"/>
      <c r="M865" s="966"/>
      <c r="N865" s="433" t="e">
        <f>+SUM(N860:N864)</f>
        <v>#N/A</v>
      </c>
      <c r="O865" s="431"/>
      <c r="P865" s="1"/>
      <c r="Q865" s="1"/>
      <c r="R865" s="1"/>
      <c r="S865" s="1"/>
      <c r="T865" s="1"/>
      <c r="U865" s="1"/>
      <c r="V865" s="1"/>
      <c r="W865" s="1"/>
      <c r="X865" s="1"/>
      <c r="Y865" s="1"/>
      <c r="Z865" s="1"/>
    </row>
    <row r="866" spans="1:26" ht="13.5" customHeight="1">
      <c r="A866" s="395"/>
      <c r="B866" s="399"/>
      <c r="C866" s="1129" t="s">
        <v>1208</v>
      </c>
      <c r="D866" s="926"/>
      <c r="E866" s="926"/>
      <c r="F866" s="926"/>
      <c r="G866" s="926"/>
      <c r="H866" s="926"/>
      <c r="I866" s="926"/>
      <c r="J866" s="926"/>
      <c r="K866" s="926"/>
      <c r="L866" s="926"/>
      <c r="M866" s="926"/>
      <c r="N866" s="927"/>
      <c r="O866" s="426"/>
      <c r="P866" s="1"/>
      <c r="Q866" s="1"/>
      <c r="R866" s="1"/>
      <c r="S866" s="1"/>
      <c r="T866" s="1"/>
      <c r="U866" s="1"/>
      <c r="V866" s="1"/>
      <c r="W866" s="1"/>
      <c r="X866" s="1"/>
      <c r="Y866" s="1"/>
      <c r="Z866" s="1"/>
    </row>
    <row r="867" spans="1:26" ht="13.5" customHeight="1">
      <c r="A867" s="395"/>
      <c r="B867" s="399"/>
      <c r="C867" s="920"/>
      <c r="D867" s="922"/>
      <c r="E867" s="922"/>
      <c r="F867" s="922"/>
      <c r="G867" s="922"/>
      <c r="H867" s="922"/>
      <c r="I867" s="922"/>
      <c r="J867" s="922"/>
      <c r="K867" s="922"/>
      <c r="L867" s="922"/>
      <c r="M867" s="922"/>
      <c r="N867" s="924"/>
      <c r="O867" s="426"/>
      <c r="P867" s="1"/>
      <c r="Q867" s="1"/>
      <c r="R867" s="1"/>
      <c r="S867" s="1"/>
      <c r="T867" s="1"/>
      <c r="U867" s="1"/>
      <c r="V867" s="1"/>
      <c r="W867" s="1"/>
      <c r="X867" s="1"/>
      <c r="Y867" s="1"/>
      <c r="Z867" s="1"/>
    </row>
    <row r="868" spans="1:26" ht="13.5" customHeight="1">
      <c r="A868" s="395"/>
      <c r="B868" s="399"/>
      <c r="C868" s="929"/>
      <c r="D868" s="936"/>
      <c r="E868" s="936"/>
      <c r="F868" s="936"/>
      <c r="G868" s="936"/>
      <c r="H868" s="936"/>
      <c r="I868" s="936"/>
      <c r="J868" s="936"/>
      <c r="K868" s="936"/>
      <c r="L868" s="936"/>
      <c r="M868" s="936"/>
      <c r="N868" s="938"/>
      <c r="O868" s="426"/>
      <c r="P868" s="1"/>
      <c r="Q868" s="1"/>
      <c r="R868" s="1"/>
      <c r="S868" s="1"/>
      <c r="T868" s="1"/>
      <c r="U868" s="1"/>
      <c r="V868" s="1"/>
      <c r="W868" s="1"/>
      <c r="X868" s="1"/>
      <c r="Y868" s="1"/>
      <c r="Z868" s="1"/>
    </row>
    <row r="869" spans="1:26" ht="13.5" customHeight="1">
      <c r="A869" s="395"/>
      <c r="B869" s="399"/>
      <c r="C869" s="1130" t="s">
        <v>1209</v>
      </c>
      <c r="D869" s="1131"/>
      <c r="E869" s="1131"/>
      <c r="F869" s="1131"/>
      <c r="G869" s="1131"/>
      <c r="H869" s="1132"/>
      <c r="I869" s="427" t="s">
        <v>1210</v>
      </c>
      <c r="J869" s="438" t="s">
        <v>1211</v>
      </c>
      <c r="K869" s="439" t="s">
        <v>1258</v>
      </c>
      <c r="L869" s="1135" t="s">
        <v>1213</v>
      </c>
      <c r="M869" s="1000"/>
      <c r="N869" s="428" t="s">
        <v>1200</v>
      </c>
      <c r="O869" s="419"/>
      <c r="P869" s="1"/>
      <c r="Q869" s="1"/>
      <c r="R869" s="1"/>
      <c r="S869" s="1"/>
      <c r="T869" s="1"/>
      <c r="U869" s="1"/>
      <c r="V869" s="1"/>
      <c r="W869" s="1"/>
      <c r="X869" s="1"/>
      <c r="Y869" s="1"/>
      <c r="Z869" s="1"/>
    </row>
    <row r="870" spans="1:26" ht="13.5" customHeight="1">
      <c r="A870" s="395" t="str">
        <f t="array" ref="A870">IF(C870&lt;&gt;0,INDEX(CodTransporte,MATCH(C870,Transporte,0),),)</f>
        <v>T-03</v>
      </c>
      <c r="B870" s="399"/>
      <c r="C870" s="1128" t="s">
        <v>859</v>
      </c>
      <c r="D870" s="940"/>
      <c r="E870" s="940"/>
      <c r="F870" s="940"/>
      <c r="G870" s="940"/>
      <c r="H870" s="940"/>
      <c r="I870" s="440">
        <f>+K861+K862</f>
        <v>1.42</v>
      </c>
      <c r="J870" s="441">
        <f>IF($A870&gt;0,(VLOOKUP($A870,TablaTransporte,6,FALSE)),"")</f>
        <v>50.849999999999994</v>
      </c>
      <c r="K870" s="442" t="str">
        <f>IF($A870&gt;0,(VLOOKUP($A870,TablaTransporte,5,FALSE)),"")</f>
        <v>M3-KM</v>
      </c>
      <c r="L870" s="1134">
        <f>IF($A870&gt;0,(VLOOKUP($A870,TablaTransporte,7,FALSE)),"")</f>
        <v>2332.3500491642089</v>
      </c>
      <c r="M870" s="941"/>
      <c r="N870" s="430">
        <f t="shared" ref="N870:N871" si="48">IF(I870&gt;0,J870*L870*I870,"")</f>
        <v>168412</v>
      </c>
      <c r="O870" s="431"/>
      <c r="P870" s="1"/>
      <c r="Q870" s="1"/>
      <c r="R870" s="1"/>
      <c r="S870" s="1"/>
      <c r="T870" s="1"/>
      <c r="U870" s="1"/>
      <c r="V870" s="1"/>
      <c r="W870" s="1"/>
      <c r="X870" s="1"/>
      <c r="Y870" s="1"/>
      <c r="Z870" s="1"/>
    </row>
    <row r="871" spans="1:26" ht="13.5" customHeight="1">
      <c r="A871" s="395" t="str">
        <f t="array" ref="A871">IF(C871&lt;&gt;0,INDEX(CodTransporte,MATCH(C871,Transporte,0),),)</f>
        <v>T-02</v>
      </c>
      <c r="B871" s="399"/>
      <c r="C871" s="1128" t="s">
        <v>857</v>
      </c>
      <c r="D871" s="940"/>
      <c r="E871" s="940"/>
      <c r="F871" s="940"/>
      <c r="G871" s="940"/>
      <c r="H871" s="940"/>
      <c r="I871" s="440">
        <f>+(K863/50)*0.035</f>
        <v>0.22400000000000003</v>
      </c>
      <c r="J871" s="441">
        <f>IF($A871&gt;0,(VLOOKUP($A871,TablaTransporte,6,FALSE)),"")</f>
        <v>50.849999999999994</v>
      </c>
      <c r="K871" s="442" t="str">
        <f>IF($A871&gt;0,(VLOOKUP($A871,TablaTransporte,5,FALSE)),"")</f>
        <v>M3-KM</v>
      </c>
      <c r="L871" s="1134">
        <f>IF($A871&gt;0,(VLOOKUP($A871,TablaTransporte,7,FALSE)),"")</f>
        <v>2332.3500491642089</v>
      </c>
      <c r="M871" s="941"/>
      <c r="N871" s="430">
        <f t="shared" si="48"/>
        <v>26566.400000000009</v>
      </c>
      <c r="O871" s="431"/>
      <c r="P871" s="1"/>
      <c r="Q871" s="1"/>
      <c r="R871" s="1"/>
      <c r="S871" s="1"/>
      <c r="T871" s="1"/>
      <c r="U871" s="1"/>
      <c r="V871" s="1"/>
      <c r="W871" s="1"/>
      <c r="X871" s="1"/>
      <c r="Y871" s="1"/>
      <c r="Z871" s="1"/>
    </row>
    <row r="872" spans="1:26" ht="13.5" customHeight="1">
      <c r="A872" s="395"/>
      <c r="B872" s="399"/>
      <c r="C872" s="1127" t="s">
        <v>1202</v>
      </c>
      <c r="D872" s="965"/>
      <c r="E872" s="965"/>
      <c r="F872" s="965"/>
      <c r="G872" s="965"/>
      <c r="H872" s="965"/>
      <c r="I872" s="965"/>
      <c r="J872" s="965"/>
      <c r="K872" s="965"/>
      <c r="L872" s="965"/>
      <c r="M872" s="966"/>
      <c r="N872" s="433">
        <f>+SUM(N870:N871)</f>
        <v>194978.40000000002</v>
      </c>
      <c r="O872" s="431"/>
      <c r="P872" s="1"/>
      <c r="Q872" s="1"/>
      <c r="R872" s="1"/>
      <c r="S872" s="1"/>
      <c r="T872" s="1"/>
      <c r="U872" s="1"/>
      <c r="V872" s="1"/>
      <c r="W872" s="1"/>
      <c r="X872" s="1"/>
      <c r="Y872" s="1"/>
      <c r="Z872" s="1"/>
    </row>
    <row r="873" spans="1:26" ht="13.5" customHeight="1">
      <c r="A873" s="395"/>
      <c r="B873" s="399"/>
      <c r="C873" s="1129" t="s">
        <v>1214</v>
      </c>
      <c r="D873" s="926"/>
      <c r="E873" s="926"/>
      <c r="F873" s="926"/>
      <c r="G873" s="926"/>
      <c r="H873" s="926"/>
      <c r="I873" s="926"/>
      <c r="J873" s="926"/>
      <c r="K873" s="926"/>
      <c r="L873" s="926"/>
      <c r="M873" s="926"/>
      <c r="N873" s="927"/>
      <c r="O873" s="426"/>
      <c r="P873" s="1"/>
      <c r="Q873" s="1"/>
      <c r="R873" s="1"/>
      <c r="S873" s="1"/>
      <c r="T873" s="1"/>
      <c r="U873" s="1"/>
      <c r="V873" s="1"/>
      <c r="W873" s="1"/>
      <c r="X873" s="1"/>
      <c r="Y873" s="1"/>
      <c r="Z873" s="1"/>
    </row>
    <row r="874" spans="1:26" ht="13.5" customHeight="1">
      <c r="A874" s="395"/>
      <c r="B874" s="399"/>
      <c r="C874" s="920"/>
      <c r="D874" s="922"/>
      <c r="E874" s="922"/>
      <c r="F874" s="922"/>
      <c r="G874" s="922"/>
      <c r="H874" s="922"/>
      <c r="I874" s="922"/>
      <c r="J874" s="922"/>
      <c r="K874" s="922"/>
      <c r="L874" s="922"/>
      <c r="M874" s="922"/>
      <c r="N874" s="924"/>
      <c r="O874" s="426"/>
      <c r="P874" s="1"/>
      <c r="Q874" s="1"/>
      <c r="R874" s="1"/>
      <c r="S874" s="1"/>
      <c r="T874" s="1"/>
      <c r="U874" s="1"/>
      <c r="V874" s="1"/>
      <c r="W874" s="1"/>
      <c r="X874" s="1"/>
      <c r="Y874" s="1"/>
      <c r="Z874" s="1"/>
    </row>
    <row r="875" spans="1:26" ht="13.5" customHeight="1">
      <c r="A875" s="395"/>
      <c r="B875" s="399"/>
      <c r="C875" s="929"/>
      <c r="D875" s="936"/>
      <c r="E875" s="936"/>
      <c r="F875" s="936"/>
      <c r="G875" s="936"/>
      <c r="H875" s="936"/>
      <c r="I875" s="936"/>
      <c r="J875" s="936"/>
      <c r="K875" s="936"/>
      <c r="L875" s="936"/>
      <c r="M875" s="936"/>
      <c r="N875" s="938"/>
      <c r="O875" s="426"/>
      <c r="P875" s="1"/>
      <c r="Q875" s="1"/>
      <c r="R875" s="1"/>
      <c r="S875" s="1"/>
      <c r="T875" s="1"/>
      <c r="U875" s="1"/>
      <c r="V875" s="1"/>
      <c r="W875" s="1"/>
      <c r="X875" s="1"/>
      <c r="Y875" s="1"/>
      <c r="Z875" s="1"/>
    </row>
    <row r="876" spans="1:26" ht="13.5" customHeight="1">
      <c r="A876" s="395"/>
      <c r="B876" s="399"/>
      <c r="C876" s="1130" t="s">
        <v>1215</v>
      </c>
      <c r="D876" s="1131"/>
      <c r="E876" s="1131"/>
      <c r="F876" s="1131"/>
      <c r="G876" s="1131"/>
      <c r="H876" s="1132"/>
      <c r="I876" s="427" t="s">
        <v>1216</v>
      </c>
      <c r="J876" s="443" t="s">
        <v>1217</v>
      </c>
      <c r="K876" s="444" t="s">
        <v>1218</v>
      </c>
      <c r="L876" s="1133" t="s">
        <v>1199</v>
      </c>
      <c r="M876" s="1000"/>
      <c r="N876" s="445" t="s">
        <v>1200</v>
      </c>
      <c r="O876" s="446"/>
      <c r="P876" s="1"/>
      <c r="Q876" s="1"/>
      <c r="R876" s="1"/>
      <c r="S876" s="1"/>
      <c r="T876" s="1"/>
      <c r="U876" s="1"/>
      <c r="V876" s="1"/>
      <c r="W876" s="1"/>
      <c r="X876" s="1"/>
      <c r="Y876" s="1"/>
      <c r="Z876" s="1"/>
    </row>
    <row r="877" spans="1:26" ht="13.5" customHeight="1">
      <c r="A877" s="395" t="str">
        <f t="array" ref="A877">IF(C877&lt;&gt;0,INDEX(CodMO,MATCH(C877,MO,0),),)</f>
        <v>M.O-05</v>
      </c>
      <c r="B877" s="399"/>
      <c r="C877" s="1128" t="s">
        <v>139</v>
      </c>
      <c r="D877" s="940"/>
      <c r="E877" s="940"/>
      <c r="F877" s="940"/>
      <c r="G877" s="940"/>
      <c r="H877" s="940"/>
      <c r="I877" s="447">
        <f>IF($A877&gt;0,(VLOOKUP($A877,TablaMO,8,FALSE)),"")</f>
        <v>125030.16666666667</v>
      </c>
      <c r="J877" s="448">
        <f>IF($A877&gt;0,(VLOOKUP($A877,TablaMO,10,FALSE)),"")</f>
        <v>0.67071666666666663</v>
      </c>
      <c r="K877" s="447">
        <f>IF($A877&gt;0,(VLOOKUP($A877,TablaMO,11,FALSE)),"")</f>
        <v>208890</v>
      </c>
      <c r="L877" s="1146">
        <v>6</v>
      </c>
      <c r="M877" s="941"/>
      <c r="N877" s="430">
        <f t="shared" ref="N877:N881" si="49">IF(L877&gt;0,K877/L877,"")</f>
        <v>34815</v>
      </c>
      <c r="O877" s="449"/>
      <c r="P877" s="1"/>
      <c r="Q877" s="1"/>
      <c r="R877" s="1"/>
      <c r="S877" s="1"/>
      <c r="T877" s="1"/>
      <c r="U877" s="1"/>
      <c r="V877" s="1"/>
      <c r="W877" s="1"/>
      <c r="X877" s="1"/>
      <c r="Y877" s="1"/>
      <c r="Z877" s="1"/>
    </row>
    <row r="878" spans="1:26" ht="13.5" customHeight="1">
      <c r="A878" s="395" t="str">
        <f t="array" ref="A878">IF(C878&lt;&gt;0,INDEX(CodMO,MATCH(C878,MO,0),),)</f>
        <v>M.O-01</v>
      </c>
      <c r="B878" s="399"/>
      <c r="C878" s="1128" t="s">
        <v>130</v>
      </c>
      <c r="D878" s="940"/>
      <c r="E878" s="940"/>
      <c r="F878" s="940"/>
      <c r="G878" s="940"/>
      <c r="H878" s="940"/>
      <c r="I878" s="447">
        <f>IF($A878&gt;0,(VLOOKUP($A878,TablaMO,8,FALSE)),"")</f>
        <v>72503.016666666677</v>
      </c>
      <c r="J878" s="448">
        <f>IF($A878&gt;0,(VLOOKUP($A878,TablaMO,10,FALSE)),"")</f>
        <v>0.67071666666666663</v>
      </c>
      <c r="K878" s="447">
        <f>IF($A878&gt;0,(VLOOKUP($A878,TablaMO,11,FALSE)),"")</f>
        <v>121132</v>
      </c>
      <c r="L878" s="1146">
        <f>L877</f>
        <v>6</v>
      </c>
      <c r="M878" s="941"/>
      <c r="N878" s="430">
        <f t="shared" si="49"/>
        <v>20188.666666666668</v>
      </c>
      <c r="O878" s="449"/>
      <c r="P878" s="1"/>
      <c r="Q878" s="1"/>
      <c r="R878" s="1"/>
      <c r="S878" s="1"/>
      <c r="T878" s="1"/>
      <c r="U878" s="1"/>
      <c r="V878" s="1"/>
      <c r="W878" s="1"/>
      <c r="X878" s="1"/>
      <c r="Y878" s="1"/>
      <c r="Z878" s="1"/>
    </row>
    <row r="879" spans="1:26" ht="13.5" customHeight="1">
      <c r="A879" s="395" t="str">
        <f t="array" ref="A879">IF(C879&lt;&gt;0,INDEX(CodMO,MATCH(C879,MO,0),),)</f>
        <v>M.O-02</v>
      </c>
      <c r="B879" s="399"/>
      <c r="C879" s="1128" t="s">
        <v>133</v>
      </c>
      <c r="D879" s="940"/>
      <c r="E879" s="940"/>
      <c r="F879" s="940"/>
      <c r="G879" s="940"/>
      <c r="H879" s="940"/>
      <c r="I879" s="447">
        <f>IF($A879&gt;0,(VLOOKUP($A879,TablaMO,8,FALSE)),"")</f>
        <v>72503.016666666677</v>
      </c>
      <c r="J879" s="448">
        <f>IF($A879&gt;0,(VLOOKUP($A879,TablaMO,10,FALSE)),"")</f>
        <v>0.67071666666666663</v>
      </c>
      <c r="K879" s="447">
        <f>IF($A879&gt;0,(VLOOKUP($A879,TablaMO,11,FALSE)),"")</f>
        <v>121132</v>
      </c>
      <c r="L879" s="1146">
        <f t="shared" ref="L879:L880" si="50">L877</f>
        <v>6</v>
      </c>
      <c r="M879" s="941"/>
      <c r="N879" s="430">
        <f t="shared" si="49"/>
        <v>20188.666666666668</v>
      </c>
      <c r="O879" s="449"/>
      <c r="P879" s="1"/>
      <c r="Q879" s="1"/>
      <c r="R879" s="1"/>
      <c r="S879" s="1"/>
      <c r="T879" s="1"/>
      <c r="U879" s="1"/>
      <c r="V879" s="1"/>
      <c r="W879" s="1"/>
      <c r="X879" s="1"/>
      <c r="Y879" s="1"/>
      <c r="Z879" s="1"/>
    </row>
    <row r="880" spans="1:26" ht="13.5" customHeight="1">
      <c r="A880" s="395" t="str">
        <f t="array" ref="A880">IF(C880&lt;&gt;0,INDEX(CodMO,MATCH(C880,MO,0),),)</f>
        <v>M.O-03</v>
      </c>
      <c r="B880" s="399"/>
      <c r="C880" s="1128" t="s">
        <v>135</v>
      </c>
      <c r="D880" s="940"/>
      <c r="E880" s="940"/>
      <c r="F880" s="940"/>
      <c r="G880" s="940"/>
      <c r="H880" s="940"/>
      <c r="I880" s="447">
        <f>IF($A880&gt;0,(VLOOKUP($A880,TablaMO,8,FALSE)),"")</f>
        <v>72503.016666666677</v>
      </c>
      <c r="J880" s="448">
        <f>IF($A880&gt;0,(VLOOKUP($A880,TablaMO,10,FALSE)),"")</f>
        <v>0.67071666666666663</v>
      </c>
      <c r="K880" s="447">
        <f>IF($A880&gt;0,(VLOOKUP($A880,TablaMO,11,FALSE)),"")</f>
        <v>121132</v>
      </c>
      <c r="L880" s="1146">
        <f t="shared" si="50"/>
        <v>6</v>
      </c>
      <c r="M880" s="941"/>
      <c r="N880" s="430">
        <f t="shared" si="49"/>
        <v>20188.666666666668</v>
      </c>
      <c r="O880" s="449"/>
      <c r="P880" s="1"/>
      <c r="Q880" s="1"/>
      <c r="R880" s="1"/>
      <c r="S880" s="1"/>
      <c r="T880" s="1"/>
      <c r="U880" s="1"/>
      <c r="V880" s="1"/>
      <c r="W880" s="1"/>
      <c r="X880" s="1"/>
      <c r="Y880" s="1"/>
      <c r="Z880" s="1"/>
    </row>
    <row r="881" spans="1:26" ht="13.5" customHeight="1">
      <c r="A881" s="395" t="str">
        <f t="array" ref="A881">IF(C881&lt;&gt;0,INDEX(CodMO,MATCH(C881,MO,0),),)</f>
        <v>M.O-04</v>
      </c>
      <c r="B881" s="399"/>
      <c r="C881" s="1152" t="s">
        <v>137</v>
      </c>
      <c r="D881" s="945"/>
      <c r="E881" s="945"/>
      <c r="F881" s="945"/>
      <c r="G881" s="945"/>
      <c r="H881" s="945"/>
      <c r="I881" s="474">
        <f>IF($A881&gt;0,(VLOOKUP($A881,TablaMO,8,FALSE)),"")</f>
        <v>72503.016666666677</v>
      </c>
      <c r="J881" s="475">
        <f>IF($A881&gt;0,(VLOOKUP($A881,TablaMO,10,FALSE)),"")</f>
        <v>0.67071666666666663</v>
      </c>
      <c r="K881" s="474">
        <f>IF($A881&gt;0,(VLOOKUP($A881,TablaMO,11,FALSE)),"")</f>
        <v>121132</v>
      </c>
      <c r="L881" s="1153">
        <f>L877</f>
        <v>6</v>
      </c>
      <c r="M881" s="1039"/>
      <c r="N881" s="430">
        <f t="shared" si="49"/>
        <v>20188.666666666668</v>
      </c>
      <c r="O881" s="449"/>
      <c r="P881" s="1"/>
      <c r="Q881" s="1"/>
      <c r="R881" s="1"/>
      <c r="S881" s="1"/>
      <c r="T881" s="1"/>
      <c r="U881" s="1"/>
      <c r="V881" s="1"/>
      <c r="W881" s="1"/>
      <c r="X881" s="1"/>
      <c r="Y881" s="1"/>
      <c r="Z881" s="1"/>
    </row>
    <row r="882" spans="1:26" ht="13.5" customHeight="1">
      <c r="A882" s="395"/>
      <c r="B882" s="399"/>
      <c r="C882" s="1127" t="s">
        <v>1202</v>
      </c>
      <c r="D882" s="965"/>
      <c r="E882" s="965"/>
      <c r="F882" s="965"/>
      <c r="G882" s="965"/>
      <c r="H882" s="965"/>
      <c r="I882" s="965"/>
      <c r="J882" s="965"/>
      <c r="K882" s="965"/>
      <c r="L882" s="965"/>
      <c r="M882" s="966"/>
      <c r="N882" s="476">
        <f>+SUM(N877:N881)</f>
        <v>115569.66666666669</v>
      </c>
      <c r="O882" s="431"/>
      <c r="P882" s="1"/>
      <c r="Q882" s="1"/>
      <c r="R882" s="1"/>
      <c r="S882" s="1"/>
      <c r="T882" s="1"/>
      <c r="U882" s="1"/>
      <c r="V882" s="1"/>
      <c r="W882" s="1"/>
      <c r="X882" s="1"/>
      <c r="Y882" s="1"/>
      <c r="Z882" s="1"/>
    </row>
    <row r="883" spans="1:26" ht="13.5" customHeight="1">
      <c r="A883" s="395"/>
      <c r="B883" s="399"/>
      <c r="C883" s="418"/>
      <c r="D883" s="39"/>
      <c r="E883" s="39"/>
      <c r="F883" s="39"/>
      <c r="G883" s="39"/>
      <c r="H883" s="39"/>
      <c r="I883" s="39"/>
      <c r="J883" s="39"/>
      <c r="K883" s="39"/>
      <c r="L883" s="39"/>
      <c r="M883" s="39"/>
      <c r="N883" s="40"/>
      <c r="O883" s="402"/>
      <c r="P883" s="1"/>
      <c r="Q883" s="1"/>
      <c r="R883" s="1"/>
      <c r="S883" s="1"/>
      <c r="T883" s="1"/>
      <c r="U883" s="1"/>
      <c r="V883" s="1"/>
      <c r="W883" s="1"/>
      <c r="X883" s="1"/>
      <c r="Y883" s="1"/>
      <c r="Z883" s="1"/>
    </row>
    <row r="884" spans="1:26" ht="13.5" customHeight="1">
      <c r="A884" s="395"/>
      <c r="B884" s="399"/>
      <c r="C884" s="1147" t="s">
        <v>1219</v>
      </c>
      <c r="D884" s="965"/>
      <c r="E884" s="965"/>
      <c r="F884" s="965"/>
      <c r="G884" s="965"/>
      <c r="H884" s="965"/>
      <c r="I884" s="965"/>
      <c r="J884" s="965"/>
      <c r="K884" s="965"/>
      <c r="L884" s="965"/>
      <c r="M884" s="966"/>
      <c r="N884" s="450" t="e">
        <f>+SUM(N882,N872,N865,N855)</f>
        <v>#N/A</v>
      </c>
      <c r="O884" s="451"/>
      <c r="P884" s="1"/>
      <c r="Q884" s="1"/>
      <c r="R884" s="1"/>
      <c r="S884" s="1"/>
      <c r="T884" s="1"/>
      <c r="U884" s="1"/>
      <c r="V884" s="1"/>
      <c r="W884" s="1"/>
      <c r="X884" s="1"/>
      <c r="Y884" s="1"/>
      <c r="Z884" s="1"/>
    </row>
    <row r="885" spans="1:26" ht="13.5" customHeight="1">
      <c r="A885" s="395"/>
      <c r="B885" s="399"/>
      <c r="C885" s="1129" t="s">
        <v>1220</v>
      </c>
      <c r="D885" s="926"/>
      <c r="E885" s="926"/>
      <c r="F885" s="926"/>
      <c r="G885" s="926"/>
      <c r="H885" s="926"/>
      <c r="I885" s="926"/>
      <c r="J885" s="926"/>
      <c r="K885" s="926"/>
      <c r="L885" s="926"/>
      <c r="M885" s="926"/>
      <c r="N885" s="927"/>
      <c r="O885" s="426"/>
      <c r="P885" s="1"/>
      <c r="Q885" s="1"/>
      <c r="R885" s="1"/>
      <c r="S885" s="1"/>
      <c r="T885" s="1"/>
      <c r="U885" s="1"/>
      <c r="V885" s="1"/>
      <c r="W885" s="1"/>
      <c r="X885" s="1"/>
      <c r="Y885" s="1"/>
      <c r="Z885" s="1"/>
    </row>
    <row r="886" spans="1:26" ht="13.5" customHeight="1">
      <c r="A886" s="395"/>
      <c r="B886" s="399"/>
      <c r="C886" s="920"/>
      <c r="D886" s="922"/>
      <c r="E886" s="922"/>
      <c r="F886" s="922"/>
      <c r="G886" s="922"/>
      <c r="H886" s="922"/>
      <c r="I886" s="922"/>
      <c r="J886" s="922"/>
      <c r="K886" s="922"/>
      <c r="L886" s="922"/>
      <c r="M886" s="922"/>
      <c r="N886" s="924"/>
      <c r="O886" s="426"/>
      <c r="P886" s="1"/>
      <c r="Q886" s="1"/>
      <c r="R886" s="1"/>
      <c r="S886" s="1"/>
      <c r="T886" s="1"/>
      <c r="U886" s="1"/>
      <c r="V886" s="1"/>
      <c r="W886" s="1"/>
      <c r="X886" s="1"/>
      <c r="Y886" s="1"/>
      <c r="Z886" s="1"/>
    </row>
    <row r="887" spans="1:26" ht="13.5" customHeight="1">
      <c r="A887" s="395"/>
      <c r="B887" s="399"/>
      <c r="C887" s="929"/>
      <c r="D887" s="936"/>
      <c r="E887" s="936"/>
      <c r="F887" s="936"/>
      <c r="G887" s="936"/>
      <c r="H887" s="936"/>
      <c r="I887" s="936"/>
      <c r="J887" s="936"/>
      <c r="K887" s="936"/>
      <c r="L887" s="936"/>
      <c r="M887" s="936"/>
      <c r="N887" s="938"/>
      <c r="O887" s="426"/>
      <c r="P887" s="1"/>
      <c r="Q887" s="1"/>
      <c r="R887" s="1"/>
      <c r="S887" s="1"/>
      <c r="T887" s="1"/>
      <c r="U887" s="1"/>
      <c r="V887" s="1"/>
      <c r="W887" s="1"/>
      <c r="X887" s="1"/>
      <c r="Y887" s="1"/>
      <c r="Z887" s="1"/>
    </row>
    <row r="888" spans="1:26" ht="13.5" customHeight="1">
      <c r="A888" s="395"/>
      <c r="B888" s="399"/>
      <c r="C888" s="1130" t="s">
        <v>1221</v>
      </c>
      <c r="D888" s="1131"/>
      <c r="E888" s="1131"/>
      <c r="F888" s="1131"/>
      <c r="G888" s="1131"/>
      <c r="H888" s="1132"/>
      <c r="I888" s="438"/>
      <c r="J888" s="438"/>
      <c r="K888" s="438"/>
      <c r="L888" s="1133" t="s">
        <v>1222</v>
      </c>
      <c r="M888" s="1000"/>
      <c r="N888" s="445" t="s">
        <v>1223</v>
      </c>
      <c r="O888" s="446"/>
      <c r="P888" s="1"/>
      <c r="Q888" s="1"/>
      <c r="R888" s="1"/>
      <c r="S888" s="1"/>
      <c r="T888" s="1"/>
      <c r="U888" s="1"/>
      <c r="V888" s="1"/>
      <c r="W888" s="1"/>
      <c r="X888" s="1"/>
      <c r="Y888" s="1"/>
      <c r="Z888" s="1"/>
    </row>
    <row r="889" spans="1:26" ht="13.5" customHeight="1">
      <c r="A889" s="395"/>
      <c r="B889" s="399"/>
      <c r="C889" s="1128" t="s">
        <v>19</v>
      </c>
      <c r="D889" s="940"/>
      <c r="E889" s="940"/>
      <c r="F889" s="940"/>
      <c r="G889" s="940"/>
      <c r="H889" s="940"/>
      <c r="I889" s="452"/>
      <c r="J889" s="452"/>
      <c r="K889" s="452"/>
      <c r="L889" s="1148">
        <f>+Datos!$E$18</f>
        <v>0.25</v>
      </c>
      <c r="M889" s="941"/>
      <c r="N889" s="430" t="e">
        <f>+L889*N884</f>
        <v>#N/A</v>
      </c>
      <c r="O889" s="453"/>
      <c r="P889" s="1"/>
      <c r="Q889" s="1"/>
      <c r="R889" s="1"/>
      <c r="S889" s="1"/>
      <c r="T889" s="1"/>
      <c r="U889" s="1"/>
      <c r="V889" s="1"/>
      <c r="W889" s="1"/>
      <c r="X889" s="1"/>
      <c r="Y889" s="1"/>
      <c r="Z889" s="1"/>
    </row>
    <row r="890" spans="1:26" ht="13.5" customHeight="1">
      <c r="A890" s="395"/>
      <c r="B890" s="399"/>
      <c r="C890" s="454" t="s">
        <v>20</v>
      </c>
      <c r="D890" s="455"/>
      <c r="E890" s="455"/>
      <c r="F890" s="455"/>
      <c r="G890" s="455"/>
      <c r="H890" s="455"/>
      <c r="I890" s="452"/>
      <c r="J890" s="452"/>
      <c r="K890" s="452"/>
      <c r="L890" s="1148">
        <f>+Datos!$E$19</f>
        <v>0.01</v>
      </c>
      <c r="M890" s="941"/>
      <c r="N890" s="430" t="e">
        <f>+L890*N884</f>
        <v>#N/A</v>
      </c>
      <c r="O890" s="453"/>
      <c r="P890" s="1"/>
      <c r="Q890" s="1"/>
      <c r="R890" s="1"/>
      <c r="S890" s="1"/>
      <c r="T890" s="1"/>
      <c r="U890" s="1"/>
      <c r="V890" s="1"/>
      <c r="W890" s="1"/>
      <c r="X890" s="1"/>
      <c r="Y890" s="1"/>
      <c r="Z890" s="1"/>
    </row>
    <row r="891" spans="1:26" ht="13.5" customHeight="1">
      <c r="A891" s="395"/>
      <c r="B891" s="399"/>
      <c r="C891" s="456" t="s">
        <v>21</v>
      </c>
      <c r="D891" s="457"/>
      <c r="E891" s="457"/>
      <c r="F891" s="457"/>
      <c r="G891" s="457"/>
      <c r="H891" s="457"/>
      <c r="I891" s="458"/>
      <c r="J891" s="458"/>
      <c r="K891" s="458"/>
      <c r="L891" s="1148">
        <f>+Datos!$E$20</f>
        <v>0.05</v>
      </c>
      <c r="M891" s="941"/>
      <c r="N891" s="430" t="e">
        <f>+L891*N884</f>
        <v>#N/A</v>
      </c>
      <c r="O891" s="453"/>
      <c r="P891" s="1"/>
      <c r="Q891" s="1"/>
      <c r="R891" s="1"/>
      <c r="S891" s="1"/>
      <c r="T891" s="1"/>
      <c r="U891" s="1"/>
      <c r="V891" s="1"/>
      <c r="W891" s="1"/>
      <c r="X891" s="1"/>
      <c r="Y891" s="1"/>
      <c r="Z891" s="1"/>
    </row>
    <row r="892" spans="1:26" ht="13.5" customHeight="1">
      <c r="A892" s="395"/>
      <c r="B892" s="399"/>
      <c r="C892" s="1127" t="s">
        <v>1202</v>
      </c>
      <c r="D892" s="965"/>
      <c r="E892" s="965"/>
      <c r="F892" s="965"/>
      <c r="G892" s="965"/>
      <c r="H892" s="965"/>
      <c r="I892" s="965"/>
      <c r="J892" s="965"/>
      <c r="K892" s="965"/>
      <c r="L892" s="965"/>
      <c r="M892" s="966"/>
      <c r="N892" s="433" t="e">
        <f>+SUM(N889:N891)</f>
        <v>#N/A</v>
      </c>
      <c r="O892" s="453"/>
      <c r="P892" s="1"/>
      <c r="Q892" s="1"/>
      <c r="R892" s="1"/>
      <c r="S892" s="1"/>
      <c r="T892" s="1"/>
      <c r="U892" s="1"/>
      <c r="V892" s="1"/>
      <c r="W892" s="1"/>
      <c r="X892" s="1"/>
      <c r="Y892" s="1"/>
      <c r="Z892" s="1"/>
    </row>
    <row r="893" spans="1:26" ht="13.5" customHeight="1">
      <c r="A893" s="395"/>
      <c r="B893" s="399"/>
      <c r="C893" s="418"/>
      <c r="D893" s="39"/>
      <c r="E893" s="39"/>
      <c r="F893" s="39"/>
      <c r="G893" s="39"/>
      <c r="H893" s="39"/>
      <c r="I893" s="39"/>
      <c r="J893" s="39"/>
      <c r="K893" s="39"/>
      <c r="L893" s="39"/>
      <c r="M893" s="39"/>
      <c r="N893" s="40"/>
      <c r="O893" s="402"/>
      <c r="P893" s="1"/>
      <c r="Q893" s="1"/>
      <c r="R893" s="1"/>
      <c r="S893" s="1"/>
      <c r="T893" s="1"/>
      <c r="U893" s="1"/>
      <c r="V893" s="1"/>
      <c r="W893" s="1"/>
      <c r="X893" s="1"/>
      <c r="Y893" s="1"/>
      <c r="Z893" s="1"/>
    </row>
    <row r="894" spans="1:26" ht="13.5" customHeight="1">
      <c r="A894" s="395"/>
      <c r="B894" s="399"/>
      <c r="C894" s="1147" t="s">
        <v>1224</v>
      </c>
      <c r="D894" s="965"/>
      <c r="E894" s="965"/>
      <c r="F894" s="965"/>
      <c r="G894" s="965"/>
      <c r="H894" s="965"/>
      <c r="I894" s="965"/>
      <c r="J894" s="965"/>
      <c r="K894" s="965"/>
      <c r="L894" s="965"/>
      <c r="M894" s="966"/>
      <c r="N894" s="459" t="e">
        <f>+ROUND(SUM(N892,N884),0)</f>
        <v>#N/A</v>
      </c>
      <c r="O894" s="453"/>
      <c r="P894" s="1"/>
      <c r="Q894" s="1"/>
      <c r="R894" s="1"/>
      <c r="S894" s="1"/>
      <c r="T894" s="1"/>
      <c r="U894" s="1"/>
      <c r="V894" s="1"/>
      <c r="W894" s="1"/>
      <c r="X894" s="1"/>
      <c r="Y894" s="1"/>
      <c r="Z894" s="1"/>
    </row>
    <row r="895" spans="1:26" ht="13.5" customHeight="1">
      <c r="A895" s="395"/>
      <c r="B895" s="399"/>
      <c r="C895" s="460"/>
      <c r="D895" s="461"/>
      <c r="E895" s="461"/>
      <c r="F895" s="461"/>
      <c r="G895" s="461"/>
      <c r="H895" s="461"/>
      <c r="I895" s="461"/>
      <c r="J895" s="461"/>
      <c r="K895" s="461"/>
      <c r="L895" s="461"/>
      <c r="M895" s="461"/>
      <c r="N895" s="462"/>
      <c r="O895" s="402"/>
      <c r="P895" s="1"/>
      <c r="Q895" s="1"/>
      <c r="R895" s="1"/>
      <c r="S895" s="1"/>
      <c r="T895" s="1"/>
      <c r="U895" s="1"/>
      <c r="V895" s="1"/>
      <c r="W895" s="1"/>
      <c r="X895" s="1"/>
      <c r="Y895" s="1"/>
      <c r="Z895" s="1"/>
    </row>
    <row r="896" spans="1:26" ht="13.5" customHeight="1">
      <c r="A896" s="395"/>
      <c r="B896" s="399"/>
      <c r="C896" s="418"/>
      <c r="D896" s="39"/>
      <c r="E896" s="39"/>
      <c r="F896" s="39"/>
      <c r="G896" s="39"/>
      <c r="H896" s="39"/>
      <c r="I896" s="39"/>
      <c r="J896" s="39"/>
      <c r="K896" s="39"/>
      <c r="L896" s="39"/>
      <c r="M896" s="39"/>
      <c r="N896" s="40"/>
      <c r="O896" s="402"/>
      <c r="P896" s="1"/>
      <c r="Q896" s="1"/>
      <c r="R896" s="1"/>
      <c r="S896" s="1"/>
      <c r="T896" s="1"/>
      <c r="U896" s="1"/>
      <c r="V896" s="1"/>
      <c r="W896" s="1"/>
      <c r="X896" s="1"/>
      <c r="Y896" s="1"/>
      <c r="Z896" s="1"/>
    </row>
    <row r="897" spans="1:26" ht="13.5" customHeight="1">
      <c r="A897" s="1"/>
      <c r="B897" s="399"/>
      <c r="C897" s="418"/>
      <c r="D897" s="39"/>
      <c r="E897" s="39"/>
      <c r="F897" s="39"/>
      <c r="G897" s="39"/>
      <c r="H897" s="39"/>
      <c r="I897" s="39"/>
      <c r="J897" s="39"/>
      <c r="K897" s="39"/>
      <c r="L897" s="39"/>
      <c r="M897" s="39"/>
      <c r="N897" s="40"/>
      <c r="O897" s="402"/>
      <c r="P897" s="1"/>
      <c r="Q897" s="1"/>
      <c r="R897" s="1"/>
      <c r="S897" s="1"/>
      <c r="T897" s="1"/>
      <c r="U897" s="1"/>
      <c r="V897" s="1"/>
      <c r="W897" s="1"/>
      <c r="X897" s="1"/>
      <c r="Y897" s="1"/>
      <c r="Z897" s="1"/>
    </row>
    <row r="898" spans="1:26" ht="13.5" customHeight="1">
      <c r="A898" s="1"/>
      <c r="B898" s="399"/>
      <c r="C898" s="418"/>
      <c r="D898" s="463"/>
      <c r="E898" s="463"/>
      <c r="F898" s="463"/>
      <c r="G898" s="184"/>
      <c r="H898" s="184"/>
      <c r="I898" s="184"/>
      <c r="J898" s="463"/>
      <c r="K898" s="463"/>
      <c r="L898" s="463"/>
      <c r="M898" s="463"/>
      <c r="N898" s="40"/>
      <c r="O898" s="402"/>
      <c r="P898" s="1"/>
      <c r="Q898" s="1"/>
      <c r="R898" s="1"/>
      <c r="S898" s="1"/>
      <c r="T898" s="1"/>
      <c r="U898" s="1"/>
      <c r="V898" s="1"/>
      <c r="W898" s="1"/>
      <c r="X898" s="1"/>
      <c r="Y898" s="1"/>
      <c r="Z898" s="1"/>
    </row>
    <row r="899" spans="1:26" ht="13.5" customHeight="1">
      <c r="A899" s="1"/>
      <c r="B899" s="399"/>
      <c r="C899" s="418"/>
      <c r="D899" s="39" t="s">
        <v>1225</v>
      </c>
      <c r="E899" s="39"/>
      <c r="F899" s="39"/>
      <c r="G899" s="184"/>
      <c r="H899" s="184"/>
      <c r="I899" s="184"/>
      <c r="J899" s="39" t="s">
        <v>1225</v>
      </c>
      <c r="K899" s="39"/>
      <c r="L899" s="39"/>
      <c r="M899" s="39"/>
      <c r="N899" s="40"/>
      <c r="O899" s="464"/>
      <c r="P899" s="1"/>
      <c r="Q899" s="1"/>
      <c r="R899" s="1"/>
      <c r="S899" s="1"/>
      <c r="T899" s="1"/>
      <c r="U899" s="1"/>
      <c r="V899" s="1"/>
      <c r="W899" s="1"/>
      <c r="X899" s="1"/>
      <c r="Y899" s="1"/>
      <c r="Z899" s="1"/>
    </row>
    <row r="900" spans="1:26" ht="13.5" customHeight="1">
      <c r="A900" s="1"/>
      <c r="B900" s="399"/>
      <c r="C900" s="418"/>
      <c r="D900" s="39" t="s">
        <v>1226</v>
      </c>
      <c r="E900" s="39"/>
      <c r="F900" s="39"/>
      <c r="G900" s="184"/>
      <c r="H900" s="184"/>
      <c r="I900" s="184"/>
      <c r="J900" s="39" t="s">
        <v>1227</v>
      </c>
      <c r="K900" s="39"/>
      <c r="L900" s="39"/>
      <c r="M900" s="39"/>
      <c r="N900" s="40"/>
      <c r="O900" s="464"/>
      <c r="P900" s="1"/>
      <c r="Q900" s="1"/>
      <c r="R900" s="1"/>
      <c r="S900" s="1"/>
      <c r="T900" s="1"/>
      <c r="U900" s="1"/>
      <c r="V900" s="1"/>
      <c r="W900" s="1"/>
      <c r="X900" s="1"/>
      <c r="Y900" s="1"/>
      <c r="Z900" s="1"/>
    </row>
    <row r="901" spans="1:26" ht="13.5" customHeight="1">
      <c r="A901" s="1"/>
      <c r="B901" s="399"/>
      <c r="C901" s="404"/>
      <c r="D901" s="39" t="s">
        <v>1228</v>
      </c>
      <c r="E901" s="42"/>
      <c r="F901" s="42"/>
      <c r="G901" s="184"/>
      <c r="H901" s="184"/>
      <c r="I901" s="184"/>
      <c r="J901" s="39" t="s">
        <v>1228</v>
      </c>
      <c r="K901" s="42"/>
      <c r="L901" s="42"/>
      <c r="M901" s="42"/>
      <c r="N901" s="43"/>
      <c r="O901" s="465"/>
      <c r="P901" s="1"/>
      <c r="Q901" s="1"/>
      <c r="R901" s="1"/>
      <c r="S901" s="1"/>
      <c r="T901" s="1"/>
      <c r="U901" s="1"/>
      <c r="V901" s="1"/>
      <c r="W901" s="1"/>
      <c r="X901" s="1"/>
      <c r="Y901" s="1"/>
      <c r="Z901" s="1"/>
    </row>
    <row r="902" spans="1:26" ht="13.5" customHeight="1">
      <c r="A902" s="1"/>
      <c r="B902" s="399"/>
      <c r="C902" s="418"/>
      <c r="D902" s="39"/>
      <c r="E902" s="39"/>
      <c r="F902" s="39"/>
      <c r="G902" s="39" t="s">
        <v>1229</v>
      </c>
      <c r="H902" s="39"/>
      <c r="I902" s="39"/>
      <c r="J902" s="39"/>
      <c r="K902" s="39"/>
      <c r="L902" s="39"/>
      <c r="M902" s="39"/>
      <c r="N902" s="40"/>
      <c r="O902" s="402"/>
      <c r="P902" s="1"/>
      <c r="Q902" s="1"/>
      <c r="R902" s="1"/>
      <c r="S902" s="1"/>
      <c r="T902" s="1"/>
      <c r="U902" s="1"/>
      <c r="V902" s="1"/>
      <c r="W902" s="1"/>
      <c r="X902" s="1"/>
      <c r="Y902" s="1"/>
      <c r="Z902" s="1"/>
    </row>
    <row r="903" spans="1:26" ht="17.25" customHeight="1">
      <c r="A903" s="1"/>
      <c r="B903" s="399"/>
      <c r="C903" s="466"/>
      <c r="D903" s="467"/>
      <c r="E903" s="467"/>
      <c r="F903" s="39"/>
      <c r="G903" s="39"/>
      <c r="H903" s="39"/>
      <c r="I903" s="39"/>
      <c r="J903" s="1149"/>
      <c r="K903" s="922"/>
      <c r="L903" s="922"/>
      <c r="M903" s="922"/>
      <c r="N903" s="924"/>
      <c r="O903" s="468"/>
      <c r="P903" s="1"/>
      <c r="Q903" s="1"/>
      <c r="R903" s="1"/>
      <c r="S903" s="1"/>
      <c r="T903" s="1"/>
      <c r="U903" s="1"/>
      <c r="V903" s="1"/>
      <c r="W903" s="1"/>
      <c r="X903" s="1"/>
      <c r="Y903" s="1"/>
      <c r="Z903" s="1"/>
    </row>
    <row r="904" spans="1:26" ht="18.75" customHeight="1">
      <c r="A904" s="1"/>
      <c r="B904" s="399"/>
      <c r="C904" s="1150"/>
      <c r="D904" s="936"/>
      <c r="E904" s="936"/>
      <c r="F904" s="416"/>
      <c r="G904" s="416"/>
      <c r="H904" s="416"/>
      <c r="I904" s="416"/>
      <c r="J904" s="936"/>
      <c r="K904" s="936"/>
      <c r="L904" s="936"/>
      <c r="M904" s="936"/>
      <c r="N904" s="938"/>
      <c r="O904" s="468"/>
      <c r="P904" s="1"/>
      <c r="Q904" s="1"/>
      <c r="R904" s="1"/>
      <c r="S904" s="1"/>
      <c r="T904" s="1"/>
      <c r="U904" s="1"/>
      <c r="V904" s="1"/>
      <c r="W904" s="1"/>
      <c r="X904" s="1"/>
      <c r="Y904" s="1"/>
      <c r="Z904" s="1"/>
    </row>
    <row r="905" spans="1:26" ht="13.5" customHeight="1">
      <c r="A905" s="1"/>
      <c r="B905" s="469"/>
      <c r="C905" s="470"/>
      <c r="D905" s="470"/>
      <c r="E905" s="470"/>
      <c r="F905" s="470"/>
      <c r="G905" s="470"/>
      <c r="H905" s="470"/>
      <c r="I905" s="470"/>
      <c r="J905" s="470"/>
      <c r="K905" s="470"/>
      <c r="L905" s="470"/>
      <c r="M905" s="470"/>
      <c r="N905" s="470"/>
      <c r="O905" s="471"/>
      <c r="P905" s="1"/>
      <c r="Q905" s="1"/>
      <c r="R905" s="1"/>
      <c r="S905" s="1"/>
      <c r="T905" s="1"/>
      <c r="U905" s="1"/>
      <c r="V905" s="1"/>
      <c r="W905" s="1"/>
      <c r="X905" s="1"/>
      <c r="Y905" s="1"/>
      <c r="Z905" s="1"/>
    </row>
    <row r="906" spans="1:26" ht="13.5" customHeight="1">
      <c r="A906" s="1"/>
      <c r="B906" s="184"/>
      <c r="C906" s="184"/>
      <c r="D906" s="184"/>
      <c r="E906" s="184"/>
      <c r="F906" s="184"/>
      <c r="G906" s="184"/>
      <c r="H906" s="184"/>
      <c r="I906" s="184"/>
      <c r="J906" s="184"/>
      <c r="K906" s="184"/>
      <c r="L906" s="184"/>
      <c r="M906" s="184"/>
      <c r="N906" s="184"/>
      <c r="O906" s="184"/>
      <c r="P906" s="1"/>
      <c r="Q906" s="1"/>
      <c r="R906" s="1"/>
      <c r="S906" s="1"/>
      <c r="T906" s="1"/>
      <c r="U906" s="1"/>
      <c r="V906" s="1"/>
      <c r="W906" s="1"/>
      <c r="X906" s="1"/>
      <c r="Y906" s="1"/>
      <c r="Z906" s="1"/>
    </row>
    <row r="907" spans="1:26" ht="13.5" customHeight="1">
      <c r="A907" s="1"/>
      <c r="B907" s="184"/>
      <c r="C907" s="184"/>
      <c r="D907" s="184"/>
      <c r="E907" s="184"/>
      <c r="F907" s="184"/>
      <c r="G907" s="184"/>
      <c r="H907" s="184"/>
      <c r="I907" s="184"/>
      <c r="J907" s="184"/>
      <c r="K907" s="184"/>
      <c r="L907" s="184"/>
      <c r="M907" s="184"/>
      <c r="N907" s="184"/>
      <c r="O907" s="184"/>
      <c r="P907" s="1"/>
      <c r="Q907" s="1"/>
      <c r="R907" s="1"/>
      <c r="S907" s="1"/>
      <c r="T907" s="1"/>
      <c r="U907" s="1"/>
      <c r="V907" s="1"/>
      <c r="W907" s="1"/>
      <c r="X907" s="1"/>
      <c r="Y907" s="1"/>
      <c r="Z907" s="1"/>
    </row>
    <row r="908" spans="1:26" ht="13.5" customHeight="1">
      <c r="A908" s="1"/>
      <c r="B908" s="396"/>
      <c r="C908" s="397"/>
      <c r="D908" s="397"/>
      <c r="E908" s="397"/>
      <c r="F908" s="397"/>
      <c r="G908" s="397"/>
      <c r="H908" s="397"/>
      <c r="I908" s="397"/>
      <c r="J908" s="397"/>
      <c r="K908" s="397"/>
      <c r="L908" s="397"/>
      <c r="M908" s="397"/>
      <c r="N908" s="397"/>
      <c r="O908" s="398"/>
      <c r="P908" s="1"/>
      <c r="Q908" s="1"/>
      <c r="R908" s="1"/>
      <c r="S908" s="1"/>
      <c r="T908" s="1"/>
      <c r="U908" s="1"/>
      <c r="V908" s="1"/>
      <c r="W908" s="1"/>
      <c r="X908" s="1"/>
      <c r="Y908" s="1"/>
      <c r="Z908" s="1"/>
    </row>
    <row r="909" spans="1:26" ht="13.5" customHeight="1">
      <c r="A909" s="1"/>
      <c r="B909" s="399"/>
      <c r="C909" s="400"/>
      <c r="D909" s="401"/>
      <c r="E909" s="400"/>
      <c r="F909" s="184"/>
      <c r="G909" s="184"/>
      <c r="H909" s="184"/>
      <c r="I909" s="184"/>
      <c r="J909" s="184"/>
      <c r="K909" s="184"/>
      <c r="L909" s="184"/>
      <c r="M909" s="184"/>
      <c r="N909" s="184"/>
      <c r="O909" s="402"/>
      <c r="P909" s="1"/>
      <c r="Q909" s="1"/>
      <c r="R909" s="1"/>
      <c r="S909" s="1"/>
      <c r="T909" s="1"/>
      <c r="U909" s="1"/>
      <c r="V909" s="1"/>
      <c r="W909" s="1"/>
      <c r="X909" s="1"/>
      <c r="Y909" s="1"/>
      <c r="Z909" s="1"/>
    </row>
    <row r="910" spans="1:26" ht="13.5" customHeight="1">
      <c r="A910" s="1"/>
      <c r="B910" s="399"/>
      <c r="C910" s="39"/>
      <c r="D910" s="39"/>
      <c r="E910" s="39"/>
      <c r="F910" s="39"/>
      <c r="G910" s="39"/>
      <c r="H910" s="39"/>
      <c r="I910" s="39"/>
      <c r="J910" s="39"/>
      <c r="K910" s="39"/>
      <c r="L910" s="39"/>
      <c r="M910" s="39"/>
      <c r="N910" s="39"/>
      <c r="O910" s="402"/>
      <c r="P910" s="1"/>
      <c r="Q910" s="1"/>
      <c r="R910" s="1"/>
      <c r="S910" s="1"/>
      <c r="T910" s="1"/>
      <c r="U910" s="1"/>
      <c r="V910" s="1"/>
      <c r="W910" s="1"/>
      <c r="X910" s="1"/>
      <c r="Y910" s="1"/>
      <c r="Z910" s="1"/>
    </row>
    <row r="911" spans="1:26" ht="13.5" customHeight="1">
      <c r="A911" s="1"/>
      <c r="B911" s="399"/>
      <c r="C911" s="1124"/>
      <c r="D911" s="927"/>
      <c r="E911" s="1014" t="str">
        <f>+Datos!$C$9</f>
        <v>CONSEJO SUPERIOR  DE  JUDICATURA– DIRECCIÓN  EJECUTIVA  SECCIONAL  DE ADMINISTRACIÓN JUDICIAL DE BUCARAMANGA</v>
      </c>
      <c r="F911" s="926"/>
      <c r="G911" s="926"/>
      <c r="H911" s="926"/>
      <c r="I911" s="926"/>
      <c r="J911" s="926"/>
      <c r="K911" s="927"/>
      <c r="L911" s="925" t="s">
        <v>1</v>
      </c>
      <c r="M911" s="931"/>
      <c r="N911" s="933">
        <f>Datos!$C$4</f>
        <v>1</v>
      </c>
      <c r="O911" s="403"/>
      <c r="P911" s="1"/>
      <c r="Q911" s="1"/>
      <c r="R911" s="1"/>
      <c r="S911" s="1"/>
      <c r="T911" s="1"/>
      <c r="U911" s="1"/>
      <c r="V911" s="1"/>
      <c r="W911" s="1"/>
      <c r="X911" s="1"/>
      <c r="Y911" s="1"/>
      <c r="Z911" s="1"/>
    </row>
    <row r="912" spans="1:26" ht="13.5" customHeight="1">
      <c r="A912" s="1"/>
      <c r="B912" s="399"/>
      <c r="C912" s="920"/>
      <c r="D912" s="924"/>
      <c r="E912" s="920"/>
      <c r="F912" s="922"/>
      <c r="G912" s="922"/>
      <c r="H912" s="922"/>
      <c r="I912" s="922"/>
      <c r="J912" s="922"/>
      <c r="K912" s="924"/>
      <c r="L912" s="920"/>
      <c r="M912" s="932"/>
      <c r="N912" s="934"/>
      <c r="O912" s="403"/>
      <c r="P912" s="1"/>
      <c r="Q912" s="1"/>
      <c r="R912" s="1"/>
      <c r="S912" s="1"/>
      <c r="T912" s="1"/>
      <c r="U912" s="1"/>
      <c r="V912" s="1"/>
      <c r="W912" s="1"/>
      <c r="X912" s="1"/>
      <c r="Y912" s="1"/>
      <c r="Z912" s="1"/>
    </row>
    <row r="913" spans="1:26" ht="13.5" customHeight="1">
      <c r="A913" s="1"/>
      <c r="B913" s="399"/>
      <c r="C913" s="920"/>
      <c r="D913" s="924"/>
      <c r="E913" s="919" t="str">
        <f>Datos!$C$13</f>
        <v xml:space="preserve">BGA - 030 - 2026 </v>
      </c>
      <c r="F913" s="922"/>
      <c r="G913" s="922"/>
      <c r="H913" s="922"/>
      <c r="I913" s="922"/>
      <c r="J913" s="922"/>
      <c r="K913" s="922"/>
      <c r="L913" s="925" t="s">
        <v>29</v>
      </c>
      <c r="M913" s="926"/>
      <c r="N913" s="927"/>
      <c r="O913" s="403"/>
      <c r="P913" s="1"/>
      <c r="Q913" s="1"/>
      <c r="R913" s="1"/>
      <c r="S913" s="1"/>
      <c r="T913" s="1"/>
      <c r="U913" s="1"/>
      <c r="V913" s="1"/>
      <c r="W913" s="1"/>
      <c r="X913" s="1"/>
      <c r="Y913" s="1"/>
      <c r="Z913" s="1"/>
    </row>
    <row r="914" spans="1:26" ht="13.5" customHeight="1">
      <c r="A914" s="1"/>
      <c r="B914" s="399"/>
      <c r="C914" s="920"/>
      <c r="D914" s="924"/>
      <c r="E914" s="405"/>
      <c r="F914" s="406"/>
      <c r="G914" s="406"/>
      <c r="H914" s="406"/>
      <c r="I914" s="406"/>
      <c r="J914" s="406"/>
      <c r="K914" s="42"/>
      <c r="L914" s="919">
        <v>1</v>
      </c>
      <c r="M914" s="921" t="s">
        <v>30</v>
      </c>
      <c r="N914" s="923">
        <v>1</v>
      </c>
      <c r="O914" s="403"/>
      <c r="P914" s="1"/>
      <c r="Q914" s="1"/>
      <c r="R914" s="1"/>
      <c r="S914" s="1"/>
      <c r="T914" s="1"/>
      <c r="U914" s="1"/>
      <c r="V914" s="1"/>
      <c r="W914" s="1"/>
      <c r="X914" s="1"/>
      <c r="Y914" s="1"/>
      <c r="Z914" s="1"/>
    </row>
    <row r="915" spans="1:26" ht="12.75" customHeight="1">
      <c r="A915" s="1"/>
      <c r="B915" s="399"/>
      <c r="C915" s="920"/>
      <c r="D915" s="924"/>
      <c r="E915"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915" s="922"/>
      <c r="G915" s="922"/>
      <c r="H915" s="922"/>
      <c r="I915" s="922"/>
      <c r="J915" s="922"/>
      <c r="K915" s="922"/>
      <c r="L915" s="920"/>
      <c r="M915" s="922"/>
      <c r="N915" s="924"/>
      <c r="O915" s="403"/>
      <c r="P915" s="1"/>
      <c r="Q915" s="1"/>
      <c r="R915" s="1"/>
      <c r="S915" s="1"/>
      <c r="T915" s="1"/>
      <c r="U915" s="1"/>
      <c r="V915" s="1"/>
      <c r="W915" s="1"/>
      <c r="X915" s="1"/>
      <c r="Y915" s="1"/>
      <c r="Z915" s="1"/>
    </row>
    <row r="916" spans="1:26" ht="13.5" customHeight="1">
      <c r="A916" s="1"/>
      <c r="B916" s="399"/>
      <c r="C916" s="920"/>
      <c r="D916" s="924"/>
      <c r="E916" s="920"/>
      <c r="F916" s="922"/>
      <c r="G916" s="922"/>
      <c r="H916" s="922"/>
      <c r="I916" s="922"/>
      <c r="J916" s="922"/>
      <c r="K916" s="922"/>
      <c r="L916" s="925" t="s">
        <v>2</v>
      </c>
      <c r="M916" s="926"/>
      <c r="N916" s="927"/>
      <c r="O916" s="403"/>
      <c r="P916" s="1"/>
      <c r="Q916" s="1"/>
      <c r="R916" s="1"/>
      <c r="S916" s="1"/>
      <c r="T916" s="1"/>
      <c r="U916" s="1"/>
      <c r="V916" s="1"/>
      <c r="W916" s="1"/>
      <c r="X916" s="1"/>
      <c r="Y916" s="1"/>
      <c r="Z916" s="1"/>
    </row>
    <row r="917" spans="1:26" ht="13.5" customHeight="1">
      <c r="A917" s="1"/>
      <c r="B917" s="399"/>
      <c r="C917" s="920"/>
      <c r="D917" s="924"/>
      <c r="E917" s="407"/>
      <c r="F917" s="216"/>
      <c r="G917" s="216"/>
      <c r="H917" s="216"/>
      <c r="I917" s="216"/>
      <c r="J917" s="216"/>
      <c r="K917" s="216"/>
      <c r="L917" s="408" t="s">
        <v>3</v>
      </c>
      <c r="M917" s="409" t="s">
        <v>4</v>
      </c>
      <c r="N917" s="410" t="s">
        <v>5</v>
      </c>
      <c r="O917" s="403"/>
      <c r="P917" s="1"/>
      <c r="Q917" s="1"/>
      <c r="R917" s="1"/>
      <c r="S917" s="1"/>
      <c r="T917" s="1"/>
      <c r="U917" s="1"/>
      <c r="V917" s="1"/>
      <c r="W917" s="1"/>
      <c r="X917" s="1"/>
      <c r="Y917" s="1"/>
      <c r="Z917" s="1"/>
    </row>
    <row r="918" spans="1:26" ht="13.5" customHeight="1">
      <c r="A918" s="1"/>
      <c r="B918" s="399"/>
      <c r="C918" s="920"/>
      <c r="D918" s="924"/>
      <c r="E918" s="1125" t="s">
        <v>1186</v>
      </c>
      <c r="F918" s="945"/>
      <c r="G918" s="945"/>
      <c r="H918" s="945"/>
      <c r="I918" s="945"/>
      <c r="J918" s="945"/>
      <c r="K918" s="945"/>
      <c r="L918" s="928">
        <f>+Datos!C829</f>
        <v>0</v>
      </c>
      <c r="M918" s="935">
        <f>+Datos!D829</f>
        <v>0</v>
      </c>
      <c r="N918" s="937">
        <f>+Datos!E829</f>
        <v>0</v>
      </c>
      <c r="O918" s="411"/>
      <c r="P918" s="1"/>
      <c r="Q918" s="1"/>
      <c r="R918" s="1"/>
      <c r="S918" s="1"/>
      <c r="T918" s="1"/>
      <c r="U918" s="1"/>
      <c r="V918" s="1"/>
      <c r="W918" s="1"/>
      <c r="X918" s="1"/>
      <c r="Y918" s="1"/>
      <c r="Z918" s="1"/>
    </row>
    <row r="919" spans="1:26" ht="13.5" customHeight="1">
      <c r="A919" s="1"/>
      <c r="B919" s="399"/>
      <c r="C919" s="929"/>
      <c r="D919" s="938"/>
      <c r="E919" s="929"/>
      <c r="F919" s="936"/>
      <c r="G919" s="936"/>
      <c r="H919" s="936"/>
      <c r="I919" s="936"/>
      <c r="J919" s="936"/>
      <c r="K919" s="936"/>
      <c r="L919" s="929"/>
      <c r="M919" s="936"/>
      <c r="N919" s="938"/>
      <c r="O919" s="403"/>
      <c r="P919" s="1"/>
      <c r="Q919" s="1"/>
      <c r="R919" s="1"/>
      <c r="S919" s="1"/>
      <c r="T919" s="1"/>
      <c r="U919" s="1"/>
      <c r="V919" s="1"/>
      <c r="W919" s="1"/>
      <c r="X919" s="1"/>
      <c r="Y919" s="1"/>
      <c r="Z919" s="1"/>
    </row>
    <row r="920" spans="1:26" ht="13.5" customHeight="1">
      <c r="A920" s="1"/>
      <c r="B920" s="399"/>
      <c r="C920" s="404"/>
      <c r="D920" s="38"/>
      <c r="E920" s="38"/>
      <c r="F920" s="38"/>
      <c r="G920" s="38"/>
      <c r="H920" s="38"/>
      <c r="I920" s="38"/>
      <c r="J920" s="38"/>
      <c r="K920" s="38"/>
      <c r="L920" s="39"/>
      <c r="M920" s="39"/>
      <c r="N920" s="40"/>
      <c r="O920" s="414"/>
      <c r="P920" s="1"/>
      <c r="Q920" s="1"/>
      <c r="R920" s="1"/>
      <c r="S920" s="1"/>
      <c r="T920" s="1"/>
      <c r="U920" s="1"/>
      <c r="V920" s="1"/>
      <c r="W920" s="1"/>
      <c r="X920" s="1"/>
      <c r="Y920" s="1"/>
      <c r="Z920" s="1"/>
    </row>
    <row r="921" spans="1:26" ht="18" customHeight="1">
      <c r="A921" s="1"/>
      <c r="B921" s="399"/>
      <c r="C921" s="412" t="s">
        <v>1187</v>
      </c>
      <c r="D921" s="1126" t="s">
        <v>1188</v>
      </c>
      <c r="E921" s="922"/>
      <c r="F921" s="922"/>
      <c r="G921" s="922"/>
      <c r="H921" s="922"/>
      <c r="I921" s="922"/>
      <c r="J921" s="922"/>
      <c r="K921" s="922"/>
      <c r="L921" s="922"/>
      <c r="M921" s="1"/>
      <c r="N921" s="413"/>
      <c r="O921" s="414"/>
      <c r="P921" s="1"/>
      <c r="Q921" s="1"/>
      <c r="R921" s="1"/>
      <c r="S921" s="1"/>
      <c r="T921" s="1"/>
      <c r="U921" s="1"/>
      <c r="V921" s="1"/>
      <c r="W921" s="1"/>
      <c r="X921" s="1"/>
      <c r="Y921" s="1"/>
      <c r="Z921" s="1"/>
    </row>
    <row r="922" spans="1:26" ht="13.5" customHeight="1">
      <c r="A922" s="1"/>
      <c r="B922" s="399"/>
      <c r="C922" s="412" t="s">
        <v>1189</v>
      </c>
      <c r="D922" s="1126" t="s">
        <v>1190</v>
      </c>
      <c r="E922" s="922"/>
      <c r="F922" s="922"/>
      <c r="G922" s="922"/>
      <c r="H922" s="922"/>
      <c r="I922" s="922"/>
      <c r="J922" s="922"/>
      <c r="K922" s="922"/>
      <c r="L922" s="922"/>
      <c r="M922" s="1"/>
      <c r="N922" s="413"/>
      <c r="O922" s="403"/>
      <c r="P922" s="1"/>
      <c r="Q922" s="1"/>
      <c r="R922" s="1"/>
      <c r="S922" s="1"/>
      <c r="T922" s="1"/>
      <c r="U922" s="1"/>
      <c r="V922" s="1"/>
      <c r="W922" s="1"/>
      <c r="X922" s="1"/>
      <c r="Y922" s="1"/>
      <c r="Z922" s="1"/>
    </row>
    <row r="923" spans="1:26" ht="13.5" customHeight="1">
      <c r="A923" s="1"/>
      <c r="B923" s="399"/>
      <c r="C923" s="415"/>
      <c r="D923" s="416"/>
      <c r="E923" s="416"/>
      <c r="F923" s="416"/>
      <c r="G923" s="416"/>
      <c r="H923" s="416"/>
      <c r="I923" s="416"/>
      <c r="J923" s="416"/>
      <c r="K923" s="416"/>
      <c r="L923" s="416"/>
      <c r="M923" s="416"/>
      <c r="N923" s="417"/>
      <c r="O923" s="402"/>
      <c r="P923" s="1"/>
      <c r="Q923" s="1"/>
      <c r="R923" s="1"/>
      <c r="S923" s="1"/>
      <c r="T923" s="1"/>
      <c r="U923" s="1"/>
      <c r="V923" s="1"/>
      <c r="W923" s="1"/>
      <c r="X923" s="1"/>
      <c r="Y923" s="1"/>
      <c r="Z923" s="1"/>
    </row>
    <row r="924" spans="1:26" ht="13.5" customHeight="1">
      <c r="A924" s="1"/>
      <c r="B924" s="399"/>
      <c r="C924" s="418"/>
      <c r="D924" s="39"/>
      <c r="E924" s="39"/>
      <c r="F924" s="39"/>
      <c r="G924" s="39"/>
      <c r="H924" s="39"/>
      <c r="I924" s="39"/>
      <c r="J924" s="39"/>
      <c r="K924" s="39"/>
      <c r="L924" s="39"/>
      <c r="M924" s="39"/>
      <c r="N924" s="40"/>
      <c r="O924" s="402"/>
      <c r="P924" s="1"/>
      <c r="Q924" s="1"/>
      <c r="R924" s="1"/>
      <c r="S924" s="1"/>
      <c r="T924" s="1"/>
      <c r="U924" s="1"/>
      <c r="V924" s="1"/>
      <c r="W924" s="1"/>
      <c r="X924" s="1"/>
      <c r="Y924" s="1"/>
      <c r="Z924" s="1"/>
    </row>
    <row r="925" spans="1:26" ht="13.5" customHeight="1">
      <c r="A925" s="1"/>
      <c r="B925" s="399"/>
      <c r="C925" s="925" t="s">
        <v>1191</v>
      </c>
      <c r="D925" s="926"/>
      <c r="E925" s="926"/>
      <c r="F925" s="926"/>
      <c r="G925" s="926"/>
      <c r="H925" s="926"/>
      <c r="I925" s="926"/>
      <c r="J925" s="926"/>
      <c r="K925" s="926"/>
      <c r="L925" s="926"/>
      <c r="M925" s="926"/>
      <c r="N925" s="927"/>
      <c r="O925" s="419"/>
      <c r="P925" s="1"/>
      <c r="Q925" s="1"/>
      <c r="R925" s="1"/>
      <c r="S925" s="1"/>
      <c r="T925" s="1"/>
      <c r="U925" s="1"/>
      <c r="V925" s="1"/>
      <c r="W925" s="1"/>
      <c r="X925" s="1"/>
      <c r="Y925" s="1"/>
      <c r="Z925" s="1"/>
    </row>
    <row r="926" spans="1:26" ht="13.5" customHeight="1">
      <c r="A926" s="1"/>
      <c r="B926" s="399"/>
      <c r="C926" s="418"/>
      <c r="D926" s="39"/>
      <c r="E926" s="39"/>
      <c r="F926" s="39"/>
      <c r="G926" s="39"/>
      <c r="H926" s="39"/>
      <c r="I926" s="39"/>
      <c r="J926" s="39"/>
      <c r="K926" s="39"/>
      <c r="L926" s="39"/>
      <c r="M926" s="39"/>
      <c r="N926" s="40"/>
      <c r="O926" s="402"/>
      <c r="P926" s="1"/>
      <c r="Q926" s="1"/>
      <c r="R926" s="1"/>
      <c r="S926" s="1"/>
      <c r="T926" s="1"/>
      <c r="U926" s="1"/>
      <c r="V926" s="1"/>
      <c r="W926" s="1"/>
      <c r="X926" s="1"/>
      <c r="Y926" s="1"/>
      <c r="Z926" s="1"/>
    </row>
    <row r="927" spans="1:26" ht="13.5" customHeight="1">
      <c r="A927" s="1"/>
      <c r="B927" s="399"/>
      <c r="C927" s="420" t="s">
        <v>965</v>
      </c>
      <c r="D927" s="1136" t="s">
        <v>17</v>
      </c>
      <c r="E927" s="1131"/>
      <c r="F927" s="1131"/>
      <c r="G927" s="1131"/>
      <c r="H927" s="1131"/>
      <c r="I927" s="1131"/>
      <c r="J927" s="1131"/>
      <c r="K927" s="1137"/>
      <c r="L927" s="1130" t="s">
        <v>1192</v>
      </c>
      <c r="M927" s="1137"/>
      <c r="N927" s="420" t="s">
        <v>950</v>
      </c>
      <c r="O927" s="419"/>
      <c r="P927" s="1"/>
      <c r="Q927" s="1"/>
      <c r="R927" s="1"/>
      <c r="S927" s="1"/>
      <c r="T927" s="1"/>
      <c r="U927" s="1"/>
      <c r="V927" s="1"/>
      <c r="W927" s="1"/>
      <c r="X927" s="1"/>
      <c r="Y927" s="1"/>
      <c r="Z927" s="1"/>
    </row>
    <row r="928" spans="1:26" ht="13.5" customHeight="1">
      <c r="A928" s="1"/>
      <c r="B928" s="421"/>
      <c r="C928" s="422" t="s">
        <v>1190</v>
      </c>
      <c r="D928" s="1151" t="s">
        <v>1259</v>
      </c>
      <c r="E928" s="979"/>
      <c r="F928" s="979"/>
      <c r="G928" s="979"/>
      <c r="H928" s="979"/>
      <c r="I928" s="979"/>
      <c r="J928" s="979"/>
      <c r="K928" s="980"/>
      <c r="L928" s="1138" t="s">
        <v>741</v>
      </c>
      <c r="M928" s="980"/>
      <c r="N928" s="423">
        <v>1</v>
      </c>
      <c r="O928" s="424"/>
      <c r="P928" s="1"/>
      <c r="Q928" s="1"/>
      <c r="R928" s="1"/>
      <c r="S928" s="1"/>
      <c r="T928" s="1"/>
      <c r="U928" s="1"/>
      <c r="V928" s="1"/>
      <c r="W928" s="1"/>
      <c r="X928" s="1"/>
      <c r="Y928" s="1"/>
      <c r="Z928" s="1"/>
    </row>
    <row r="929" spans="1:26" ht="13.5" customHeight="1">
      <c r="A929" s="395"/>
      <c r="B929" s="399"/>
      <c r="C929" s="1129" t="s">
        <v>1195</v>
      </c>
      <c r="D929" s="926"/>
      <c r="E929" s="926"/>
      <c r="F929" s="926"/>
      <c r="G929" s="926"/>
      <c r="H929" s="926"/>
      <c r="I929" s="926"/>
      <c r="J929" s="926"/>
      <c r="K929" s="926"/>
      <c r="L929" s="926"/>
      <c r="M929" s="926"/>
      <c r="N929" s="927"/>
      <c r="O929" s="426"/>
      <c r="P929" s="1"/>
      <c r="Q929" s="1"/>
      <c r="R929" s="1"/>
      <c r="S929" s="1"/>
      <c r="T929" s="1"/>
      <c r="U929" s="1"/>
      <c r="V929" s="1"/>
      <c r="W929" s="1"/>
      <c r="X929" s="1"/>
      <c r="Y929" s="1"/>
      <c r="Z929" s="1"/>
    </row>
    <row r="930" spans="1:26" ht="13.5" customHeight="1">
      <c r="A930" s="395"/>
      <c r="B930" s="399"/>
      <c r="C930" s="920"/>
      <c r="D930" s="922"/>
      <c r="E930" s="922"/>
      <c r="F930" s="922"/>
      <c r="G930" s="922"/>
      <c r="H930" s="922"/>
      <c r="I930" s="922"/>
      <c r="J930" s="922"/>
      <c r="K930" s="922"/>
      <c r="L930" s="922"/>
      <c r="M930" s="922"/>
      <c r="N930" s="924"/>
      <c r="O930" s="426"/>
      <c r="P930" s="1"/>
      <c r="Q930" s="1"/>
      <c r="R930" s="1"/>
      <c r="S930" s="1"/>
      <c r="T930" s="1"/>
      <c r="U930" s="1"/>
      <c r="V930" s="1"/>
      <c r="W930" s="1"/>
      <c r="X930" s="1"/>
      <c r="Y930" s="1"/>
      <c r="Z930" s="1"/>
    </row>
    <row r="931" spans="1:26" ht="13.5" customHeight="1">
      <c r="A931" s="395"/>
      <c r="B931" s="399"/>
      <c r="C931" s="929"/>
      <c r="D931" s="936"/>
      <c r="E931" s="936"/>
      <c r="F931" s="936"/>
      <c r="G931" s="936"/>
      <c r="H931" s="936"/>
      <c r="I931" s="936"/>
      <c r="J931" s="936"/>
      <c r="K931" s="936"/>
      <c r="L931" s="936"/>
      <c r="M931" s="936"/>
      <c r="N931" s="938"/>
      <c r="O931" s="426"/>
      <c r="P931" s="1"/>
      <c r="Q931" s="1"/>
      <c r="R931" s="1"/>
      <c r="S931" s="1"/>
      <c r="T931" s="1"/>
      <c r="U931" s="1"/>
      <c r="V931" s="1"/>
      <c r="W931" s="1"/>
      <c r="X931" s="1"/>
      <c r="Y931" s="1"/>
      <c r="Z931" s="1"/>
    </row>
    <row r="932" spans="1:26" ht="13.5" customHeight="1">
      <c r="A932" s="395"/>
      <c r="B932" s="399"/>
      <c r="C932" s="1130" t="s">
        <v>17</v>
      </c>
      <c r="D932" s="1131"/>
      <c r="E932" s="1131"/>
      <c r="F932" s="1000"/>
      <c r="G932" s="1135" t="s">
        <v>1196</v>
      </c>
      <c r="H932" s="1000"/>
      <c r="I932" s="1139" t="s">
        <v>1197</v>
      </c>
      <c r="J932" s="1140"/>
      <c r="K932" s="427" t="s">
        <v>1198</v>
      </c>
      <c r="L932" s="1135" t="s">
        <v>1199</v>
      </c>
      <c r="M932" s="1000"/>
      <c r="N932" s="428" t="s">
        <v>1200</v>
      </c>
      <c r="O932" s="419"/>
      <c r="P932" s="1"/>
      <c r="Q932" s="1"/>
      <c r="R932" s="1"/>
      <c r="S932" s="1"/>
      <c r="T932" s="1"/>
      <c r="U932" s="1"/>
      <c r="V932" s="1"/>
      <c r="W932" s="1"/>
      <c r="X932" s="1"/>
      <c r="Y932" s="1"/>
      <c r="Z932" s="1"/>
    </row>
    <row r="933" spans="1:26" ht="13.5" customHeight="1">
      <c r="A933" s="395"/>
      <c r="B933" s="399"/>
      <c r="C933" s="1128" t="s">
        <v>1201</v>
      </c>
      <c r="D933" s="940"/>
      <c r="E933" s="940"/>
      <c r="F933" s="941"/>
      <c r="G933" s="1142"/>
      <c r="H933" s="941"/>
      <c r="I933" s="1142"/>
      <c r="J933" s="941"/>
      <c r="K933" s="429"/>
      <c r="L933" s="1143">
        <v>0.1</v>
      </c>
      <c r="M933" s="941"/>
      <c r="N933" s="430">
        <f>+L933*N964</f>
        <v>11556.966666666669</v>
      </c>
      <c r="O933" s="431"/>
      <c r="P933" s="1"/>
      <c r="Q933" s="1"/>
      <c r="R933" s="1"/>
      <c r="S933" s="1"/>
      <c r="T933" s="1"/>
      <c r="U933" s="1"/>
      <c r="V933" s="1"/>
      <c r="W933" s="1"/>
      <c r="X933" s="1"/>
      <c r="Y933" s="1"/>
      <c r="Z933" s="1"/>
    </row>
    <row r="934" spans="1:26" ht="13.5" customHeight="1">
      <c r="A934" s="395" t="str">
        <f t="array" ref="A934">IF(C934&lt;&gt;0,INDEX(CodEquipos,MATCH(C934,Equipos,0),),)</f>
        <v>EQ-01</v>
      </c>
      <c r="B934" s="399"/>
      <c r="C934" s="1128" t="s">
        <v>271</v>
      </c>
      <c r="D934" s="940"/>
      <c r="E934" s="940"/>
      <c r="F934" s="941"/>
      <c r="G934" s="1142"/>
      <c r="H934" s="941"/>
      <c r="I934" s="1142"/>
      <c r="J934" s="941"/>
      <c r="K934" s="432">
        <f>IF($A934&gt;0,(VLOOKUP($A934,TablaEquipos,7,FALSE)),"")</f>
        <v>13833.75</v>
      </c>
      <c r="L934" s="1141">
        <f>+L959/8</f>
        <v>0.75</v>
      </c>
      <c r="M934" s="941"/>
      <c r="N934" s="430">
        <f t="shared" ref="N934:N936" si="51">IF(L934&gt;0,K934/L934,"")</f>
        <v>18445</v>
      </c>
      <c r="O934" s="431"/>
      <c r="P934" s="1"/>
      <c r="Q934" s="1"/>
      <c r="R934" s="1"/>
      <c r="S934" s="1"/>
      <c r="T934" s="1"/>
      <c r="U934" s="1"/>
      <c r="V934" s="1"/>
      <c r="W934" s="1"/>
      <c r="X934" s="1"/>
      <c r="Y934" s="1"/>
      <c r="Z934" s="1"/>
    </row>
    <row r="935" spans="1:26" ht="13.5" customHeight="1">
      <c r="A935" s="395">
        <f t="array" ref="A935">IF(C935&lt;&gt;0,INDEX(CodEquipos,MATCH(C935,Equipos,0),),)</f>
        <v>0</v>
      </c>
      <c r="B935" s="399"/>
      <c r="C935" s="1128"/>
      <c r="D935" s="940"/>
      <c r="E935" s="940"/>
      <c r="F935" s="941"/>
      <c r="G935" s="1142"/>
      <c r="H935" s="941"/>
      <c r="I935" s="1142"/>
      <c r="J935" s="941"/>
      <c r="K935" s="432" t="str">
        <f>IF($A935&gt;0,(VLOOKUP($A935,TablaEquipos,7,FALSE)),"")</f>
        <v/>
      </c>
      <c r="L935" s="1141"/>
      <c r="M935" s="941"/>
      <c r="N935" s="430" t="str">
        <f t="shared" si="51"/>
        <v/>
      </c>
      <c r="O935" s="431"/>
      <c r="P935" s="1"/>
      <c r="Q935" s="1"/>
      <c r="R935" s="1"/>
      <c r="S935" s="1"/>
      <c r="T935" s="1"/>
      <c r="U935" s="1"/>
      <c r="V935" s="1"/>
      <c r="W935" s="1"/>
      <c r="X935" s="1"/>
      <c r="Y935" s="1"/>
      <c r="Z935" s="1"/>
    </row>
    <row r="936" spans="1:26" ht="13.5" customHeight="1">
      <c r="A936" s="395">
        <f t="array" ref="A936">IF(C936&lt;&gt;0,INDEX(CodEquipos,MATCH(C936,Equipos,0),),)</f>
        <v>0</v>
      </c>
      <c r="B936" s="399"/>
      <c r="C936" s="1128"/>
      <c r="D936" s="940"/>
      <c r="E936" s="940"/>
      <c r="F936" s="941"/>
      <c r="G936" s="1144"/>
      <c r="H936" s="1145"/>
      <c r="I936" s="1142"/>
      <c r="J936" s="941"/>
      <c r="K936" s="432" t="str">
        <f>IF($A936&gt;0,(VLOOKUP($A936,TablaEquipos,7,FALSE)),"")</f>
        <v/>
      </c>
      <c r="L936" s="1141"/>
      <c r="M936" s="941"/>
      <c r="N936" s="430" t="str">
        <f t="shared" si="51"/>
        <v/>
      </c>
      <c r="O936" s="431"/>
      <c r="P936" s="1"/>
      <c r="Q936" s="1"/>
      <c r="R936" s="1"/>
      <c r="S936" s="1"/>
      <c r="T936" s="1"/>
      <c r="U936" s="1"/>
      <c r="V936" s="1"/>
      <c r="W936" s="1"/>
      <c r="X936" s="1"/>
      <c r="Y936" s="1"/>
      <c r="Z936" s="1"/>
    </row>
    <row r="937" spans="1:26" ht="13.5" customHeight="1">
      <c r="A937" s="395"/>
      <c r="B937" s="399"/>
      <c r="C937" s="1127" t="s">
        <v>1202</v>
      </c>
      <c r="D937" s="965"/>
      <c r="E937" s="965"/>
      <c r="F937" s="965"/>
      <c r="G937" s="965"/>
      <c r="H937" s="965"/>
      <c r="I937" s="965"/>
      <c r="J937" s="965"/>
      <c r="K937" s="965"/>
      <c r="L937" s="965"/>
      <c r="M937" s="966"/>
      <c r="N937" s="433">
        <f>+SUM(N933:N936)</f>
        <v>30001.966666666667</v>
      </c>
      <c r="O937" s="431"/>
      <c r="P937" s="1"/>
      <c r="Q937" s="1"/>
      <c r="R937" s="1"/>
      <c r="S937" s="1"/>
      <c r="T937" s="1"/>
      <c r="U937" s="1"/>
      <c r="V937" s="1"/>
      <c r="W937" s="1"/>
      <c r="X937" s="1"/>
      <c r="Y937" s="1"/>
      <c r="Z937" s="1"/>
    </row>
    <row r="938" spans="1:26" ht="13.5" customHeight="1">
      <c r="A938" s="395"/>
      <c r="B938" s="399"/>
      <c r="C938" s="1129" t="s">
        <v>1203</v>
      </c>
      <c r="D938" s="926"/>
      <c r="E938" s="926"/>
      <c r="F938" s="926"/>
      <c r="G938" s="926"/>
      <c r="H938" s="926"/>
      <c r="I938" s="926"/>
      <c r="J938" s="926"/>
      <c r="K938" s="926"/>
      <c r="L938" s="926"/>
      <c r="M938" s="926"/>
      <c r="N938" s="927"/>
      <c r="O938" s="426"/>
      <c r="P938" s="1"/>
      <c r="Q938" s="1"/>
      <c r="R938" s="1"/>
      <c r="S938" s="1"/>
      <c r="T938" s="1"/>
      <c r="U938" s="1"/>
      <c r="V938" s="1"/>
      <c r="W938" s="1"/>
      <c r="X938" s="1"/>
      <c r="Y938" s="1"/>
      <c r="Z938" s="1"/>
    </row>
    <row r="939" spans="1:26" ht="13.5" customHeight="1">
      <c r="A939" s="395"/>
      <c r="B939" s="399"/>
      <c r="C939" s="920"/>
      <c r="D939" s="922"/>
      <c r="E939" s="922"/>
      <c r="F939" s="922"/>
      <c r="G939" s="922"/>
      <c r="H939" s="922"/>
      <c r="I939" s="922"/>
      <c r="J939" s="922"/>
      <c r="K939" s="922"/>
      <c r="L939" s="922"/>
      <c r="M939" s="922"/>
      <c r="N939" s="924"/>
      <c r="O939" s="426"/>
      <c r="P939" s="1"/>
      <c r="Q939" s="1"/>
      <c r="R939" s="1"/>
      <c r="S939" s="1"/>
      <c r="T939" s="1"/>
      <c r="U939" s="1"/>
      <c r="V939" s="1"/>
      <c r="W939" s="1"/>
      <c r="X939" s="1"/>
      <c r="Y939" s="1"/>
      <c r="Z939" s="1"/>
    </row>
    <row r="940" spans="1:26" ht="13.5" customHeight="1">
      <c r="A940" s="395"/>
      <c r="B940" s="399"/>
      <c r="C940" s="929"/>
      <c r="D940" s="936"/>
      <c r="E940" s="936"/>
      <c r="F940" s="936"/>
      <c r="G940" s="936"/>
      <c r="H940" s="936"/>
      <c r="I940" s="936"/>
      <c r="J940" s="936"/>
      <c r="K940" s="936"/>
      <c r="L940" s="936"/>
      <c r="M940" s="936"/>
      <c r="N940" s="938"/>
      <c r="O940" s="426"/>
      <c r="P940" s="1"/>
      <c r="Q940" s="1"/>
      <c r="R940" s="1"/>
      <c r="S940" s="1"/>
      <c r="T940" s="1"/>
      <c r="U940" s="1"/>
      <c r="V940" s="1"/>
      <c r="W940" s="1"/>
      <c r="X940" s="1"/>
      <c r="Y940" s="1"/>
      <c r="Z940" s="1"/>
    </row>
    <row r="941" spans="1:26" ht="13.5" customHeight="1">
      <c r="A941" s="395"/>
      <c r="B941" s="399"/>
      <c r="C941" s="1130" t="s">
        <v>17</v>
      </c>
      <c r="D941" s="1131"/>
      <c r="E941" s="1131"/>
      <c r="F941" s="1131"/>
      <c r="G941" s="1131"/>
      <c r="H941" s="1131"/>
      <c r="I941" s="1000"/>
      <c r="J941" s="434" t="s">
        <v>1192</v>
      </c>
      <c r="K941" s="427" t="s">
        <v>950</v>
      </c>
      <c r="L941" s="1135" t="s">
        <v>1204</v>
      </c>
      <c r="M941" s="1000"/>
      <c r="N941" s="428" t="s">
        <v>1200</v>
      </c>
      <c r="O941" s="419"/>
      <c r="P941" s="1"/>
      <c r="Q941" s="1"/>
      <c r="R941" s="1"/>
      <c r="S941" s="1"/>
      <c r="T941" s="1"/>
      <c r="U941" s="1"/>
      <c r="V941" s="1"/>
      <c r="W941" s="1"/>
      <c r="X941" s="1"/>
      <c r="Y941" s="1"/>
      <c r="Z941" s="1"/>
    </row>
    <row r="942" spans="1:26" ht="13.5" customHeight="1">
      <c r="A942" s="395" t="str">
        <f t="array" ref="A942">IF(C942&lt;&gt;0,INDEX(CodMat,MATCH(C942,Materiales,0),),)</f>
        <v>MAT_C-01</v>
      </c>
      <c r="B942" s="399"/>
      <c r="C942" s="1128" t="s">
        <v>1205</v>
      </c>
      <c r="D942" s="940"/>
      <c r="E942" s="940"/>
      <c r="F942" s="940"/>
      <c r="G942" s="940"/>
      <c r="H942" s="940"/>
      <c r="I942" s="941"/>
      <c r="J942" s="435" t="str">
        <f>IF($A942&gt;0,(VLOOKUP($A942,TablaInsumos,5,FALSE)),"")</f>
        <v>LT</v>
      </c>
      <c r="K942" s="436">
        <v>190</v>
      </c>
      <c r="L942" s="1134">
        <f>IF($A942&gt;0,(VLOOKUP($A942,TablaInsumos,7,FALSE)),"")</f>
        <v>46</v>
      </c>
      <c r="M942" s="941"/>
      <c r="N942" s="430">
        <f t="shared" ref="N942:N946" si="52">IF(K942&gt;0,L942*K942,"")</f>
        <v>8740</v>
      </c>
      <c r="O942" s="431"/>
      <c r="P942" s="1"/>
      <c r="Q942" s="1"/>
      <c r="R942" s="1"/>
      <c r="S942" s="1"/>
      <c r="T942" s="1"/>
      <c r="U942" s="1"/>
      <c r="V942" s="1"/>
      <c r="W942" s="1"/>
      <c r="X942" s="1"/>
      <c r="Y942" s="1"/>
      <c r="Z942" s="1"/>
    </row>
    <row r="943" spans="1:26" ht="13.5" customHeight="1">
      <c r="A943" s="395" t="str">
        <f t="array" ref="A943">IF(C943&lt;&gt;0,INDEX(CodMat,MATCH(C943,Materiales,0),),)</f>
        <v>MAT_C-03</v>
      </c>
      <c r="B943" s="399"/>
      <c r="C943" s="1128" t="s">
        <v>1206</v>
      </c>
      <c r="D943" s="940"/>
      <c r="E943" s="940"/>
      <c r="F943" s="940"/>
      <c r="G943" s="940"/>
      <c r="H943" s="940"/>
      <c r="I943" s="941"/>
      <c r="J943" s="435" t="str">
        <f>IF($A943&gt;0,(VLOOKUP($A943,TablaInsumos,5,FALSE)),"")</f>
        <v>M3</v>
      </c>
      <c r="K943" s="436">
        <v>0.67</v>
      </c>
      <c r="L943" s="1134">
        <f>IF($A943&gt;0,(VLOOKUP($A943,TablaInsumos,7,FALSE)),"")</f>
        <v>86414</v>
      </c>
      <c r="M943" s="941"/>
      <c r="N943" s="430">
        <f t="shared" si="52"/>
        <v>57897.380000000005</v>
      </c>
      <c r="O943" s="431"/>
      <c r="P943" s="1"/>
      <c r="Q943" s="1"/>
      <c r="R943" s="1"/>
      <c r="S943" s="1"/>
      <c r="T943" s="1"/>
      <c r="U943" s="1"/>
      <c r="V943" s="1"/>
      <c r="W943" s="1"/>
      <c r="X943" s="1"/>
      <c r="Y943" s="1"/>
      <c r="Z943" s="1"/>
    </row>
    <row r="944" spans="1:26" ht="13.5" customHeight="1">
      <c r="A944" s="395" t="e">
        <f t="array" ref="A944">IF(C944&lt;&gt;0,INDEX(CodMat,MATCH(C944,Materiales,0),),)</f>
        <v>#N/A</v>
      </c>
      <c r="B944" s="399"/>
      <c r="C944" s="1128" t="s">
        <v>1233</v>
      </c>
      <c r="D944" s="940"/>
      <c r="E944" s="940"/>
      <c r="F944" s="940"/>
      <c r="G944" s="940"/>
      <c r="H944" s="940"/>
      <c r="I944" s="941"/>
      <c r="J944" s="435" t="e">
        <f>IF($A944&gt;0,(VLOOKUP($A944,TablaInsumos,5,FALSE)),"")</f>
        <v>#N/A</v>
      </c>
      <c r="K944" s="436">
        <v>0.67</v>
      </c>
      <c r="L944" s="1134" t="e">
        <f>IF($A944&gt;0,(VLOOKUP($A944,TablaInsumos,7,FALSE)),"")</f>
        <v>#N/A</v>
      </c>
      <c r="M944" s="941"/>
      <c r="N944" s="430" t="e">
        <f t="shared" si="52"/>
        <v>#N/A</v>
      </c>
      <c r="O944" s="431"/>
      <c r="P944" s="1"/>
      <c r="Q944" s="1"/>
      <c r="R944" s="1"/>
      <c r="S944" s="1"/>
      <c r="T944" s="1"/>
      <c r="U944" s="1"/>
      <c r="V944" s="1"/>
      <c r="W944" s="1"/>
      <c r="X944" s="1"/>
      <c r="Y944" s="1"/>
      <c r="Z944" s="1"/>
    </row>
    <row r="945" spans="1:26" ht="13.5" customHeight="1">
      <c r="A945" s="395" t="str">
        <f t="array" ref="A945">IF(C945&lt;&gt;0,INDEX(CodMat,MATCH(C945,Materiales,0),),)</f>
        <v>MAT_C-12</v>
      </c>
      <c r="B945" s="399"/>
      <c r="C945" s="1128" t="s">
        <v>1207</v>
      </c>
      <c r="D945" s="940"/>
      <c r="E945" s="940"/>
      <c r="F945" s="940"/>
      <c r="G945" s="940"/>
      <c r="H945" s="940"/>
      <c r="I945" s="941"/>
      <c r="J945" s="435" t="str">
        <f>IF($A945&gt;0,(VLOOKUP($A945,TablaInsumos,5,FALSE)),"")</f>
        <v>KG</v>
      </c>
      <c r="K945" s="436">
        <v>420</v>
      </c>
      <c r="L945" s="1134">
        <f>IF($A945&gt;0,(VLOOKUP($A945,TablaInsumos,7,FALSE)),"")</f>
        <v>1164</v>
      </c>
      <c r="M945" s="941"/>
      <c r="N945" s="430">
        <f t="shared" si="52"/>
        <v>488880</v>
      </c>
      <c r="O945" s="431"/>
      <c r="P945" s="1"/>
      <c r="Q945" s="1"/>
      <c r="R945" s="1"/>
      <c r="S945" s="1"/>
      <c r="T945" s="1"/>
      <c r="U945" s="1"/>
      <c r="V945" s="1"/>
      <c r="W945" s="1"/>
      <c r="X945" s="1"/>
      <c r="Y945" s="1"/>
      <c r="Z945" s="1"/>
    </row>
    <row r="946" spans="1:26" ht="13.5" customHeight="1">
      <c r="A946" s="395" t="str">
        <f t="array" ref="A946">IF(C946&lt;&gt;0,INDEX(CodMat,MATCH(C946,Materiales,0),),)</f>
        <v>MAT_EPYE-02</v>
      </c>
      <c r="B946" s="399"/>
      <c r="C946" s="1128" t="s">
        <v>1257</v>
      </c>
      <c r="D946" s="940"/>
      <c r="E946" s="940"/>
      <c r="F946" s="940"/>
      <c r="G946" s="940"/>
      <c r="H946" s="940"/>
      <c r="I946" s="941"/>
      <c r="J946" s="435" t="str">
        <f>IF($A946&gt;0,(VLOOKUP($A946,TablaInsumos,5,FALSE)),"")</f>
        <v>KG</v>
      </c>
      <c r="K946" s="436">
        <f>+(K945/50)</f>
        <v>8.4</v>
      </c>
      <c r="L946" s="1134">
        <f>IF($A946&gt;0,(VLOOKUP($A946,TablaInsumos,7,FALSE)),"")</f>
        <v>24367</v>
      </c>
      <c r="M946" s="941"/>
      <c r="N946" s="430">
        <f t="shared" si="52"/>
        <v>204682.80000000002</v>
      </c>
      <c r="O946" s="431"/>
      <c r="P946" s="1"/>
      <c r="Q946" s="1"/>
      <c r="R946" s="1"/>
      <c r="S946" s="1"/>
      <c r="T946" s="1"/>
      <c r="U946" s="1"/>
      <c r="V946" s="1"/>
      <c r="W946" s="1"/>
      <c r="X946" s="1"/>
      <c r="Y946" s="1"/>
      <c r="Z946" s="1"/>
    </row>
    <row r="947" spans="1:26" ht="13.5" customHeight="1">
      <c r="A947" s="395"/>
      <c r="B947" s="399"/>
      <c r="C947" s="1127" t="s">
        <v>1202</v>
      </c>
      <c r="D947" s="965"/>
      <c r="E947" s="965"/>
      <c r="F947" s="965"/>
      <c r="G947" s="965"/>
      <c r="H947" s="965"/>
      <c r="I947" s="965"/>
      <c r="J947" s="965"/>
      <c r="K947" s="965"/>
      <c r="L947" s="965"/>
      <c r="M947" s="966"/>
      <c r="N947" s="433" t="e">
        <f>+SUM(N942:N946)</f>
        <v>#N/A</v>
      </c>
      <c r="O947" s="431"/>
      <c r="P947" s="1"/>
      <c r="Q947" s="1"/>
      <c r="R947" s="1"/>
      <c r="S947" s="1"/>
      <c r="T947" s="1"/>
      <c r="U947" s="1"/>
      <c r="V947" s="1"/>
      <c r="W947" s="1"/>
      <c r="X947" s="1"/>
      <c r="Y947" s="1"/>
      <c r="Z947" s="1"/>
    </row>
    <row r="948" spans="1:26" ht="13.5" customHeight="1">
      <c r="A948" s="395"/>
      <c r="B948" s="399"/>
      <c r="C948" s="1129" t="s">
        <v>1208</v>
      </c>
      <c r="D948" s="926"/>
      <c r="E948" s="926"/>
      <c r="F948" s="926"/>
      <c r="G948" s="926"/>
      <c r="H948" s="926"/>
      <c r="I948" s="926"/>
      <c r="J948" s="926"/>
      <c r="K948" s="926"/>
      <c r="L948" s="926"/>
      <c r="M948" s="926"/>
      <c r="N948" s="927"/>
      <c r="O948" s="426"/>
      <c r="P948" s="1"/>
      <c r="Q948" s="1"/>
      <c r="R948" s="1"/>
      <c r="S948" s="1"/>
      <c r="T948" s="1"/>
      <c r="U948" s="1"/>
      <c r="V948" s="1"/>
      <c r="W948" s="1"/>
      <c r="X948" s="1"/>
      <c r="Y948" s="1"/>
      <c r="Z948" s="1"/>
    </row>
    <row r="949" spans="1:26" ht="13.5" customHeight="1">
      <c r="A949" s="395"/>
      <c r="B949" s="399"/>
      <c r="C949" s="920"/>
      <c r="D949" s="922"/>
      <c r="E949" s="922"/>
      <c r="F949" s="922"/>
      <c r="G949" s="922"/>
      <c r="H949" s="922"/>
      <c r="I949" s="922"/>
      <c r="J949" s="922"/>
      <c r="K949" s="922"/>
      <c r="L949" s="922"/>
      <c r="M949" s="922"/>
      <c r="N949" s="924"/>
      <c r="O949" s="426"/>
      <c r="P949" s="1"/>
      <c r="Q949" s="1"/>
      <c r="R949" s="1"/>
      <c r="S949" s="1"/>
      <c r="T949" s="1"/>
      <c r="U949" s="1"/>
      <c r="V949" s="1"/>
      <c r="W949" s="1"/>
      <c r="X949" s="1"/>
      <c r="Y949" s="1"/>
      <c r="Z949" s="1"/>
    </row>
    <row r="950" spans="1:26" ht="13.5" customHeight="1">
      <c r="A950" s="395"/>
      <c r="B950" s="399"/>
      <c r="C950" s="929"/>
      <c r="D950" s="936"/>
      <c r="E950" s="936"/>
      <c r="F950" s="936"/>
      <c r="G950" s="936"/>
      <c r="H950" s="936"/>
      <c r="I950" s="936"/>
      <c r="J950" s="936"/>
      <c r="K950" s="936"/>
      <c r="L950" s="936"/>
      <c r="M950" s="936"/>
      <c r="N950" s="938"/>
      <c r="O950" s="426"/>
      <c r="P950" s="1"/>
      <c r="Q950" s="1"/>
      <c r="R950" s="1"/>
      <c r="S950" s="1"/>
      <c r="T950" s="1"/>
      <c r="U950" s="1"/>
      <c r="V950" s="1"/>
      <c r="W950" s="1"/>
      <c r="X950" s="1"/>
      <c r="Y950" s="1"/>
      <c r="Z950" s="1"/>
    </row>
    <row r="951" spans="1:26" ht="13.5" customHeight="1">
      <c r="A951" s="395"/>
      <c r="B951" s="399"/>
      <c r="C951" s="1130" t="s">
        <v>1209</v>
      </c>
      <c r="D951" s="1131"/>
      <c r="E951" s="1131"/>
      <c r="F951" s="1131"/>
      <c r="G951" s="1131"/>
      <c r="H951" s="1132"/>
      <c r="I951" s="427" t="s">
        <v>1210</v>
      </c>
      <c r="J951" s="438" t="s">
        <v>1211</v>
      </c>
      <c r="K951" s="439" t="s">
        <v>1260</v>
      </c>
      <c r="L951" s="1135" t="s">
        <v>1213</v>
      </c>
      <c r="M951" s="1000"/>
      <c r="N951" s="428" t="s">
        <v>1200</v>
      </c>
      <c r="O951" s="419"/>
      <c r="P951" s="1"/>
      <c r="Q951" s="1"/>
      <c r="R951" s="1"/>
      <c r="S951" s="1"/>
      <c r="T951" s="1"/>
      <c r="U951" s="1"/>
      <c r="V951" s="1"/>
      <c r="W951" s="1"/>
      <c r="X951" s="1"/>
      <c r="Y951" s="1"/>
      <c r="Z951" s="1"/>
    </row>
    <row r="952" spans="1:26" ht="13.5" customHeight="1">
      <c r="A952" s="395" t="str">
        <f t="array" ref="A952">IF(C952&lt;&gt;0,INDEX(CodTransporte,MATCH(C952,Transporte,0),),)</f>
        <v>T-03</v>
      </c>
      <c r="B952" s="399"/>
      <c r="C952" s="1128" t="s">
        <v>859</v>
      </c>
      <c r="D952" s="940"/>
      <c r="E952" s="940"/>
      <c r="F952" s="940"/>
      <c r="G952" s="940"/>
      <c r="H952" s="940"/>
      <c r="I952" s="440">
        <f>+K943+K944</f>
        <v>1.34</v>
      </c>
      <c r="J952" s="441">
        <f>IF($A952&gt;0,(VLOOKUP($A952,TablaTransporte,6,FALSE)),"")</f>
        <v>50.849999999999994</v>
      </c>
      <c r="K952" s="442" t="str">
        <f>IF($A952&gt;0,(VLOOKUP($A952,TablaTransporte,5,FALSE)),"")</f>
        <v>M3-KM</v>
      </c>
      <c r="L952" s="1134">
        <f>IF($A952&gt;0,(VLOOKUP($A952,TablaTransporte,7,FALSE)),"")</f>
        <v>2332.3500491642089</v>
      </c>
      <c r="M952" s="941"/>
      <c r="N952" s="430">
        <f t="shared" ref="N952:N953" si="53">IF(I952&gt;0,J952*L952*I952,"")</f>
        <v>158924.00000000003</v>
      </c>
      <c r="O952" s="431"/>
      <c r="P952" s="1"/>
      <c r="Q952" s="1"/>
      <c r="R952" s="1"/>
      <c r="S952" s="1"/>
      <c r="T952" s="1"/>
      <c r="U952" s="1"/>
      <c r="V952" s="1"/>
      <c r="W952" s="1"/>
      <c r="X952" s="1"/>
      <c r="Y952" s="1"/>
      <c r="Z952" s="1"/>
    </row>
    <row r="953" spans="1:26" ht="13.5" customHeight="1">
      <c r="A953" s="395" t="str">
        <f t="array" ref="A953">IF(C953&lt;&gt;0,INDEX(CodTransporte,MATCH(C953,Transporte,0),),)</f>
        <v>T-02</v>
      </c>
      <c r="B953" s="399"/>
      <c r="C953" s="1128" t="s">
        <v>857</v>
      </c>
      <c r="D953" s="940"/>
      <c r="E953" s="940"/>
      <c r="F953" s="940"/>
      <c r="G953" s="940"/>
      <c r="H953" s="940"/>
      <c r="I953" s="440">
        <f>+(K945/50)*0.035</f>
        <v>0.29400000000000004</v>
      </c>
      <c r="J953" s="441">
        <f>IF($A953&gt;0,(VLOOKUP($A953,TablaTransporte,6,FALSE)),"")</f>
        <v>50.849999999999994</v>
      </c>
      <c r="K953" s="442" t="str">
        <f>IF($A953&gt;0,(VLOOKUP($A953,TablaTransporte,5,FALSE)),"")</f>
        <v>M3-KM</v>
      </c>
      <c r="L953" s="1134">
        <f>IF($A953&gt;0,(VLOOKUP($A953,TablaTransporte,7,FALSE)),"")</f>
        <v>2332.3500491642089</v>
      </c>
      <c r="M953" s="941"/>
      <c r="N953" s="430">
        <f t="shared" si="53"/>
        <v>34868.400000000009</v>
      </c>
      <c r="O953" s="431"/>
      <c r="P953" s="1"/>
      <c r="Q953" s="1"/>
      <c r="R953" s="1"/>
      <c r="S953" s="1"/>
      <c r="T953" s="1"/>
      <c r="U953" s="1"/>
      <c r="V953" s="1"/>
      <c r="W953" s="1"/>
      <c r="X953" s="1"/>
      <c r="Y953" s="1"/>
      <c r="Z953" s="1"/>
    </row>
    <row r="954" spans="1:26" ht="13.5" customHeight="1">
      <c r="A954" s="395"/>
      <c r="B954" s="399"/>
      <c r="C954" s="1127" t="s">
        <v>1202</v>
      </c>
      <c r="D954" s="965"/>
      <c r="E954" s="965"/>
      <c r="F954" s="965"/>
      <c r="G954" s="965"/>
      <c r="H954" s="965"/>
      <c r="I954" s="965"/>
      <c r="J954" s="965"/>
      <c r="K954" s="965"/>
      <c r="L954" s="965"/>
      <c r="M954" s="966"/>
      <c r="N954" s="433">
        <f>+SUM(N952:N953)</f>
        <v>193792.40000000002</v>
      </c>
      <c r="O954" s="431"/>
      <c r="P954" s="1"/>
      <c r="Q954" s="1"/>
      <c r="R954" s="1"/>
      <c r="S954" s="1"/>
      <c r="T954" s="1"/>
      <c r="U954" s="1"/>
      <c r="V954" s="1"/>
      <c r="W954" s="1"/>
      <c r="X954" s="1"/>
      <c r="Y954" s="1"/>
      <c r="Z954" s="1"/>
    </row>
    <row r="955" spans="1:26" ht="13.5" customHeight="1">
      <c r="A955" s="395"/>
      <c r="B955" s="399"/>
      <c r="C955" s="1129" t="s">
        <v>1214</v>
      </c>
      <c r="D955" s="926"/>
      <c r="E955" s="926"/>
      <c r="F955" s="926"/>
      <c r="G955" s="926"/>
      <c r="H955" s="926"/>
      <c r="I955" s="926"/>
      <c r="J955" s="926"/>
      <c r="K955" s="926"/>
      <c r="L955" s="926"/>
      <c r="M955" s="926"/>
      <c r="N955" s="927"/>
      <c r="O955" s="426"/>
      <c r="P955" s="1"/>
      <c r="Q955" s="1"/>
      <c r="R955" s="1"/>
      <c r="S955" s="1"/>
      <c r="T955" s="1"/>
      <c r="U955" s="1"/>
      <c r="V955" s="1"/>
      <c r="W955" s="1"/>
      <c r="X955" s="1"/>
      <c r="Y955" s="1"/>
      <c r="Z955" s="1"/>
    </row>
    <row r="956" spans="1:26" ht="13.5" customHeight="1">
      <c r="A956" s="395"/>
      <c r="B956" s="399"/>
      <c r="C956" s="920"/>
      <c r="D956" s="922"/>
      <c r="E956" s="922"/>
      <c r="F956" s="922"/>
      <c r="G956" s="922"/>
      <c r="H956" s="922"/>
      <c r="I956" s="922"/>
      <c r="J956" s="922"/>
      <c r="K956" s="922"/>
      <c r="L956" s="922"/>
      <c r="M956" s="922"/>
      <c r="N956" s="924"/>
      <c r="O956" s="426"/>
      <c r="P956" s="1"/>
      <c r="Q956" s="1"/>
      <c r="R956" s="1"/>
      <c r="S956" s="1"/>
      <c r="T956" s="1"/>
      <c r="U956" s="1"/>
      <c r="V956" s="1"/>
      <c r="W956" s="1"/>
      <c r="X956" s="1"/>
      <c r="Y956" s="1"/>
      <c r="Z956" s="1"/>
    </row>
    <row r="957" spans="1:26" ht="13.5" customHeight="1">
      <c r="A957" s="395"/>
      <c r="B957" s="399"/>
      <c r="C957" s="929"/>
      <c r="D957" s="936"/>
      <c r="E957" s="936"/>
      <c r="F957" s="936"/>
      <c r="G957" s="936"/>
      <c r="H957" s="936"/>
      <c r="I957" s="936"/>
      <c r="J957" s="936"/>
      <c r="K957" s="936"/>
      <c r="L957" s="936"/>
      <c r="M957" s="936"/>
      <c r="N957" s="938"/>
      <c r="O957" s="426"/>
      <c r="P957" s="1"/>
      <c r="Q957" s="1"/>
      <c r="R957" s="1"/>
      <c r="S957" s="1"/>
      <c r="T957" s="1"/>
      <c r="U957" s="1"/>
      <c r="V957" s="1"/>
      <c r="W957" s="1"/>
      <c r="X957" s="1"/>
      <c r="Y957" s="1"/>
      <c r="Z957" s="1"/>
    </row>
    <row r="958" spans="1:26" ht="13.5" customHeight="1">
      <c r="A958" s="395"/>
      <c r="B958" s="399"/>
      <c r="C958" s="1130" t="s">
        <v>1215</v>
      </c>
      <c r="D958" s="1131"/>
      <c r="E958" s="1131"/>
      <c r="F958" s="1131"/>
      <c r="G958" s="1131"/>
      <c r="H958" s="1132"/>
      <c r="I958" s="427" t="s">
        <v>1216</v>
      </c>
      <c r="J958" s="443" t="s">
        <v>1217</v>
      </c>
      <c r="K958" s="444" t="s">
        <v>1218</v>
      </c>
      <c r="L958" s="1133" t="s">
        <v>1199</v>
      </c>
      <c r="M958" s="1000"/>
      <c r="N958" s="445" t="s">
        <v>1200</v>
      </c>
      <c r="O958" s="446"/>
      <c r="P958" s="1"/>
      <c r="Q958" s="1"/>
      <c r="R958" s="1"/>
      <c r="S958" s="1"/>
      <c r="T958" s="1"/>
      <c r="U958" s="1"/>
      <c r="V958" s="1"/>
      <c r="W958" s="1"/>
      <c r="X958" s="1"/>
      <c r="Y958" s="1"/>
      <c r="Z958" s="1"/>
    </row>
    <row r="959" spans="1:26" ht="13.5" customHeight="1">
      <c r="A959" s="395" t="str">
        <f t="array" ref="A959">IF(C959&lt;&gt;0,INDEX(CodMO,MATCH(C959,MO,0),),)</f>
        <v>M.O-05</v>
      </c>
      <c r="B959" s="399"/>
      <c r="C959" s="1128" t="s">
        <v>139</v>
      </c>
      <c r="D959" s="940"/>
      <c r="E959" s="940"/>
      <c r="F959" s="940"/>
      <c r="G959" s="940"/>
      <c r="H959" s="940"/>
      <c r="I959" s="447">
        <f>IF($A959&gt;0,(VLOOKUP($A959,TablaMO,8,FALSE)),"")</f>
        <v>125030.16666666667</v>
      </c>
      <c r="J959" s="448">
        <f>IF($A959&gt;0,(VLOOKUP($A959,TablaMO,10,FALSE)),"")</f>
        <v>0.67071666666666663</v>
      </c>
      <c r="K959" s="447">
        <f>IF($A959&gt;0,(VLOOKUP($A959,TablaMO,11,FALSE)),"")</f>
        <v>208890</v>
      </c>
      <c r="L959" s="1146">
        <v>6</v>
      </c>
      <c r="M959" s="941"/>
      <c r="N959" s="430">
        <f t="shared" ref="N959:N963" si="54">IF(L959&gt;0,K959/L959,"")</f>
        <v>34815</v>
      </c>
      <c r="O959" s="449"/>
      <c r="P959" s="1"/>
      <c r="Q959" s="1"/>
      <c r="R959" s="1"/>
      <c r="S959" s="1"/>
      <c r="T959" s="1"/>
      <c r="U959" s="1"/>
      <c r="V959" s="1"/>
      <c r="W959" s="1"/>
      <c r="X959" s="1"/>
      <c r="Y959" s="1"/>
      <c r="Z959" s="1"/>
    </row>
    <row r="960" spans="1:26" ht="13.5" customHeight="1">
      <c r="A960" s="395" t="str">
        <f t="array" ref="A960">IF(C960&lt;&gt;0,INDEX(CodMO,MATCH(C960,MO,0),),)</f>
        <v>M.O-01</v>
      </c>
      <c r="B960" s="399"/>
      <c r="C960" s="1128" t="s">
        <v>130</v>
      </c>
      <c r="D960" s="940"/>
      <c r="E960" s="940"/>
      <c r="F960" s="940"/>
      <c r="G960" s="940"/>
      <c r="H960" s="940"/>
      <c r="I960" s="447">
        <f>IF($A960&gt;0,(VLOOKUP($A960,TablaMO,8,FALSE)),"")</f>
        <v>72503.016666666677</v>
      </c>
      <c r="J960" s="448">
        <f>IF($A960&gt;0,(VLOOKUP($A960,TablaMO,10,FALSE)),"")</f>
        <v>0.67071666666666663</v>
      </c>
      <c r="K960" s="447">
        <f>IF($A960&gt;0,(VLOOKUP($A960,TablaMO,11,FALSE)),"")</f>
        <v>121132</v>
      </c>
      <c r="L960" s="1146">
        <f>L959</f>
        <v>6</v>
      </c>
      <c r="M960" s="941"/>
      <c r="N960" s="430">
        <f t="shared" si="54"/>
        <v>20188.666666666668</v>
      </c>
      <c r="O960" s="449"/>
      <c r="P960" s="1"/>
      <c r="Q960" s="1"/>
      <c r="R960" s="1"/>
      <c r="S960" s="1"/>
      <c r="T960" s="1"/>
      <c r="U960" s="1"/>
      <c r="V960" s="1"/>
      <c r="W960" s="1"/>
      <c r="X960" s="1"/>
      <c r="Y960" s="1"/>
      <c r="Z960" s="1"/>
    </row>
    <row r="961" spans="1:26" ht="13.5" customHeight="1">
      <c r="A961" s="395" t="str">
        <f t="array" ref="A961">IF(C961&lt;&gt;0,INDEX(CodMO,MATCH(C961,MO,0),),)</f>
        <v>M.O-02</v>
      </c>
      <c r="B961" s="399"/>
      <c r="C961" s="1128" t="s">
        <v>133</v>
      </c>
      <c r="D961" s="940"/>
      <c r="E961" s="940"/>
      <c r="F961" s="940"/>
      <c r="G961" s="940"/>
      <c r="H961" s="940"/>
      <c r="I961" s="447">
        <f>IF($A961&gt;0,(VLOOKUP($A961,TablaMO,8,FALSE)),"")</f>
        <v>72503.016666666677</v>
      </c>
      <c r="J961" s="448">
        <f>IF($A961&gt;0,(VLOOKUP($A961,TablaMO,10,FALSE)),"")</f>
        <v>0.67071666666666663</v>
      </c>
      <c r="K961" s="447">
        <f>IF($A961&gt;0,(VLOOKUP($A961,TablaMO,11,FALSE)),"")</f>
        <v>121132</v>
      </c>
      <c r="L961" s="1146">
        <f t="shared" ref="L961:L962" si="55">L959</f>
        <v>6</v>
      </c>
      <c r="M961" s="941"/>
      <c r="N961" s="430">
        <f t="shared" si="54"/>
        <v>20188.666666666668</v>
      </c>
      <c r="O961" s="449"/>
      <c r="P961" s="1"/>
      <c r="Q961" s="1"/>
      <c r="R961" s="1"/>
      <c r="S961" s="1"/>
      <c r="T961" s="1"/>
      <c r="U961" s="1"/>
      <c r="V961" s="1"/>
      <c r="W961" s="1"/>
      <c r="X961" s="1"/>
      <c r="Y961" s="1"/>
      <c r="Z961" s="1"/>
    </row>
    <row r="962" spans="1:26" ht="13.5" customHeight="1">
      <c r="A962" s="395" t="str">
        <f t="array" ref="A962">IF(C962&lt;&gt;0,INDEX(CodMO,MATCH(C962,MO,0),),)</f>
        <v>M.O-03</v>
      </c>
      <c r="B962" s="399"/>
      <c r="C962" s="1128" t="s">
        <v>135</v>
      </c>
      <c r="D962" s="940"/>
      <c r="E962" s="940"/>
      <c r="F962" s="940"/>
      <c r="G962" s="940"/>
      <c r="H962" s="940"/>
      <c r="I962" s="447">
        <f>IF($A962&gt;0,(VLOOKUP($A962,TablaMO,8,FALSE)),"")</f>
        <v>72503.016666666677</v>
      </c>
      <c r="J962" s="448">
        <f>IF($A962&gt;0,(VLOOKUP($A962,TablaMO,10,FALSE)),"")</f>
        <v>0.67071666666666663</v>
      </c>
      <c r="K962" s="447">
        <f>IF($A962&gt;0,(VLOOKUP($A962,TablaMO,11,FALSE)),"")</f>
        <v>121132</v>
      </c>
      <c r="L962" s="1146">
        <f t="shared" si="55"/>
        <v>6</v>
      </c>
      <c r="M962" s="941"/>
      <c r="N962" s="430">
        <f t="shared" si="54"/>
        <v>20188.666666666668</v>
      </c>
      <c r="O962" s="449"/>
      <c r="P962" s="1"/>
      <c r="Q962" s="1"/>
      <c r="R962" s="1"/>
      <c r="S962" s="1"/>
      <c r="T962" s="1"/>
      <c r="U962" s="1"/>
      <c r="V962" s="1"/>
      <c r="W962" s="1"/>
      <c r="X962" s="1"/>
      <c r="Y962" s="1"/>
      <c r="Z962" s="1"/>
    </row>
    <row r="963" spans="1:26" ht="13.5" customHeight="1">
      <c r="A963" s="395" t="str">
        <f t="array" ref="A963">IF(C963&lt;&gt;0,INDEX(CodMO,MATCH(C963,MO,0),),)</f>
        <v>M.O-04</v>
      </c>
      <c r="B963" s="399"/>
      <c r="C963" s="1152" t="s">
        <v>137</v>
      </c>
      <c r="D963" s="945"/>
      <c r="E963" s="945"/>
      <c r="F963" s="945"/>
      <c r="G963" s="945"/>
      <c r="H963" s="945"/>
      <c r="I963" s="474">
        <f>IF($A963&gt;0,(VLOOKUP($A963,TablaMO,8,FALSE)),"")</f>
        <v>72503.016666666677</v>
      </c>
      <c r="J963" s="475">
        <f>IF($A963&gt;0,(VLOOKUP($A963,TablaMO,10,FALSE)),"")</f>
        <v>0.67071666666666663</v>
      </c>
      <c r="K963" s="474">
        <f>IF($A963&gt;0,(VLOOKUP($A963,TablaMO,11,FALSE)),"")</f>
        <v>121132</v>
      </c>
      <c r="L963" s="1153">
        <f>L959</f>
        <v>6</v>
      </c>
      <c r="M963" s="1039"/>
      <c r="N963" s="430">
        <f t="shared" si="54"/>
        <v>20188.666666666668</v>
      </c>
      <c r="O963" s="449"/>
      <c r="P963" s="1"/>
      <c r="Q963" s="1"/>
      <c r="R963" s="1"/>
      <c r="S963" s="1"/>
      <c r="T963" s="1"/>
      <c r="U963" s="1"/>
      <c r="V963" s="1"/>
      <c r="W963" s="1"/>
      <c r="X963" s="1"/>
      <c r="Y963" s="1"/>
      <c r="Z963" s="1"/>
    </row>
    <row r="964" spans="1:26" ht="13.5" customHeight="1">
      <c r="A964" s="395"/>
      <c r="B964" s="399"/>
      <c r="C964" s="1127" t="s">
        <v>1202</v>
      </c>
      <c r="D964" s="965"/>
      <c r="E964" s="965"/>
      <c r="F964" s="965"/>
      <c r="G964" s="965"/>
      <c r="H964" s="965"/>
      <c r="I964" s="965"/>
      <c r="J964" s="965"/>
      <c r="K964" s="965"/>
      <c r="L964" s="965"/>
      <c r="M964" s="966"/>
      <c r="N964" s="476">
        <f>+SUM(N959:N963)</f>
        <v>115569.66666666669</v>
      </c>
      <c r="O964" s="431"/>
      <c r="P964" s="1"/>
      <c r="Q964" s="1"/>
      <c r="R964" s="1"/>
      <c r="S964" s="1"/>
      <c r="T964" s="1"/>
      <c r="U964" s="1"/>
      <c r="V964" s="1"/>
      <c r="W964" s="1"/>
      <c r="X964" s="1"/>
      <c r="Y964" s="1"/>
      <c r="Z964" s="1"/>
    </row>
    <row r="965" spans="1:26" ht="13.5" customHeight="1">
      <c r="A965" s="395"/>
      <c r="B965" s="399"/>
      <c r="C965" s="418"/>
      <c r="D965" s="39"/>
      <c r="E965" s="39"/>
      <c r="F965" s="39"/>
      <c r="G965" s="39"/>
      <c r="H965" s="39"/>
      <c r="I965" s="39"/>
      <c r="J965" s="39"/>
      <c r="K965" s="39"/>
      <c r="L965" s="39"/>
      <c r="M965" s="39"/>
      <c r="N965" s="40"/>
      <c r="O965" s="402"/>
      <c r="P965" s="1"/>
      <c r="Q965" s="1"/>
      <c r="R965" s="1"/>
      <c r="S965" s="1"/>
      <c r="T965" s="1"/>
      <c r="U965" s="1"/>
      <c r="V965" s="1"/>
      <c r="W965" s="1"/>
      <c r="X965" s="1"/>
      <c r="Y965" s="1"/>
      <c r="Z965" s="1"/>
    </row>
    <row r="966" spans="1:26" ht="13.5" customHeight="1">
      <c r="A966" s="395"/>
      <c r="B966" s="399"/>
      <c r="C966" s="1147" t="s">
        <v>1219</v>
      </c>
      <c r="D966" s="965"/>
      <c r="E966" s="965"/>
      <c r="F966" s="965"/>
      <c r="G966" s="965"/>
      <c r="H966" s="965"/>
      <c r="I966" s="965"/>
      <c r="J966" s="965"/>
      <c r="K966" s="965"/>
      <c r="L966" s="965"/>
      <c r="M966" s="966"/>
      <c r="N966" s="450" t="e">
        <f>+SUM(N964,N954,N947,N937)</f>
        <v>#N/A</v>
      </c>
      <c r="O966" s="451"/>
      <c r="P966" s="1"/>
      <c r="Q966" s="1"/>
      <c r="R966" s="1"/>
      <c r="S966" s="1"/>
      <c r="T966" s="1"/>
      <c r="U966" s="1"/>
      <c r="V966" s="1"/>
      <c r="W966" s="1"/>
      <c r="X966" s="1"/>
      <c r="Y966" s="1"/>
      <c r="Z966" s="1"/>
    </row>
    <row r="967" spans="1:26" ht="13.5" customHeight="1">
      <c r="A967" s="395"/>
      <c r="B967" s="399"/>
      <c r="C967" s="1129" t="s">
        <v>1220</v>
      </c>
      <c r="D967" s="926"/>
      <c r="E967" s="926"/>
      <c r="F967" s="926"/>
      <c r="G967" s="926"/>
      <c r="H967" s="926"/>
      <c r="I967" s="926"/>
      <c r="J967" s="926"/>
      <c r="K967" s="926"/>
      <c r="L967" s="926"/>
      <c r="M967" s="926"/>
      <c r="N967" s="927"/>
      <c r="O967" s="426"/>
      <c r="P967" s="1"/>
      <c r="Q967" s="1"/>
      <c r="R967" s="1"/>
      <c r="S967" s="1"/>
      <c r="T967" s="1"/>
      <c r="U967" s="1"/>
      <c r="V967" s="1"/>
      <c r="W967" s="1"/>
      <c r="X967" s="1"/>
      <c r="Y967" s="1"/>
      <c r="Z967" s="1"/>
    </row>
    <row r="968" spans="1:26" ht="13.5" customHeight="1">
      <c r="A968" s="395"/>
      <c r="B968" s="399"/>
      <c r="C968" s="920"/>
      <c r="D968" s="922"/>
      <c r="E968" s="922"/>
      <c r="F968" s="922"/>
      <c r="G968" s="922"/>
      <c r="H968" s="922"/>
      <c r="I968" s="922"/>
      <c r="J968" s="922"/>
      <c r="K968" s="922"/>
      <c r="L968" s="922"/>
      <c r="M968" s="922"/>
      <c r="N968" s="924"/>
      <c r="O968" s="426"/>
      <c r="P968" s="1"/>
      <c r="Q968" s="1"/>
      <c r="R968" s="1"/>
      <c r="S968" s="1"/>
      <c r="T968" s="1"/>
      <c r="U968" s="1"/>
      <c r="V968" s="1"/>
      <c r="W968" s="1"/>
      <c r="X968" s="1"/>
      <c r="Y968" s="1"/>
      <c r="Z968" s="1"/>
    </row>
    <row r="969" spans="1:26" ht="13.5" customHeight="1">
      <c r="A969" s="395"/>
      <c r="B969" s="399"/>
      <c r="C969" s="929"/>
      <c r="D969" s="936"/>
      <c r="E969" s="936"/>
      <c r="F969" s="936"/>
      <c r="G969" s="936"/>
      <c r="H969" s="936"/>
      <c r="I969" s="936"/>
      <c r="J969" s="936"/>
      <c r="K969" s="936"/>
      <c r="L969" s="936"/>
      <c r="M969" s="936"/>
      <c r="N969" s="938"/>
      <c r="O969" s="426"/>
      <c r="P969" s="1"/>
      <c r="Q969" s="1"/>
      <c r="R969" s="1"/>
      <c r="S969" s="1"/>
      <c r="T969" s="1"/>
      <c r="U969" s="1"/>
      <c r="V969" s="1"/>
      <c r="W969" s="1"/>
      <c r="X969" s="1"/>
      <c r="Y969" s="1"/>
      <c r="Z969" s="1"/>
    </row>
    <row r="970" spans="1:26" ht="13.5" customHeight="1">
      <c r="A970" s="395"/>
      <c r="B970" s="399"/>
      <c r="C970" s="1130" t="s">
        <v>1221</v>
      </c>
      <c r="D970" s="1131"/>
      <c r="E970" s="1131"/>
      <c r="F970" s="1131"/>
      <c r="G970" s="1131"/>
      <c r="H970" s="1132"/>
      <c r="I970" s="438"/>
      <c r="J970" s="438"/>
      <c r="K970" s="438"/>
      <c r="L970" s="1133" t="s">
        <v>1222</v>
      </c>
      <c r="M970" s="1000"/>
      <c r="N970" s="445" t="s">
        <v>1223</v>
      </c>
      <c r="O970" s="446"/>
      <c r="P970" s="1"/>
      <c r="Q970" s="1"/>
      <c r="R970" s="1"/>
      <c r="S970" s="1"/>
      <c r="T970" s="1"/>
      <c r="U970" s="1"/>
      <c r="V970" s="1"/>
      <c r="W970" s="1"/>
      <c r="X970" s="1"/>
      <c r="Y970" s="1"/>
      <c r="Z970" s="1"/>
    </row>
    <row r="971" spans="1:26" ht="13.5" customHeight="1">
      <c r="A971" s="395"/>
      <c r="B971" s="399"/>
      <c r="C971" s="1128" t="s">
        <v>19</v>
      </c>
      <c r="D971" s="940"/>
      <c r="E971" s="940"/>
      <c r="F971" s="940"/>
      <c r="G971" s="940"/>
      <c r="H971" s="940"/>
      <c r="I971" s="452"/>
      <c r="J971" s="452"/>
      <c r="K971" s="452"/>
      <c r="L971" s="1148">
        <f>+Datos!$E$18</f>
        <v>0.25</v>
      </c>
      <c r="M971" s="941"/>
      <c r="N971" s="430" t="e">
        <f>+L971*N966</f>
        <v>#N/A</v>
      </c>
      <c r="O971" s="453"/>
      <c r="P971" s="1"/>
      <c r="Q971" s="1"/>
      <c r="R971" s="1"/>
      <c r="S971" s="1"/>
      <c r="T971" s="1"/>
      <c r="U971" s="1"/>
      <c r="V971" s="1"/>
      <c r="W971" s="1"/>
      <c r="X971" s="1"/>
      <c r="Y971" s="1"/>
      <c r="Z971" s="1"/>
    </row>
    <row r="972" spans="1:26" ht="13.5" customHeight="1">
      <c r="A972" s="395"/>
      <c r="B972" s="399"/>
      <c r="C972" s="454" t="s">
        <v>20</v>
      </c>
      <c r="D972" s="455"/>
      <c r="E972" s="455"/>
      <c r="F972" s="455"/>
      <c r="G972" s="455"/>
      <c r="H972" s="455"/>
      <c r="I972" s="452"/>
      <c r="J972" s="452"/>
      <c r="K972" s="452"/>
      <c r="L972" s="1148">
        <f>+Datos!$E$19</f>
        <v>0.01</v>
      </c>
      <c r="M972" s="941"/>
      <c r="N972" s="430" t="e">
        <f>+L972*N966</f>
        <v>#N/A</v>
      </c>
      <c r="O972" s="453"/>
      <c r="P972" s="1"/>
      <c r="Q972" s="1"/>
      <c r="R972" s="1"/>
      <c r="S972" s="1"/>
      <c r="T972" s="1"/>
      <c r="U972" s="1"/>
      <c r="V972" s="1"/>
      <c r="W972" s="1"/>
      <c r="X972" s="1"/>
      <c r="Y972" s="1"/>
      <c r="Z972" s="1"/>
    </row>
    <row r="973" spans="1:26" ht="13.5" customHeight="1">
      <c r="A973" s="395"/>
      <c r="B973" s="399"/>
      <c r="C973" s="456" t="s">
        <v>21</v>
      </c>
      <c r="D973" s="457"/>
      <c r="E973" s="457"/>
      <c r="F973" s="457"/>
      <c r="G973" s="457"/>
      <c r="H973" s="457"/>
      <c r="I973" s="458"/>
      <c r="J973" s="458"/>
      <c r="K973" s="458"/>
      <c r="L973" s="1148">
        <f>+Datos!$E$20</f>
        <v>0.05</v>
      </c>
      <c r="M973" s="941"/>
      <c r="N973" s="430" t="e">
        <f>+L973*N966</f>
        <v>#N/A</v>
      </c>
      <c r="O973" s="453"/>
      <c r="P973" s="1"/>
      <c r="Q973" s="1"/>
      <c r="R973" s="1"/>
      <c r="S973" s="1"/>
      <c r="T973" s="1"/>
      <c r="U973" s="1"/>
      <c r="V973" s="1"/>
      <c r="W973" s="1"/>
      <c r="X973" s="1"/>
      <c r="Y973" s="1"/>
      <c r="Z973" s="1"/>
    </row>
    <row r="974" spans="1:26" ht="13.5" customHeight="1">
      <c r="A974" s="395"/>
      <c r="B974" s="399"/>
      <c r="C974" s="1127" t="s">
        <v>1202</v>
      </c>
      <c r="D974" s="965"/>
      <c r="E974" s="965"/>
      <c r="F974" s="965"/>
      <c r="G974" s="965"/>
      <c r="H974" s="965"/>
      <c r="I974" s="965"/>
      <c r="J974" s="965"/>
      <c r="K974" s="965"/>
      <c r="L974" s="965"/>
      <c r="M974" s="966"/>
      <c r="N974" s="433" t="e">
        <f>+SUM(N971:N973)</f>
        <v>#N/A</v>
      </c>
      <c r="O974" s="453"/>
      <c r="P974" s="1"/>
      <c r="Q974" s="1"/>
      <c r="R974" s="1"/>
      <c r="S974" s="1"/>
      <c r="T974" s="1"/>
      <c r="U974" s="1"/>
      <c r="V974" s="1"/>
      <c r="W974" s="1"/>
      <c r="X974" s="1"/>
      <c r="Y974" s="1"/>
      <c r="Z974" s="1"/>
    </row>
    <row r="975" spans="1:26" ht="13.5" customHeight="1">
      <c r="A975" s="395"/>
      <c r="B975" s="399"/>
      <c r="C975" s="418"/>
      <c r="D975" s="39"/>
      <c r="E975" s="39"/>
      <c r="F975" s="39"/>
      <c r="G975" s="39"/>
      <c r="H975" s="39"/>
      <c r="I975" s="39"/>
      <c r="J975" s="39"/>
      <c r="K975" s="39"/>
      <c r="L975" s="39"/>
      <c r="M975" s="39"/>
      <c r="N975" s="40"/>
      <c r="O975" s="402"/>
      <c r="P975" s="1"/>
      <c r="Q975" s="1"/>
      <c r="R975" s="1"/>
      <c r="S975" s="1"/>
      <c r="T975" s="1"/>
      <c r="U975" s="1"/>
      <c r="V975" s="1"/>
      <c r="W975" s="1"/>
      <c r="X975" s="1"/>
      <c r="Y975" s="1"/>
      <c r="Z975" s="1"/>
    </row>
    <row r="976" spans="1:26" ht="13.5" customHeight="1">
      <c r="A976" s="395"/>
      <c r="B976" s="399"/>
      <c r="C976" s="1147" t="s">
        <v>1224</v>
      </c>
      <c r="D976" s="965"/>
      <c r="E976" s="965"/>
      <c r="F976" s="965"/>
      <c r="G976" s="965"/>
      <c r="H976" s="965"/>
      <c r="I976" s="965"/>
      <c r="J976" s="965"/>
      <c r="K976" s="965"/>
      <c r="L976" s="965"/>
      <c r="M976" s="966"/>
      <c r="N976" s="459" t="e">
        <f>+ROUND(SUM(N974,N966),0)</f>
        <v>#N/A</v>
      </c>
      <c r="O976" s="453"/>
      <c r="P976" s="1"/>
      <c r="Q976" s="1"/>
      <c r="R976" s="1"/>
      <c r="S976" s="1"/>
      <c r="T976" s="1"/>
      <c r="U976" s="1"/>
      <c r="V976" s="1"/>
      <c r="W976" s="1"/>
      <c r="X976" s="1"/>
      <c r="Y976" s="1"/>
      <c r="Z976" s="1"/>
    </row>
    <row r="977" spans="1:26" ht="13.5" customHeight="1">
      <c r="A977" s="1"/>
      <c r="B977" s="399"/>
      <c r="C977" s="460"/>
      <c r="D977" s="461"/>
      <c r="E977" s="461"/>
      <c r="F977" s="461"/>
      <c r="G977" s="461"/>
      <c r="H977" s="461"/>
      <c r="I977" s="461"/>
      <c r="J977" s="461"/>
      <c r="K977" s="461"/>
      <c r="L977" s="461"/>
      <c r="M977" s="461"/>
      <c r="N977" s="462"/>
      <c r="O977" s="402"/>
      <c r="P977" s="1"/>
      <c r="Q977" s="1"/>
      <c r="R977" s="1"/>
      <c r="S977" s="1"/>
      <c r="T977" s="1"/>
      <c r="U977" s="1"/>
      <c r="V977" s="1"/>
      <c r="W977" s="1"/>
      <c r="X977" s="1"/>
      <c r="Y977" s="1"/>
      <c r="Z977" s="1"/>
    </row>
    <row r="978" spans="1:26" ht="13.5" customHeight="1">
      <c r="A978" s="1"/>
      <c r="B978" s="399"/>
      <c r="C978" s="418"/>
      <c r="D978" s="39"/>
      <c r="E978" s="39"/>
      <c r="F978" s="39"/>
      <c r="G978" s="39"/>
      <c r="H978" s="39"/>
      <c r="I978" s="39"/>
      <c r="J978" s="39"/>
      <c r="K978" s="39"/>
      <c r="L978" s="39"/>
      <c r="M978" s="39"/>
      <c r="N978" s="40"/>
      <c r="O978" s="402"/>
      <c r="P978" s="1"/>
      <c r="Q978" s="1"/>
      <c r="R978" s="1"/>
      <c r="S978" s="1"/>
      <c r="T978" s="1"/>
      <c r="U978" s="1"/>
      <c r="V978" s="1"/>
      <c r="W978" s="1"/>
      <c r="X978" s="1"/>
      <c r="Y978" s="1"/>
      <c r="Z978" s="1"/>
    </row>
    <row r="979" spans="1:26" ht="13.5" customHeight="1">
      <c r="A979" s="1"/>
      <c r="B979" s="399"/>
      <c r="C979" s="418"/>
      <c r="D979" s="39"/>
      <c r="E979" s="39"/>
      <c r="F979" s="39"/>
      <c r="G979" s="39"/>
      <c r="H979" s="39"/>
      <c r="I979" s="39"/>
      <c r="J979" s="39"/>
      <c r="K979" s="39"/>
      <c r="L979" s="39"/>
      <c r="M979" s="39"/>
      <c r="N979" s="40"/>
      <c r="O979" s="402"/>
      <c r="P979" s="1"/>
      <c r="Q979" s="1"/>
      <c r="R979" s="1"/>
      <c r="S979" s="1"/>
      <c r="T979" s="1"/>
      <c r="U979" s="1"/>
      <c r="V979" s="1"/>
      <c r="W979" s="1"/>
      <c r="X979" s="1"/>
      <c r="Y979" s="1"/>
      <c r="Z979" s="1"/>
    </row>
    <row r="980" spans="1:26" ht="13.5" customHeight="1">
      <c r="A980" s="1"/>
      <c r="B980" s="399"/>
      <c r="C980" s="418"/>
      <c r="D980" s="463"/>
      <c r="E980" s="463"/>
      <c r="F980" s="463"/>
      <c r="G980" s="184"/>
      <c r="H980" s="184"/>
      <c r="I980" s="184"/>
      <c r="J980" s="463"/>
      <c r="K980" s="463"/>
      <c r="L980" s="463"/>
      <c r="M980" s="463"/>
      <c r="N980" s="40"/>
      <c r="O980" s="402"/>
      <c r="P980" s="1"/>
      <c r="Q980" s="1"/>
      <c r="R980" s="1"/>
      <c r="S980" s="1"/>
      <c r="T980" s="1"/>
      <c r="U980" s="1"/>
      <c r="V980" s="1"/>
      <c r="W980" s="1"/>
      <c r="X980" s="1"/>
      <c r="Y980" s="1"/>
      <c r="Z980" s="1"/>
    </row>
    <row r="981" spans="1:26" ht="13.5" customHeight="1">
      <c r="A981" s="1"/>
      <c r="B981" s="399"/>
      <c r="C981" s="418"/>
      <c r="D981" s="39" t="s">
        <v>1225</v>
      </c>
      <c r="E981" s="39"/>
      <c r="F981" s="39"/>
      <c r="G981" s="184"/>
      <c r="H981" s="184"/>
      <c r="I981" s="184"/>
      <c r="J981" s="39" t="s">
        <v>1225</v>
      </c>
      <c r="K981" s="39"/>
      <c r="L981" s="39"/>
      <c r="M981" s="39"/>
      <c r="N981" s="40"/>
      <c r="O981" s="464"/>
      <c r="P981" s="1"/>
      <c r="Q981" s="1"/>
      <c r="R981" s="1"/>
      <c r="S981" s="1"/>
      <c r="T981" s="1"/>
      <c r="U981" s="1"/>
      <c r="V981" s="1"/>
      <c r="W981" s="1"/>
      <c r="X981" s="1"/>
      <c r="Y981" s="1"/>
      <c r="Z981" s="1"/>
    </row>
    <row r="982" spans="1:26" ht="13.5" customHeight="1">
      <c r="A982" s="1"/>
      <c r="B982" s="399"/>
      <c r="C982" s="418"/>
      <c r="D982" s="39" t="s">
        <v>1226</v>
      </c>
      <c r="E982" s="39"/>
      <c r="F982" s="39"/>
      <c r="G982" s="184"/>
      <c r="H982" s="184"/>
      <c r="I982" s="184"/>
      <c r="J982" s="39" t="s">
        <v>1227</v>
      </c>
      <c r="K982" s="39"/>
      <c r="L982" s="39"/>
      <c r="M982" s="39"/>
      <c r="N982" s="40"/>
      <c r="O982" s="464"/>
      <c r="P982" s="1"/>
      <c r="Q982" s="1"/>
      <c r="R982" s="1"/>
      <c r="S982" s="1"/>
      <c r="T982" s="1"/>
      <c r="U982" s="1"/>
      <c r="V982" s="1"/>
      <c r="W982" s="1"/>
      <c r="X982" s="1"/>
      <c r="Y982" s="1"/>
      <c r="Z982" s="1"/>
    </row>
    <row r="983" spans="1:26" ht="13.5" customHeight="1">
      <c r="A983" s="1"/>
      <c r="B983" s="399"/>
      <c r="C983" s="404"/>
      <c r="D983" s="39" t="s">
        <v>1228</v>
      </c>
      <c r="E983" s="42"/>
      <c r="F983" s="42"/>
      <c r="G983" s="184"/>
      <c r="H983" s="184"/>
      <c r="I983" s="184"/>
      <c r="J983" s="39" t="s">
        <v>1228</v>
      </c>
      <c r="K983" s="42"/>
      <c r="L983" s="42"/>
      <c r="M983" s="42"/>
      <c r="N983" s="43"/>
      <c r="O983" s="465"/>
      <c r="P983" s="1"/>
      <c r="Q983" s="1"/>
      <c r="R983" s="1"/>
      <c r="S983" s="1"/>
      <c r="T983" s="1"/>
      <c r="U983" s="1"/>
      <c r="V983" s="1"/>
      <c r="W983" s="1"/>
      <c r="X983" s="1"/>
      <c r="Y983" s="1"/>
      <c r="Z983" s="1"/>
    </row>
    <row r="984" spans="1:26" ht="13.5" customHeight="1">
      <c r="A984" s="1"/>
      <c r="B984" s="399"/>
      <c r="C984" s="418"/>
      <c r="D984" s="39"/>
      <c r="E984" s="39"/>
      <c r="F984" s="39"/>
      <c r="G984" s="39" t="s">
        <v>1229</v>
      </c>
      <c r="H984" s="39"/>
      <c r="I984" s="39"/>
      <c r="J984" s="39"/>
      <c r="K984" s="39"/>
      <c r="L984" s="39"/>
      <c r="M984" s="39"/>
      <c r="N984" s="40"/>
      <c r="O984" s="402"/>
      <c r="P984" s="1"/>
      <c r="Q984" s="1"/>
      <c r="R984" s="1"/>
      <c r="S984" s="1"/>
      <c r="T984" s="1"/>
      <c r="U984" s="1"/>
      <c r="V984" s="1"/>
      <c r="W984" s="1"/>
      <c r="X984" s="1"/>
      <c r="Y984" s="1"/>
      <c r="Z984" s="1"/>
    </row>
    <row r="985" spans="1:26" ht="17.25" customHeight="1">
      <c r="A985" s="1"/>
      <c r="B985" s="399"/>
      <c r="C985" s="466"/>
      <c r="D985" s="467"/>
      <c r="E985" s="467"/>
      <c r="F985" s="39"/>
      <c r="G985" s="39"/>
      <c r="H985" s="39"/>
      <c r="I985" s="39"/>
      <c r="J985" s="1149"/>
      <c r="K985" s="922"/>
      <c r="L985" s="922"/>
      <c r="M985" s="922"/>
      <c r="N985" s="924"/>
      <c r="O985" s="468"/>
      <c r="P985" s="1"/>
      <c r="Q985" s="1"/>
      <c r="R985" s="1"/>
      <c r="S985" s="1"/>
      <c r="T985" s="1"/>
      <c r="U985" s="1"/>
      <c r="V985" s="1"/>
      <c r="W985" s="1"/>
      <c r="X985" s="1"/>
      <c r="Y985" s="1"/>
      <c r="Z985" s="1"/>
    </row>
    <row r="986" spans="1:26" ht="18.75" customHeight="1">
      <c r="A986" s="1"/>
      <c r="B986" s="399"/>
      <c r="C986" s="1150"/>
      <c r="D986" s="936"/>
      <c r="E986" s="936"/>
      <c r="F986" s="416"/>
      <c r="G986" s="416"/>
      <c r="H986" s="416"/>
      <c r="I986" s="416"/>
      <c r="J986" s="936"/>
      <c r="K986" s="936"/>
      <c r="L986" s="936"/>
      <c r="M986" s="936"/>
      <c r="N986" s="938"/>
      <c r="O986" s="468"/>
      <c r="P986" s="1"/>
      <c r="Q986" s="1"/>
      <c r="R986" s="1"/>
      <c r="S986" s="1"/>
      <c r="T986" s="1"/>
      <c r="U986" s="1"/>
      <c r="V986" s="1"/>
      <c r="W986" s="1"/>
      <c r="X986" s="1"/>
      <c r="Y986" s="1"/>
      <c r="Z986" s="1"/>
    </row>
    <row r="987" spans="1:26" ht="13.5" customHeight="1">
      <c r="A987" s="1"/>
      <c r="B987" s="469"/>
      <c r="C987" s="470"/>
      <c r="D987" s="470"/>
      <c r="E987" s="470"/>
      <c r="F987" s="470"/>
      <c r="G987" s="470"/>
      <c r="H987" s="470"/>
      <c r="I987" s="470"/>
      <c r="J987" s="470"/>
      <c r="K987" s="470"/>
      <c r="L987" s="470"/>
      <c r="M987" s="470"/>
      <c r="N987" s="470"/>
      <c r="O987" s="471"/>
      <c r="P987" s="1"/>
      <c r="Q987" s="1"/>
      <c r="R987" s="1"/>
      <c r="S987" s="1"/>
      <c r="T987" s="1"/>
      <c r="U987" s="1"/>
      <c r="V987" s="1"/>
      <c r="W987" s="1"/>
      <c r="X987" s="1"/>
      <c r="Y987" s="1"/>
      <c r="Z987" s="1"/>
    </row>
    <row r="988" spans="1:26" ht="13.5" customHeight="1">
      <c r="A988" s="1"/>
      <c r="B988" s="184"/>
      <c r="C988" s="184"/>
      <c r="D988" s="184"/>
      <c r="E988" s="184"/>
      <c r="F988" s="184"/>
      <c r="G988" s="184"/>
      <c r="H988" s="184"/>
      <c r="I988" s="184"/>
      <c r="J988" s="184"/>
      <c r="K988" s="184"/>
      <c r="L988" s="184"/>
      <c r="M988" s="184"/>
      <c r="N988" s="184"/>
      <c r="O988" s="184"/>
      <c r="P988" s="1"/>
      <c r="Q988" s="1"/>
      <c r="R988" s="1"/>
      <c r="S988" s="1"/>
      <c r="T988" s="1"/>
      <c r="U988" s="1"/>
      <c r="V988" s="1"/>
      <c r="W988" s="1"/>
      <c r="X988" s="1"/>
      <c r="Y988" s="1"/>
      <c r="Z988" s="1"/>
    </row>
    <row r="989" spans="1:26" ht="13.5" customHeight="1">
      <c r="A989" s="1"/>
      <c r="B989" s="184"/>
      <c r="C989" s="184"/>
      <c r="D989" s="184"/>
      <c r="E989" s="184"/>
      <c r="F989" s="184"/>
      <c r="G989" s="184"/>
      <c r="H989" s="184"/>
      <c r="I989" s="184"/>
      <c r="J989" s="184"/>
      <c r="K989" s="184"/>
      <c r="L989" s="184"/>
      <c r="M989" s="184"/>
      <c r="N989" s="184"/>
      <c r="O989" s="184"/>
      <c r="P989" s="1"/>
      <c r="Q989" s="1"/>
      <c r="R989" s="1"/>
      <c r="S989" s="1"/>
      <c r="T989" s="1"/>
      <c r="U989" s="1"/>
      <c r="V989" s="1"/>
      <c r="W989" s="1"/>
      <c r="X989" s="1"/>
      <c r="Y989" s="1"/>
      <c r="Z989" s="1"/>
    </row>
    <row r="990" spans="1:26" ht="15.75" customHeight="1">
      <c r="A990" s="1"/>
      <c r="B990" s="396"/>
      <c r="C990" s="397"/>
      <c r="D990" s="397"/>
      <c r="E990" s="397"/>
      <c r="F990" s="397"/>
      <c r="G990" s="397"/>
      <c r="H990" s="397"/>
      <c r="I990" s="397"/>
      <c r="J990" s="397"/>
      <c r="K990" s="397"/>
      <c r="L990" s="397"/>
      <c r="M990" s="397"/>
      <c r="N990" s="397"/>
      <c r="O990" s="398"/>
      <c r="P990" s="1"/>
      <c r="Q990" s="1"/>
      <c r="R990" s="1"/>
      <c r="S990" s="1"/>
      <c r="T990" s="1"/>
      <c r="U990" s="1"/>
      <c r="V990" s="1"/>
      <c r="W990" s="1"/>
      <c r="X990" s="1"/>
      <c r="Y990" s="1"/>
      <c r="Z990" s="1"/>
    </row>
    <row r="991" spans="1:26" ht="15.75" customHeight="1">
      <c r="A991" s="1"/>
      <c r="B991" s="399"/>
      <c r="C991" s="400"/>
      <c r="D991" s="401"/>
      <c r="E991" s="400"/>
      <c r="F991" s="184"/>
      <c r="G991" s="184"/>
      <c r="H991" s="184"/>
      <c r="I991" s="184"/>
      <c r="J991" s="184"/>
      <c r="K991" s="184"/>
      <c r="L991" s="184"/>
      <c r="M991" s="184"/>
      <c r="N991" s="184"/>
      <c r="O991" s="402"/>
      <c r="P991" s="1"/>
      <c r="Q991" s="1"/>
      <c r="R991" s="1"/>
      <c r="S991" s="1"/>
      <c r="T991" s="1"/>
      <c r="U991" s="1"/>
      <c r="V991" s="1"/>
      <c r="W991" s="1"/>
      <c r="X991" s="1"/>
      <c r="Y991" s="1"/>
      <c r="Z991" s="1"/>
    </row>
    <row r="992" spans="1:26" ht="15.75" customHeight="1">
      <c r="A992" s="1"/>
      <c r="B992" s="399"/>
      <c r="C992" s="39"/>
      <c r="D992" s="39"/>
      <c r="E992" s="39"/>
      <c r="F992" s="39"/>
      <c r="G992" s="39"/>
      <c r="H992" s="39"/>
      <c r="I992" s="39"/>
      <c r="J992" s="39"/>
      <c r="K992" s="39"/>
      <c r="L992" s="39"/>
      <c r="M992" s="39"/>
      <c r="N992" s="39"/>
      <c r="O992" s="402"/>
      <c r="P992" s="1"/>
      <c r="Q992" s="1"/>
      <c r="R992" s="1"/>
      <c r="S992" s="1"/>
      <c r="T992" s="1"/>
      <c r="U992" s="1"/>
      <c r="V992" s="1"/>
      <c r="W992" s="1"/>
      <c r="X992" s="1"/>
      <c r="Y992" s="1"/>
      <c r="Z992" s="1"/>
    </row>
    <row r="993" spans="1:26" ht="15.75" customHeight="1">
      <c r="A993" s="1"/>
      <c r="B993" s="399"/>
      <c r="C993" s="1124"/>
      <c r="D993" s="927"/>
      <c r="E993" s="1014" t="str">
        <f>+Datos!$C$9</f>
        <v>CONSEJO SUPERIOR  DE  JUDICATURA– DIRECCIÓN  EJECUTIVA  SECCIONAL  DE ADMINISTRACIÓN JUDICIAL DE BUCARAMANGA</v>
      </c>
      <c r="F993" s="926"/>
      <c r="G993" s="926"/>
      <c r="H993" s="926"/>
      <c r="I993" s="926"/>
      <c r="J993" s="926"/>
      <c r="K993" s="927"/>
      <c r="L993" s="925" t="s">
        <v>1</v>
      </c>
      <c r="M993" s="931"/>
      <c r="N993" s="933">
        <f>Datos!$C$4</f>
        <v>1</v>
      </c>
      <c r="O993" s="403"/>
      <c r="P993" s="1"/>
      <c r="Q993" s="1"/>
      <c r="R993" s="1"/>
      <c r="S993" s="1"/>
      <c r="T993" s="1"/>
      <c r="U993" s="1"/>
      <c r="V993" s="1"/>
      <c r="W993" s="1"/>
      <c r="X993" s="1"/>
      <c r="Y993" s="1"/>
      <c r="Z993" s="1"/>
    </row>
    <row r="994" spans="1:26" ht="15.75" customHeight="1">
      <c r="A994" s="1"/>
      <c r="B994" s="399"/>
      <c r="C994" s="920"/>
      <c r="D994" s="924"/>
      <c r="E994" s="920"/>
      <c r="F994" s="922"/>
      <c r="G994" s="922"/>
      <c r="H994" s="922"/>
      <c r="I994" s="922"/>
      <c r="J994" s="922"/>
      <c r="K994" s="924"/>
      <c r="L994" s="920"/>
      <c r="M994" s="932"/>
      <c r="N994" s="934"/>
      <c r="O994" s="403"/>
      <c r="P994" s="1"/>
      <c r="Q994" s="1"/>
      <c r="R994" s="1"/>
      <c r="S994" s="1"/>
      <c r="T994" s="1"/>
      <c r="U994" s="1"/>
      <c r="V994" s="1"/>
      <c r="W994" s="1"/>
      <c r="X994" s="1"/>
      <c r="Y994" s="1"/>
      <c r="Z994" s="1"/>
    </row>
    <row r="995" spans="1:26" ht="15.75" customHeight="1">
      <c r="A995" s="1"/>
      <c r="B995" s="399"/>
      <c r="C995" s="920"/>
      <c r="D995" s="924"/>
      <c r="E995" s="919" t="str">
        <f>Datos!$C$13</f>
        <v xml:space="preserve">BGA - 030 - 2026 </v>
      </c>
      <c r="F995" s="922"/>
      <c r="G995" s="922"/>
      <c r="H995" s="922"/>
      <c r="I995" s="922"/>
      <c r="J995" s="922"/>
      <c r="K995" s="922"/>
      <c r="L995" s="925" t="s">
        <v>29</v>
      </c>
      <c r="M995" s="926"/>
      <c r="N995" s="927"/>
      <c r="O995" s="403"/>
      <c r="P995" s="1"/>
      <c r="Q995" s="1"/>
      <c r="R995" s="1"/>
      <c r="S995" s="1"/>
      <c r="T995" s="1"/>
      <c r="U995" s="1"/>
      <c r="V995" s="1"/>
      <c r="W995" s="1"/>
      <c r="X995" s="1"/>
      <c r="Y995" s="1"/>
      <c r="Z995" s="1"/>
    </row>
    <row r="996" spans="1:26" ht="15.75" customHeight="1">
      <c r="A996" s="1"/>
      <c r="B996" s="399"/>
      <c r="C996" s="920"/>
      <c r="D996" s="924"/>
      <c r="E996" s="405"/>
      <c r="F996" s="406"/>
      <c r="G996" s="406"/>
      <c r="H996" s="406"/>
      <c r="I996" s="406"/>
      <c r="J996" s="406"/>
      <c r="K996" s="42"/>
      <c r="L996" s="919">
        <v>1</v>
      </c>
      <c r="M996" s="921" t="s">
        <v>30</v>
      </c>
      <c r="N996" s="923">
        <v>1</v>
      </c>
      <c r="O996" s="403"/>
      <c r="P996" s="1"/>
      <c r="Q996" s="1"/>
      <c r="R996" s="1"/>
      <c r="S996" s="1"/>
      <c r="T996" s="1"/>
      <c r="U996" s="1"/>
      <c r="V996" s="1"/>
      <c r="W996" s="1"/>
      <c r="X996" s="1"/>
      <c r="Y996" s="1"/>
      <c r="Z996" s="1"/>
    </row>
    <row r="997" spans="1:26" ht="15.75" customHeight="1">
      <c r="A997" s="1"/>
      <c r="B997" s="399"/>
      <c r="C997" s="920"/>
      <c r="D997" s="924"/>
      <c r="E997"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997" s="922"/>
      <c r="G997" s="922"/>
      <c r="H997" s="922"/>
      <c r="I997" s="922"/>
      <c r="J997" s="922"/>
      <c r="K997" s="922"/>
      <c r="L997" s="920"/>
      <c r="M997" s="922"/>
      <c r="N997" s="924"/>
      <c r="O997" s="403"/>
      <c r="P997" s="1"/>
      <c r="Q997" s="1"/>
      <c r="R997" s="1"/>
      <c r="S997" s="1"/>
      <c r="T997" s="1"/>
      <c r="U997" s="1"/>
      <c r="V997" s="1"/>
      <c r="W997" s="1"/>
      <c r="X997" s="1"/>
      <c r="Y997" s="1"/>
      <c r="Z997" s="1"/>
    </row>
    <row r="998" spans="1:26" ht="15.75" customHeight="1">
      <c r="A998" s="1"/>
      <c r="B998" s="399"/>
      <c r="C998" s="920"/>
      <c r="D998" s="924"/>
      <c r="E998" s="920"/>
      <c r="F998" s="922"/>
      <c r="G998" s="922"/>
      <c r="H998" s="922"/>
      <c r="I998" s="922"/>
      <c r="J998" s="922"/>
      <c r="K998" s="922"/>
      <c r="L998" s="925" t="s">
        <v>2</v>
      </c>
      <c r="M998" s="926"/>
      <c r="N998" s="927"/>
      <c r="O998" s="403"/>
      <c r="P998" s="1"/>
      <c r="Q998" s="1"/>
      <c r="R998" s="1"/>
      <c r="S998" s="1"/>
      <c r="T998" s="1"/>
      <c r="U998" s="1"/>
      <c r="V998" s="1"/>
      <c r="W998" s="1"/>
      <c r="X998" s="1"/>
      <c r="Y998" s="1"/>
      <c r="Z998" s="1"/>
    </row>
    <row r="999" spans="1:26" ht="15" customHeight="1">
      <c r="A999" s="1"/>
      <c r="B999" s="399"/>
      <c r="C999" s="920"/>
      <c r="D999" s="924"/>
      <c r="E999" s="407"/>
      <c r="F999" s="216"/>
      <c r="G999" s="216"/>
      <c r="H999" s="216"/>
      <c r="I999" s="216"/>
      <c r="J999" s="216"/>
      <c r="K999" s="216"/>
      <c r="L999" s="408" t="s">
        <v>3</v>
      </c>
      <c r="M999" s="409" t="s">
        <v>4</v>
      </c>
      <c r="N999" s="410" t="s">
        <v>5</v>
      </c>
      <c r="O999" s="403"/>
      <c r="P999" s="1"/>
      <c r="Q999" s="1"/>
      <c r="R999" s="1"/>
      <c r="S999" s="1"/>
      <c r="T999" s="1"/>
      <c r="U999" s="1"/>
      <c r="V999" s="1"/>
      <c r="W999" s="1"/>
      <c r="X999" s="1"/>
      <c r="Y999" s="1"/>
      <c r="Z999" s="1"/>
    </row>
    <row r="1000" spans="1:26" ht="15" customHeight="1">
      <c r="A1000" s="1"/>
      <c r="B1000" s="399"/>
      <c r="C1000" s="920"/>
      <c r="D1000" s="924"/>
      <c r="E1000" s="1125" t="s">
        <v>1186</v>
      </c>
      <c r="F1000" s="945"/>
      <c r="G1000" s="945"/>
      <c r="H1000" s="945"/>
      <c r="I1000" s="945"/>
      <c r="J1000" s="945"/>
      <c r="K1000" s="945"/>
      <c r="L1000" s="928">
        <f>+Datos!C911</f>
        <v>0</v>
      </c>
      <c r="M1000" s="935">
        <f>+Datos!D911</f>
        <v>0</v>
      </c>
      <c r="N1000" s="937">
        <f>+Datos!E911</f>
        <v>0</v>
      </c>
      <c r="O1000" s="411"/>
      <c r="P1000" s="1"/>
      <c r="Q1000" s="1"/>
      <c r="R1000" s="1"/>
      <c r="S1000" s="1"/>
      <c r="T1000" s="1"/>
      <c r="U1000" s="1"/>
      <c r="V1000" s="1"/>
      <c r="W1000" s="1"/>
      <c r="X1000" s="1"/>
      <c r="Y1000" s="1"/>
      <c r="Z1000" s="1"/>
    </row>
    <row r="1001" spans="1:26" ht="15" customHeight="1">
      <c r="A1001" s="1"/>
      <c r="B1001" s="399"/>
      <c r="C1001" s="929"/>
      <c r="D1001" s="938"/>
      <c r="E1001" s="929"/>
      <c r="F1001" s="936"/>
      <c r="G1001" s="936"/>
      <c r="H1001" s="936"/>
      <c r="I1001" s="936"/>
      <c r="J1001" s="936"/>
      <c r="K1001" s="936"/>
      <c r="L1001" s="929"/>
      <c r="M1001" s="936"/>
      <c r="N1001" s="938"/>
      <c r="O1001" s="403"/>
      <c r="P1001" s="1"/>
      <c r="Q1001" s="1"/>
      <c r="R1001" s="1"/>
      <c r="S1001" s="1"/>
      <c r="T1001" s="1"/>
      <c r="U1001" s="1"/>
      <c r="V1001" s="1"/>
      <c r="W1001" s="1"/>
      <c r="X1001" s="1"/>
      <c r="Y1001" s="1"/>
      <c r="Z1001" s="1"/>
    </row>
    <row r="1002" spans="1:26" ht="15" customHeight="1">
      <c r="A1002" s="1"/>
      <c r="B1002" s="399"/>
      <c r="C1002" s="404"/>
      <c r="D1002" s="38"/>
      <c r="E1002" s="38"/>
      <c r="F1002" s="38"/>
      <c r="G1002" s="38"/>
      <c r="H1002" s="38"/>
      <c r="I1002" s="38"/>
      <c r="J1002" s="38"/>
      <c r="K1002" s="38"/>
      <c r="L1002" s="39"/>
      <c r="M1002" s="39"/>
      <c r="N1002" s="40"/>
      <c r="O1002" s="414"/>
      <c r="P1002" s="1"/>
      <c r="Q1002" s="1"/>
      <c r="R1002" s="1"/>
      <c r="S1002" s="1"/>
      <c r="T1002" s="1"/>
      <c r="U1002" s="1"/>
      <c r="V1002" s="1"/>
      <c r="W1002" s="1"/>
      <c r="X1002" s="1"/>
      <c r="Y1002" s="1"/>
      <c r="Z1002" s="1"/>
    </row>
    <row r="1003" spans="1:26" ht="15" customHeight="1">
      <c r="A1003" s="1"/>
      <c r="B1003" s="399"/>
      <c r="C1003" s="412" t="s">
        <v>1187</v>
      </c>
      <c r="D1003" s="1126" t="s">
        <v>1188</v>
      </c>
      <c r="E1003" s="922"/>
      <c r="F1003" s="922"/>
      <c r="G1003" s="922"/>
      <c r="H1003" s="922"/>
      <c r="I1003" s="922"/>
      <c r="J1003" s="922"/>
      <c r="K1003" s="922"/>
      <c r="L1003" s="922"/>
      <c r="M1003" s="1"/>
      <c r="N1003" s="413"/>
      <c r="O1003" s="414"/>
      <c r="P1003" s="1"/>
      <c r="Q1003" s="1"/>
      <c r="R1003" s="1"/>
      <c r="S1003" s="1"/>
      <c r="T1003" s="1"/>
      <c r="U1003" s="1"/>
      <c r="V1003" s="1"/>
      <c r="W1003" s="1"/>
      <c r="X1003" s="1"/>
      <c r="Y1003" s="1"/>
      <c r="Z1003" s="1"/>
    </row>
    <row r="1004" spans="1:26" ht="15" customHeight="1">
      <c r="A1004" s="1"/>
      <c r="B1004" s="399"/>
      <c r="C1004" s="412" t="s">
        <v>1189</v>
      </c>
      <c r="D1004" s="1126" t="s">
        <v>1190</v>
      </c>
      <c r="E1004" s="922"/>
      <c r="F1004" s="922"/>
      <c r="G1004" s="922"/>
      <c r="H1004" s="922"/>
      <c r="I1004" s="922"/>
      <c r="J1004" s="922"/>
      <c r="K1004" s="922"/>
      <c r="L1004" s="922"/>
      <c r="M1004" s="1"/>
      <c r="N1004" s="413"/>
      <c r="O1004" s="403"/>
      <c r="P1004" s="1"/>
      <c r="Q1004" s="1"/>
      <c r="R1004" s="1"/>
      <c r="S1004" s="1"/>
      <c r="T1004" s="1"/>
      <c r="U1004" s="1"/>
      <c r="V1004" s="1"/>
      <c r="W1004" s="1"/>
      <c r="X1004" s="1"/>
      <c r="Y1004" s="1"/>
      <c r="Z1004" s="1"/>
    </row>
    <row r="1005" spans="1:26" ht="15" customHeight="1">
      <c r="A1005" s="1"/>
      <c r="B1005" s="399"/>
      <c r="C1005" s="415"/>
      <c r="D1005" s="416"/>
      <c r="E1005" s="416"/>
      <c r="F1005" s="416"/>
      <c r="G1005" s="416"/>
      <c r="H1005" s="416"/>
      <c r="I1005" s="416"/>
      <c r="J1005" s="416"/>
      <c r="K1005" s="416"/>
      <c r="L1005" s="416"/>
      <c r="M1005" s="416"/>
      <c r="N1005" s="417"/>
      <c r="O1005" s="402"/>
      <c r="P1005" s="1"/>
      <c r="Q1005" s="1"/>
      <c r="R1005" s="1"/>
      <c r="S1005" s="1"/>
      <c r="T1005" s="1"/>
      <c r="U1005" s="1"/>
      <c r="V1005" s="1"/>
      <c r="W1005" s="1"/>
      <c r="X1005" s="1"/>
      <c r="Y1005" s="1"/>
      <c r="Z1005" s="1"/>
    </row>
    <row r="1006" spans="1:26" ht="15" customHeight="1">
      <c r="A1006" s="1"/>
      <c r="B1006" s="399"/>
      <c r="C1006" s="418"/>
      <c r="D1006" s="39"/>
      <c r="E1006" s="39"/>
      <c r="F1006" s="39"/>
      <c r="G1006" s="39"/>
      <c r="H1006" s="39"/>
      <c r="I1006" s="39"/>
      <c r="J1006" s="39"/>
      <c r="K1006" s="39"/>
      <c r="L1006" s="39"/>
      <c r="M1006" s="39"/>
      <c r="N1006" s="40"/>
      <c r="O1006" s="402"/>
      <c r="P1006" s="1"/>
      <c r="Q1006" s="1"/>
      <c r="R1006" s="1"/>
      <c r="S1006" s="1"/>
      <c r="T1006" s="1"/>
      <c r="U1006" s="1"/>
      <c r="V1006" s="1"/>
      <c r="W1006" s="1"/>
      <c r="X1006" s="1"/>
      <c r="Y1006" s="1"/>
      <c r="Z1006" s="1"/>
    </row>
    <row r="1007" spans="1:26" ht="15" customHeight="1">
      <c r="A1007" s="1"/>
      <c r="B1007" s="399"/>
      <c r="C1007" s="925" t="s">
        <v>1191</v>
      </c>
      <c r="D1007" s="926"/>
      <c r="E1007" s="926"/>
      <c r="F1007" s="926"/>
      <c r="G1007" s="926"/>
      <c r="H1007" s="926"/>
      <c r="I1007" s="926"/>
      <c r="J1007" s="926"/>
      <c r="K1007" s="926"/>
      <c r="L1007" s="926"/>
      <c r="M1007" s="926"/>
      <c r="N1007" s="927"/>
      <c r="O1007" s="419"/>
      <c r="P1007" s="1"/>
      <c r="Q1007" s="1"/>
      <c r="R1007" s="1"/>
      <c r="S1007" s="1"/>
      <c r="T1007" s="1"/>
      <c r="U1007" s="1"/>
      <c r="V1007" s="1"/>
      <c r="W1007" s="1"/>
      <c r="X1007" s="1"/>
      <c r="Y1007" s="1"/>
      <c r="Z1007" s="1"/>
    </row>
    <row r="1008" spans="1:26" ht="15" customHeight="1">
      <c r="A1008" s="1"/>
      <c r="B1008" s="399"/>
      <c r="C1008" s="418"/>
      <c r="D1008" s="39"/>
      <c r="E1008" s="39"/>
      <c r="F1008" s="39"/>
      <c r="G1008" s="39"/>
      <c r="H1008" s="39"/>
      <c r="I1008" s="39"/>
      <c r="J1008" s="39"/>
      <c r="K1008" s="39"/>
      <c r="L1008" s="39"/>
      <c r="M1008" s="39"/>
      <c r="N1008" s="40"/>
      <c r="O1008" s="402"/>
      <c r="P1008" s="1"/>
      <c r="Q1008" s="1"/>
      <c r="R1008" s="1"/>
      <c r="S1008" s="1"/>
      <c r="T1008" s="1"/>
      <c r="U1008" s="1"/>
      <c r="V1008" s="1"/>
      <c r="W1008" s="1"/>
      <c r="X1008" s="1"/>
      <c r="Y1008" s="1"/>
      <c r="Z1008" s="1"/>
    </row>
    <row r="1009" spans="1:26" ht="15" customHeight="1">
      <c r="A1009" s="395"/>
      <c r="B1009" s="399"/>
      <c r="C1009" s="420" t="s">
        <v>965</v>
      </c>
      <c r="D1009" s="1136" t="s">
        <v>17</v>
      </c>
      <c r="E1009" s="1131"/>
      <c r="F1009" s="1131"/>
      <c r="G1009" s="1131"/>
      <c r="H1009" s="1131"/>
      <c r="I1009" s="1131"/>
      <c r="J1009" s="1131"/>
      <c r="K1009" s="1137"/>
      <c r="L1009" s="1130" t="s">
        <v>1192</v>
      </c>
      <c r="M1009" s="1137"/>
      <c r="N1009" s="420" t="s">
        <v>950</v>
      </c>
      <c r="O1009" s="419"/>
      <c r="P1009" s="1"/>
      <c r="Q1009" s="1"/>
      <c r="R1009" s="1"/>
      <c r="S1009" s="1"/>
      <c r="T1009" s="1"/>
      <c r="U1009" s="1"/>
      <c r="V1009" s="1"/>
      <c r="W1009" s="1"/>
      <c r="X1009" s="1"/>
      <c r="Y1009" s="1"/>
      <c r="Z1009" s="1"/>
    </row>
    <row r="1010" spans="1:26" ht="15" customHeight="1">
      <c r="A1010" s="395"/>
      <c r="B1010" s="421"/>
      <c r="C1010" s="422" t="s">
        <v>1190</v>
      </c>
      <c r="D1010" s="1151" t="s">
        <v>1261</v>
      </c>
      <c r="E1010" s="979"/>
      <c r="F1010" s="979"/>
      <c r="G1010" s="979"/>
      <c r="H1010" s="979"/>
      <c r="I1010" s="979"/>
      <c r="J1010" s="979"/>
      <c r="K1010" s="980"/>
      <c r="L1010" s="1138" t="s">
        <v>741</v>
      </c>
      <c r="M1010" s="980"/>
      <c r="N1010" s="423">
        <v>1</v>
      </c>
      <c r="O1010" s="424"/>
      <c r="P1010" s="1"/>
      <c r="Q1010" s="1"/>
      <c r="R1010" s="1"/>
      <c r="S1010" s="1"/>
      <c r="T1010" s="1"/>
      <c r="U1010" s="1"/>
      <c r="V1010" s="1"/>
      <c r="W1010" s="1"/>
      <c r="X1010" s="1"/>
      <c r="Y1010" s="1"/>
      <c r="Z1010" s="1"/>
    </row>
    <row r="1011" spans="1:26" ht="15" customHeight="1">
      <c r="A1011" s="395"/>
      <c r="B1011" s="399"/>
      <c r="C1011" s="1129" t="s">
        <v>1195</v>
      </c>
      <c r="D1011" s="926"/>
      <c r="E1011" s="926"/>
      <c r="F1011" s="926"/>
      <c r="G1011" s="926"/>
      <c r="H1011" s="926"/>
      <c r="I1011" s="926"/>
      <c r="J1011" s="926"/>
      <c r="K1011" s="926"/>
      <c r="L1011" s="926"/>
      <c r="M1011" s="926"/>
      <c r="N1011" s="927"/>
      <c r="O1011" s="426"/>
      <c r="P1011" s="1"/>
      <c r="Q1011" s="1"/>
      <c r="R1011" s="1"/>
      <c r="S1011" s="1"/>
      <c r="T1011" s="1"/>
      <c r="U1011" s="1"/>
      <c r="V1011" s="1"/>
      <c r="W1011" s="1"/>
      <c r="X1011" s="1"/>
      <c r="Y1011" s="1"/>
      <c r="Z1011" s="1"/>
    </row>
    <row r="1012" spans="1:26" ht="15" customHeight="1">
      <c r="A1012" s="395"/>
      <c r="B1012" s="399"/>
      <c r="C1012" s="920"/>
      <c r="D1012" s="922"/>
      <c r="E1012" s="922"/>
      <c r="F1012" s="922"/>
      <c r="G1012" s="922"/>
      <c r="H1012" s="922"/>
      <c r="I1012" s="922"/>
      <c r="J1012" s="922"/>
      <c r="K1012" s="922"/>
      <c r="L1012" s="922"/>
      <c r="M1012" s="922"/>
      <c r="N1012" s="924"/>
      <c r="O1012" s="426"/>
      <c r="P1012" s="1"/>
      <c r="Q1012" s="1"/>
      <c r="R1012" s="1"/>
      <c r="S1012" s="1"/>
      <c r="T1012" s="1"/>
      <c r="U1012" s="1"/>
      <c r="V1012" s="1"/>
      <c r="W1012" s="1"/>
      <c r="X1012" s="1"/>
      <c r="Y1012" s="1"/>
      <c r="Z1012" s="1"/>
    </row>
    <row r="1013" spans="1:26" ht="15" customHeight="1">
      <c r="A1013" s="395"/>
      <c r="B1013" s="399"/>
      <c r="C1013" s="929"/>
      <c r="D1013" s="936"/>
      <c r="E1013" s="936"/>
      <c r="F1013" s="936"/>
      <c r="G1013" s="936"/>
      <c r="H1013" s="936"/>
      <c r="I1013" s="936"/>
      <c r="J1013" s="936"/>
      <c r="K1013" s="936"/>
      <c r="L1013" s="936"/>
      <c r="M1013" s="936"/>
      <c r="N1013" s="938"/>
      <c r="O1013" s="426"/>
      <c r="P1013" s="1"/>
      <c r="Q1013" s="1"/>
      <c r="R1013" s="1"/>
      <c r="S1013" s="1"/>
      <c r="T1013" s="1"/>
      <c r="U1013" s="1"/>
      <c r="V1013" s="1"/>
      <c r="W1013" s="1"/>
      <c r="X1013" s="1"/>
      <c r="Y1013" s="1"/>
      <c r="Z1013" s="1"/>
    </row>
    <row r="1014" spans="1:26" ht="15" customHeight="1">
      <c r="A1014" s="395"/>
      <c r="B1014" s="399"/>
      <c r="C1014" s="1130" t="s">
        <v>17</v>
      </c>
      <c r="D1014" s="1131"/>
      <c r="E1014" s="1131"/>
      <c r="F1014" s="1000"/>
      <c r="G1014" s="1135" t="s">
        <v>1196</v>
      </c>
      <c r="H1014" s="1000"/>
      <c r="I1014" s="1139" t="s">
        <v>1197</v>
      </c>
      <c r="J1014" s="1140"/>
      <c r="K1014" s="427" t="s">
        <v>1198</v>
      </c>
      <c r="L1014" s="1135" t="s">
        <v>1199</v>
      </c>
      <c r="M1014" s="1000"/>
      <c r="N1014" s="428" t="s">
        <v>1200</v>
      </c>
      <c r="O1014" s="419"/>
      <c r="P1014" s="1"/>
      <c r="Q1014" s="1"/>
      <c r="R1014" s="1"/>
      <c r="S1014" s="1"/>
      <c r="T1014" s="1"/>
      <c r="U1014" s="1"/>
      <c r="V1014" s="1"/>
      <c r="W1014" s="1"/>
      <c r="X1014" s="1"/>
      <c r="Y1014" s="1"/>
      <c r="Z1014" s="1"/>
    </row>
    <row r="1015" spans="1:26" ht="15" customHeight="1">
      <c r="A1015" s="395"/>
      <c r="B1015" s="399"/>
      <c r="C1015" s="1128" t="s">
        <v>1201</v>
      </c>
      <c r="D1015" s="940"/>
      <c r="E1015" s="940"/>
      <c r="F1015" s="941"/>
      <c r="G1015" s="1142"/>
      <c r="H1015" s="941"/>
      <c r="I1015" s="1142"/>
      <c r="J1015" s="941"/>
      <c r="K1015" s="429"/>
      <c r="L1015" s="1143">
        <v>0.1</v>
      </c>
      <c r="M1015" s="941"/>
      <c r="N1015" s="430">
        <f>+L1015*N1046</f>
        <v>5639.4250000000002</v>
      </c>
      <c r="O1015" s="431"/>
      <c r="P1015" s="1"/>
      <c r="Q1015" s="1"/>
      <c r="R1015" s="1"/>
      <c r="S1015" s="1"/>
      <c r="T1015" s="1"/>
      <c r="U1015" s="1"/>
      <c r="V1015" s="1"/>
      <c r="W1015" s="1"/>
      <c r="X1015" s="1"/>
      <c r="Y1015" s="1"/>
      <c r="Z1015" s="1"/>
    </row>
    <row r="1016" spans="1:26" ht="15" customHeight="1">
      <c r="A1016" s="395" t="str">
        <f t="array" ref="A1016">IF(C1016&lt;&gt;0,INDEX(CodEquipos,MATCH(C1016,Equipos,0),),)</f>
        <v>EQ-01</v>
      </c>
      <c r="B1016" s="399"/>
      <c r="C1016" s="1128" t="s">
        <v>271</v>
      </c>
      <c r="D1016" s="940"/>
      <c r="E1016" s="940"/>
      <c r="F1016" s="941"/>
      <c r="G1016" s="1142"/>
      <c r="H1016" s="941"/>
      <c r="I1016" s="1142"/>
      <c r="J1016" s="941"/>
      <c r="K1016" s="432">
        <f>IF($A1016&gt;0,(VLOOKUP($A1016,TablaEquipos,7,FALSE)),"")</f>
        <v>13833.75</v>
      </c>
      <c r="L1016" s="1141">
        <f>+L1041/8</f>
        <v>1</v>
      </c>
      <c r="M1016" s="941"/>
      <c r="N1016" s="430">
        <f t="shared" ref="N1016:N1018" si="56">IF(L1016&gt;0,K1016/L1016,"")</f>
        <v>13833.75</v>
      </c>
      <c r="O1016" s="431"/>
      <c r="P1016" s="1"/>
      <c r="Q1016" s="1"/>
      <c r="R1016" s="1"/>
      <c r="S1016" s="1"/>
      <c r="T1016" s="1"/>
      <c r="U1016" s="1"/>
      <c r="V1016" s="1"/>
      <c r="W1016" s="1"/>
      <c r="X1016" s="1"/>
      <c r="Y1016" s="1"/>
      <c r="Z1016" s="1"/>
    </row>
    <row r="1017" spans="1:26" ht="15" customHeight="1">
      <c r="A1017" s="395">
        <f t="array" ref="A1017">IF(C1017&lt;&gt;0,INDEX(CodEquipos,MATCH(C1017,Equipos,0),),)</f>
        <v>0</v>
      </c>
      <c r="B1017" s="399"/>
      <c r="C1017" s="1128"/>
      <c r="D1017" s="940"/>
      <c r="E1017" s="940"/>
      <c r="F1017" s="941"/>
      <c r="G1017" s="1142"/>
      <c r="H1017" s="941"/>
      <c r="I1017" s="1142"/>
      <c r="J1017" s="941"/>
      <c r="K1017" s="432" t="str">
        <f>IF($A1017&gt;0,(VLOOKUP($A1017,TablaEquipos,7,FALSE)),"")</f>
        <v/>
      </c>
      <c r="L1017" s="1141"/>
      <c r="M1017" s="941"/>
      <c r="N1017" s="430" t="str">
        <f t="shared" si="56"/>
        <v/>
      </c>
      <c r="O1017" s="431"/>
      <c r="P1017" s="1"/>
      <c r="Q1017" s="1"/>
      <c r="R1017" s="1"/>
      <c r="S1017" s="1"/>
      <c r="T1017" s="1"/>
      <c r="U1017" s="1"/>
      <c r="V1017" s="1"/>
      <c r="W1017" s="1"/>
      <c r="X1017" s="1"/>
      <c r="Y1017" s="1"/>
      <c r="Z1017" s="1"/>
    </row>
    <row r="1018" spans="1:26" ht="15" customHeight="1">
      <c r="A1018" s="395">
        <f t="array" ref="A1018">IF(C1018&lt;&gt;0,INDEX(CodEquipos,MATCH(C1018,Equipos,0),),)</f>
        <v>0</v>
      </c>
      <c r="B1018" s="399"/>
      <c r="C1018" s="1128"/>
      <c r="D1018" s="940"/>
      <c r="E1018" s="940"/>
      <c r="F1018" s="941"/>
      <c r="G1018" s="1144"/>
      <c r="H1018" s="1145"/>
      <c r="I1018" s="1142"/>
      <c r="J1018" s="941"/>
      <c r="K1018" s="432" t="str">
        <f>IF($A1018&gt;0,(VLOOKUP($A1018,TablaEquipos,7,FALSE)),"")</f>
        <v/>
      </c>
      <c r="L1018" s="1141"/>
      <c r="M1018" s="941"/>
      <c r="N1018" s="430" t="str">
        <f t="shared" si="56"/>
        <v/>
      </c>
      <c r="O1018" s="431"/>
      <c r="P1018" s="1"/>
      <c r="Q1018" s="1"/>
      <c r="R1018" s="1"/>
      <c r="S1018" s="1"/>
      <c r="T1018" s="1"/>
      <c r="U1018" s="1"/>
      <c r="V1018" s="1"/>
      <c r="W1018" s="1"/>
      <c r="X1018" s="1"/>
      <c r="Y1018" s="1"/>
      <c r="Z1018" s="1"/>
    </row>
    <row r="1019" spans="1:26" ht="15" customHeight="1">
      <c r="A1019" s="395"/>
      <c r="B1019" s="399"/>
      <c r="C1019" s="1127" t="s">
        <v>1202</v>
      </c>
      <c r="D1019" s="965"/>
      <c r="E1019" s="965"/>
      <c r="F1019" s="965"/>
      <c r="G1019" s="965"/>
      <c r="H1019" s="965"/>
      <c r="I1019" s="965"/>
      <c r="J1019" s="965"/>
      <c r="K1019" s="965"/>
      <c r="L1019" s="965"/>
      <c r="M1019" s="966"/>
      <c r="N1019" s="433">
        <f>+SUM(N1015:N1018)</f>
        <v>19473.174999999999</v>
      </c>
      <c r="O1019" s="431"/>
      <c r="P1019" s="1"/>
      <c r="Q1019" s="1"/>
      <c r="R1019" s="1"/>
      <c r="S1019" s="1"/>
      <c r="T1019" s="1"/>
      <c r="U1019" s="1"/>
      <c r="V1019" s="1"/>
      <c r="W1019" s="1"/>
      <c r="X1019" s="1"/>
      <c r="Y1019" s="1"/>
      <c r="Z1019" s="1"/>
    </row>
    <row r="1020" spans="1:26" ht="15" customHeight="1">
      <c r="A1020" s="395"/>
      <c r="B1020" s="399"/>
      <c r="C1020" s="1129" t="s">
        <v>1203</v>
      </c>
      <c r="D1020" s="926"/>
      <c r="E1020" s="926"/>
      <c r="F1020" s="926"/>
      <c r="G1020" s="926"/>
      <c r="H1020" s="926"/>
      <c r="I1020" s="926"/>
      <c r="J1020" s="926"/>
      <c r="K1020" s="926"/>
      <c r="L1020" s="926"/>
      <c r="M1020" s="926"/>
      <c r="N1020" s="927"/>
      <c r="O1020" s="426"/>
      <c r="P1020" s="1"/>
      <c r="Q1020" s="1"/>
      <c r="R1020" s="1"/>
      <c r="S1020" s="1"/>
      <c r="T1020" s="1"/>
      <c r="U1020" s="1"/>
      <c r="V1020" s="1"/>
      <c r="W1020" s="1"/>
      <c r="X1020" s="1"/>
      <c r="Y1020" s="1"/>
      <c r="Z1020" s="1"/>
    </row>
    <row r="1021" spans="1:26" ht="15" customHeight="1">
      <c r="A1021" s="395"/>
      <c r="B1021" s="399"/>
      <c r="C1021" s="920"/>
      <c r="D1021" s="922"/>
      <c r="E1021" s="922"/>
      <c r="F1021" s="922"/>
      <c r="G1021" s="922"/>
      <c r="H1021" s="922"/>
      <c r="I1021" s="922"/>
      <c r="J1021" s="922"/>
      <c r="K1021" s="922"/>
      <c r="L1021" s="922"/>
      <c r="M1021" s="922"/>
      <c r="N1021" s="924"/>
      <c r="O1021" s="426"/>
      <c r="P1021" s="1"/>
      <c r="Q1021" s="1"/>
      <c r="R1021" s="1"/>
      <c r="S1021" s="1"/>
      <c r="T1021" s="1"/>
      <c r="U1021" s="1"/>
      <c r="V1021" s="1"/>
      <c r="W1021" s="1"/>
      <c r="X1021" s="1"/>
      <c r="Y1021" s="1"/>
      <c r="Z1021" s="1"/>
    </row>
    <row r="1022" spans="1:26" ht="15" customHeight="1">
      <c r="A1022" s="395"/>
      <c r="B1022" s="399"/>
      <c r="C1022" s="929"/>
      <c r="D1022" s="936"/>
      <c r="E1022" s="936"/>
      <c r="F1022" s="936"/>
      <c r="G1022" s="936"/>
      <c r="H1022" s="936"/>
      <c r="I1022" s="936"/>
      <c r="J1022" s="936"/>
      <c r="K1022" s="936"/>
      <c r="L1022" s="936"/>
      <c r="M1022" s="936"/>
      <c r="N1022" s="938"/>
      <c r="O1022" s="426"/>
      <c r="P1022" s="1"/>
      <c r="Q1022" s="1"/>
      <c r="R1022" s="1"/>
      <c r="S1022" s="1"/>
      <c r="T1022" s="1"/>
      <c r="U1022" s="1"/>
      <c r="V1022" s="1"/>
      <c r="W1022" s="1"/>
      <c r="X1022" s="1"/>
      <c r="Y1022" s="1"/>
      <c r="Z1022" s="1"/>
    </row>
    <row r="1023" spans="1:26" ht="15" customHeight="1">
      <c r="A1023" s="395"/>
      <c r="B1023" s="399"/>
      <c r="C1023" s="1130" t="s">
        <v>17</v>
      </c>
      <c r="D1023" s="1131"/>
      <c r="E1023" s="1131"/>
      <c r="F1023" s="1131"/>
      <c r="G1023" s="1131"/>
      <c r="H1023" s="1131"/>
      <c r="I1023" s="1000"/>
      <c r="J1023" s="434" t="s">
        <v>1192</v>
      </c>
      <c r="K1023" s="427" t="s">
        <v>950</v>
      </c>
      <c r="L1023" s="1135" t="s">
        <v>1204</v>
      </c>
      <c r="M1023" s="1000"/>
      <c r="N1023" s="428" t="s">
        <v>1200</v>
      </c>
      <c r="O1023" s="419"/>
      <c r="P1023" s="1"/>
      <c r="Q1023" s="1"/>
      <c r="R1023" s="1"/>
      <c r="S1023" s="1"/>
      <c r="T1023" s="1"/>
      <c r="U1023" s="1"/>
      <c r="V1023" s="1"/>
      <c r="W1023" s="1"/>
      <c r="X1023" s="1"/>
      <c r="Y1023" s="1"/>
      <c r="Z1023" s="1"/>
    </row>
    <row r="1024" spans="1:26" ht="15" customHeight="1">
      <c r="A1024" s="395" t="str">
        <f t="array" ref="A1024">IF(C1024&lt;&gt;0,INDEX(CodMat,MATCH(C1024,Materiales,0),),)</f>
        <v>MAT_C-01</v>
      </c>
      <c r="B1024" s="399"/>
      <c r="C1024" s="1128" t="s">
        <v>1205</v>
      </c>
      <c r="D1024" s="940"/>
      <c r="E1024" s="940"/>
      <c r="F1024" s="940"/>
      <c r="G1024" s="940"/>
      <c r="H1024" s="940"/>
      <c r="I1024" s="941"/>
      <c r="J1024" s="435" t="str">
        <f>IF($A1024&gt;0,(VLOOKUP($A1024,TablaInsumos,5,FALSE)),"")</f>
        <v>LT</v>
      </c>
      <c r="K1024" s="436">
        <v>230</v>
      </c>
      <c r="L1024" s="1134">
        <f>IF($A1024&gt;0,(VLOOKUP($A1024,TablaInsumos,7,FALSE)),"")</f>
        <v>46</v>
      </c>
      <c r="M1024" s="941"/>
      <c r="N1024" s="430">
        <f t="shared" ref="N1024:N1028" si="57">IF(K1024&gt;0,L1024*K1024,"")</f>
        <v>10580</v>
      </c>
      <c r="O1024" s="431"/>
      <c r="P1024" s="1"/>
      <c r="Q1024" s="1"/>
      <c r="R1024" s="1"/>
      <c r="S1024" s="1"/>
      <c r="T1024" s="1"/>
      <c r="U1024" s="1"/>
      <c r="V1024" s="1"/>
      <c r="W1024" s="1"/>
      <c r="X1024" s="1"/>
      <c r="Y1024" s="1"/>
      <c r="Z1024" s="1"/>
    </row>
    <row r="1025" spans="1:26" ht="15" customHeight="1">
      <c r="A1025" s="395" t="str">
        <f t="array" ref="A1025">IF(C1025&lt;&gt;0,INDEX(CodMat,MATCH(C1025,Materiales,0),),)</f>
        <v>MAT_C-03</v>
      </c>
      <c r="B1025" s="399"/>
      <c r="C1025" s="1128" t="s">
        <v>1206</v>
      </c>
      <c r="D1025" s="940"/>
      <c r="E1025" s="940"/>
      <c r="F1025" s="940"/>
      <c r="G1025" s="940"/>
      <c r="H1025" s="940"/>
      <c r="I1025" s="941"/>
      <c r="J1025" s="435" t="str">
        <f>IF($A1025&gt;0,(VLOOKUP($A1025,TablaInsumos,5,FALSE)),"")</f>
        <v>M3</v>
      </c>
      <c r="K1025" s="436">
        <v>0.97</v>
      </c>
      <c r="L1025" s="1134">
        <f>IF($A1025&gt;0,(VLOOKUP($A1025,TablaInsumos,7,FALSE)),"")</f>
        <v>86414</v>
      </c>
      <c r="M1025" s="941"/>
      <c r="N1025" s="430">
        <f t="shared" si="57"/>
        <v>83821.58</v>
      </c>
      <c r="O1025" s="431"/>
      <c r="P1025" s="1"/>
      <c r="Q1025" s="1"/>
      <c r="R1025" s="1"/>
      <c r="S1025" s="1"/>
      <c r="T1025" s="1"/>
      <c r="U1025" s="1"/>
      <c r="V1025" s="1"/>
      <c r="W1025" s="1"/>
      <c r="X1025" s="1"/>
      <c r="Y1025" s="1"/>
      <c r="Z1025" s="1"/>
    </row>
    <row r="1026" spans="1:26" ht="15" customHeight="1">
      <c r="A1026" s="395" t="str">
        <f t="array" ref="A1026">IF(C1026&lt;&gt;0,INDEX(CodMat,MATCH(C1026,Materiales,0),),)</f>
        <v>MAT_C-12</v>
      </c>
      <c r="B1026" s="399"/>
      <c r="C1026" s="1128" t="s">
        <v>1207</v>
      </c>
      <c r="D1026" s="940"/>
      <c r="E1026" s="940"/>
      <c r="F1026" s="940"/>
      <c r="G1026" s="940"/>
      <c r="H1026" s="940"/>
      <c r="I1026" s="941"/>
      <c r="J1026" s="435" t="str">
        <f>IF($A1026&gt;0,(VLOOKUP($A1026,TablaInsumos,5,FALSE)),"")</f>
        <v>KG</v>
      </c>
      <c r="K1026" s="436">
        <v>525</v>
      </c>
      <c r="L1026" s="1134">
        <f>IF($A1026&gt;0,(VLOOKUP($A1026,TablaInsumos,7,FALSE)),"")</f>
        <v>1164</v>
      </c>
      <c r="M1026" s="941"/>
      <c r="N1026" s="430">
        <f t="shared" si="57"/>
        <v>611100</v>
      </c>
      <c r="O1026" s="431"/>
      <c r="P1026" s="1"/>
      <c r="Q1026" s="1"/>
      <c r="R1026" s="1"/>
      <c r="S1026" s="1"/>
      <c r="T1026" s="1"/>
      <c r="U1026" s="1"/>
      <c r="V1026" s="1"/>
      <c r="W1026" s="1"/>
      <c r="X1026" s="1"/>
      <c r="Y1026" s="1"/>
      <c r="Z1026" s="1"/>
    </row>
    <row r="1027" spans="1:26" ht="15" customHeight="1">
      <c r="A1027" s="395"/>
      <c r="B1027" s="399"/>
      <c r="C1027" s="1128" t="str">
        <f>IF($A1027&gt;0,(VLOOKUP($A1027,TablaInsumos,3,FALSE)),"")</f>
        <v/>
      </c>
      <c r="D1027" s="940"/>
      <c r="E1027" s="940"/>
      <c r="F1027" s="940"/>
      <c r="G1027" s="940"/>
      <c r="H1027" s="940"/>
      <c r="I1027" s="941"/>
      <c r="J1027" s="435" t="str">
        <f>IF($A1027&gt;0,(VLOOKUP($A1027,TablaInsumos,5,FALSE)),"")</f>
        <v/>
      </c>
      <c r="K1027" s="436"/>
      <c r="L1027" s="1134" t="str">
        <f>IF($A1027&gt;0,(VLOOKUP($A1027,TablaInsumos,7,FALSE)),"")</f>
        <v/>
      </c>
      <c r="M1027" s="941"/>
      <c r="N1027" s="430" t="str">
        <f t="shared" si="57"/>
        <v/>
      </c>
      <c r="O1027" s="431"/>
      <c r="P1027" s="1"/>
      <c r="Q1027" s="1"/>
      <c r="R1027" s="1"/>
      <c r="S1027" s="1"/>
      <c r="T1027" s="1"/>
      <c r="U1027" s="1"/>
      <c r="V1027" s="1"/>
      <c r="W1027" s="1"/>
      <c r="X1027" s="1"/>
      <c r="Y1027" s="1"/>
      <c r="Z1027" s="1"/>
    </row>
    <row r="1028" spans="1:26" ht="15" customHeight="1">
      <c r="A1028" s="395"/>
      <c r="B1028" s="399"/>
      <c r="C1028" s="1128" t="str">
        <f>IF($A1028&gt;0,(VLOOKUP($A1028,TablaInsumos,3,FALSE)),"")</f>
        <v/>
      </c>
      <c r="D1028" s="940"/>
      <c r="E1028" s="940"/>
      <c r="F1028" s="940"/>
      <c r="G1028" s="940"/>
      <c r="H1028" s="940"/>
      <c r="I1028" s="941"/>
      <c r="J1028" s="435" t="str">
        <f>IF($A1028&gt;0,(VLOOKUP($A1028,TablaInsumos,5,FALSE)),"")</f>
        <v/>
      </c>
      <c r="K1028" s="436"/>
      <c r="L1028" s="1134" t="str">
        <f>IF($A1028&gt;0,(VLOOKUP($A1028,TablaInsumos,7,FALSE)),"")</f>
        <v/>
      </c>
      <c r="M1028" s="941"/>
      <c r="N1028" s="430" t="str">
        <f t="shared" si="57"/>
        <v/>
      </c>
      <c r="O1028" s="431"/>
      <c r="P1028" s="1"/>
      <c r="Q1028" s="1"/>
      <c r="R1028" s="1"/>
      <c r="S1028" s="1"/>
      <c r="T1028" s="1"/>
      <c r="U1028" s="1"/>
      <c r="V1028" s="1"/>
      <c r="W1028" s="1"/>
      <c r="X1028" s="1"/>
      <c r="Y1028" s="1"/>
      <c r="Z1028" s="1"/>
    </row>
    <row r="1029" spans="1:26" ht="15" customHeight="1">
      <c r="A1029" s="395"/>
      <c r="B1029" s="399"/>
      <c r="C1029" s="1127" t="s">
        <v>1202</v>
      </c>
      <c r="D1029" s="965"/>
      <c r="E1029" s="965"/>
      <c r="F1029" s="965"/>
      <c r="G1029" s="965"/>
      <c r="H1029" s="965"/>
      <c r="I1029" s="965"/>
      <c r="J1029" s="965"/>
      <c r="K1029" s="965"/>
      <c r="L1029" s="965"/>
      <c r="M1029" s="966"/>
      <c r="N1029" s="433">
        <f>+SUM(N1024:N1028)</f>
        <v>705501.58</v>
      </c>
      <c r="O1029" s="431"/>
      <c r="P1029" s="1"/>
      <c r="Q1029" s="1"/>
      <c r="R1029" s="1"/>
      <c r="S1029" s="1"/>
      <c r="T1029" s="1"/>
      <c r="U1029" s="1"/>
      <c r="V1029" s="1"/>
      <c r="W1029" s="1"/>
      <c r="X1029" s="1"/>
      <c r="Y1029" s="1"/>
      <c r="Z1029" s="1"/>
    </row>
    <row r="1030" spans="1:26" ht="15" customHeight="1">
      <c r="A1030" s="395"/>
      <c r="B1030" s="399"/>
      <c r="C1030" s="1129" t="s">
        <v>1208</v>
      </c>
      <c r="D1030" s="926"/>
      <c r="E1030" s="926"/>
      <c r="F1030" s="926"/>
      <c r="G1030" s="926"/>
      <c r="H1030" s="926"/>
      <c r="I1030" s="926"/>
      <c r="J1030" s="926"/>
      <c r="K1030" s="926"/>
      <c r="L1030" s="926"/>
      <c r="M1030" s="926"/>
      <c r="N1030" s="927"/>
      <c r="O1030" s="426"/>
      <c r="P1030" s="1"/>
      <c r="Q1030" s="1"/>
      <c r="R1030" s="1"/>
      <c r="S1030" s="1"/>
      <c r="T1030" s="1"/>
      <c r="U1030" s="1"/>
      <c r="V1030" s="1"/>
      <c r="W1030" s="1"/>
      <c r="X1030" s="1"/>
      <c r="Y1030" s="1"/>
      <c r="Z1030" s="1"/>
    </row>
    <row r="1031" spans="1:26" ht="15" customHeight="1">
      <c r="A1031" s="395"/>
      <c r="B1031" s="399"/>
      <c r="C1031" s="920"/>
      <c r="D1031" s="922"/>
      <c r="E1031" s="922"/>
      <c r="F1031" s="922"/>
      <c r="G1031" s="922"/>
      <c r="H1031" s="922"/>
      <c r="I1031" s="922"/>
      <c r="J1031" s="922"/>
      <c r="K1031" s="922"/>
      <c r="L1031" s="922"/>
      <c r="M1031" s="922"/>
      <c r="N1031" s="924"/>
      <c r="O1031" s="426"/>
      <c r="P1031" s="1"/>
      <c r="Q1031" s="1"/>
      <c r="R1031" s="1"/>
      <c r="S1031" s="1"/>
      <c r="T1031" s="1"/>
      <c r="U1031" s="1"/>
      <c r="V1031" s="1"/>
      <c r="W1031" s="1"/>
      <c r="X1031" s="1"/>
      <c r="Y1031" s="1"/>
      <c r="Z1031" s="1"/>
    </row>
    <row r="1032" spans="1:26" ht="15" customHeight="1">
      <c r="A1032" s="395"/>
      <c r="B1032" s="399"/>
      <c r="C1032" s="929"/>
      <c r="D1032" s="936"/>
      <c r="E1032" s="936"/>
      <c r="F1032" s="936"/>
      <c r="G1032" s="936"/>
      <c r="H1032" s="936"/>
      <c r="I1032" s="936"/>
      <c r="J1032" s="936"/>
      <c r="K1032" s="936"/>
      <c r="L1032" s="936"/>
      <c r="M1032" s="936"/>
      <c r="N1032" s="938"/>
      <c r="O1032" s="426"/>
      <c r="P1032" s="1"/>
      <c r="Q1032" s="1"/>
      <c r="R1032" s="1"/>
      <c r="S1032" s="1"/>
      <c r="T1032" s="1"/>
      <c r="U1032" s="1"/>
      <c r="V1032" s="1"/>
      <c r="W1032" s="1"/>
      <c r="X1032" s="1"/>
      <c r="Y1032" s="1"/>
      <c r="Z1032" s="1"/>
    </row>
    <row r="1033" spans="1:26" ht="15" customHeight="1">
      <c r="A1033" s="395"/>
      <c r="B1033" s="399"/>
      <c r="C1033" s="1130" t="s">
        <v>1209</v>
      </c>
      <c r="D1033" s="1131"/>
      <c r="E1033" s="1131"/>
      <c r="F1033" s="1131"/>
      <c r="G1033" s="1131"/>
      <c r="H1033" s="1132"/>
      <c r="I1033" s="427" t="s">
        <v>1210</v>
      </c>
      <c r="J1033" s="438" t="s">
        <v>1211</v>
      </c>
      <c r="K1033" s="439" t="s">
        <v>1262</v>
      </c>
      <c r="L1033" s="1135" t="s">
        <v>1213</v>
      </c>
      <c r="M1033" s="1000"/>
      <c r="N1033" s="428" t="s">
        <v>1200</v>
      </c>
      <c r="O1033" s="419"/>
      <c r="P1033" s="1"/>
      <c r="Q1033" s="1"/>
      <c r="R1033" s="1"/>
      <c r="S1033" s="1"/>
      <c r="T1033" s="1"/>
      <c r="U1033" s="1"/>
      <c r="V1033" s="1"/>
      <c r="W1033" s="1"/>
      <c r="X1033" s="1"/>
      <c r="Y1033" s="1"/>
      <c r="Z1033" s="1"/>
    </row>
    <row r="1034" spans="1:26" ht="15" customHeight="1">
      <c r="A1034" s="395" t="str">
        <f t="array" ref="A1034">IF(C1034&lt;&gt;0,INDEX(CodTransporte,MATCH(C1034,Transporte,0),),)</f>
        <v>T-03</v>
      </c>
      <c r="B1034" s="399"/>
      <c r="C1034" s="1128" t="s">
        <v>859</v>
      </c>
      <c r="D1034" s="940"/>
      <c r="E1034" s="940"/>
      <c r="F1034" s="940"/>
      <c r="G1034" s="940"/>
      <c r="H1034" s="940"/>
      <c r="I1034" s="440">
        <f>+K1025</f>
        <v>0.97</v>
      </c>
      <c r="J1034" s="441">
        <f>IF($A1034&gt;0,(VLOOKUP($A1034,TablaTransporte,6,FALSE)),"")</f>
        <v>50.849999999999994</v>
      </c>
      <c r="K1034" s="442" t="str">
        <f>IF($A1034&gt;0,(VLOOKUP($A1034,TablaTransporte,5,FALSE)),"")</f>
        <v>M3-KM</v>
      </c>
      <c r="L1034" s="1134">
        <f>IF($A1034&gt;0,(VLOOKUP($A1034,TablaTransporte,7,FALSE)),"")</f>
        <v>2332.3500491642089</v>
      </c>
      <c r="M1034" s="941"/>
      <c r="N1034" s="430">
        <f t="shared" ref="N1034:N1035" si="58">IF(I1034&gt;0,J1034*L1034*I1034,"")</f>
        <v>115042.00000000001</v>
      </c>
      <c r="O1034" s="431"/>
      <c r="P1034" s="1"/>
      <c r="Q1034" s="1"/>
      <c r="R1034" s="1"/>
      <c r="S1034" s="1"/>
      <c r="T1034" s="1"/>
      <c r="U1034" s="1"/>
      <c r="V1034" s="1"/>
      <c r="W1034" s="1"/>
      <c r="X1034" s="1"/>
      <c r="Y1034" s="1"/>
      <c r="Z1034" s="1"/>
    </row>
    <row r="1035" spans="1:26" ht="15" customHeight="1">
      <c r="A1035" s="395" t="str">
        <f t="array" ref="A1035">IF(C1035&lt;&gt;0,INDEX(CodTransporte,MATCH(C1035,Transporte,0),),)</f>
        <v>T-02</v>
      </c>
      <c r="B1035" s="399"/>
      <c r="C1035" s="1128" t="s">
        <v>857</v>
      </c>
      <c r="D1035" s="940"/>
      <c r="E1035" s="940"/>
      <c r="F1035" s="940"/>
      <c r="G1035" s="940"/>
      <c r="H1035" s="940"/>
      <c r="I1035" s="440">
        <f>+(K1026/50)*0.035</f>
        <v>0.36750000000000005</v>
      </c>
      <c r="J1035" s="441">
        <f>IF($A1035&gt;0,(VLOOKUP($A1035,TablaTransporte,6,FALSE)),"")</f>
        <v>50.849999999999994</v>
      </c>
      <c r="K1035" s="442" t="str">
        <f>IF($A1035&gt;0,(VLOOKUP($A1035,TablaTransporte,5,FALSE)),"")</f>
        <v>M3-KM</v>
      </c>
      <c r="L1035" s="1134">
        <f>IF($A1035&gt;0,(VLOOKUP($A1035,TablaTransporte,7,FALSE)),"")</f>
        <v>2332.3500491642089</v>
      </c>
      <c r="M1035" s="941"/>
      <c r="N1035" s="430">
        <f t="shared" si="58"/>
        <v>43585.500000000015</v>
      </c>
      <c r="O1035" s="431"/>
      <c r="P1035" s="1"/>
      <c r="Q1035" s="1"/>
      <c r="R1035" s="1"/>
      <c r="S1035" s="1"/>
      <c r="T1035" s="1"/>
      <c r="U1035" s="1"/>
      <c r="V1035" s="1"/>
      <c r="W1035" s="1"/>
      <c r="X1035" s="1"/>
      <c r="Y1035" s="1"/>
      <c r="Z1035" s="1"/>
    </row>
    <row r="1036" spans="1:26" ht="15" customHeight="1">
      <c r="A1036" s="395"/>
      <c r="B1036" s="399"/>
      <c r="C1036" s="1127" t="s">
        <v>1202</v>
      </c>
      <c r="D1036" s="965"/>
      <c r="E1036" s="965"/>
      <c r="F1036" s="965"/>
      <c r="G1036" s="965"/>
      <c r="H1036" s="965"/>
      <c r="I1036" s="965"/>
      <c r="J1036" s="965"/>
      <c r="K1036" s="965"/>
      <c r="L1036" s="965"/>
      <c r="M1036" s="966"/>
      <c r="N1036" s="433">
        <f>+SUM(N1034:N1035)</f>
        <v>158627.50000000003</v>
      </c>
      <c r="O1036" s="431"/>
      <c r="P1036" s="1"/>
      <c r="Q1036" s="1"/>
      <c r="R1036" s="1"/>
      <c r="S1036" s="1"/>
      <c r="T1036" s="1"/>
      <c r="U1036" s="1"/>
      <c r="V1036" s="1"/>
      <c r="W1036" s="1"/>
      <c r="X1036" s="1"/>
      <c r="Y1036" s="1"/>
      <c r="Z1036" s="1"/>
    </row>
    <row r="1037" spans="1:26" ht="15" customHeight="1">
      <c r="A1037" s="395"/>
      <c r="B1037" s="399"/>
      <c r="C1037" s="1129" t="s">
        <v>1214</v>
      </c>
      <c r="D1037" s="926"/>
      <c r="E1037" s="926"/>
      <c r="F1037" s="926"/>
      <c r="G1037" s="926"/>
      <c r="H1037" s="926"/>
      <c r="I1037" s="926"/>
      <c r="J1037" s="926"/>
      <c r="K1037" s="926"/>
      <c r="L1037" s="926"/>
      <c r="M1037" s="926"/>
      <c r="N1037" s="927"/>
      <c r="O1037" s="426"/>
      <c r="P1037" s="1"/>
      <c r="Q1037" s="1"/>
      <c r="R1037" s="1"/>
      <c r="S1037" s="1"/>
      <c r="T1037" s="1"/>
      <c r="U1037" s="1"/>
      <c r="V1037" s="1"/>
      <c r="W1037" s="1"/>
      <c r="X1037" s="1"/>
      <c r="Y1037" s="1"/>
      <c r="Z1037" s="1"/>
    </row>
    <row r="1038" spans="1:26" ht="15" customHeight="1">
      <c r="A1038" s="395"/>
      <c r="B1038" s="399"/>
      <c r="C1038" s="920"/>
      <c r="D1038" s="922"/>
      <c r="E1038" s="922"/>
      <c r="F1038" s="922"/>
      <c r="G1038" s="922"/>
      <c r="H1038" s="922"/>
      <c r="I1038" s="922"/>
      <c r="J1038" s="922"/>
      <c r="K1038" s="922"/>
      <c r="L1038" s="922"/>
      <c r="M1038" s="922"/>
      <c r="N1038" s="924"/>
      <c r="O1038" s="426"/>
      <c r="P1038" s="1"/>
      <c r="Q1038" s="1"/>
      <c r="R1038" s="1"/>
      <c r="S1038" s="1"/>
      <c r="T1038" s="1"/>
      <c r="U1038" s="1"/>
      <c r="V1038" s="1"/>
      <c r="W1038" s="1"/>
      <c r="X1038" s="1"/>
      <c r="Y1038" s="1"/>
      <c r="Z1038" s="1"/>
    </row>
    <row r="1039" spans="1:26" ht="15" customHeight="1">
      <c r="A1039" s="395"/>
      <c r="B1039" s="399"/>
      <c r="C1039" s="929"/>
      <c r="D1039" s="936"/>
      <c r="E1039" s="936"/>
      <c r="F1039" s="936"/>
      <c r="G1039" s="936"/>
      <c r="H1039" s="936"/>
      <c r="I1039" s="936"/>
      <c r="J1039" s="936"/>
      <c r="K1039" s="936"/>
      <c r="L1039" s="936"/>
      <c r="M1039" s="936"/>
      <c r="N1039" s="938"/>
      <c r="O1039" s="426"/>
      <c r="P1039" s="1"/>
      <c r="Q1039" s="1"/>
      <c r="R1039" s="1"/>
      <c r="S1039" s="1"/>
      <c r="T1039" s="1"/>
      <c r="U1039" s="1"/>
      <c r="V1039" s="1"/>
      <c r="W1039" s="1"/>
      <c r="X1039" s="1"/>
      <c r="Y1039" s="1"/>
      <c r="Z1039" s="1"/>
    </row>
    <row r="1040" spans="1:26" ht="15" customHeight="1">
      <c r="A1040" s="395"/>
      <c r="B1040" s="399"/>
      <c r="C1040" s="1130" t="s">
        <v>1215</v>
      </c>
      <c r="D1040" s="1131"/>
      <c r="E1040" s="1131"/>
      <c r="F1040" s="1131"/>
      <c r="G1040" s="1131"/>
      <c r="H1040" s="1132"/>
      <c r="I1040" s="427" t="s">
        <v>1216</v>
      </c>
      <c r="J1040" s="443" t="s">
        <v>1217</v>
      </c>
      <c r="K1040" s="444" t="s">
        <v>1218</v>
      </c>
      <c r="L1040" s="1133" t="s">
        <v>1199</v>
      </c>
      <c r="M1040" s="1000"/>
      <c r="N1040" s="445" t="s">
        <v>1200</v>
      </c>
      <c r="O1040" s="446"/>
      <c r="P1040" s="1"/>
      <c r="Q1040" s="1"/>
      <c r="R1040" s="1"/>
      <c r="S1040" s="1"/>
      <c r="T1040" s="1"/>
      <c r="U1040" s="1"/>
      <c r="V1040" s="1"/>
      <c r="W1040" s="1"/>
      <c r="X1040" s="1"/>
      <c r="Y1040" s="1"/>
      <c r="Z1040" s="1"/>
    </row>
    <row r="1041" spans="1:26" ht="15" customHeight="1">
      <c r="A1041" s="395" t="str">
        <f t="array" ref="A1041">IF(C1041&lt;&gt;0,INDEX(CodMO,MATCH(C1041,MO,0),),)</f>
        <v>M.O-05</v>
      </c>
      <c r="B1041" s="399"/>
      <c r="C1041" s="1128" t="s">
        <v>139</v>
      </c>
      <c r="D1041" s="940"/>
      <c r="E1041" s="940"/>
      <c r="F1041" s="940"/>
      <c r="G1041" s="940"/>
      <c r="H1041" s="940"/>
      <c r="I1041" s="447">
        <f>IF($A1041&gt;0,(VLOOKUP($A1041,TablaMO,8,FALSE)),"")</f>
        <v>125030.16666666667</v>
      </c>
      <c r="J1041" s="448">
        <f>IF($A1041&gt;0,(VLOOKUP($A1041,TablaMO,10,FALSE)),"")</f>
        <v>0.67071666666666663</v>
      </c>
      <c r="K1041" s="447">
        <f>IF($A1041&gt;0,(VLOOKUP($A1041,TablaMO,11,FALSE)),"")</f>
        <v>208890</v>
      </c>
      <c r="L1041" s="1146">
        <v>8</v>
      </c>
      <c r="M1041" s="941"/>
      <c r="N1041" s="430">
        <f t="shared" ref="N1041:N1045" si="59">IF(L1041&gt;0,K1041/L1041,"")</f>
        <v>26111.25</v>
      </c>
      <c r="O1041" s="449"/>
      <c r="P1041" s="1"/>
      <c r="Q1041" s="1"/>
      <c r="R1041" s="1"/>
      <c r="S1041" s="1"/>
      <c r="T1041" s="1"/>
      <c r="U1041" s="1"/>
      <c r="V1041" s="1"/>
      <c r="W1041" s="1"/>
      <c r="X1041" s="1"/>
      <c r="Y1041" s="1"/>
      <c r="Z1041" s="1"/>
    </row>
    <row r="1042" spans="1:26" ht="15" customHeight="1">
      <c r="A1042" s="395" t="str">
        <f t="array" ref="A1042">IF(C1042&lt;&gt;0,INDEX(CodMO,MATCH(C1042,MO,0),),)</f>
        <v>M.O-01</v>
      </c>
      <c r="B1042" s="399"/>
      <c r="C1042" s="1128" t="s">
        <v>130</v>
      </c>
      <c r="D1042" s="940"/>
      <c r="E1042" s="940"/>
      <c r="F1042" s="940"/>
      <c r="G1042" s="940"/>
      <c r="H1042" s="940"/>
      <c r="I1042" s="447">
        <f>IF($A1042&gt;0,(VLOOKUP($A1042,TablaMO,8,FALSE)),"")</f>
        <v>72503.016666666677</v>
      </c>
      <c r="J1042" s="448">
        <f>IF($A1042&gt;0,(VLOOKUP($A1042,TablaMO,10,FALSE)),"")</f>
        <v>0.67071666666666663</v>
      </c>
      <c r="K1042" s="447">
        <f>IF($A1042&gt;0,(VLOOKUP($A1042,TablaMO,11,FALSE)),"")</f>
        <v>121132</v>
      </c>
      <c r="L1042" s="1146">
        <f>L1041</f>
        <v>8</v>
      </c>
      <c r="M1042" s="941"/>
      <c r="N1042" s="430">
        <f t="shared" si="59"/>
        <v>15141.5</v>
      </c>
      <c r="O1042" s="449"/>
      <c r="P1042" s="1"/>
      <c r="Q1042" s="1"/>
      <c r="R1042" s="1"/>
      <c r="S1042" s="1"/>
      <c r="T1042" s="1"/>
      <c r="U1042" s="1"/>
      <c r="V1042" s="1"/>
      <c r="W1042" s="1"/>
      <c r="X1042" s="1"/>
      <c r="Y1042" s="1"/>
      <c r="Z1042" s="1"/>
    </row>
    <row r="1043" spans="1:26" ht="15" customHeight="1">
      <c r="A1043" s="395" t="str">
        <f t="array" ref="A1043">IF(C1043&lt;&gt;0,INDEX(CodMO,MATCH(C1043,MO,0),),)</f>
        <v>M.O-02</v>
      </c>
      <c r="B1043" s="399"/>
      <c r="C1043" s="1128" t="s">
        <v>133</v>
      </c>
      <c r="D1043" s="940"/>
      <c r="E1043" s="940"/>
      <c r="F1043" s="940"/>
      <c r="G1043" s="940"/>
      <c r="H1043" s="940"/>
      <c r="I1043" s="447">
        <f>IF($A1043&gt;0,(VLOOKUP($A1043,TablaMO,8,FALSE)),"")</f>
        <v>72503.016666666677</v>
      </c>
      <c r="J1043" s="448">
        <f>IF($A1043&gt;0,(VLOOKUP($A1043,TablaMO,10,FALSE)),"")</f>
        <v>0.67071666666666663</v>
      </c>
      <c r="K1043" s="447">
        <f>IF($A1043&gt;0,(VLOOKUP($A1043,TablaMO,11,FALSE)),"")</f>
        <v>121132</v>
      </c>
      <c r="L1043" s="1146">
        <f>L1041</f>
        <v>8</v>
      </c>
      <c r="M1043" s="941"/>
      <c r="N1043" s="430">
        <f t="shared" si="59"/>
        <v>15141.5</v>
      </c>
      <c r="O1043" s="449"/>
      <c r="P1043" s="1"/>
      <c r="Q1043" s="1"/>
      <c r="R1043" s="1"/>
      <c r="S1043" s="1"/>
      <c r="T1043" s="1"/>
      <c r="U1043" s="1"/>
      <c r="V1043" s="1"/>
      <c r="W1043" s="1"/>
      <c r="X1043" s="1"/>
      <c r="Y1043" s="1"/>
      <c r="Z1043" s="1"/>
    </row>
    <row r="1044" spans="1:26" ht="15" customHeight="1">
      <c r="A1044" s="395">
        <f t="array" ref="A1044">IF(C1044&lt;&gt;0,INDEX(CodMO,MATCH(C1044,MO,0),),)</f>
        <v>0</v>
      </c>
      <c r="B1044" s="399"/>
      <c r="C1044" s="1128"/>
      <c r="D1044" s="940"/>
      <c r="E1044" s="940"/>
      <c r="F1044" s="940"/>
      <c r="G1044" s="940"/>
      <c r="H1044" s="940"/>
      <c r="I1044" s="447" t="str">
        <f>IF($A1044&gt;0,(VLOOKUP($A1044,TablaMO,8,FALSE)),"")</f>
        <v/>
      </c>
      <c r="J1044" s="448" t="str">
        <f>IF($A1044&gt;0,(VLOOKUP($A1044,TablaMO,10,FALSE)),"")</f>
        <v/>
      </c>
      <c r="K1044" s="447" t="str">
        <f>IF($A1044&gt;0,(VLOOKUP($A1044,TablaMO,11,FALSE)),"")</f>
        <v/>
      </c>
      <c r="L1044" s="1146"/>
      <c r="M1044" s="941"/>
      <c r="N1044" s="430" t="str">
        <f t="shared" si="59"/>
        <v/>
      </c>
      <c r="O1044" s="449"/>
      <c r="P1044" s="1"/>
      <c r="Q1044" s="1"/>
      <c r="R1044" s="1"/>
      <c r="S1044" s="1"/>
      <c r="T1044" s="1"/>
      <c r="U1044" s="1"/>
      <c r="V1044" s="1"/>
      <c r="W1044" s="1"/>
      <c r="X1044" s="1"/>
      <c r="Y1044" s="1"/>
      <c r="Z1044" s="1"/>
    </row>
    <row r="1045" spans="1:26" ht="15" customHeight="1">
      <c r="A1045" s="395">
        <f t="array" ref="A1045">IF(C1045&lt;&gt;0,INDEX(CodMO,MATCH(C1045,MO,0),),)</f>
        <v>0</v>
      </c>
      <c r="B1045" s="399"/>
      <c r="C1045" s="1128"/>
      <c r="D1045" s="940"/>
      <c r="E1045" s="940"/>
      <c r="F1045" s="940"/>
      <c r="G1045" s="940"/>
      <c r="H1045" s="940"/>
      <c r="I1045" s="474" t="str">
        <f>IF($A1045&gt;0,(VLOOKUP($A1045,TablaMO,8,FALSE)),"")</f>
        <v/>
      </c>
      <c r="J1045" s="475" t="str">
        <f>IF($A1045&gt;0,(VLOOKUP($A1045,TablaMO,10,FALSE)),"")</f>
        <v/>
      </c>
      <c r="K1045" s="474" t="str">
        <f>IF($A1045&gt;0,(VLOOKUP($A1045,TablaMO,11,FALSE)),"")</f>
        <v/>
      </c>
      <c r="L1045" s="1153"/>
      <c r="M1045" s="1039"/>
      <c r="N1045" s="430" t="str">
        <f t="shared" si="59"/>
        <v/>
      </c>
      <c r="O1045" s="449"/>
      <c r="P1045" s="1"/>
      <c r="Q1045" s="1"/>
      <c r="R1045" s="1"/>
      <c r="S1045" s="1"/>
      <c r="T1045" s="1"/>
      <c r="U1045" s="1"/>
      <c r="V1045" s="1"/>
      <c r="W1045" s="1"/>
      <c r="X1045" s="1"/>
      <c r="Y1045" s="1"/>
      <c r="Z1045" s="1"/>
    </row>
    <row r="1046" spans="1:26" ht="15" customHeight="1">
      <c r="A1046" s="395"/>
      <c r="B1046" s="399"/>
      <c r="C1046" s="1127" t="s">
        <v>1202</v>
      </c>
      <c r="D1046" s="965"/>
      <c r="E1046" s="965"/>
      <c r="F1046" s="965"/>
      <c r="G1046" s="965"/>
      <c r="H1046" s="965"/>
      <c r="I1046" s="965"/>
      <c r="J1046" s="965"/>
      <c r="K1046" s="965"/>
      <c r="L1046" s="965"/>
      <c r="M1046" s="966"/>
      <c r="N1046" s="476">
        <f>+SUM(N1041:N1045)</f>
        <v>56394.25</v>
      </c>
      <c r="O1046" s="431"/>
      <c r="P1046" s="1"/>
      <c r="Q1046" s="1"/>
      <c r="R1046" s="1"/>
      <c r="S1046" s="1"/>
      <c r="T1046" s="1"/>
      <c r="U1046" s="1"/>
      <c r="V1046" s="1"/>
      <c r="W1046" s="1"/>
      <c r="X1046" s="1"/>
      <c r="Y1046" s="1"/>
      <c r="Z1046" s="1"/>
    </row>
    <row r="1047" spans="1:26" ht="15" customHeight="1">
      <c r="A1047" s="395"/>
      <c r="B1047" s="399"/>
      <c r="C1047" s="418"/>
      <c r="D1047" s="39"/>
      <c r="E1047" s="39"/>
      <c r="F1047" s="39"/>
      <c r="G1047" s="39"/>
      <c r="H1047" s="39"/>
      <c r="I1047" s="39"/>
      <c r="J1047" s="39"/>
      <c r="K1047" s="39"/>
      <c r="L1047" s="39"/>
      <c r="M1047" s="39"/>
      <c r="N1047" s="40"/>
      <c r="O1047" s="402"/>
      <c r="P1047" s="1"/>
      <c r="Q1047" s="1"/>
      <c r="R1047" s="1"/>
      <c r="S1047" s="1"/>
      <c r="T1047" s="1"/>
      <c r="U1047" s="1"/>
      <c r="V1047" s="1"/>
      <c r="W1047" s="1"/>
      <c r="X1047" s="1"/>
      <c r="Y1047" s="1"/>
      <c r="Z1047" s="1"/>
    </row>
    <row r="1048" spans="1:26" ht="15" customHeight="1">
      <c r="A1048" s="395"/>
      <c r="B1048" s="399"/>
      <c r="C1048" s="1147" t="s">
        <v>1219</v>
      </c>
      <c r="D1048" s="965"/>
      <c r="E1048" s="965"/>
      <c r="F1048" s="965"/>
      <c r="G1048" s="965"/>
      <c r="H1048" s="965"/>
      <c r="I1048" s="965"/>
      <c r="J1048" s="965"/>
      <c r="K1048" s="965"/>
      <c r="L1048" s="965"/>
      <c r="M1048" s="966"/>
      <c r="N1048" s="450">
        <f>+SUM(N1046,N1036,N1029,N1019)</f>
        <v>939996.505</v>
      </c>
      <c r="O1048" s="451"/>
      <c r="P1048" s="1"/>
      <c r="Q1048" s="1"/>
      <c r="R1048" s="1"/>
      <c r="S1048" s="1"/>
      <c r="T1048" s="1"/>
      <c r="U1048" s="1"/>
      <c r="V1048" s="1"/>
      <c r="W1048" s="1"/>
      <c r="X1048" s="1"/>
      <c r="Y1048" s="1"/>
      <c r="Z1048" s="1"/>
    </row>
    <row r="1049" spans="1:26" ht="15" customHeight="1">
      <c r="A1049" s="395"/>
      <c r="B1049" s="399"/>
      <c r="C1049" s="1129" t="s">
        <v>1220</v>
      </c>
      <c r="D1049" s="926"/>
      <c r="E1049" s="926"/>
      <c r="F1049" s="926"/>
      <c r="G1049" s="926"/>
      <c r="H1049" s="926"/>
      <c r="I1049" s="926"/>
      <c r="J1049" s="926"/>
      <c r="K1049" s="926"/>
      <c r="L1049" s="926"/>
      <c r="M1049" s="926"/>
      <c r="N1049" s="927"/>
      <c r="O1049" s="426"/>
      <c r="P1049" s="1"/>
      <c r="Q1049" s="1"/>
      <c r="R1049" s="1"/>
      <c r="S1049" s="1"/>
      <c r="T1049" s="1"/>
      <c r="U1049" s="1"/>
      <c r="V1049" s="1"/>
      <c r="W1049" s="1"/>
      <c r="X1049" s="1"/>
      <c r="Y1049" s="1"/>
      <c r="Z1049" s="1"/>
    </row>
    <row r="1050" spans="1:26" ht="15" customHeight="1">
      <c r="A1050" s="395"/>
      <c r="B1050" s="399"/>
      <c r="C1050" s="920"/>
      <c r="D1050" s="922"/>
      <c r="E1050" s="922"/>
      <c r="F1050" s="922"/>
      <c r="G1050" s="922"/>
      <c r="H1050" s="922"/>
      <c r="I1050" s="922"/>
      <c r="J1050" s="922"/>
      <c r="K1050" s="922"/>
      <c r="L1050" s="922"/>
      <c r="M1050" s="922"/>
      <c r="N1050" s="924"/>
      <c r="O1050" s="426"/>
      <c r="P1050" s="1"/>
      <c r="Q1050" s="1"/>
      <c r="R1050" s="1"/>
      <c r="S1050" s="1"/>
      <c r="T1050" s="1"/>
      <c r="U1050" s="1"/>
      <c r="V1050" s="1"/>
      <c r="W1050" s="1"/>
      <c r="X1050" s="1"/>
      <c r="Y1050" s="1"/>
      <c r="Z1050" s="1"/>
    </row>
    <row r="1051" spans="1:26" ht="15" customHeight="1">
      <c r="A1051" s="395"/>
      <c r="B1051" s="399"/>
      <c r="C1051" s="929"/>
      <c r="D1051" s="936"/>
      <c r="E1051" s="936"/>
      <c r="F1051" s="936"/>
      <c r="G1051" s="936"/>
      <c r="H1051" s="936"/>
      <c r="I1051" s="936"/>
      <c r="J1051" s="936"/>
      <c r="K1051" s="936"/>
      <c r="L1051" s="936"/>
      <c r="M1051" s="936"/>
      <c r="N1051" s="938"/>
      <c r="O1051" s="426"/>
      <c r="P1051" s="1"/>
      <c r="Q1051" s="1"/>
      <c r="R1051" s="1"/>
      <c r="S1051" s="1"/>
      <c r="T1051" s="1"/>
      <c r="U1051" s="1"/>
      <c r="V1051" s="1"/>
      <c r="W1051" s="1"/>
      <c r="X1051" s="1"/>
      <c r="Y1051" s="1"/>
      <c r="Z1051" s="1"/>
    </row>
    <row r="1052" spans="1:26" ht="15" customHeight="1">
      <c r="A1052" s="395"/>
      <c r="B1052" s="399"/>
      <c r="C1052" s="1130" t="s">
        <v>1221</v>
      </c>
      <c r="D1052" s="1131"/>
      <c r="E1052" s="1131"/>
      <c r="F1052" s="1131"/>
      <c r="G1052" s="1131"/>
      <c r="H1052" s="1132"/>
      <c r="I1052" s="438"/>
      <c r="J1052" s="438"/>
      <c r="K1052" s="438"/>
      <c r="L1052" s="1133" t="s">
        <v>1222</v>
      </c>
      <c r="M1052" s="1000"/>
      <c r="N1052" s="445" t="s">
        <v>1223</v>
      </c>
      <c r="O1052" s="446"/>
      <c r="P1052" s="1"/>
      <c r="Q1052" s="1"/>
      <c r="R1052" s="1"/>
      <c r="S1052" s="1"/>
      <c r="T1052" s="1"/>
      <c r="U1052" s="1"/>
      <c r="V1052" s="1"/>
      <c r="W1052" s="1"/>
      <c r="X1052" s="1"/>
      <c r="Y1052" s="1"/>
      <c r="Z1052" s="1"/>
    </row>
    <row r="1053" spans="1:26" ht="15" customHeight="1">
      <c r="A1053" s="395"/>
      <c r="B1053" s="399"/>
      <c r="C1053" s="1128" t="s">
        <v>19</v>
      </c>
      <c r="D1053" s="940"/>
      <c r="E1053" s="940"/>
      <c r="F1053" s="940"/>
      <c r="G1053" s="940"/>
      <c r="H1053" s="940"/>
      <c r="I1053" s="452"/>
      <c r="J1053" s="452"/>
      <c r="K1053" s="452"/>
      <c r="L1053" s="1148">
        <f>+Datos!$E$18</f>
        <v>0.25</v>
      </c>
      <c r="M1053" s="941"/>
      <c r="N1053" s="430">
        <f>+L1053*N1048</f>
        <v>234999.12625</v>
      </c>
      <c r="O1053" s="453"/>
      <c r="P1053" s="1"/>
      <c r="Q1053" s="1"/>
      <c r="R1053" s="1"/>
      <c r="S1053" s="1"/>
      <c r="T1053" s="1"/>
      <c r="U1053" s="1"/>
      <c r="V1053" s="1"/>
      <c r="W1053" s="1"/>
      <c r="X1053" s="1"/>
      <c r="Y1053" s="1"/>
      <c r="Z1053" s="1"/>
    </row>
    <row r="1054" spans="1:26" ht="15" customHeight="1">
      <c r="A1054" s="395"/>
      <c r="B1054" s="399"/>
      <c r="C1054" s="454" t="s">
        <v>20</v>
      </c>
      <c r="D1054" s="455"/>
      <c r="E1054" s="455"/>
      <c r="F1054" s="455"/>
      <c r="G1054" s="455"/>
      <c r="H1054" s="455"/>
      <c r="I1054" s="452"/>
      <c r="J1054" s="452"/>
      <c r="K1054" s="452"/>
      <c r="L1054" s="1148">
        <f>+Datos!$E$19</f>
        <v>0.01</v>
      </c>
      <c r="M1054" s="941"/>
      <c r="N1054" s="430">
        <f>+L1054*N1048</f>
        <v>9399.9650500000007</v>
      </c>
      <c r="O1054" s="453"/>
      <c r="P1054" s="1"/>
      <c r="Q1054" s="1"/>
      <c r="R1054" s="1"/>
      <c r="S1054" s="1"/>
      <c r="T1054" s="1"/>
      <c r="U1054" s="1"/>
      <c r="V1054" s="1"/>
      <c r="W1054" s="1"/>
      <c r="X1054" s="1"/>
      <c r="Y1054" s="1"/>
      <c r="Z1054" s="1"/>
    </row>
    <row r="1055" spans="1:26" ht="15" customHeight="1">
      <c r="A1055" s="395"/>
      <c r="B1055" s="399"/>
      <c r="C1055" s="456" t="s">
        <v>21</v>
      </c>
      <c r="D1055" s="457"/>
      <c r="E1055" s="457"/>
      <c r="F1055" s="457"/>
      <c r="G1055" s="457"/>
      <c r="H1055" s="457"/>
      <c r="I1055" s="458"/>
      <c r="J1055" s="458"/>
      <c r="K1055" s="458"/>
      <c r="L1055" s="1148">
        <f>+Datos!$E$20</f>
        <v>0.05</v>
      </c>
      <c r="M1055" s="941"/>
      <c r="N1055" s="430">
        <f>+L1055*N1048</f>
        <v>46999.825250000002</v>
      </c>
      <c r="O1055" s="453"/>
      <c r="P1055" s="1"/>
      <c r="Q1055" s="1"/>
      <c r="R1055" s="1"/>
      <c r="S1055" s="1"/>
      <c r="T1055" s="1"/>
      <c r="U1055" s="1"/>
      <c r="V1055" s="1"/>
      <c r="W1055" s="1"/>
      <c r="X1055" s="1"/>
      <c r="Y1055" s="1"/>
      <c r="Z1055" s="1"/>
    </row>
    <row r="1056" spans="1:26" ht="15" customHeight="1">
      <c r="A1056" s="395"/>
      <c r="B1056" s="399"/>
      <c r="C1056" s="1127" t="s">
        <v>1202</v>
      </c>
      <c r="D1056" s="965"/>
      <c r="E1056" s="965"/>
      <c r="F1056" s="965"/>
      <c r="G1056" s="965"/>
      <c r="H1056" s="965"/>
      <c r="I1056" s="965"/>
      <c r="J1056" s="965"/>
      <c r="K1056" s="965"/>
      <c r="L1056" s="965"/>
      <c r="M1056" s="966"/>
      <c r="N1056" s="433">
        <f>+SUM(N1053:N1055)</f>
        <v>291398.91655000002</v>
      </c>
      <c r="O1056" s="453"/>
      <c r="P1056" s="1"/>
      <c r="Q1056" s="1"/>
      <c r="R1056" s="1"/>
      <c r="S1056" s="1"/>
      <c r="T1056" s="1"/>
      <c r="U1056" s="1"/>
      <c r="V1056" s="1"/>
      <c r="W1056" s="1"/>
      <c r="X1056" s="1"/>
      <c r="Y1056" s="1"/>
      <c r="Z1056" s="1"/>
    </row>
    <row r="1057" spans="1:26" ht="15" customHeight="1">
      <c r="A1057" s="1"/>
      <c r="B1057" s="399"/>
      <c r="C1057" s="418"/>
      <c r="D1057" s="39"/>
      <c r="E1057" s="39"/>
      <c r="F1057" s="39"/>
      <c r="G1057" s="39"/>
      <c r="H1057" s="39"/>
      <c r="I1057" s="39"/>
      <c r="J1057" s="39"/>
      <c r="K1057" s="39"/>
      <c r="L1057" s="39"/>
      <c r="M1057" s="39"/>
      <c r="N1057" s="40"/>
      <c r="O1057" s="402"/>
      <c r="P1057" s="1"/>
      <c r="Q1057" s="1"/>
      <c r="R1057" s="1"/>
      <c r="S1057" s="1"/>
      <c r="T1057" s="1"/>
      <c r="U1057" s="1"/>
      <c r="V1057" s="1"/>
      <c r="W1057" s="1"/>
      <c r="X1057" s="1"/>
      <c r="Y1057" s="1"/>
      <c r="Z1057" s="1"/>
    </row>
    <row r="1058" spans="1:26" ht="15" customHeight="1">
      <c r="A1058" s="1"/>
      <c r="B1058" s="399"/>
      <c r="C1058" s="1147" t="s">
        <v>1224</v>
      </c>
      <c r="D1058" s="965"/>
      <c r="E1058" s="965"/>
      <c r="F1058" s="965"/>
      <c r="G1058" s="965"/>
      <c r="H1058" s="965"/>
      <c r="I1058" s="965"/>
      <c r="J1058" s="965"/>
      <c r="K1058" s="965"/>
      <c r="L1058" s="965"/>
      <c r="M1058" s="966"/>
      <c r="N1058" s="459">
        <f>+ROUND(SUM(N1056,N1048),0)</f>
        <v>1231395</v>
      </c>
      <c r="O1058" s="453"/>
      <c r="P1058" s="1"/>
      <c r="Q1058" s="1"/>
      <c r="R1058" s="1"/>
      <c r="S1058" s="1"/>
      <c r="T1058" s="1"/>
      <c r="U1058" s="1"/>
      <c r="V1058" s="1"/>
      <c r="W1058" s="1"/>
      <c r="X1058" s="1"/>
      <c r="Y1058" s="1"/>
      <c r="Z1058" s="1"/>
    </row>
    <row r="1059" spans="1:26" ht="15" customHeight="1">
      <c r="A1059" s="1"/>
      <c r="B1059" s="399"/>
      <c r="C1059" s="460"/>
      <c r="D1059" s="461"/>
      <c r="E1059" s="461"/>
      <c r="F1059" s="461"/>
      <c r="G1059" s="461"/>
      <c r="H1059" s="461"/>
      <c r="I1059" s="461"/>
      <c r="J1059" s="461"/>
      <c r="K1059" s="461"/>
      <c r="L1059" s="461"/>
      <c r="M1059" s="461"/>
      <c r="N1059" s="462"/>
      <c r="O1059" s="402"/>
      <c r="P1059" s="1"/>
      <c r="Q1059" s="1"/>
      <c r="R1059" s="1"/>
      <c r="S1059" s="1"/>
      <c r="T1059" s="1"/>
      <c r="U1059" s="1"/>
      <c r="V1059" s="1"/>
      <c r="W1059" s="1"/>
      <c r="X1059" s="1"/>
      <c r="Y1059" s="1"/>
      <c r="Z1059" s="1"/>
    </row>
    <row r="1060" spans="1:26" ht="15" customHeight="1">
      <c r="A1060" s="1"/>
      <c r="B1060" s="399"/>
      <c r="C1060" s="418"/>
      <c r="D1060" s="39"/>
      <c r="E1060" s="39"/>
      <c r="F1060" s="39"/>
      <c r="G1060" s="39"/>
      <c r="H1060" s="39"/>
      <c r="I1060" s="39"/>
      <c r="J1060" s="39"/>
      <c r="K1060" s="39"/>
      <c r="L1060" s="39"/>
      <c r="M1060" s="39"/>
      <c r="N1060" s="40"/>
      <c r="O1060" s="402"/>
      <c r="P1060" s="1"/>
      <c r="Q1060" s="1"/>
      <c r="R1060" s="1"/>
      <c r="S1060" s="1"/>
      <c r="T1060" s="1"/>
      <c r="U1060" s="1"/>
      <c r="V1060" s="1"/>
      <c r="W1060" s="1"/>
      <c r="X1060" s="1"/>
      <c r="Y1060" s="1"/>
      <c r="Z1060" s="1"/>
    </row>
    <row r="1061" spans="1:26" ht="15" customHeight="1">
      <c r="A1061" s="1"/>
      <c r="B1061" s="399"/>
      <c r="C1061" s="418"/>
      <c r="D1061" s="39"/>
      <c r="E1061" s="39"/>
      <c r="F1061" s="39"/>
      <c r="G1061" s="39"/>
      <c r="H1061" s="39"/>
      <c r="I1061" s="39"/>
      <c r="J1061" s="39"/>
      <c r="K1061" s="39"/>
      <c r="L1061" s="39"/>
      <c r="M1061" s="39"/>
      <c r="N1061" s="40"/>
      <c r="O1061" s="402"/>
      <c r="P1061" s="1"/>
      <c r="Q1061" s="1"/>
      <c r="R1061" s="1"/>
      <c r="S1061" s="1"/>
      <c r="T1061" s="1"/>
      <c r="U1061" s="1"/>
      <c r="V1061" s="1"/>
      <c r="W1061" s="1"/>
      <c r="X1061" s="1"/>
      <c r="Y1061" s="1"/>
      <c r="Z1061" s="1"/>
    </row>
    <row r="1062" spans="1:26" ht="15" customHeight="1">
      <c r="A1062" s="1"/>
      <c r="B1062" s="399"/>
      <c r="C1062" s="418"/>
      <c r="D1062" s="463"/>
      <c r="E1062" s="463"/>
      <c r="F1062" s="463"/>
      <c r="G1062" s="184"/>
      <c r="H1062" s="184"/>
      <c r="I1062" s="184"/>
      <c r="J1062" s="463"/>
      <c r="K1062" s="463"/>
      <c r="L1062" s="463"/>
      <c r="M1062" s="463"/>
      <c r="N1062" s="40"/>
      <c r="O1062" s="402"/>
      <c r="P1062" s="1"/>
      <c r="Q1062" s="1"/>
      <c r="R1062" s="1"/>
      <c r="S1062" s="1"/>
      <c r="T1062" s="1"/>
      <c r="U1062" s="1"/>
      <c r="V1062" s="1"/>
      <c r="W1062" s="1"/>
      <c r="X1062" s="1"/>
      <c r="Y1062" s="1"/>
      <c r="Z1062" s="1"/>
    </row>
    <row r="1063" spans="1:26" ht="15" customHeight="1">
      <c r="A1063" s="1"/>
      <c r="B1063" s="399"/>
      <c r="C1063" s="418"/>
      <c r="D1063" s="39" t="s">
        <v>1225</v>
      </c>
      <c r="E1063" s="39"/>
      <c r="F1063" s="39"/>
      <c r="G1063" s="184"/>
      <c r="H1063" s="184"/>
      <c r="I1063" s="184"/>
      <c r="J1063" s="39" t="s">
        <v>1225</v>
      </c>
      <c r="K1063" s="39"/>
      <c r="L1063" s="39"/>
      <c r="M1063" s="39"/>
      <c r="N1063" s="40"/>
      <c r="O1063" s="464"/>
      <c r="P1063" s="1"/>
      <c r="Q1063" s="1"/>
      <c r="R1063" s="1"/>
      <c r="S1063" s="1"/>
      <c r="T1063" s="1"/>
      <c r="U1063" s="1"/>
      <c r="V1063" s="1"/>
      <c r="W1063" s="1"/>
      <c r="X1063" s="1"/>
      <c r="Y1063" s="1"/>
      <c r="Z1063" s="1"/>
    </row>
    <row r="1064" spans="1:26" ht="15" customHeight="1">
      <c r="A1064" s="1"/>
      <c r="B1064" s="399"/>
      <c r="C1064" s="418"/>
      <c r="D1064" s="39" t="s">
        <v>1226</v>
      </c>
      <c r="E1064" s="39"/>
      <c r="F1064" s="39"/>
      <c r="G1064" s="184"/>
      <c r="H1064" s="184"/>
      <c r="I1064" s="184"/>
      <c r="J1064" s="39" t="s">
        <v>1227</v>
      </c>
      <c r="K1064" s="39"/>
      <c r="L1064" s="39"/>
      <c r="M1064" s="39"/>
      <c r="N1064" s="40"/>
      <c r="O1064" s="464"/>
      <c r="P1064" s="1"/>
      <c r="Q1064" s="1"/>
      <c r="R1064" s="1"/>
      <c r="S1064" s="1"/>
      <c r="T1064" s="1"/>
      <c r="U1064" s="1"/>
      <c r="V1064" s="1"/>
      <c r="W1064" s="1"/>
      <c r="X1064" s="1"/>
      <c r="Y1064" s="1"/>
      <c r="Z1064" s="1"/>
    </row>
    <row r="1065" spans="1:26" ht="15" customHeight="1">
      <c r="A1065" s="1"/>
      <c r="B1065" s="399"/>
      <c r="C1065" s="404"/>
      <c r="D1065" s="39" t="s">
        <v>1228</v>
      </c>
      <c r="E1065" s="42"/>
      <c r="F1065" s="42"/>
      <c r="G1065" s="184"/>
      <c r="H1065" s="184"/>
      <c r="I1065" s="184"/>
      <c r="J1065" s="39" t="s">
        <v>1228</v>
      </c>
      <c r="K1065" s="42"/>
      <c r="L1065" s="42"/>
      <c r="M1065" s="42"/>
      <c r="N1065" s="43"/>
      <c r="O1065" s="465"/>
      <c r="P1065" s="1"/>
      <c r="Q1065" s="1"/>
      <c r="R1065" s="1"/>
      <c r="S1065" s="1"/>
      <c r="T1065" s="1"/>
      <c r="U1065" s="1"/>
      <c r="V1065" s="1"/>
      <c r="W1065" s="1"/>
      <c r="X1065" s="1"/>
      <c r="Y1065" s="1"/>
      <c r="Z1065" s="1"/>
    </row>
    <row r="1066" spans="1:26" ht="15" customHeight="1">
      <c r="A1066" s="1"/>
      <c r="B1066" s="399"/>
      <c r="C1066" s="418"/>
      <c r="D1066" s="39"/>
      <c r="E1066" s="39"/>
      <c r="F1066" s="39"/>
      <c r="G1066" s="39" t="s">
        <v>1229</v>
      </c>
      <c r="H1066" s="39"/>
      <c r="I1066" s="39"/>
      <c r="J1066" s="39"/>
      <c r="K1066" s="39"/>
      <c r="L1066" s="39"/>
      <c r="M1066" s="39"/>
      <c r="N1066" s="40"/>
      <c r="O1066" s="402"/>
      <c r="P1066" s="1"/>
      <c r="Q1066" s="1"/>
      <c r="R1066" s="1"/>
      <c r="S1066" s="1"/>
      <c r="T1066" s="1"/>
      <c r="U1066" s="1"/>
      <c r="V1066" s="1"/>
      <c r="W1066" s="1"/>
      <c r="X1066" s="1"/>
      <c r="Y1066" s="1"/>
      <c r="Z1066" s="1"/>
    </row>
    <row r="1067" spans="1:26" ht="15" customHeight="1">
      <c r="A1067" s="1"/>
      <c r="B1067" s="399"/>
      <c r="C1067" s="466"/>
      <c r="D1067" s="467"/>
      <c r="E1067" s="467"/>
      <c r="F1067" s="39"/>
      <c r="G1067" s="39"/>
      <c r="H1067" s="39"/>
      <c r="I1067" s="39"/>
      <c r="J1067" s="1149"/>
      <c r="K1067" s="922"/>
      <c r="L1067" s="922"/>
      <c r="M1067" s="922"/>
      <c r="N1067" s="924"/>
      <c r="O1067" s="468"/>
      <c r="P1067" s="1"/>
      <c r="Q1067" s="1"/>
      <c r="R1067" s="1"/>
      <c r="S1067" s="1"/>
      <c r="T1067" s="1"/>
      <c r="U1067" s="1"/>
      <c r="V1067" s="1"/>
      <c r="W1067" s="1"/>
      <c r="X1067" s="1"/>
      <c r="Y1067" s="1"/>
      <c r="Z1067" s="1"/>
    </row>
    <row r="1068" spans="1:26" ht="15" customHeight="1">
      <c r="A1068" s="1"/>
      <c r="B1068" s="399"/>
      <c r="C1068" s="1150"/>
      <c r="D1068" s="936"/>
      <c r="E1068" s="936"/>
      <c r="F1068" s="416"/>
      <c r="G1068" s="416"/>
      <c r="H1068" s="416"/>
      <c r="I1068" s="416"/>
      <c r="J1068" s="936"/>
      <c r="K1068" s="936"/>
      <c r="L1068" s="936"/>
      <c r="M1068" s="936"/>
      <c r="N1068" s="938"/>
      <c r="O1068" s="468"/>
      <c r="P1068" s="1"/>
      <c r="Q1068" s="1"/>
      <c r="R1068" s="1"/>
      <c r="S1068" s="1"/>
      <c r="T1068" s="1"/>
      <c r="U1068" s="1"/>
      <c r="V1068" s="1"/>
      <c r="W1068" s="1"/>
      <c r="X1068" s="1"/>
      <c r="Y1068" s="1"/>
      <c r="Z1068" s="1"/>
    </row>
    <row r="1069" spans="1:26" ht="15" customHeight="1">
      <c r="A1069" s="1"/>
      <c r="B1069" s="469"/>
      <c r="C1069" s="470"/>
      <c r="D1069" s="470"/>
      <c r="E1069" s="470"/>
      <c r="F1069" s="470"/>
      <c r="G1069" s="470"/>
      <c r="H1069" s="470"/>
      <c r="I1069" s="470"/>
      <c r="J1069" s="470"/>
      <c r="K1069" s="470"/>
      <c r="L1069" s="470"/>
      <c r="M1069" s="470"/>
      <c r="N1069" s="470"/>
      <c r="O1069" s="471"/>
      <c r="P1069" s="1"/>
      <c r="Q1069" s="1"/>
      <c r="R1069" s="1"/>
      <c r="S1069" s="1"/>
      <c r="T1069" s="1"/>
      <c r="U1069" s="1"/>
      <c r="V1069" s="1"/>
      <c r="W1069" s="1"/>
      <c r="X1069" s="1"/>
      <c r="Y1069" s="1"/>
      <c r="Z1069" s="1"/>
    </row>
    <row r="1070" spans="1:26" ht="15" customHeight="1">
      <c r="A1070" s="1"/>
      <c r="B1070" s="184"/>
      <c r="C1070" s="184"/>
      <c r="D1070" s="184"/>
      <c r="E1070" s="184"/>
      <c r="F1070" s="184"/>
      <c r="G1070" s="184"/>
      <c r="H1070" s="184"/>
      <c r="I1070" s="184"/>
      <c r="J1070" s="184"/>
      <c r="K1070" s="184"/>
      <c r="L1070" s="184"/>
      <c r="M1070" s="184"/>
      <c r="N1070" s="184"/>
      <c r="O1070" s="184"/>
      <c r="P1070" s="1"/>
      <c r="Q1070" s="1"/>
      <c r="R1070" s="1"/>
      <c r="S1070" s="1"/>
      <c r="T1070" s="1"/>
      <c r="U1070" s="1"/>
      <c r="V1070" s="1"/>
      <c r="W1070" s="1"/>
      <c r="X1070" s="1"/>
      <c r="Y1070" s="1"/>
      <c r="Z1070" s="1"/>
    </row>
    <row r="1071" spans="1:26" ht="15" customHeight="1">
      <c r="A1071" s="1"/>
      <c r="B1071" s="184"/>
      <c r="C1071" s="184"/>
      <c r="D1071" s="184"/>
      <c r="E1071" s="184"/>
      <c r="F1071" s="184"/>
      <c r="G1071" s="184"/>
      <c r="H1071" s="184"/>
      <c r="I1071" s="184"/>
      <c r="J1071" s="184"/>
      <c r="K1071" s="184"/>
      <c r="L1071" s="184"/>
      <c r="M1071" s="184"/>
      <c r="N1071" s="184"/>
      <c r="O1071" s="184"/>
      <c r="P1071" s="1"/>
      <c r="Q1071" s="1"/>
      <c r="R1071" s="1"/>
      <c r="S1071" s="1"/>
      <c r="T1071" s="1"/>
      <c r="U1071" s="1"/>
      <c r="V1071" s="1"/>
      <c r="W1071" s="1"/>
      <c r="X1071" s="1"/>
      <c r="Y1071" s="1"/>
      <c r="Z1071" s="1"/>
    </row>
    <row r="1072" spans="1:26" ht="15" customHeight="1">
      <c r="A1072" s="1"/>
      <c r="B1072" s="396"/>
      <c r="C1072" s="397"/>
      <c r="D1072" s="397"/>
      <c r="E1072" s="397"/>
      <c r="F1072" s="397"/>
      <c r="G1072" s="397"/>
      <c r="H1072" s="397"/>
      <c r="I1072" s="397"/>
      <c r="J1072" s="397"/>
      <c r="K1072" s="397"/>
      <c r="L1072" s="397"/>
      <c r="M1072" s="397"/>
      <c r="N1072" s="397"/>
      <c r="O1072" s="398"/>
      <c r="P1072" s="1"/>
      <c r="Q1072" s="1"/>
      <c r="R1072" s="1"/>
      <c r="S1072" s="1"/>
      <c r="T1072" s="1"/>
      <c r="U1072" s="1"/>
      <c r="V1072" s="1"/>
      <c r="W1072" s="1"/>
      <c r="X1072" s="1"/>
      <c r="Y1072" s="1"/>
      <c r="Z1072" s="1"/>
    </row>
    <row r="1073" spans="1:26" ht="15" customHeight="1">
      <c r="A1073" s="1"/>
      <c r="B1073" s="399"/>
      <c r="C1073" s="400"/>
      <c r="D1073" s="401"/>
      <c r="E1073" s="400"/>
      <c r="F1073" s="184"/>
      <c r="G1073" s="184"/>
      <c r="H1073" s="184"/>
      <c r="I1073" s="184"/>
      <c r="J1073" s="184"/>
      <c r="K1073" s="184"/>
      <c r="L1073" s="184"/>
      <c r="M1073" s="184"/>
      <c r="N1073" s="184"/>
      <c r="O1073" s="402"/>
      <c r="P1073" s="1"/>
      <c r="Q1073" s="1"/>
      <c r="R1073" s="1"/>
      <c r="S1073" s="1"/>
      <c r="T1073" s="1"/>
      <c r="U1073" s="1"/>
      <c r="V1073" s="1"/>
      <c r="W1073" s="1"/>
      <c r="X1073" s="1"/>
      <c r="Y1073" s="1"/>
      <c r="Z1073" s="1"/>
    </row>
    <row r="1074" spans="1:26" ht="15" customHeight="1">
      <c r="A1074" s="1"/>
      <c r="B1074" s="399"/>
      <c r="C1074" s="39"/>
      <c r="D1074" s="39"/>
      <c r="E1074" s="39"/>
      <c r="F1074" s="39"/>
      <c r="G1074" s="39"/>
      <c r="H1074" s="39"/>
      <c r="I1074" s="39"/>
      <c r="J1074" s="39"/>
      <c r="K1074" s="39"/>
      <c r="L1074" s="39"/>
      <c r="M1074" s="39"/>
      <c r="N1074" s="39"/>
      <c r="O1074" s="402"/>
      <c r="P1074" s="1"/>
      <c r="Q1074" s="1"/>
      <c r="R1074" s="1"/>
      <c r="S1074" s="1"/>
      <c r="T1074" s="1"/>
      <c r="U1074" s="1"/>
      <c r="V1074" s="1"/>
      <c r="W1074" s="1"/>
      <c r="X1074" s="1"/>
      <c r="Y1074" s="1"/>
      <c r="Z1074" s="1"/>
    </row>
    <row r="1075" spans="1:26" ht="15" customHeight="1">
      <c r="A1075" s="1"/>
      <c r="B1075" s="399"/>
      <c r="C1075" s="1124"/>
      <c r="D1075" s="927"/>
      <c r="E1075" s="1014" t="str">
        <f>+Datos!$C$9</f>
        <v>CONSEJO SUPERIOR  DE  JUDICATURA– DIRECCIÓN  EJECUTIVA  SECCIONAL  DE ADMINISTRACIÓN JUDICIAL DE BUCARAMANGA</v>
      </c>
      <c r="F1075" s="926"/>
      <c r="G1075" s="926"/>
      <c r="H1075" s="926"/>
      <c r="I1075" s="926"/>
      <c r="J1075" s="926"/>
      <c r="K1075" s="927"/>
      <c r="L1075" s="925" t="s">
        <v>1</v>
      </c>
      <c r="M1075" s="931"/>
      <c r="N1075" s="933">
        <f>Datos!$C$4</f>
        <v>1</v>
      </c>
      <c r="O1075" s="403"/>
      <c r="P1075" s="1"/>
      <c r="Q1075" s="1"/>
      <c r="R1075" s="1"/>
      <c r="S1075" s="1"/>
      <c r="T1075" s="1"/>
      <c r="U1075" s="1"/>
      <c r="V1075" s="1"/>
      <c r="W1075" s="1"/>
      <c r="X1075" s="1"/>
      <c r="Y1075" s="1"/>
      <c r="Z1075" s="1"/>
    </row>
    <row r="1076" spans="1:26" ht="15" customHeight="1">
      <c r="A1076" s="1"/>
      <c r="B1076" s="399"/>
      <c r="C1076" s="920"/>
      <c r="D1076" s="924"/>
      <c r="E1076" s="920"/>
      <c r="F1076" s="922"/>
      <c r="G1076" s="922"/>
      <c r="H1076" s="922"/>
      <c r="I1076" s="922"/>
      <c r="J1076" s="922"/>
      <c r="K1076" s="924"/>
      <c r="L1076" s="920"/>
      <c r="M1076" s="932"/>
      <c r="N1076" s="934"/>
      <c r="O1076" s="403"/>
      <c r="P1076" s="1"/>
      <c r="Q1076" s="1"/>
      <c r="R1076" s="1"/>
      <c r="S1076" s="1"/>
      <c r="T1076" s="1"/>
      <c r="U1076" s="1"/>
      <c r="V1076" s="1"/>
      <c r="W1076" s="1"/>
      <c r="X1076" s="1"/>
      <c r="Y1076" s="1"/>
      <c r="Z1076" s="1"/>
    </row>
    <row r="1077" spans="1:26" ht="15" customHeight="1">
      <c r="A1077" s="1"/>
      <c r="B1077" s="399"/>
      <c r="C1077" s="920"/>
      <c r="D1077" s="924"/>
      <c r="E1077" s="919" t="str">
        <f>Datos!$C$13</f>
        <v xml:space="preserve">BGA - 030 - 2026 </v>
      </c>
      <c r="F1077" s="922"/>
      <c r="G1077" s="922"/>
      <c r="H1077" s="922"/>
      <c r="I1077" s="922"/>
      <c r="J1077" s="922"/>
      <c r="K1077" s="922"/>
      <c r="L1077" s="925" t="s">
        <v>29</v>
      </c>
      <c r="M1077" s="926"/>
      <c r="N1077" s="927"/>
      <c r="O1077" s="403"/>
      <c r="P1077" s="1"/>
      <c r="Q1077" s="1"/>
      <c r="R1077" s="1"/>
      <c r="S1077" s="1"/>
      <c r="T1077" s="1"/>
      <c r="U1077" s="1"/>
      <c r="V1077" s="1"/>
      <c r="W1077" s="1"/>
      <c r="X1077" s="1"/>
      <c r="Y1077" s="1"/>
      <c r="Z1077" s="1"/>
    </row>
    <row r="1078" spans="1:26" ht="15" customHeight="1">
      <c r="A1078" s="1"/>
      <c r="B1078" s="399"/>
      <c r="C1078" s="920"/>
      <c r="D1078" s="924"/>
      <c r="E1078" s="405"/>
      <c r="F1078" s="406"/>
      <c r="G1078" s="406"/>
      <c r="H1078" s="406"/>
      <c r="I1078" s="406"/>
      <c r="J1078" s="406"/>
      <c r="K1078" s="42"/>
      <c r="L1078" s="919">
        <v>1</v>
      </c>
      <c r="M1078" s="921" t="s">
        <v>30</v>
      </c>
      <c r="N1078" s="923">
        <v>1</v>
      </c>
      <c r="O1078" s="403"/>
      <c r="P1078" s="1"/>
      <c r="Q1078" s="1"/>
      <c r="R1078" s="1"/>
      <c r="S1078" s="1"/>
      <c r="T1078" s="1"/>
      <c r="U1078" s="1"/>
      <c r="V1078" s="1"/>
      <c r="W1078" s="1"/>
      <c r="X1078" s="1"/>
      <c r="Y1078" s="1"/>
      <c r="Z1078" s="1"/>
    </row>
    <row r="1079" spans="1:26" ht="15" customHeight="1">
      <c r="A1079" s="1"/>
      <c r="B1079" s="399"/>
      <c r="C1079" s="920"/>
      <c r="D1079" s="924"/>
      <c r="E1079" s="1123"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079" s="922"/>
      <c r="G1079" s="922"/>
      <c r="H1079" s="922"/>
      <c r="I1079" s="922"/>
      <c r="J1079" s="922"/>
      <c r="K1079" s="922"/>
      <c r="L1079" s="920"/>
      <c r="M1079" s="922"/>
      <c r="N1079" s="924"/>
      <c r="O1079" s="403"/>
      <c r="P1079" s="1"/>
      <c r="Q1079" s="1"/>
      <c r="R1079" s="1"/>
      <c r="S1079" s="1"/>
      <c r="T1079" s="1"/>
      <c r="U1079" s="1"/>
      <c r="V1079" s="1"/>
      <c r="W1079" s="1"/>
      <c r="X1079" s="1"/>
      <c r="Y1079" s="1"/>
      <c r="Z1079" s="1"/>
    </row>
    <row r="1080" spans="1:26" ht="24.75" customHeight="1">
      <c r="A1080" s="1"/>
      <c r="B1080" s="399"/>
      <c r="C1080" s="920"/>
      <c r="D1080" s="924"/>
      <c r="E1080" s="920"/>
      <c r="F1080" s="922"/>
      <c r="G1080" s="922"/>
      <c r="H1080" s="922"/>
      <c r="I1080" s="922"/>
      <c r="J1080" s="922"/>
      <c r="K1080" s="922"/>
      <c r="L1080" s="925" t="s">
        <v>2</v>
      </c>
      <c r="M1080" s="926"/>
      <c r="N1080" s="927"/>
      <c r="O1080" s="403"/>
      <c r="P1080" s="1"/>
      <c r="Q1080" s="1"/>
      <c r="R1080" s="1"/>
      <c r="S1080" s="1"/>
      <c r="T1080" s="1"/>
      <c r="U1080" s="1"/>
      <c r="V1080" s="1"/>
      <c r="W1080" s="1"/>
      <c r="X1080" s="1"/>
      <c r="Y1080" s="1"/>
      <c r="Z1080" s="1"/>
    </row>
    <row r="1081" spans="1:26" ht="15" customHeight="1">
      <c r="A1081" s="1"/>
      <c r="B1081" s="399"/>
      <c r="C1081" s="920"/>
      <c r="D1081" s="924"/>
      <c r="E1081" s="407"/>
      <c r="F1081" s="216"/>
      <c r="G1081" s="216"/>
      <c r="H1081" s="216"/>
      <c r="I1081" s="216"/>
      <c r="J1081" s="216"/>
      <c r="K1081" s="216"/>
      <c r="L1081" s="408" t="s">
        <v>3</v>
      </c>
      <c r="M1081" s="409" t="s">
        <v>4</v>
      </c>
      <c r="N1081" s="410" t="s">
        <v>5</v>
      </c>
      <c r="O1081" s="403"/>
      <c r="P1081" s="1"/>
      <c r="Q1081" s="1"/>
      <c r="R1081" s="1"/>
      <c r="S1081" s="1"/>
      <c r="T1081" s="1"/>
      <c r="U1081" s="1"/>
      <c r="V1081" s="1"/>
      <c r="W1081" s="1"/>
      <c r="X1081" s="1"/>
      <c r="Y1081" s="1"/>
      <c r="Z1081" s="1"/>
    </row>
    <row r="1082" spans="1:26" ht="15" customHeight="1">
      <c r="A1082" s="1"/>
      <c r="B1082" s="399"/>
      <c r="C1082" s="920"/>
      <c r="D1082" s="924"/>
      <c r="E1082" s="1125" t="s">
        <v>1186</v>
      </c>
      <c r="F1082" s="945"/>
      <c r="G1082" s="945"/>
      <c r="H1082" s="945"/>
      <c r="I1082" s="945"/>
      <c r="J1082" s="945"/>
      <c r="K1082" s="945"/>
      <c r="L1082" s="928">
        <f>+Datos!C993</f>
        <v>0</v>
      </c>
      <c r="M1082" s="935">
        <f>+Datos!D993</f>
        <v>0</v>
      </c>
      <c r="N1082" s="937">
        <f>+Datos!E993</f>
        <v>0</v>
      </c>
      <c r="O1082" s="411"/>
      <c r="P1082" s="1"/>
      <c r="Q1082" s="1"/>
      <c r="R1082" s="1"/>
      <c r="S1082" s="1"/>
      <c r="T1082" s="1"/>
      <c r="U1082" s="1"/>
      <c r="V1082" s="1"/>
      <c r="W1082" s="1"/>
      <c r="X1082" s="1"/>
      <c r="Y1082" s="1"/>
      <c r="Z1082" s="1"/>
    </row>
    <row r="1083" spans="1:26" ht="15" customHeight="1">
      <c r="A1083" s="1"/>
      <c r="B1083" s="399"/>
      <c r="C1083" s="929"/>
      <c r="D1083" s="938"/>
      <c r="E1083" s="929"/>
      <c r="F1083" s="936"/>
      <c r="G1083" s="936"/>
      <c r="H1083" s="936"/>
      <c r="I1083" s="936"/>
      <c r="J1083" s="936"/>
      <c r="K1083" s="936"/>
      <c r="L1083" s="929"/>
      <c r="M1083" s="936"/>
      <c r="N1083" s="938"/>
      <c r="O1083" s="403"/>
      <c r="P1083" s="1"/>
      <c r="Q1083" s="1"/>
      <c r="R1083" s="1"/>
      <c r="S1083" s="1"/>
      <c r="T1083" s="1"/>
      <c r="U1083" s="1"/>
      <c r="V1083" s="1"/>
      <c r="W1083" s="1"/>
      <c r="X1083" s="1"/>
      <c r="Y1083" s="1"/>
      <c r="Z1083" s="1"/>
    </row>
    <row r="1084" spans="1:26" ht="15" customHeight="1">
      <c r="A1084" s="1"/>
      <c r="B1084" s="399"/>
      <c r="C1084" s="404"/>
      <c r="D1084" s="38"/>
      <c r="E1084" s="38"/>
      <c r="F1084" s="38"/>
      <c r="G1084" s="38"/>
      <c r="H1084" s="38"/>
      <c r="I1084" s="38"/>
      <c r="J1084" s="38"/>
      <c r="K1084" s="38"/>
      <c r="L1084" s="39"/>
      <c r="M1084" s="39"/>
      <c r="N1084" s="40"/>
      <c r="O1084" s="414"/>
      <c r="P1084" s="1"/>
      <c r="Q1084" s="1"/>
      <c r="R1084" s="1"/>
      <c r="S1084" s="1"/>
      <c r="T1084" s="1"/>
      <c r="U1084" s="1"/>
      <c r="V1084" s="1"/>
      <c r="W1084" s="1"/>
      <c r="X1084" s="1"/>
      <c r="Y1084" s="1"/>
      <c r="Z1084" s="1"/>
    </row>
    <row r="1085" spans="1:26" ht="15" customHeight="1">
      <c r="A1085" s="1"/>
      <c r="B1085" s="399"/>
      <c r="C1085" s="412" t="s">
        <v>1187</v>
      </c>
      <c r="D1085" s="1126" t="s">
        <v>1188</v>
      </c>
      <c r="E1085" s="922"/>
      <c r="F1085" s="922"/>
      <c r="G1085" s="922"/>
      <c r="H1085" s="922"/>
      <c r="I1085" s="922"/>
      <c r="J1085" s="922"/>
      <c r="K1085" s="922"/>
      <c r="L1085" s="922"/>
      <c r="M1085" s="1"/>
      <c r="N1085" s="413"/>
      <c r="O1085" s="414"/>
      <c r="P1085" s="1"/>
      <c r="Q1085" s="1"/>
      <c r="R1085" s="1"/>
      <c r="S1085" s="1"/>
      <c r="T1085" s="1"/>
      <c r="U1085" s="1"/>
      <c r="V1085" s="1"/>
      <c r="W1085" s="1"/>
      <c r="X1085" s="1"/>
      <c r="Y1085" s="1"/>
      <c r="Z1085" s="1"/>
    </row>
    <row r="1086" spans="1:26" ht="15" customHeight="1">
      <c r="A1086" s="1"/>
      <c r="B1086" s="399"/>
      <c r="C1086" s="412" t="s">
        <v>1189</v>
      </c>
      <c r="D1086" s="1126" t="s">
        <v>1190</v>
      </c>
      <c r="E1086" s="922"/>
      <c r="F1086" s="922"/>
      <c r="G1086" s="922"/>
      <c r="H1086" s="922"/>
      <c r="I1086" s="922"/>
      <c r="J1086" s="922"/>
      <c r="K1086" s="922"/>
      <c r="L1086" s="922"/>
      <c r="M1086" s="1"/>
      <c r="N1086" s="413"/>
      <c r="O1086" s="403"/>
      <c r="P1086" s="1"/>
      <c r="Q1086" s="1"/>
      <c r="R1086" s="1"/>
      <c r="S1086" s="1"/>
      <c r="T1086" s="1"/>
      <c r="U1086" s="1"/>
      <c r="V1086" s="1"/>
      <c r="W1086" s="1"/>
      <c r="X1086" s="1"/>
      <c r="Y1086" s="1"/>
      <c r="Z1086" s="1"/>
    </row>
    <row r="1087" spans="1:26" ht="15" customHeight="1">
      <c r="A1087" s="1"/>
      <c r="B1087" s="399"/>
      <c r="C1087" s="415"/>
      <c r="D1087" s="416"/>
      <c r="E1087" s="416"/>
      <c r="F1087" s="416"/>
      <c r="G1087" s="416"/>
      <c r="H1087" s="416"/>
      <c r="I1087" s="416"/>
      <c r="J1087" s="416"/>
      <c r="K1087" s="416"/>
      <c r="L1087" s="416"/>
      <c r="M1087" s="416"/>
      <c r="N1087" s="417"/>
      <c r="O1087" s="402"/>
      <c r="P1087" s="1"/>
      <c r="Q1087" s="1"/>
      <c r="R1087" s="1"/>
      <c r="S1087" s="1"/>
      <c r="T1087" s="1"/>
      <c r="U1087" s="1"/>
      <c r="V1087" s="1"/>
      <c r="W1087" s="1"/>
      <c r="X1087" s="1"/>
      <c r="Y1087" s="1"/>
      <c r="Z1087" s="1"/>
    </row>
    <row r="1088" spans="1:26" ht="15" customHeight="1">
      <c r="A1088" s="1"/>
      <c r="B1088" s="399"/>
      <c r="C1088" s="418"/>
      <c r="D1088" s="39"/>
      <c r="E1088" s="39"/>
      <c r="F1088" s="39"/>
      <c r="G1088" s="39"/>
      <c r="H1088" s="39"/>
      <c r="I1088" s="39"/>
      <c r="J1088" s="39"/>
      <c r="K1088" s="39"/>
      <c r="L1088" s="39"/>
      <c r="M1088" s="39"/>
      <c r="N1088" s="40"/>
      <c r="O1088" s="402"/>
      <c r="P1088" s="1"/>
      <c r="Q1088" s="1"/>
      <c r="R1088" s="1"/>
      <c r="S1088" s="1"/>
      <c r="T1088" s="1"/>
      <c r="U1088" s="1"/>
      <c r="V1088" s="1"/>
      <c r="W1088" s="1"/>
      <c r="X1088" s="1"/>
      <c r="Y1088" s="1"/>
      <c r="Z1088" s="1"/>
    </row>
    <row r="1089" spans="1:26" ht="15" customHeight="1">
      <c r="A1089" s="395"/>
      <c r="B1089" s="399"/>
      <c r="C1089" s="925" t="s">
        <v>1191</v>
      </c>
      <c r="D1089" s="926"/>
      <c r="E1089" s="926"/>
      <c r="F1089" s="926"/>
      <c r="G1089" s="926"/>
      <c r="H1089" s="926"/>
      <c r="I1089" s="926"/>
      <c r="J1089" s="926"/>
      <c r="K1089" s="926"/>
      <c r="L1089" s="926"/>
      <c r="M1089" s="926"/>
      <c r="N1089" s="927"/>
      <c r="O1089" s="419"/>
      <c r="P1089" s="1"/>
      <c r="Q1089" s="1"/>
      <c r="R1089" s="1"/>
      <c r="S1089" s="1"/>
      <c r="T1089" s="1"/>
      <c r="U1089" s="1"/>
      <c r="V1089" s="1"/>
      <c r="W1089" s="1"/>
      <c r="X1089" s="1"/>
      <c r="Y1089" s="1"/>
      <c r="Z1089" s="1"/>
    </row>
    <row r="1090" spans="1:26" ht="15" customHeight="1">
      <c r="A1090" s="395"/>
      <c r="B1090" s="399"/>
      <c r="C1090" s="418"/>
      <c r="D1090" s="39"/>
      <c r="E1090" s="39"/>
      <c r="F1090" s="39"/>
      <c r="G1090" s="39"/>
      <c r="H1090" s="39"/>
      <c r="I1090" s="39"/>
      <c r="J1090" s="39"/>
      <c r="K1090" s="39"/>
      <c r="L1090" s="39"/>
      <c r="M1090" s="39"/>
      <c r="N1090" s="40"/>
      <c r="O1090" s="402"/>
      <c r="P1090" s="1"/>
      <c r="Q1090" s="1"/>
      <c r="R1090" s="1"/>
      <c r="S1090" s="1"/>
      <c r="T1090" s="1"/>
      <c r="U1090" s="1"/>
      <c r="V1090" s="1"/>
      <c r="W1090" s="1"/>
      <c r="X1090" s="1"/>
      <c r="Y1090" s="1"/>
      <c r="Z1090" s="1"/>
    </row>
    <row r="1091" spans="1:26" ht="15" customHeight="1">
      <c r="A1091" s="395"/>
      <c r="B1091" s="399"/>
      <c r="C1091" s="420" t="s">
        <v>965</v>
      </c>
      <c r="D1091" s="1136" t="s">
        <v>17</v>
      </c>
      <c r="E1091" s="1131"/>
      <c r="F1091" s="1131"/>
      <c r="G1091" s="1131"/>
      <c r="H1091" s="1131"/>
      <c r="I1091" s="1131"/>
      <c r="J1091" s="1131"/>
      <c r="K1091" s="1137"/>
      <c r="L1091" s="1130" t="s">
        <v>1192</v>
      </c>
      <c r="M1091" s="1137"/>
      <c r="N1091" s="420" t="s">
        <v>950</v>
      </c>
      <c r="O1091" s="419"/>
      <c r="P1091" s="1"/>
      <c r="Q1091" s="1"/>
      <c r="R1091" s="1"/>
      <c r="S1091" s="1"/>
      <c r="T1091" s="1"/>
      <c r="U1091" s="1"/>
      <c r="V1091" s="1"/>
      <c r="W1091" s="1"/>
      <c r="X1091" s="1"/>
      <c r="Y1091" s="1"/>
      <c r="Z1091" s="1"/>
    </row>
    <row r="1092" spans="1:26" ht="15" customHeight="1">
      <c r="A1092" s="395"/>
      <c r="B1092" s="421"/>
      <c r="C1092" s="422" t="s">
        <v>1190</v>
      </c>
      <c r="D1092" s="1151" t="s">
        <v>1263</v>
      </c>
      <c r="E1092" s="979"/>
      <c r="F1092" s="979"/>
      <c r="G1092" s="979"/>
      <c r="H1092" s="979"/>
      <c r="I1092" s="979"/>
      <c r="J1092" s="979"/>
      <c r="K1092" s="980"/>
      <c r="L1092" s="1138" t="s">
        <v>741</v>
      </c>
      <c r="M1092" s="980"/>
      <c r="N1092" s="423">
        <v>1</v>
      </c>
      <c r="O1092" s="424"/>
      <c r="P1092" s="1"/>
      <c r="Q1092" s="1"/>
      <c r="R1092" s="1"/>
      <c r="S1092" s="1"/>
      <c r="T1092" s="1"/>
      <c r="U1092" s="1"/>
      <c r="V1092" s="1"/>
      <c r="W1092" s="1"/>
      <c r="X1092" s="1"/>
      <c r="Y1092" s="1"/>
      <c r="Z1092" s="1"/>
    </row>
    <row r="1093" spans="1:26" ht="15" customHeight="1">
      <c r="A1093" s="395"/>
      <c r="B1093" s="399"/>
      <c r="C1093" s="1129" t="s">
        <v>1195</v>
      </c>
      <c r="D1093" s="926"/>
      <c r="E1093" s="926"/>
      <c r="F1093" s="926"/>
      <c r="G1093" s="926"/>
      <c r="H1093" s="926"/>
      <c r="I1093" s="926"/>
      <c r="J1093" s="926"/>
      <c r="K1093" s="926"/>
      <c r="L1093" s="926"/>
      <c r="M1093" s="926"/>
      <c r="N1093" s="927"/>
      <c r="O1093" s="426"/>
      <c r="P1093" s="1"/>
      <c r="Q1093" s="1"/>
      <c r="R1093" s="1"/>
      <c r="S1093" s="1"/>
      <c r="T1093" s="1"/>
      <c r="U1093" s="1"/>
      <c r="V1093" s="1"/>
      <c r="W1093" s="1"/>
      <c r="X1093" s="1"/>
      <c r="Y1093" s="1"/>
      <c r="Z1093" s="1"/>
    </row>
    <row r="1094" spans="1:26" ht="15" customHeight="1">
      <c r="A1094" s="395"/>
      <c r="B1094" s="399"/>
      <c r="C1094" s="920"/>
      <c r="D1094" s="922"/>
      <c r="E1094" s="922"/>
      <c r="F1094" s="922"/>
      <c r="G1094" s="922"/>
      <c r="H1094" s="922"/>
      <c r="I1094" s="922"/>
      <c r="J1094" s="922"/>
      <c r="K1094" s="922"/>
      <c r="L1094" s="922"/>
      <c r="M1094" s="922"/>
      <c r="N1094" s="924"/>
      <c r="O1094" s="426"/>
      <c r="P1094" s="1"/>
      <c r="Q1094" s="1"/>
      <c r="R1094" s="1"/>
      <c r="S1094" s="1"/>
      <c r="T1094" s="1"/>
      <c r="U1094" s="1"/>
      <c r="V1094" s="1"/>
      <c r="W1094" s="1"/>
      <c r="X1094" s="1"/>
      <c r="Y1094" s="1"/>
      <c r="Z1094" s="1"/>
    </row>
    <row r="1095" spans="1:26" ht="15" customHeight="1">
      <c r="A1095" s="395"/>
      <c r="B1095" s="399"/>
      <c r="C1095" s="929"/>
      <c r="D1095" s="936"/>
      <c r="E1095" s="936"/>
      <c r="F1095" s="936"/>
      <c r="G1095" s="936"/>
      <c r="H1095" s="936"/>
      <c r="I1095" s="936"/>
      <c r="J1095" s="936"/>
      <c r="K1095" s="936"/>
      <c r="L1095" s="936"/>
      <c r="M1095" s="936"/>
      <c r="N1095" s="938"/>
      <c r="O1095" s="426"/>
      <c r="P1095" s="1"/>
      <c r="Q1095" s="1"/>
      <c r="R1095" s="1"/>
      <c r="S1095" s="1"/>
      <c r="T1095" s="1"/>
      <c r="U1095" s="1"/>
      <c r="V1095" s="1"/>
      <c r="W1095" s="1"/>
      <c r="X1095" s="1"/>
      <c r="Y1095" s="1"/>
      <c r="Z1095" s="1"/>
    </row>
    <row r="1096" spans="1:26" ht="15" customHeight="1">
      <c r="A1096" s="395"/>
      <c r="B1096" s="399"/>
      <c r="C1096" s="1130" t="s">
        <v>17</v>
      </c>
      <c r="D1096" s="1131"/>
      <c r="E1096" s="1131"/>
      <c r="F1096" s="1000"/>
      <c r="G1096" s="1135" t="s">
        <v>1196</v>
      </c>
      <c r="H1096" s="1000"/>
      <c r="I1096" s="1139" t="s">
        <v>1197</v>
      </c>
      <c r="J1096" s="1140"/>
      <c r="K1096" s="427" t="s">
        <v>1198</v>
      </c>
      <c r="L1096" s="1135" t="s">
        <v>1199</v>
      </c>
      <c r="M1096" s="1000"/>
      <c r="N1096" s="428" t="s">
        <v>1200</v>
      </c>
      <c r="O1096" s="419"/>
      <c r="P1096" s="1"/>
      <c r="Q1096" s="1"/>
      <c r="R1096" s="1"/>
      <c r="S1096" s="1"/>
      <c r="T1096" s="1"/>
      <c r="U1096" s="1"/>
      <c r="V1096" s="1"/>
      <c r="W1096" s="1"/>
      <c r="X1096" s="1"/>
      <c r="Y1096" s="1"/>
      <c r="Z1096" s="1"/>
    </row>
    <row r="1097" spans="1:26" ht="15" customHeight="1">
      <c r="A1097" s="395"/>
      <c r="B1097" s="399"/>
      <c r="C1097" s="1128" t="s">
        <v>1201</v>
      </c>
      <c r="D1097" s="940"/>
      <c r="E1097" s="940"/>
      <c r="F1097" s="941"/>
      <c r="G1097" s="1142"/>
      <c r="H1097" s="941"/>
      <c r="I1097" s="1142"/>
      <c r="J1097" s="941"/>
      <c r="K1097" s="429"/>
      <c r="L1097" s="1143">
        <v>0.1</v>
      </c>
      <c r="M1097" s="941"/>
      <c r="N1097" s="430">
        <f>+L1097*N1128</f>
        <v>5639.4250000000002</v>
      </c>
      <c r="O1097" s="431"/>
      <c r="P1097" s="1"/>
      <c r="Q1097" s="1"/>
      <c r="R1097" s="1"/>
      <c r="S1097" s="1"/>
      <c r="T1097" s="1"/>
      <c r="U1097" s="1"/>
      <c r="V1097" s="1"/>
      <c r="W1097" s="1"/>
      <c r="X1097" s="1"/>
      <c r="Y1097" s="1"/>
      <c r="Z1097" s="1"/>
    </row>
    <row r="1098" spans="1:26" ht="15" customHeight="1">
      <c r="A1098" s="395" t="str">
        <f t="array" ref="A1098">IF(C1098&lt;&gt;0,INDEX(CodEquipos,MATCH(C1098,Equipos,0),),)</f>
        <v>EQ-01</v>
      </c>
      <c r="B1098" s="399"/>
      <c r="C1098" s="1128" t="s">
        <v>271</v>
      </c>
      <c r="D1098" s="940"/>
      <c r="E1098" s="940"/>
      <c r="F1098" s="941"/>
      <c r="G1098" s="1142"/>
      <c r="H1098" s="941"/>
      <c r="I1098" s="1142"/>
      <c r="J1098" s="941"/>
      <c r="K1098" s="432">
        <f>IF($A1098&gt;0,(VLOOKUP($A1098,TablaEquipos,7,FALSE)),"")</f>
        <v>13833.75</v>
      </c>
      <c r="L1098" s="1141">
        <f>+L1123/8</f>
        <v>1</v>
      </c>
      <c r="M1098" s="941"/>
      <c r="N1098" s="430">
        <f t="shared" ref="N1098:N1100" si="60">IF(L1098&gt;0,K1098/L1098,"")</f>
        <v>13833.75</v>
      </c>
      <c r="O1098" s="431"/>
      <c r="P1098" s="1"/>
      <c r="Q1098" s="1"/>
      <c r="R1098" s="1"/>
      <c r="S1098" s="1"/>
      <c r="T1098" s="1"/>
      <c r="U1098" s="1"/>
      <c r="V1098" s="1"/>
      <c r="W1098" s="1"/>
      <c r="X1098" s="1"/>
      <c r="Y1098" s="1"/>
      <c r="Z1098" s="1"/>
    </row>
    <row r="1099" spans="1:26" ht="15" customHeight="1">
      <c r="A1099" s="395">
        <f t="array" ref="A1099">IF(C1099&lt;&gt;0,INDEX(CodEquipos,MATCH(C1099,Equipos,0),),)</f>
        <v>0</v>
      </c>
      <c r="B1099" s="399"/>
      <c r="C1099" s="1128"/>
      <c r="D1099" s="940"/>
      <c r="E1099" s="940"/>
      <c r="F1099" s="941"/>
      <c r="G1099" s="1142"/>
      <c r="H1099" s="941"/>
      <c r="I1099" s="1142"/>
      <c r="J1099" s="941"/>
      <c r="K1099" s="432" t="str">
        <f>IF($A1099&gt;0,(VLOOKUP($A1099,TablaEquipos,7,FALSE)),"")</f>
        <v/>
      </c>
      <c r="L1099" s="1141"/>
      <c r="M1099" s="941"/>
      <c r="N1099" s="430" t="str">
        <f t="shared" si="60"/>
        <v/>
      </c>
      <c r="O1099" s="431"/>
      <c r="P1099" s="1"/>
      <c r="Q1099" s="1"/>
      <c r="R1099" s="1"/>
      <c r="S1099" s="1"/>
      <c r="T1099" s="1"/>
      <c r="U1099" s="1"/>
      <c r="V1099" s="1"/>
      <c r="W1099" s="1"/>
      <c r="X1099" s="1"/>
      <c r="Y1099" s="1"/>
      <c r="Z1099" s="1"/>
    </row>
    <row r="1100" spans="1:26" ht="15" customHeight="1">
      <c r="A1100" s="395">
        <f t="array" ref="A1100">IF(C1100&lt;&gt;0,INDEX(CodEquipos,MATCH(C1100,Equipos,0),),)</f>
        <v>0</v>
      </c>
      <c r="B1100" s="399"/>
      <c r="C1100" s="1128"/>
      <c r="D1100" s="940"/>
      <c r="E1100" s="940"/>
      <c r="F1100" s="941"/>
      <c r="G1100" s="1144"/>
      <c r="H1100" s="1145"/>
      <c r="I1100" s="1142"/>
      <c r="J1100" s="941"/>
      <c r="K1100" s="432" t="str">
        <f>IF($A1100&gt;0,(VLOOKUP($A1100,TablaEquipos,7,FALSE)),"")</f>
        <v/>
      </c>
      <c r="L1100" s="1141"/>
      <c r="M1100" s="941"/>
      <c r="N1100" s="430" t="str">
        <f t="shared" si="60"/>
        <v/>
      </c>
      <c r="O1100" s="431"/>
      <c r="P1100" s="1"/>
      <c r="Q1100" s="1"/>
      <c r="R1100" s="1"/>
      <c r="S1100" s="1"/>
      <c r="T1100" s="1"/>
      <c r="U1100" s="1"/>
      <c r="V1100" s="1"/>
      <c r="W1100" s="1"/>
      <c r="X1100" s="1"/>
      <c r="Y1100" s="1"/>
      <c r="Z1100" s="1"/>
    </row>
    <row r="1101" spans="1:26" ht="15" customHeight="1">
      <c r="A1101" s="395"/>
      <c r="B1101" s="399"/>
      <c r="C1101" s="1127" t="s">
        <v>1202</v>
      </c>
      <c r="D1101" s="965"/>
      <c r="E1101" s="965"/>
      <c r="F1101" s="965"/>
      <c r="G1101" s="965"/>
      <c r="H1101" s="965"/>
      <c r="I1101" s="965"/>
      <c r="J1101" s="965"/>
      <c r="K1101" s="965"/>
      <c r="L1101" s="965"/>
      <c r="M1101" s="966"/>
      <c r="N1101" s="433">
        <f>+SUM(N1097:N1100)</f>
        <v>19473.174999999999</v>
      </c>
      <c r="O1101" s="431"/>
      <c r="P1101" s="1"/>
      <c r="Q1101" s="1"/>
      <c r="R1101" s="1"/>
      <c r="S1101" s="1"/>
      <c r="T1101" s="1"/>
      <c r="U1101" s="1"/>
      <c r="V1101" s="1"/>
      <c r="W1101" s="1"/>
      <c r="X1101" s="1"/>
      <c r="Y1101" s="1"/>
      <c r="Z1101" s="1"/>
    </row>
    <row r="1102" spans="1:26" ht="15" customHeight="1">
      <c r="A1102" s="395"/>
      <c r="B1102" s="399"/>
      <c r="C1102" s="1129" t="s">
        <v>1203</v>
      </c>
      <c r="D1102" s="926"/>
      <c r="E1102" s="926"/>
      <c r="F1102" s="926"/>
      <c r="G1102" s="926"/>
      <c r="H1102" s="926"/>
      <c r="I1102" s="926"/>
      <c r="J1102" s="926"/>
      <c r="K1102" s="926"/>
      <c r="L1102" s="926"/>
      <c r="M1102" s="926"/>
      <c r="N1102" s="927"/>
      <c r="O1102" s="426"/>
      <c r="P1102" s="1"/>
      <c r="Q1102" s="1"/>
      <c r="R1102" s="1"/>
      <c r="S1102" s="1"/>
      <c r="T1102" s="1"/>
      <c r="U1102" s="1"/>
      <c r="V1102" s="1"/>
      <c r="W1102" s="1"/>
      <c r="X1102" s="1"/>
      <c r="Y1102" s="1"/>
      <c r="Z1102" s="1"/>
    </row>
    <row r="1103" spans="1:26" ht="15" customHeight="1">
      <c r="A1103" s="395"/>
      <c r="B1103" s="399"/>
      <c r="C1103" s="920"/>
      <c r="D1103" s="922"/>
      <c r="E1103" s="922"/>
      <c r="F1103" s="922"/>
      <c r="G1103" s="922"/>
      <c r="H1103" s="922"/>
      <c r="I1103" s="922"/>
      <c r="J1103" s="922"/>
      <c r="K1103" s="922"/>
      <c r="L1103" s="922"/>
      <c r="M1103" s="922"/>
      <c r="N1103" s="924"/>
      <c r="O1103" s="426"/>
      <c r="P1103" s="1"/>
      <c r="Q1103" s="1"/>
      <c r="R1103" s="1"/>
      <c r="S1103" s="1"/>
      <c r="T1103" s="1"/>
      <c r="U1103" s="1"/>
      <c r="V1103" s="1"/>
      <c r="W1103" s="1"/>
      <c r="X1103" s="1"/>
      <c r="Y1103" s="1"/>
      <c r="Z1103" s="1"/>
    </row>
    <row r="1104" spans="1:26" ht="15" customHeight="1">
      <c r="A1104" s="395"/>
      <c r="B1104" s="399"/>
      <c r="C1104" s="929"/>
      <c r="D1104" s="936"/>
      <c r="E1104" s="936"/>
      <c r="F1104" s="936"/>
      <c r="G1104" s="936"/>
      <c r="H1104" s="936"/>
      <c r="I1104" s="936"/>
      <c r="J1104" s="936"/>
      <c r="K1104" s="936"/>
      <c r="L1104" s="936"/>
      <c r="M1104" s="936"/>
      <c r="N1104" s="938"/>
      <c r="O1104" s="426"/>
      <c r="P1104" s="1"/>
      <c r="Q1104" s="1"/>
      <c r="R1104" s="1"/>
      <c r="S1104" s="1"/>
      <c r="T1104" s="1"/>
      <c r="U1104" s="1"/>
      <c r="V1104" s="1"/>
      <c r="W1104" s="1"/>
      <c r="X1104" s="1"/>
      <c r="Y1104" s="1"/>
      <c r="Z1104" s="1"/>
    </row>
    <row r="1105" spans="1:26" ht="15" customHeight="1">
      <c r="A1105" s="395"/>
      <c r="B1105" s="399"/>
      <c r="C1105" s="1130" t="s">
        <v>17</v>
      </c>
      <c r="D1105" s="1131"/>
      <c r="E1105" s="1131"/>
      <c r="F1105" s="1131"/>
      <c r="G1105" s="1131"/>
      <c r="H1105" s="1131"/>
      <c r="I1105" s="1000"/>
      <c r="J1105" s="434" t="s">
        <v>1192</v>
      </c>
      <c r="K1105" s="427" t="s">
        <v>950</v>
      </c>
      <c r="L1105" s="1135" t="s">
        <v>1204</v>
      </c>
      <c r="M1105" s="1000"/>
      <c r="N1105" s="428" t="s">
        <v>1200</v>
      </c>
      <c r="O1105" s="419"/>
      <c r="P1105" s="1"/>
      <c r="Q1105" s="1"/>
      <c r="R1105" s="1"/>
      <c r="S1105" s="1"/>
      <c r="T1105" s="1"/>
      <c r="U1105" s="1"/>
      <c r="V1105" s="1"/>
      <c r="W1105" s="1"/>
      <c r="X1105" s="1"/>
      <c r="Y1105" s="1"/>
      <c r="Z1105" s="1"/>
    </row>
    <row r="1106" spans="1:26" ht="15" customHeight="1">
      <c r="A1106" s="395" t="str">
        <f t="array" ref="A1106">IF(C1106&lt;&gt;0,INDEX(CodMat,MATCH(C1106,Materiales,0),),)</f>
        <v>MAT_C-01</v>
      </c>
      <c r="B1106" s="399"/>
      <c r="C1106" s="1128" t="s">
        <v>1205</v>
      </c>
      <c r="D1106" s="940"/>
      <c r="E1106" s="940"/>
      <c r="F1106" s="940"/>
      <c r="G1106" s="940"/>
      <c r="H1106" s="940"/>
      <c r="I1106" s="941"/>
      <c r="J1106" s="435" t="str">
        <f>IF($A1106&gt;0,(VLOOKUP($A1106,TablaInsumos,5,FALSE)),"")</f>
        <v>LT</v>
      </c>
      <c r="K1106" s="436">
        <v>230</v>
      </c>
      <c r="L1106" s="1134">
        <f>IF($A1106&gt;0,(VLOOKUP($A1106,TablaInsumos,7,FALSE)),"")</f>
        <v>46</v>
      </c>
      <c r="M1106" s="941"/>
      <c r="N1106" s="430">
        <f t="shared" ref="N1106:N1110" si="61">IF(K1106&gt;0,L1106*K1106,"")</f>
        <v>10580</v>
      </c>
      <c r="O1106" s="431"/>
      <c r="P1106" s="1"/>
      <c r="Q1106" s="1"/>
      <c r="R1106" s="1"/>
      <c r="S1106" s="1"/>
      <c r="T1106" s="1"/>
      <c r="U1106" s="1"/>
      <c r="V1106" s="1"/>
      <c r="W1106" s="1"/>
      <c r="X1106" s="1"/>
      <c r="Y1106" s="1"/>
      <c r="Z1106" s="1"/>
    </row>
    <row r="1107" spans="1:26" ht="15" customHeight="1">
      <c r="A1107" s="395" t="str">
        <f t="array" ref="A1107">IF(C1107&lt;&gt;0,INDEX(CodMat,MATCH(C1107,Materiales,0),),)</f>
        <v>MAT_C-03</v>
      </c>
      <c r="B1107" s="399"/>
      <c r="C1107" s="1128" t="s">
        <v>1206</v>
      </c>
      <c r="D1107" s="940"/>
      <c r="E1107" s="940"/>
      <c r="F1107" s="940"/>
      <c r="G1107" s="940"/>
      <c r="H1107" s="940"/>
      <c r="I1107" s="941"/>
      <c r="J1107" s="435" t="str">
        <f>IF($A1107&gt;0,(VLOOKUP($A1107,TablaInsumos,5,FALSE)),"")</f>
        <v>M3</v>
      </c>
      <c r="K1107" s="436">
        <v>0.97</v>
      </c>
      <c r="L1107" s="1134">
        <f>IF($A1107&gt;0,(VLOOKUP($A1107,TablaInsumos,7,FALSE)),"")</f>
        <v>86414</v>
      </c>
      <c r="M1107" s="941"/>
      <c r="N1107" s="430">
        <f t="shared" si="61"/>
        <v>83821.58</v>
      </c>
      <c r="O1107" s="431"/>
      <c r="P1107" s="1"/>
      <c r="Q1107" s="1"/>
      <c r="R1107" s="1"/>
      <c r="S1107" s="1"/>
      <c r="T1107" s="1"/>
      <c r="U1107" s="1"/>
      <c r="V1107" s="1"/>
      <c r="W1107" s="1"/>
      <c r="X1107" s="1"/>
      <c r="Y1107" s="1"/>
      <c r="Z1107" s="1"/>
    </row>
    <row r="1108" spans="1:26" ht="15" customHeight="1">
      <c r="A1108" s="395" t="str">
        <f t="array" ref="A1108">IF(C1108&lt;&gt;0,INDEX(CodMat,MATCH(C1108,Materiales,0),),)</f>
        <v>MAT_C-12</v>
      </c>
      <c r="B1108" s="399"/>
      <c r="C1108" s="1128" t="s">
        <v>1207</v>
      </c>
      <c r="D1108" s="940"/>
      <c r="E1108" s="940"/>
      <c r="F1108" s="940"/>
      <c r="G1108" s="940"/>
      <c r="H1108" s="940"/>
      <c r="I1108" s="941"/>
      <c r="J1108" s="435" t="str">
        <f>IF($A1108&gt;0,(VLOOKUP($A1108,TablaInsumos,5,FALSE)),"")</f>
        <v>KG</v>
      </c>
      <c r="K1108" s="436">
        <v>525</v>
      </c>
      <c r="L1108" s="1134">
        <f>IF($A1108&gt;0,(VLOOKUP($A1108,TablaInsumos,7,FALSE)),"")</f>
        <v>1164</v>
      </c>
      <c r="M1108" s="941"/>
      <c r="N1108" s="430">
        <f t="shared" si="61"/>
        <v>611100</v>
      </c>
      <c r="O1108" s="431"/>
      <c r="P1108" s="1"/>
      <c r="Q1108" s="1"/>
      <c r="R1108" s="1"/>
      <c r="S1108" s="1"/>
      <c r="T1108" s="1"/>
      <c r="U1108" s="1"/>
      <c r="V1108" s="1"/>
      <c r="W1108" s="1"/>
      <c r="X1108" s="1"/>
      <c r="Y1108" s="1"/>
      <c r="Z1108" s="1"/>
    </row>
    <row r="1109" spans="1:26" ht="15" customHeight="1">
      <c r="A1109" s="395" t="str">
        <f t="array" ref="A1109">IF(C1109&lt;&gt;0,INDEX(CodMat,MATCH(C1109,Materiales,0),),)</f>
        <v>MAT_EPYE-01</v>
      </c>
      <c r="B1109" s="399"/>
      <c r="C1109" s="1128" t="s">
        <v>1252</v>
      </c>
      <c r="D1109" s="940"/>
      <c r="E1109" s="940"/>
      <c r="F1109" s="940"/>
      <c r="G1109" s="940"/>
      <c r="H1109" s="940"/>
      <c r="I1109" s="941"/>
      <c r="J1109" s="435" t="str">
        <f>IF($A1109&gt;0,(VLOOKUP($A1109,TablaInsumos,5,FALSE)),"")</f>
        <v>KG</v>
      </c>
      <c r="K1109" s="436">
        <f>K1108*2%</f>
        <v>10.5</v>
      </c>
      <c r="L1109" s="1134">
        <f>IF($A1109&gt;0,(VLOOKUP($A1109,TablaInsumos,7,FALSE)),"")</f>
        <v>23088</v>
      </c>
      <c r="M1109" s="941"/>
      <c r="N1109" s="430">
        <f t="shared" si="61"/>
        <v>242424</v>
      </c>
      <c r="O1109" s="431"/>
      <c r="P1109" s="1"/>
      <c r="Q1109" s="1"/>
      <c r="R1109" s="1"/>
      <c r="S1109" s="1"/>
      <c r="T1109" s="1"/>
      <c r="U1109" s="1"/>
      <c r="V1109" s="1"/>
      <c r="W1109" s="1"/>
      <c r="X1109" s="1"/>
      <c r="Y1109" s="1"/>
      <c r="Z1109" s="1"/>
    </row>
    <row r="1110" spans="1:26" ht="15" customHeight="1">
      <c r="A1110" s="395"/>
      <c r="B1110" s="399"/>
      <c r="C1110" s="1128" t="str">
        <f>IF($A1110&gt;0,(VLOOKUP($A1110,TablaInsumos,3,FALSE)),"")</f>
        <v/>
      </c>
      <c r="D1110" s="940"/>
      <c r="E1110" s="940"/>
      <c r="F1110" s="940"/>
      <c r="G1110" s="940"/>
      <c r="H1110" s="940"/>
      <c r="I1110" s="941"/>
      <c r="J1110" s="435" t="str">
        <f>IF($A1110&gt;0,(VLOOKUP($A1110,TablaInsumos,5,FALSE)),"")</f>
        <v/>
      </c>
      <c r="K1110" s="436"/>
      <c r="L1110" s="1134" t="str">
        <f>IF($A1110&gt;0,(VLOOKUP($A1110,TablaInsumos,7,FALSE)),"")</f>
        <v/>
      </c>
      <c r="M1110" s="941"/>
      <c r="N1110" s="430" t="str">
        <f t="shared" si="61"/>
        <v/>
      </c>
      <c r="O1110" s="431"/>
      <c r="P1110" s="1"/>
      <c r="Q1110" s="1"/>
      <c r="R1110" s="1"/>
      <c r="S1110" s="1"/>
      <c r="T1110" s="1"/>
      <c r="U1110" s="1"/>
      <c r="V1110" s="1"/>
      <c r="W1110" s="1"/>
      <c r="X1110" s="1"/>
      <c r="Y1110" s="1"/>
      <c r="Z1110" s="1"/>
    </row>
    <row r="1111" spans="1:26" ht="15" customHeight="1">
      <c r="A1111" s="395"/>
      <c r="B1111" s="399"/>
      <c r="C1111" s="1127" t="s">
        <v>1202</v>
      </c>
      <c r="D1111" s="965"/>
      <c r="E1111" s="965"/>
      <c r="F1111" s="965"/>
      <c r="G1111" s="965"/>
      <c r="H1111" s="965"/>
      <c r="I1111" s="965"/>
      <c r="J1111" s="965"/>
      <c r="K1111" s="965"/>
      <c r="L1111" s="965"/>
      <c r="M1111" s="966"/>
      <c r="N1111" s="433">
        <f>+SUM(N1106:N1110)</f>
        <v>947925.58</v>
      </c>
      <c r="O1111" s="431"/>
      <c r="P1111" s="1"/>
      <c r="Q1111" s="1"/>
      <c r="R1111" s="1"/>
      <c r="S1111" s="1"/>
      <c r="T1111" s="1"/>
      <c r="U1111" s="1"/>
      <c r="V1111" s="1"/>
      <c r="W1111" s="1"/>
      <c r="X1111" s="1"/>
      <c r="Y1111" s="1"/>
      <c r="Z1111" s="1"/>
    </row>
    <row r="1112" spans="1:26" ht="15" customHeight="1">
      <c r="A1112" s="395"/>
      <c r="B1112" s="399"/>
      <c r="C1112" s="1129" t="s">
        <v>1208</v>
      </c>
      <c r="D1112" s="926"/>
      <c r="E1112" s="926"/>
      <c r="F1112" s="926"/>
      <c r="G1112" s="926"/>
      <c r="H1112" s="926"/>
      <c r="I1112" s="926"/>
      <c r="J1112" s="926"/>
      <c r="K1112" s="926"/>
      <c r="L1112" s="926"/>
      <c r="M1112" s="926"/>
      <c r="N1112" s="927"/>
      <c r="O1112" s="426"/>
      <c r="P1112" s="1"/>
      <c r="Q1112" s="1"/>
      <c r="R1112" s="1"/>
      <c r="S1112" s="1"/>
      <c r="T1112" s="1"/>
      <c r="U1112" s="1"/>
      <c r="V1112" s="1"/>
      <c r="W1112" s="1"/>
      <c r="X1112" s="1"/>
      <c r="Y1112" s="1"/>
      <c r="Z1112" s="1"/>
    </row>
    <row r="1113" spans="1:26" ht="15" customHeight="1">
      <c r="A1113" s="395"/>
      <c r="B1113" s="399"/>
      <c r="C1113" s="920"/>
      <c r="D1113" s="922"/>
      <c r="E1113" s="922"/>
      <c r="F1113" s="922"/>
      <c r="G1113" s="922"/>
      <c r="H1113" s="922"/>
      <c r="I1113" s="922"/>
      <c r="J1113" s="922"/>
      <c r="K1113" s="922"/>
      <c r="L1113" s="922"/>
      <c r="M1113" s="922"/>
      <c r="N1113" s="924"/>
      <c r="O1113" s="426"/>
      <c r="P1113" s="1"/>
      <c r="Q1113" s="1"/>
      <c r="R1113" s="1"/>
      <c r="S1113" s="1"/>
      <c r="T1113" s="1"/>
      <c r="U1113" s="1"/>
      <c r="V1113" s="1"/>
      <c r="W1113" s="1"/>
      <c r="X1113" s="1"/>
      <c r="Y1113" s="1"/>
      <c r="Z1113" s="1"/>
    </row>
    <row r="1114" spans="1:26" ht="15" customHeight="1">
      <c r="A1114" s="395"/>
      <c r="B1114" s="399"/>
      <c r="C1114" s="929"/>
      <c r="D1114" s="936"/>
      <c r="E1114" s="936"/>
      <c r="F1114" s="936"/>
      <c r="G1114" s="936"/>
      <c r="H1114" s="936"/>
      <c r="I1114" s="936"/>
      <c r="J1114" s="936"/>
      <c r="K1114" s="936"/>
      <c r="L1114" s="936"/>
      <c r="M1114" s="936"/>
      <c r="N1114" s="938"/>
      <c r="O1114" s="426"/>
      <c r="P1114" s="1"/>
      <c r="Q1114" s="1"/>
      <c r="R1114" s="1"/>
      <c r="S1114" s="1"/>
      <c r="T1114" s="1"/>
      <c r="U1114" s="1"/>
      <c r="V1114" s="1"/>
      <c r="W1114" s="1"/>
      <c r="X1114" s="1"/>
      <c r="Y1114" s="1"/>
      <c r="Z1114" s="1"/>
    </row>
    <row r="1115" spans="1:26" ht="15" customHeight="1">
      <c r="A1115" s="395"/>
      <c r="B1115" s="399"/>
      <c r="C1115" s="1130" t="s">
        <v>1209</v>
      </c>
      <c r="D1115" s="1131"/>
      <c r="E1115" s="1131"/>
      <c r="F1115" s="1131"/>
      <c r="G1115" s="1131"/>
      <c r="H1115" s="1132"/>
      <c r="I1115" s="427" t="s">
        <v>1210</v>
      </c>
      <c r="J1115" s="438" t="s">
        <v>1211</v>
      </c>
      <c r="K1115" s="439" t="s">
        <v>1264</v>
      </c>
      <c r="L1115" s="1135" t="s">
        <v>1213</v>
      </c>
      <c r="M1115" s="1000"/>
      <c r="N1115" s="428" t="s">
        <v>1200</v>
      </c>
      <c r="O1115" s="419"/>
      <c r="P1115" s="1"/>
      <c r="Q1115" s="1"/>
      <c r="R1115" s="1"/>
      <c r="S1115" s="1"/>
      <c r="T1115" s="1"/>
      <c r="U1115" s="1"/>
      <c r="V1115" s="1"/>
      <c r="W1115" s="1"/>
      <c r="X1115" s="1"/>
      <c r="Y1115" s="1"/>
      <c r="Z1115" s="1"/>
    </row>
    <row r="1116" spans="1:26" ht="15" customHeight="1">
      <c r="A1116" s="395" t="str">
        <f t="array" ref="A1116">IF(C1116&lt;&gt;0,INDEX(CodTransporte,MATCH(C1116,Transporte,0),),)</f>
        <v>T-03</v>
      </c>
      <c r="B1116" s="399"/>
      <c r="C1116" s="1128" t="s">
        <v>859</v>
      </c>
      <c r="D1116" s="940"/>
      <c r="E1116" s="940"/>
      <c r="F1116" s="940"/>
      <c r="G1116" s="940"/>
      <c r="H1116" s="940"/>
      <c r="I1116" s="440">
        <f>+K1107</f>
        <v>0.97</v>
      </c>
      <c r="J1116" s="441">
        <f>IF($A1116&gt;0,(VLOOKUP($A1116,TablaTransporte,6,FALSE)),"")</f>
        <v>50.849999999999994</v>
      </c>
      <c r="K1116" s="442" t="str">
        <f>IF($A1116&gt;0,(VLOOKUP($A1116,TablaTransporte,5,FALSE)),"")</f>
        <v>M3-KM</v>
      </c>
      <c r="L1116" s="1134">
        <f>IF($A1116&gt;0,(VLOOKUP($A1116,TablaTransporte,7,FALSE)),"")</f>
        <v>2332.3500491642089</v>
      </c>
      <c r="M1116" s="941"/>
      <c r="N1116" s="430">
        <f t="shared" ref="N1116:N1117" si="62">IF(I1116&gt;0,J1116*L1116*I1116,"")</f>
        <v>115042.00000000001</v>
      </c>
      <c r="O1116" s="431"/>
      <c r="P1116" s="1"/>
      <c r="Q1116" s="1"/>
      <c r="R1116" s="1"/>
      <c r="S1116" s="1"/>
      <c r="T1116" s="1"/>
      <c r="U1116" s="1"/>
      <c r="V1116" s="1"/>
      <c r="W1116" s="1"/>
      <c r="X1116" s="1"/>
      <c r="Y1116" s="1"/>
      <c r="Z1116" s="1"/>
    </row>
    <row r="1117" spans="1:26" ht="15" customHeight="1">
      <c r="A1117" s="395" t="str">
        <f t="array" ref="A1117">IF(C1117&lt;&gt;0,INDEX(CodTransporte,MATCH(C1117,Transporte,0),),)</f>
        <v>T-02</v>
      </c>
      <c r="B1117" s="399"/>
      <c r="C1117" s="1128" t="s">
        <v>857</v>
      </c>
      <c r="D1117" s="940"/>
      <c r="E1117" s="940"/>
      <c r="F1117" s="940"/>
      <c r="G1117" s="940"/>
      <c r="H1117" s="940"/>
      <c r="I1117" s="440">
        <f>+(K1108/50)*0.035</f>
        <v>0.36750000000000005</v>
      </c>
      <c r="J1117" s="441">
        <f>IF($A1117&gt;0,(VLOOKUP($A1117,TablaTransporte,6,FALSE)),"")</f>
        <v>50.849999999999994</v>
      </c>
      <c r="K1117" s="442" t="str">
        <f>IF($A1117&gt;0,(VLOOKUP($A1117,TablaTransporte,5,FALSE)),"")</f>
        <v>M3-KM</v>
      </c>
      <c r="L1117" s="1134">
        <f>IF($A1117&gt;0,(VLOOKUP($A1117,TablaTransporte,7,FALSE)),"")</f>
        <v>2332.3500491642089</v>
      </c>
      <c r="M1117" s="941"/>
      <c r="N1117" s="430">
        <f t="shared" si="62"/>
        <v>43585.500000000015</v>
      </c>
      <c r="O1117" s="431"/>
      <c r="P1117" s="1"/>
      <c r="Q1117" s="1"/>
      <c r="R1117" s="1"/>
      <c r="S1117" s="1"/>
      <c r="T1117" s="1"/>
      <c r="U1117" s="1"/>
      <c r="V1117" s="1"/>
      <c r="W1117" s="1"/>
      <c r="X1117" s="1"/>
      <c r="Y1117" s="1"/>
      <c r="Z1117" s="1"/>
    </row>
    <row r="1118" spans="1:26" ht="15" customHeight="1">
      <c r="A1118" s="395"/>
      <c r="B1118" s="399"/>
      <c r="C1118" s="1127" t="s">
        <v>1202</v>
      </c>
      <c r="D1118" s="965"/>
      <c r="E1118" s="965"/>
      <c r="F1118" s="965"/>
      <c r="G1118" s="965"/>
      <c r="H1118" s="965"/>
      <c r="I1118" s="965"/>
      <c r="J1118" s="965"/>
      <c r="K1118" s="965"/>
      <c r="L1118" s="965"/>
      <c r="M1118" s="966"/>
      <c r="N1118" s="433">
        <f>+SUM(N1116:N1117)</f>
        <v>158627.50000000003</v>
      </c>
      <c r="O1118" s="431"/>
      <c r="P1118" s="1"/>
      <c r="Q1118" s="1"/>
      <c r="R1118" s="1"/>
      <c r="S1118" s="1"/>
      <c r="T1118" s="1"/>
      <c r="U1118" s="1"/>
      <c r="V1118" s="1"/>
      <c r="W1118" s="1"/>
      <c r="X1118" s="1"/>
      <c r="Y1118" s="1"/>
      <c r="Z1118" s="1"/>
    </row>
    <row r="1119" spans="1:26" ht="15" customHeight="1">
      <c r="A1119" s="395"/>
      <c r="B1119" s="399"/>
      <c r="C1119" s="1129" t="s">
        <v>1214</v>
      </c>
      <c r="D1119" s="926"/>
      <c r="E1119" s="926"/>
      <c r="F1119" s="926"/>
      <c r="G1119" s="926"/>
      <c r="H1119" s="926"/>
      <c r="I1119" s="926"/>
      <c r="J1119" s="926"/>
      <c r="K1119" s="926"/>
      <c r="L1119" s="926"/>
      <c r="M1119" s="926"/>
      <c r="N1119" s="927"/>
      <c r="O1119" s="426"/>
      <c r="P1119" s="1"/>
      <c r="Q1119" s="1"/>
      <c r="R1119" s="1"/>
      <c r="S1119" s="1"/>
      <c r="T1119" s="1"/>
      <c r="U1119" s="1"/>
      <c r="V1119" s="1"/>
      <c r="W1119" s="1"/>
      <c r="X1119" s="1"/>
      <c r="Y1119" s="1"/>
      <c r="Z1119" s="1"/>
    </row>
    <row r="1120" spans="1:26" ht="15" customHeight="1">
      <c r="A1120" s="395"/>
      <c r="B1120" s="399"/>
      <c r="C1120" s="920"/>
      <c r="D1120" s="922"/>
      <c r="E1120" s="922"/>
      <c r="F1120" s="922"/>
      <c r="G1120" s="922"/>
      <c r="H1120" s="922"/>
      <c r="I1120" s="922"/>
      <c r="J1120" s="922"/>
      <c r="K1120" s="922"/>
      <c r="L1120" s="922"/>
      <c r="M1120" s="922"/>
      <c r="N1120" s="924"/>
      <c r="O1120" s="426"/>
      <c r="P1120" s="1"/>
      <c r="Q1120" s="1"/>
      <c r="R1120" s="1"/>
      <c r="S1120" s="1"/>
      <c r="T1120" s="1"/>
      <c r="U1120" s="1"/>
      <c r="V1120" s="1"/>
      <c r="W1120" s="1"/>
      <c r="X1120" s="1"/>
      <c r="Y1120" s="1"/>
      <c r="Z1120" s="1"/>
    </row>
    <row r="1121" spans="1:26" ht="15" customHeight="1">
      <c r="A1121" s="395"/>
      <c r="B1121" s="399"/>
      <c r="C1121" s="929"/>
      <c r="D1121" s="936"/>
      <c r="E1121" s="936"/>
      <c r="F1121" s="936"/>
      <c r="G1121" s="936"/>
      <c r="H1121" s="936"/>
      <c r="I1121" s="936"/>
      <c r="J1121" s="936"/>
      <c r="K1121" s="936"/>
      <c r="L1121" s="936"/>
      <c r="M1121" s="936"/>
      <c r="N1121" s="938"/>
      <c r="O1121" s="426"/>
      <c r="P1121" s="1"/>
      <c r="Q1121" s="1"/>
      <c r="R1121" s="1"/>
      <c r="S1121" s="1"/>
      <c r="T1121" s="1"/>
      <c r="U1121" s="1"/>
      <c r="V1121" s="1"/>
      <c r="W1121" s="1"/>
      <c r="X1121" s="1"/>
      <c r="Y1121" s="1"/>
      <c r="Z1121" s="1"/>
    </row>
    <row r="1122" spans="1:26" ht="15" customHeight="1">
      <c r="A1122" s="395"/>
      <c r="B1122" s="399"/>
      <c r="C1122" s="1130" t="s">
        <v>1215</v>
      </c>
      <c r="D1122" s="1131"/>
      <c r="E1122" s="1131"/>
      <c r="F1122" s="1131"/>
      <c r="G1122" s="1131"/>
      <c r="H1122" s="1132"/>
      <c r="I1122" s="427" t="s">
        <v>1216</v>
      </c>
      <c r="J1122" s="443" t="s">
        <v>1217</v>
      </c>
      <c r="K1122" s="444" t="s">
        <v>1218</v>
      </c>
      <c r="L1122" s="1133" t="s">
        <v>1199</v>
      </c>
      <c r="M1122" s="1000"/>
      <c r="N1122" s="445" t="s">
        <v>1200</v>
      </c>
      <c r="O1122" s="446"/>
      <c r="P1122" s="1"/>
      <c r="Q1122" s="1"/>
      <c r="R1122" s="1"/>
      <c r="S1122" s="1"/>
      <c r="T1122" s="1"/>
      <c r="U1122" s="1"/>
      <c r="V1122" s="1"/>
      <c r="W1122" s="1"/>
      <c r="X1122" s="1"/>
      <c r="Y1122" s="1"/>
      <c r="Z1122" s="1"/>
    </row>
    <row r="1123" spans="1:26" ht="15" customHeight="1">
      <c r="A1123" s="395" t="str">
        <f t="array" ref="A1123">IF(C1123&lt;&gt;0,INDEX(CodMO,MATCH(C1123,MO,0),),)</f>
        <v>M.O-05</v>
      </c>
      <c r="B1123" s="399"/>
      <c r="C1123" s="1128" t="s">
        <v>139</v>
      </c>
      <c r="D1123" s="940"/>
      <c r="E1123" s="940"/>
      <c r="F1123" s="940"/>
      <c r="G1123" s="940"/>
      <c r="H1123" s="940"/>
      <c r="I1123" s="447">
        <f>IF($A1123&gt;0,(VLOOKUP($A1123,TablaMO,8,FALSE)),"")</f>
        <v>125030.16666666667</v>
      </c>
      <c r="J1123" s="448">
        <f>IF($A1123&gt;0,(VLOOKUP($A1123,TablaMO,10,FALSE)),"")</f>
        <v>0.67071666666666663</v>
      </c>
      <c r="K1123" s="447">
        <f>IF($A1123&gt;0,(VLOOKUP($A1123,TablaMO,11,FALSE)),"")</f>
        <v>208890</v>
      </c>
      <c r="L1123" s="1146">
        <v>8</v>
      </c>
      <c r="M1123" s="941"/>
      <c r="N1123" s="430">
        <f t="shared" ref="N1123:N1127" si="63">IF(L1123&gt;0,K1123/L1123,"")</f>
        <v>26111.25</v>
      </c>
      <c r="O1123" s="449"/>
      <c r="P1123" s="1"/>
      <c r="Q1123" s="1"/>
      <c r="R1123" s="1"/>
      <c r="S1123" s="1"/>
      <c r="T1123" s="1"/>
      <c r="U1123" s="1"/>
      <c r="V1123" s="1"/>
      <c r="W1123" s="1"/>
      <c r="X1123" s="1"/>
      <c r="Y1123" s="1"/>
      <c r="Z1123" s="1"/>
    </row>
    <row r="1124" spans="1:26" ht="15" customHeight="1">
      <c r="A1124" s="395" t="str">
        <f t="array" ref="A1124">IF(C1124&lt;&gt;0,INDEX(CodMO,MATCH(C1124,MO,0),),)</f>
        <v>M.O-01</v>
      </c>
      <c r="B1124" s="399"/>
      <c r="C1124" s="1128" t="s">
        <v>130</v>
      </c>
      <c r="D1124" s="940"/>
      <c r="E1124" s="940"/>
      <c r="F1124" s="940"/>
      <c r="G1124" s="940"/>
      <c r="H1124" s="940"/>
      <c r="I1124" s="447">
        <f>IF($A1124&gt;0,(VLOOKUP($A1124,TablaMO,8,FALSE)),"")</f>
        <v>72503.016666666677</v>
      </c>
      <c r="J1124" s="448">
        <f>IF($A1124&gt;0,(VLOOKUP($A1124,TablaMO,10,FALSE)),"")</f>
        <v>0.67071666666666663</v>
      </c>
      <c r="K1124" s="447">
        <f>IF($A1124&gt;0,(VLOOKUP($A1124,TablaMO,11,FALSE)),"")</f>
        <v>121132</v>
      </c>
      <c r="L1124" s="1146">
        <f>L1123</f>
        <v>8</v>
      </c>
      <c r="M1124" s="941"/>
      <c r="N1124" s="430">
        <f t="shared" si="63"/>
        <v>15141.5</v>
      </c>
      <c r="O1124" s="449"/>
      <c r="P1124" s="1"/>
      <c r="Q1124" s="1"/>
      <c r="R1124" s="1"/>
      <c r="S1124" s="1"/>
      <c r="T1124" s="1"/>
      <c r="U1124" s="1"/>
      <c r="V1124" s="1"/>
      <c r="W1124" s="1"/>
      <c r="X1124" s="1"/>
      <c r="Y1124" s="1"/>
      <c r="Z1124" s="1"/>
    </row>
    <row r="1125" spans="1:26" ht="15" customHeight="1">
      <c r="A1125" s="395" t="str">
        <f t="array" ref="A1125">IF(C1125&lt;&gt;0,INDEX(CodMO,MATCH(C1125,MO,0),),)</f>
        <v>M.O-02</v>
      </c>
      <c r="B1125" s="399"/>
      <c r="C1125" s="1128" t="s">
        <v>133</v>
      </c>
      <c r="D1125" s="940"/>
      <c r="E1125" s="940"/>
      <c r="F1125" s="940"/>
      <c r="G1125" s="940"/>
      <c r="H1125" s="940"/>
      <c r="I1125" s="447">
        <f>IF($A1125&gt;0,(VLOOKUP($A1125,TablaMO,8,FALSE)),"")</f>
        <v>72503.016666666677</v>
      </c>
      <c r="J1125" s="448">
        <f>IF($A1125&gt;0,(VLOOKUP($A1125,TablaMO,10,FALSE)),"")</f>
        <v>0.67071666666666663</v>
      </c>
      <c r="K1125" s="447">
        <f>IF($A1125&gt;0,(VLOOKUP($A1125,TablaMO,11,FALSE)),"")</f>
        <v>121132</v>
      </c>
      <c r="L1125" s="1146">
        <f>L1123</f>
        <v>8</v>
      </c>
      <c r="M1125" s="941"/>
      <c r="N1125" s="430">
        <f t="shared" si="63"/>
        <v>15141.5</v>
      </c>
      <c r="O1125" s="449"/>
      <c r="P1125" s="1"/>
      <c r="Q1125" s="1"/>
      <c r="R1125" s="1"/>
      <c r="S1125" s="1"/>
      <c r="T1125" s="1"/>
      <c r="U1125" s="1"/>
      <c r="V1125" s="1"/>
      <c r="W1125" s="1"/>
      <c r="X1125" s="1"/>
      <c r="Y1125" s="1"/>
      <c r="Z1125" s="1"/>
    </row>
    <row r="1126" spans="1:26" ht="15" customHeight="1">
      <c r="A1126" s="395">
        <f t="array" ref="A1126">IF(C1126&lt;&gt;0,INDEX(CodMO,MATCH(C1126,MO,0),),)</f>
        <v>0</v>
      </c>
      <c r="B1126" s="399"/>
      <c r="C1126" s="1128"/>
      <c r="D1126" s="940"/>
      <c r="E1126" s="940"/>
      <c r="F1126" s="940"/>
      <c r="G1126" s="940"/>
      <c r="H1126" s="940"/>
      <c r="I1126" s="447" t="str">
        <f>IF($A1126&gt;0,(VLOOKUP($A1126,TablaMO,8,FALSE)),"")</f>
        <v/>
      </c>
      <c r="J1126" s="448" t="str">
        <f>IF($A1126&gt;0,(VLOOKUP($A1126,TablaMO,10,FALSE)),"")</f>
        <v/>
      </c>
      <c r="K1126" s="447" t="str">
        <f>IF($A1126&gt;0,(VLOOKUP($A1126,TablaMO,11,FALSE)),"")</f>
        <v/>
      </c>
      <c r="L1126" s="1146"/>
      <c r="M1126" s="941"/>
      <c r="N1126" s="430" t="str">
        <f t="shared" si="63"/>
        <v/>
      </c>
      <c r="O1126" s="449"/>
      <c r="P1126" s="1"/>
      <c r="Q1126" s="1"/>
      <c r="R1126" s="1"/>
      <c r="S1126" s="1"/>
      <c r="T1126" s="1"/>
      <c r="U1126" s="1"/>
      <c r="V1126" s="1"/>
      <c r="W1126" s="1"/>
      <c r="X1126" s="1"/>
      <c r="Y1126" s="1"/>
      <c r="Z1126" s="1"/>
    </row>
    <row r="1127" spans="1:26" ht="15" customHeight="1">
      <c r="A1127" s="395">
        <f t="array" ref="A1127">IF(C1127&lt;&gt;0,INDEX(CodMO,MATCH(C1127,MO,0),),)</f>
        <v>0</v>
      </c>
      <c r="B1127" s="399"/>
      <c r="C1127" s="1128"/>
      <c r="D1127" s="940"/>
      <c r="E1127" s="940"/>
      <c r="F1127" s="940"/>
      <c r="G1127" s="940"/>
      <c r="H1127" s="940"/>
      <c r="I1127" s="474" t="str">
        <f>IF($A1127&gt;0,(VLOOKUP($A1127,TablaMO,8,FALSE)),"")</f>
        <v/>
      </c>
      <c r="J1127" s="475" t="str">
        <f>IF($A1127&gt;0,(VLOOKUP($A1127,TablaMO,10,FALSE)),"")</f>
        <v/>
      </c>
      <c r="K1127" s="474" t="str">
        <f>IF($A1127&gt;0,(VLOOKUP($A1127,TablaMO,11,FALSE)),"")</f>
        <v/>
      </c>
      <c r="L1127" s="1153"/>
      <c r="M1127" s="1039"/>
      <c r="N1127" s="430" t="str">
        <f t="shared" si="63"/>
        <v/>
      </c>
      <c r="O1127" s="449"/>
      <c r="P1127" s="1"/>
      <c r="Q1127" s="1"/>
      <c r="R1127" s="1"/>
      <c r="S1127" s="1"/>
      <c r="T1127" s="1"/>
      <c r="U1127" s="1"/>
      <c r="V1127" s="1"/>
      <c r="W1127" s="1"/>
      <c r="X1127" s="1"/>
      <c r="Y1127" s="1"/>
      <c r="Z1127" s="1"/>
    </row>
    <row r="1128" spans="1:26" ht="15" customHeight="1">
      <c r="A1128" s="395"/>
      <c r="B1128" s="399"/>
      <c r="C1128" s="1127" t="s">
        <v>1202</v>
      </c>
      <c r="D1128" s="965"/>
      <c r="E1128" s="965"/>
      <c r="F1128" s="965"/>
      <c r="G1128" s="965"/>
      <c r="H1128" s="965"/>
      <c r="I1128" s="965"/>
      <c r="J1128" s="965"/>
      <c r="K1128" s="965"/>
      <c r="L1128" s="965"/>
      <c r="M1128" s="966"/>
      <c r="N1128" s="476">
        <f>+SUM(N1123:N1127)</f>
        <v>56394.25</v>
      </c>
      <c r="O1128" s="431"/>
      <c r="P1128" s="1"/>
      <c r="Q1128" s="1"/>
      <c r="R1128" s="1"/>
      <c r="S1128" s="1"/>
      <c r="T1128" s="1"/>
      <c r="U1128" s="1"/>
      <c r="V1128" s="1"/>
      <c r="W1128" s="1"/>
      <c r="X1128" s="1"/>
      <c r="Y1128" s="1"/>
      <c r="Z1128" s="1"/>
    </row>
    <row r="1129" spans="1:26" ht="15" customHeight="1">
      <c r="A1129" s="395"/>
      <c r="B1129" s="399"/>
      <c r="C1129" s="418"/>
      <c r="D1129" s="39"/>
      <c r="E1129" s="39"/>
      <c r="F1129" s="39"/>
      <c r="G1129" s="39"/>
      <c r="H1129" s="39"/>
      <c r="I1129" s="39"/>
      <c r="J1129" s="39"/>
      <c r="K1129" s="39"/>
      <c r="L1129" s="39"/>
      <c r="M1129" s="39"/>
      <c r="N1129" s="40"/>
      <c r="O1129" s="402"/>
      <c r="P1129" s="1"/>
      <c r="Q1129" s="1"/>
      <c r="R1129" s="1"/>
      <c r="S1129" s="1"/>
      <c r="T1129" s="1"/>
      <c r="U1129" s="1"/>
      <c r="V1129" s="1"/>
      <c r="W1129" s="1"/>
      <c r="X1129" s="1"/>
      <c r="Y1129" s="1"/>
      <c r="Z1129" s="1"/>
    </row>
    <row r="1130" spans="1:26" ht="15" customHeight="1">
      <c r="A1130" s="395"/>
      <c r="B1130" s="399"/>
      <c r="C1130" s="1147" t="s">
        <v>1219</v>
      </c>
      <c r="D1130" s="965"/>
      <c r="E1130" s="965"/>
      <c r="F1130" s="965"/>
      <c r="G1130" s="965"/>
      <c r="H1130" s="965"/>
      <c r="I1130" s="965"/>
      <c r="J1130" s="965"/>
      <c r="K1130" s="965"/>
      <c r="L1130" s="965"/>
      <c r="M1130" s="966"/>
      <c r="N1130" s="450">
        <f>+SUM(N1128,N1118,N1111,N1101)</f>
        <v>1182420.5050000001</v>
      </c>
      <c r="O1130" s="451"/>
      <c r="P1130" s="1"/>
      <c r="Q1130" s="1"/>
      <c r="R1130" s="1"/>
      <c r="S1130" s="1"/>
      <c r="T1130" s="1"/>
      <c r="U1130" s="1"/>
      <c r="V1130" s="1"/>
      <c r="W1130" s="1"/>
      <c r="X1130" s="1"/>
      <c r="Y1130" s="1"/>
      <c r="Z1130" s="1"/>
    </row>
    <row r="1131" spans="1:26" ht="15" customHeight="1">
      <c r="A1131" s="395"/>
      <c r="B1131" s="399"/>
      <c r="C1131" s="1129" t="s">
        <v>1220</v>
      </c>
      <c r="D1131" s="926"/>
      <c r="E1131" s="926"/>
      <c r="F1131" s="926"/>
      <c r="G1131" s="926"/>
      <c r="H1131" s="926"/>
      <c r="I1131" s="926"/>
      <c r="J1131" s="926"/>
      <c r="K1131" s="926"/>
      <c r="L1131" s="926"/>
      <c r="M1131" s="926"/>
      <c r="N1131" s="927"/>
      <c r="O1131" s="426"/>
      <c r="P1131" s="1"/>
      <c r="Q1131" s="1"/>
      <c r="R1131" s="1"/>
      <c r="S1131" s="1"/>
      <c r="T1131" s="1"/>
      <c r="U1131" s="1"/>
      <c r="V1131" s="1"/>
      <c r="W1131" s="1"/>
      <c r="X1131" s="1"/>
      <c r="Y1131" s="1"/>
      <c r="Z1131" s="1"/>
    </row>
    <row r="1132" spans="1:26" ht="15" customHeight="1">
      <c r="A1132" s="395"/>
      <c r="B1132" s="399"/>
      <c r="C1132" s="920"/>
      <c r="D1132" s="922"/>
      <c r="E1132" s="922"/>
      <c r="F1132" s="922"/>
      <c r="G1132" s="922"/>
      <c r="H1132" s="922"/>
      <c r="I1132" s="922"/>
      <c r="J1132" s="922"/>
      <c r="K1132" s="922"/>
      <c r="L1132" s="922"/>
      <c r="M1132" s="922"/>
      <c r="N1132" s="924"/>
      <c r="O1132" s="426"/>
      <c r="P1132" s="1"/>
      <c r="Q1132" s="1"/>
      <c r="R1132" s="1"/>
      <c r="S1132" s="1"/>
      <c r="T1132" s="1"/>
      <c r="U1132" s="1"/>
      <c r="V1132" s="1"/>
      <c r="W1132" s="1"/>
      <c r="X1132" s="1"/>
      <c r="Y1132" s="1"/>
      <c r="Z1132" s="1"/>
    </row>
    <row r="1133" spans="1:26" ht="15" customHeight="1">
      <c r="A1133" s="395"/>
      <c r="B1133" s="399"/>
      <c r="C1133" s="929"/>
      <c r="D1133" s="936"/>
      <c r="E1133" s="936"/>
      <c r="F1133" s="936"/>
      <c r="G1133" s="936"/>
      <c r="H1133" s="936"/>
      <c r="I1133" s="936"/>
      <c r="J1133" s="936"/>
      <c r="K1133" s="936"/>
      <c r="L1133" s="936"/>
      <c r="M1133" s="936"/>
      <c r="N1133" s="938"/>
      <c r="O1133" s="426"/>
      <c r="P1133" s="1"/>
      <c r="Q1133" s="1"/>
      <c r="R1133" s="1"/>
      <c r="S1133" s="1"/>
      <c r="T1133" s="1"/>
      <c r="U1133" s="1"/>
      <c r="V1133" s="1"/>
      <c r="W1133" s="1"/>
      <c r="X1133" s="1"/>
      <c r="Y1133" s="1"/>
      <c r="Z1133" s="1"/>
    </row>
    <row r="1134" spans="1:26" ht="15" customHeight="1">
      <c r="A1134" s="395"/>
      <c r="B1134" s="399"/>
      <c r="C1134" s="1130" t="s">
        <v>1221</v>
      </c>
      <c r="D1134" s="1131"/>
      <c r="E1134" s="1131"/>
      <c r="F1134" s="1131"/>
      <c r="G1134" s="1131"/>
      <c r="H1134" s="1132"/>
      <c r="I1134" s="438"/>
      <c r="J1134" s="438"/>
      <c r="K1134" s="438"/>
      <c r="L1134" s="1133" t="s">
        <v>1222</v>
      </c>
      <c r="M1134" s="1000"/>
      <c r="N1134" s="445" t="s">
        <v>1223</v>
      </c>
      <c r="O1134" s="446"/>
      <c r="P1134" s="1"/>
      <c r="Q1134" s="1"/>
      <c r="R1134" s="1"/>
      <c r="S1134" s="1"/>
      <c r="T1134" s="1"/>
      <c r="U1134" s="1"/>
      <c r="V1134" s="1"/>
      <c r="W1134" s="1"/>
      <c r="X1134" s="1"/>
      <c r="Y1134" s="1"/>
      <c r="Z1134" s="1"/>
    </row>
    <row r="1135" spans="1:26" ht="15" customHeight="1">
      <c r="A1135" s="395"/>
      <c r="B1135" s="399"/>
      <c r="C1135" s="1128" t="s">
        <v>19</v>
      </c>
      <c r="D1135" s="940"/>
      <c r="E1135" s="940"/>
      <c r="F1135" s="940"/>
      <c r="G1135" s="940"/>
      <c r="H1135" s="940"/>
      <c r="I1135" s="452"/>
      <c r="J1135" s="452"/>
      <c r="K1135" s="452"/>
      <c r="L1135" s="1148">
        <f>+Datos!$E$18</f>
        <v>0.25</v>
      </c>
      <c r="M1135" s="941"/>
      <c r="N1135" s="430">
        <f>+L1135*N1130</f>
        <v>295605.12625000003</v>
      </c>
      <c r="O1135" s="453"/>
      <c r="P1135" s="1"/>
      <c r="Q1135" s="1"/>
      <c r="R1135" s="1"/>
      <c r="S1135" s="1"/>
      <c r="T1135" s="1"/>
      <c r="U1135" s="1"/>
      <c r="V1135" s="1"/>
      <c r="W1135" s="1"/>
      <c r="X1135" s="1"/>
      <c r="Y1135" s="1"/>
      <c r="Z1135" s="1"/>
    </row>
    <row r="1136" spans="1:26" ht="15" customHeight="1">
      <c r="A1136" s="395"/>
      <c r="B1136" s="399"/>
      <c r="C1136" s="454" t="s">
        <v>20</v>
      </c>
      <c r="D1136" s="455"/>
      <c r="E1136" s="455"/>
      <c r="F1136" s="455"/>
      <c r="G1136" s="455"/>
      <c r="H1136" s="455"/>
      <c r="I1136" s="452"/>
      <c r="J1136" s="452"/>
      <c r="K1136" s="452"/>
      <c r="L1136" s="1148">
        <f>+Datos!$E$19</f>
        <v>0.01</v>
      </c>
      <c r="M1136" s="941"/>
      <c r="N1136" s="430">
        <f>+L1136*N1130</f>
        <v>11824.205050000002</v>
      </c>
      <c r="O1136" s="453"/>
      <c r="P1136" s="1"/>
      <c r="Q1136" s="1"/>
      <c r="R1136" s="1"/>
      <c r="S1136" s="1"/>
      <c r="T1136" s="1"/>
      <c r="U1136" s="1"/>
      <c r="V1136" s="1"/>
      <c r="W1136" s="1"/>
      <c r="X1136" s="1"/>
      <c r="Y1136" s="1"/>
      <c r="Z1136" s="1"/>
    </row>
    <row r="1137" spans="1:26" ht="15" customHeight="1">
      <c r="A1137" s="1"/>
      <c r="B1137" s="399"/>
      <c r="C1137" s="456" t="s">
        <v>21</v>
      </c>
      <c r="D1137" s="457"/>
      <c r="E1137" s="457"/>
      <c r="F1137" s="457"/>
      <c r="G1137" s="457"/>
      <c r="H1137" s="457"/>
      <c r="I1137" s="458"/>
      <c r="J1137" s="458"/>
      <c r="K1137" s="458"/>
      <c r="L1137" s="1148">
        <f>+Datos!$E$20</f>
        <v>0.05</v>
      </c>
      <c r="M1137" s="941"/>
      <c r="N1137" s="430">
        <f>+L1137*N1130</f>
        <v>59121.025250000006</v>
      </c>
      <c r="O1137" s="453"/>
      <c r="P1137" s="1"/>
      <c r="Q1137" s="1"/>
      <c r="R1137" s="1"/>
      <c r="S1137" s="1"/>
      <c r="T1137" s="1"/>
      <c r="U1137" s="1"/>
      <c r="V1137" s="1"/>
      <c r="W1137" s="1"/>
      <c r="X1137" s="1"/>
      <c r="Y1137" s="1"/>
      <c r="Z1137" s="1"/>
    </row>
    <row r="1138" spans="1:26" ht="15" customHeight="1">
      <c r="A1138" s="1"/>
      <c r="B1138" s="399"/>
      <c r="C1138" s="1127" t="s">
        <v>1202</v>
      </c>
      <c r="D1138" s="965"/>
      <c r="E1138" s="965"/>
      <c r="F1138" s="965"/>
      <c r="G1138" s="965"/>
      <c r="H1138" s="965"/>
      <c r="I1138" s="965"/>
      <c r="J1138" s="965"/>
      <c r="K1138" s="965"/>
      <c r="L1138" s="965"/>
      <c r="M1138" s="966"/>
      <c r="N1138" s="433">
        <f>+SUM(N1135:N1137)</f>
        <v>366550.35655000003</v>
      </c>
      <c r="O1138" s="453"/>
      <c r="P1138" s="1"/>
      <c r="Q1138" s="1"/>
      <c r="R1138" s="1"/>
      <c r="S1138" s="1"/>
      <c r="T1138" s="1"/>
      <c r="U1138" s="1"/>
      <c r="V1138" s="1"/>
      <c r="W1138" s="1"/>
      <c r="X1138" s="1"/>
      <c r="Y1138" s="1"/>
      <c r="Z1138" s="1"/>
    </row>
    <row r="1139" spans="1:26" ht="15" customHeight="1">
      <c r="A1139" s="1"/>
      <c r="B1139" s="399"/>
      <c r="C1139" s="418"/>
      <c r="D1139" s="39"/>
      <c r="E1139" s="39"/>
      <c r="F1139" s="39"/>
      <c r="G1139" s="39"/>
      <c r="H1139" s="39"/>
      <c r="I1139" s="39"/>
      <c r="J1139" s="39"/>
      <c r="K1139" s="39"/>
      <c r="L1139" s="39"/>
      <c r="M1139" s="39"/>
      <c r="N1139" s="40"/>
      <c r="O1139" s="402"/>
      <c r="P1139" s="1"/>
      <c r="Q1139" s="1"/>
      <c r="R1139" s="1"/>
      <c r="S1139" s="1"/>
      <c r="T1139" s="1"/>
      <c r="U1139" s="1"/>
      <c r="V1139" s="1"/>
      <c r="W1139" s="1"/>
      <c r="X1139" s="1"/>
      <c r="Y1139" s="1"/>
      <c r="Z1139" s="1"/>
    </row>
    <row r="1140" spans="1:26" ht="15" customHeight="1">
      <c r="A1140" s="1"/>
      <c r="B1140" s="399"/>
      <c r="C1140" s="1147" t="s">
        <v>1224</v>
      </c>
      <c r="D1140" s="965"/>
      <c r="E1140" s="965"/>
      <c r="F1140" s="965"/>
      <c r="G1140" s="965"/>
      <c r="H1140" s="965"/>
      <c r="I1140" s="965"/>
      <c r="J1140" s="965"/>
      <c r="K1140" s="965"/>
      <c r="L1140" s="965"/>
      <c r="M1140" s="966"/>
      <c r="N1140" s="459">
        <f>+ROUND(SUM(N1138,N1130),0)</f>
        <v>1548971</v>
      </c>
      <c r="O1140" s="453"/>
      <c r="P1140" s="1"/>
      <c r="Q1140" s="1"/>
      <c r="R1140" s="1"/>
      <c r="S1140" s="1"/>
      <c r="T1140" s="1"/>
      <c r="U1140" s="1"/>
      <c r="V1140" s="1"/>
      <c r="W1140" s="1"/>
      <c r="X1140" s="1"/>
      <c r="Y1140" s="1"/>
      <c r="Z1140" s="1"/>
    </row>
    <row r="1141" spans="1:26" ht="15" customHeight="1">
      <c r="A1141" s="1"/>
      <c r="B1141" s="399"/>
      <c r="C1141" s="460"/>
      <c r="D1141" s="461"/>
      <c r="E1141" s="461"/>
      <c r="F1141" s="461"/>
      <c r="G1141" s="461"/>
      <c r="H1141" s="461"/>
      <c r="I1141" s="461"/>
      <c r="J1141" s="461"/>
      <c r="K1141" s="461"/>
      <c r="L1141" s="461"/>
      <c r="M1141" s="461"/>
      <c r="N1141" s="462"/>
      <c r="O1141" s="402"/>
      <c r="P1141" s="1"/>
      <c r="Q1141" s="1"/>
      <c r="R1141" s="1"/>
      <c r="S1141" s="1"/>
      <c r="T1141" s="1"/>
      <c r="U1141" s="1"/>
      <c r="V1141" s="1"/>
      <c r="W1141" s="1"/>
      <c r="X1141" s="1"/>
      <c r="Y1141" s="1"/>
      <c r="Z1141" s="1"/>
    </row>
    <row r="1142" spans="1:26" ht="15" customHeight="1">
      <c r="A1142" s="1"/>
      <c r="B1142" s="399"/>
      <c r="C1142" s="418"/>
      <c r="D1142" s="39"/>
      <c r="E1142" s="39"/>
      <c r="F1142" s="39"/>
      <c r="G1142" s="39"/>
      <c r="H1142" s="39"/>
      <c r="I1142" s="39"/>
      <c r="J1142" s="39"/>
      <c r="K1142" s="39"/>
      <c r="L1142" s="39"/>
      <c r="M1142" s="39"/>
      <c r="N1142" s="40"/>
      <c r="O1142" s="402"/>
      <c r="P1142" s="1"/>
      <c r="Q1142" s="1"/>
      <c r="R1142" s="1"/>
      <c r="S1142" s="1"/>
      <c r="T1142" s="1"/>
      <c r="U1142" s="1"/>
      <c r="V1142" s="1"/>
      <c r="W1142" s="1"/>
      <c r="X1142" s="1"/>
      <c r="Y1142" s="1"/>
      <c r="Z1142" s="1"/>
    </row>
    <row r="1143" spans="1:26" ht="15" customHeight="1">
      <c r="A1143" s="1"/>
      <c r="B1143" s="399"/>
      <c r="C1143" s="418"/>
      <c r="D1143" s="39"/>
      <c r="E1143" s="39"/>
      <c r="F1143" s="39"/>
      <c r="G1143" s="39"/>
      <c r="H1143" s="39"/>
      <c r="I1143" s="39"/>
      <c r="J1143" s="39"/>
      <c r="K1143" s="39"/>
      <c r="L1143" s="39"/>
      <c r="M1143" s="39"/>
      <c r="N1143" s="40"/>
      <c r="O1143" s="402"/>
      <c r="P1143" s="1"/>
      <c r="Q1143" s="1"/>
      <c r="R1143" s="1"/>
      <c r="S1143" s="1"/>
      <c r="T1143" s="1"/>
      <c r="U1143" s="1"/>
      <c r="V1143" s="1"/>
      <c r="W1143" s="1"/>
      <c r="X1143" s="1"/>
      <c r="Y1143" s="1"/>
      <c r="Z1143" s="1"/>
    </row>
    <row r="1144" spans="1:26" ht="15" customHeight="1">
      <c r="A1144" s="1"/>
      <c r="B1144" s="399"/>
      <c r="C1144" s="418"/>
      <c r="D1144" s="463"/>
      <c r="E1144" s="463"/>
      <c r="F1144" s="463"/>
      <c r="G1144" s="184"/>
      <c r="H1144" s="184"/>
      <c r="I1144" s="184"/>
      <c r="J1144" s="463"/>
      <c r="K1144" s="463"/>
      <c r="L1144" s="463"/>
      <c r="M1144" s="463"/>
      <c r="N1144" s="40"/>
      <c r="O1144" s="402"/>
      <c r="P1144" s="1"/>
      <c r="Q1144" s="1"/>
      <c r="R1144" s="1"/>
      <c r="S1144" s="1"/>
      <c r="T1144" s="1"/>
      <c r="U1144" s="1"/>
      <c r="V1144" s="1"/>
      <c r="W1144" s="1"/>
      <c r="X1144" s="1"/>
      <c r="Y1144" s="1"/>
      <c r="Z1144" s="1"/>
    </row>
    <row r="1145" spans="1:26" ht="15" customHeight="1">
      <c r="A1145" s="1"/>
      <c r="B1145" s="399"/>
      <c r="C1145" s="418"/>
      <c r="D1145" s="39" t="s">
        <v>1225</v>
      </c>
      <c r="E1145" s="39"/>
      <c r="F1145" s="39"/>
      <c r="G1145" s="184"/>
      <c r="H1145" s="184"/>
      <c r="I1145" s="184"/>
      <c r="J1145" s="39" t="s">
        <v>1225</v>
      </c>
      <c r="K1145" s="39"/>
      <c r="L1145" s="39"/>
      <c r="M1145" s="39"/>
      <c r="N1145" s="40"/>
      <c r="O1145" s="464"/>
      <c r="P1145" s="1"/>
      <c r="Q1145" s="1"/>
      <c r="R1145" s="1"/>
      <c r="S1145" s="1"/>
      <c r="T1145" s="1"/>
      <c r="U1145" s="1"/>
      <c r="V1145" s="1"/>
      <c r="W1145" s="1"/>
      <c r="X1145" s="1"/>
      <c r="Y1145" s="1"/>
      <c r="Z1145" s="1"/>
    </row>
    <row r="1146" spans="1:26" ht="15" customHeight="1">
      <c r="A1146" s="1"/>
      <c r="B1146" s="399"/>
      <c r="C1146" s="418"/>
      <c r="D1146" s="39" t="s">
        <v>1226</v>
      </c>
      <c r="E1146" s="39"/>
      <c r="F1146" s="39"/>
      <c r="G1146" s="184"/>
      <c r="H1146" s="184"/>
      <c r="I1146" s="184"/>
      <c r="J1146" s="39" t="s">
        <v>1227</v>
      </c>
      <c r="K1146" s="39"/>
      <c r="L1146" s="39"/>
      <c r="M1146" s="39"/>
      <c r="N1146" s="40"/>
      <c r="O1146" s="464"/>
      <c r="P1146" s="1"/>
      <c r="Q1146" s="1"/>
      <c r="R1146" s="1"/>
      <c r="S1146" s="1"/>
      <c r="T1146" s="1"/>
      <c r="U1146" s="1"/>
      <c r="V1146" s="1"/>
      <c r="W1146" s="1"/>
      <c r="X1146" s="1"/>
      <c r="Y1146" s="1"/>
      <c r="Z1146" s="1"/>
    </row>
    <row r="1147" spans="1:26" ht="15" customHeight="1">
      <c r="A1147" s="1"/>
      <c r="B1147" s="399"/>
      <c r="C1147" s="404"/>
      <c r="D1147" s="39" t="s">
        <v>1228</v>
      </c>
      <c r="E1147" s="42"/>
      <c r="F1147" s="42"/>
      <c r="G1147" s="184"/>
      <c r="H1147" s="184"/>
      <c r="I1147" s="184"/>
      <c r="J1147" s="39" t="s">
        <v>1228</v>
      </c>
      <c r="K1147" s="42"/>
      <c r="L1147" s="42"/>
      <c r="M1147" s="42"/>
      <c r="N1147" s="43"/>
      <c r="O1147" s="465"/>
      <c r="P1147" s="1"/>
      <c r="Q1147" s="1"/>
      <c r="R1147" s="1"/>
      <c r="S1147" s="1"/>
      <c r="T1147" s="1"/>
      <c r="U1147" s="1"/>
      <c r="V1147" s="1"/>
      <c r="W1147" s="1"/>
      <c r="X1147" s="1"/>
      <c r="Y1147" s="1"/>
      <c r="Z1147" s="1"/>
    </row>
    <row r="1148" spans="1:26" ht="15" customHeight="1">
      <c r="A1148" s="1"/>
      <c r="B1148" s="399"/>
      <c r="C1148" s="418"/>
      <c r="D1148" s="39"/>
      <c r="E1148" s="39"/>
      <c r="F1148" s="39"/>
      <c r="G1148" s="39" t="s">
        <v>1229</v>
      </c>
      <c r="H1148" s="39"/>
      <c r="I1148" s="39"/>
      <c r="J1148" s="39"/>
      <c r="K1148" s="39"/>
      <c r="L1148" s="39"/>
      <c r="M1148" s="39"/>
      <c r="N1148" s="40"/>
      <c r="O1148" s="402"/>
      <c r="P1148" s="1"/>
      <c r="Q1148" s="1"/>
      <c r="R1148" s="1"/>
      <c r="S1148" s="1"/>
      <c r="T1148" s="1"/>
      <c r="U1148" s="1"/>
      <c r="V1148" s="1"/>
      <c r="W1148" s="1"/>
      <c r="X1148" s="1"/>
      <c r="Y1148" s="1"/>
      <c r="Z1148" s="1"/>
    </row>
    <row r="1149" spans="1:26" ht="15" customHeight="1">
      <c r="A1149" s="1"/>
      <c r="B1149" s="399"/>
      <c r="C1149" s="466"/>
      <c r="D1149" s="467"/>
      <c r="E1149" s="467"/>
      <c r="F1149" s="39"/>
      <c r="G1149" s="39"/>
      <c r="H1149" s="39"/>
      <c r="I1149" s="39"/>
      <c r="J1149" s="1149"/>
      <c r="K1149" s="922"/>
      <c r="L1149" s="922"/>
      <c r="M1149" s="922"/>
      <c r="N1149" s="924"/>
      <c r="O1149" s="468"/>
      <c r="P1149" s="1"/>
      <c r="Q1149" s="1"/>
      <c r="R1149" s="1"/>
      <c r="S1149" s="1"/>
      <c r="T1149" s="1"/>
      <c r="U1149" s="1"/>
      <c r="V1149" s="1"/>
      <c r="W1149" s="1"/>
      <c r="X1149" s="1"/>
      <c r="Y1149" s="1"/>
      <c r="Z1149" s="1"/>
    </row>
    <row r="1150" spans="1:26" ht="15" customHeight="1">
      <c r="A1150" s="1"/>
      <c r="B1150" s="399"/>
      <c r="C1150" s="1150"/>
      <c r="D1150" s="936"/>
      <c r="E1150" s="936"/>
      <c r="F1150" s="416"/>
      <c r="G1150" s="416"/>
      <c r="H1150" s="416"/>
      <c r="I1150" s="416"/>
      <c r="J1150" s="936"/>
      <c r="K1150" s="936"/>
      <c r="L1150" s="936"/>
      <c r="M1150" s="936"/>
      <c r="N1150" s="938"/>
      <c r="O1150" s="468"/>
      <c r="P1150" s="1"/>
      <c r="Q1150" s="1"/>
      <c r="R1150" s="1"/>
      <c r="S1150" s="1"/>
      <c r="T1150" s="1"/>
      <c r="U1150" s="1"/>
      <c r="V1150" s="1"/>
      <c r="W1150" s="1"/>
      <c r="X1150" s="1"/>
      <c r="Y1150" s="1"/>
      <c r="Z1150" s="1"/>
    </row>
    <row r="1151" spans="1:26" ht="15" customHeight="1">
      <c r="A1151" s="1"/>
      <c r="B1151" s="469"/>
      <c r="C1151" s="470"/>
      <c r="D1151" s="470"/>
      <c r="E1151" s="470"/>
      <c r="F1151" s="470"/>
      <c r="G1151" s="470"/>
      <c r="H1151" s="470"/>
      <c r="I1151" s="470"/>
      <c r="J1151" s="470"/>
      <c r="K1151" s="470"/>
      <c r="L1151" s="470"/>
      <c r="M1151" s="470"/>
      <c r="N1151" s="470"/>
      <c r="O1151" s="471"/>
      <c r="P1151" s="1"/>
      <c r="Q1151" s="1"/>
      <c r="R1151" s="1"/>
      <c r="S1151" s="1"/>
      <c r="T1151" s="1"/>
      <c r="U1151" s="1"/>
      <c r="V1151" s="1"/>
      <c r="W1151" s="1"/>
      <c r="X1151" s="1"/>
      <c r="Y1151" s="1"/>
      <c r="Z1151" s="1"/>
    </row>
  </sheetData>
  <mergeCells count="1289">
    <mergeCell ref="C941:I941"/>
    <mergeCell ref="L941:M941"/>
    <mergeCell ref="C942:I942"/>
    <mergeCell ref="C929:N931"/>
    <mergeCell ref="C932:F932"/>
    <mergeCell ref="G932:H932"/>
    <mergeCell ref="I932:J932"/>
    <mergeCell ref="L932:M932"/>
    <mergeCell ref="L935:M935"/>
    <mergeCell ref="L936:M936"/>
    <mergeCell ref="L829:M830"/>
    <mergeCell ref="C966:M966"/>
    <mergeCell ref="L960:M960"/>
    <mergeCell ref="L942:M942"/>
    <mergeCell ref="L943:M943"/>
    <mergeCell ref="C943:I943"/>
    <mergeCell ref="C944:I944"/>
    <mergeCell ref="L944:M944"/>
    <mergeCell ref="C945:I945"/>
    <mergeCell ref="L945:M945"/>
    <mergeCell ref="C961:H961"/>
    <mergeCell ref="C904:E904"/>
    <mergeCell ref="C911:D919"/>
    <mergeCell ref="E911:K912"/>
    <mergeCell ref="L911:M912"/>
    <mergeCell ref="N911:N912"/>
    <mergeCell ref="E913:K913"/>
    <mergeCell ref="C967:N969"/>
    <mergeCell ref="C970:H970"/>
    <mergeCell ref="L970:M970"/>
    <mergeCell ref="C971:H971"/>
    <mergeCell ref="L971:M971"/>
    <mergeCell ref="L972:M972"/>
    <mergeCell ref="L961:M961"/>
    <mergeCell ref="C962:H962"/>
    <mergeCell ref="L962:M962"/>
    <mergeCell ref="C963:H963"/>
    <mergeCell ref="L963:M963"/>
    <mergeCell ref="C964:M964"/>
    <mergeCell ref="C933:F933"/>
    <mergeCell ref="G933:H933"/>
    <mergeCell ref="I933:J933"/>
    <mergeCell ref="L933:M933"/>
    <mergeCell ref="G934:H934"/>
    <mergeCell ref="I934:J934"/>
    <mergeCell ref="L934:M934"/>
    <mergeCell ref="C934:F934"/>
    <mergeCell ref="C935:F935"/>
    <mergeCell ref="G935:H935"/>
    <mergeCell ref="I935:J935"/>
    <mergeCell ref="L946:M946"/>
    <mergeCell ref="C947:M947"/>
    <mergeCell ref="C948:N950"/>
    <mergeCell ref="C951:H951"/>
    <mergeCell ref="L951:M951"/>
    <mergeCell ref="C952:H952"/>
    <mergeCell ref="L952:M952"/>
    <mergeCell ref="L953:M953"/>
    <mergeCell ref="L959:M959"/>
    <mergeCell ref="L789:M789"/>
    <mergeCell ref="L795:M795"/>
    <mergeCell ref="L796:M796"/>
    <mergeCell ref="C802:M802"/>
    <mergeCell ref="C803:N805"/>
    <mergeCell ref="C806:H806"/>
    <mergeCell ref="L806:M806"/>
    <mergeCell ref="C807:H807"/>
    <mergeCell ref="L807:M807"/>
    <mergeCell ref="L808:M808"/>
    <mergeCell ref="D921:L921"/>
    <mergeCell ref="D922:L922"/>
    <mergeCell ref="C925:N925"/>
    <mergeCell ref="D927:K927"/>
    <mergeCell ref="L927:M927"/>
    <mergeCell ref="D928:K928"/>
    <mergeCell ref="L928:M928"/>
    <mergeCell ref="C889:H889"/>
    <mergeCell ref="L889:M889"/>
    <mergeCell ref="L890:M890"/>
    <mergeCell ref="L891:M891"/>
    <mergeCell ref="C892:M892"/>
    <mergeCell ref="C894:M894"/>
    <mergeCell ref="L913:N913"/>
    <mergeCell ref="L914:L915"/>
    <mergeCell ref="M914:M915"/>
    <mergeCell ref="N914:N915"/>
    <mergeCell ref="E915:K916"/>
    <mergeCell ref="L916:N916"/>
    <mergeCell ref="M918:M919"/>
    <mergeCell ref="N918:N919"/>
    <mergeCell ref="J903:N904"/>
    <mergeCell ref="C777:I777"/>
    <mergeCell ref="L777:M777"/>
    <mergeCell ref="C778:I778"/>
    <mergeCell ref="L778:M778"/>
    <mergeCell ref="L779:M779"/>
    <mergeCell ref="C779:I779"/>
    <mergeCell ref="C780:I780"/>
    <mergeCell ref="L780:M780"/>
    <mergeCell ref="C781:I781"/>
    <mergeCell ref="L781:M781"/>
    <mergeCell ref="C782:I782"/>
    <mergeCell ref="L782:M782"/>
    <mergeCell ref="C783:M783"/>
    <mergeCell ref="C784:N786"/>
    <mergeCell ref="C787:H787"/>
    <mergeCell ref="L787:M787"/>
    <mergeCell ref="C788:H788"/>
    <mergeCell ref="L788:M788"/>
    <mergeCell ref="L771:M771"/>
    <mergeCell ref="L772:M772"/>
    <mergeCell ref="C789:H789"/>
    <mergeCell ref="C790:M790"/>
    <mergeCell ref="C791:N793"/>
    <mergeCell ref="C794:H794"/>
    <mergeCell ref="L794:M794"/>
    <mergeCell ref="C795:H795"/>
    <mergeCell ref="C796:H796"/>
    <mergeCell ref="C797:H797"/>
    <mergeCell ref="L797:M797"/>
    <mergeCell ref="C798:H798"/>
    <mergeCell ref="L798:M798"/>
    <mergeCell ref="C799:H799"/>
    <mergeCell ref="L799:M799"/>
    <mergeCell ref="C800:M800"/>
    <mergeCell ref="C769:F769"/>
    <mergeCell ref="G769:H769"/>
    <mergeCell ref="I769:J769"/>
    <mergeCell ref="L769:M769"/>
    <mergeCell ref="G770:H770"/>
    <mergeCell ref="I770:J770"/>
    <mergeCell ref="L770:M770"/>
    <mergeCell ref="C770:F770"/>
    <mergeCell ref="C771:F771"/>
    <mergeCell ref="G771:H771"/>
    <mergeCell ref="I771:J771"/>
    <mergeCell ref="C772:F772"/>
    <mergeCell ref="G772:H772"/>
    <mergeCell ref="I772:J772"/>
    <mergeCell ref="C773:M773"/>
    <mergeCell ref="C774:N776"/>
    <mergeCell ref="D764:K764"/>
    <mergeCell ref="L764:M764"/>
    <mergeCell ref="C765:N767"/>
    <mergeCell ref="C768:F768"/>
    <mergeCell ref="G768:H768"/>
    <mergeCell ref="I768:J768"/>
    <mergeCell ref="L768:M768"/>
    <mergeCell ref="L747:M748"/>
    <mergeCell ref="N747:N748"/>
    <mergeCell ref="E749:K749"/>
    <mergeCell ref="L749:N749"/>
    <mergeCell ref="L750:L751"/>
    <mergeCell ref="M750:M751"/>
    <mergeCell ref="N750:N751"/>
    <mergeCell ref="E751:K752"/>
    <mergeCell ref="L752:N752"/>
    <mergeCell ref="M754:M755"/>
    <mergeCell ref="N754:N755"/>
    <mergeCell ref="C747:D755"/>
    <mergeCell ref="E747:K748"/>
    <mergeCell ref="L707:M707"/>
    <mergeCell ref="L713:M713"/>
    <mergeCell ref="L714:M714"/>
    <mergeCell ref="C720:M720"/>
    <mergeCell ref="C721:N723"/>
    <mergeCell ref="C724:H724"/>
    <mergeCell ref="L724:M724"/>
    <mergeCell ref="C725:H725"/>
    <mergeCell ref="L725:M725"/>
    <mergeCell ref="L726:M726"/>
    <mergeCell ref="E754:K755"/>
    <mergeCell ref="L754:L755"/>
    <mergeCell ref="D757:L757"/>
    <mergeCell ref="D758:L758"/>
    <mergeCell ref="C761:N761"/>
    <mergeCell ref="D763:K763"/>
    <mergeCell ref="L763:M763"/>
    <mergeCell ref="L727:M727"/>
    <mergeCell ref="C728:M728"/>
    <mergeCell ref="C730:M730"/>
    <mergeCell ref="J739:N740"/>
    <mergeCell ref="C740:E740"/>
    <mergeCell ref="C695:I695"/>
    <mergeCell ref="L695:M695"/>
    <mergeCell ref="C696:I696"/>
    <mergeCell ref="L696:M696"/>
    <mergeCell ref="L697:M697"/>
    <mergeCell ref="C697:I697"/>
    <mergeCell ref="C698:I698"/>
    <mergeCell ref="L698:M698"/>
    <mergeCell ref="C699:I699"/>
    <mergeCell ref="L699:M699"/>
    <mergeCell ref="C700:I700"/>
    <mergeCell ref="L700:M700"/>
    <mergeCell ref="C701:M701"/>
    <mergeCell ref="C702:N704"/>
    <mergeCell ref="C705:H705"/>
    <mergeCell ref="L705:M705"/>
    <mergeCell ref="C706:H706"/>
    <mergeCell ref="L706:M706"/>
    <mergeCell ref="L689:M689"/>
    <mergeCell ref="L690:M690"/>
    <mergeCell ref="C707:H707"/>
    <mergeCell ref="C708:M708"/>
    <mergeCell ref="C709:N711"/>
    <mergeCell ref="C712:H712"/>
    <mergeCell ref="L712:M712"/>
    <mergeCell ref="C713:H713"/>
    <mergeCell ref="C714:H714"/>
    <mergeCell ref="C715:H715"/>
    <mergeCell ref="L715:M715"/>
    <mergeCell ref="C716:H716"/>
    <mergeCell ref="L716:M716"/>
    <mergeCell ref="C717:H717"/>
    <mergeCell ref="L717:M717"/>
    <mergeCell ref="C718:M718"/>
    <mergeCell ref="C687:F687"/>
    <mergeCell ref="G687:H687"/>
    <mergeCell ref="I687:J687"/>
    <mergeCell ref="L687:M687"/>
    <mergeCell ref="G688:H688"/>
    <mergeCell ref="I688:J688"/>
    <mergeCell ref="L688:M688"/>
    <mergeCell ref="C688:F688"/>
    <mergeCell ref="C689:F689"/>
    <mergeCell ref="G689:H689"/>
    <mergeCell ref="I689:J689"/>
    <mergeCell ref="C690:F690"/>
    <mergeCell ref="G690:H690"/>
    <mergeCell ref="I690:J690"/>
    <mergeCell ref="C691:M691"/>
    <mergeCell ref="C692:N694"/>
    <mergeCell ref="C686:F686"/>
    <mergeCell ref="G686:H686"/>
    <mergeCell ref="I686:J686"/>
    <mergeCell ref="L686:M686"/>
    <mergeCell ref="L665:M666"/>
    <mergeCell ref="N665:N666"/>
    <mergeCell ref="E667:K667"/>
    <mergeCell ref="L667:N667"/>
    <mergeCell ref="L668:L669"/>
    <mergeCell ref="M668:M669"/>
    <mergeCell ref="N668:N669"/>
    <mergeCell ref="E669:K670"/>
    <mergeCell ref="L670:N670"/>
    <mergeCell ref="M672:M673"/>
    <mergeCell ref="N672:N673"/>
    <mergeCell ref="L645:M645"/>
    <mergeCell ref="C646:M646"/>
    <mergeCell ref="C648:M648"/>
    <mergeCell ref="J657:N658"/>
    <mergeCell ref="C658:E658"/>
    <mergeCell ref="C665:D673"/>
    <mergeCell ref="E665:K666"/>
    <mergeCell ref="C638:M638"/>
    <mergeCell ref="C639:N641"/>
    <mergeCell ref="C642:H642"/>
    <mergeCell ref="L642:M642"/>
    <mergeCell ref="C643:H643"/>
    <mergeCell ref="L643:M643"/>
    <mergeCell ref="L644:M644"/>
    <mergeCell ref="E672:K673"/>
    <mergeCell ref="L672:L673"/>
    <mergeCell ref="D675:L675"/>
    <mergeCell ref="D676:L676"/>
    <mergeCell ref="C679:N679"/>
    <mergeCell ref="D681:K681"/>
    <mergeCell ref="L681:M681"/>
    <mergeCell ref="D682:K682"/>
    <mergeCell ref="L682:M682"/>
    <mergeCell ref="C683:N685"/>
    <mergeCell ref="L617:M617"/>
    <mergeCell ref="C618:I618"/>
    <mergeCell ref="L618:M618"/>
    <mergeCell ref="C619:M619"/>
    <mergeCell ref="C620:N622"/>
    <mergeCell ref="C623:H623"/>
    <mergeCell ref="L623:M623"/>
    <mergeCell ref="C624:H624"/>
    <mergeCell ref="L624:M624"/>
    <mergeCell ref="L625:M625"/>
    <mergeCell ref="L631:M631"/>
    <mergeCell ref="L632:M632"/>
    <mergeCell ref="C627:N629"/>
    <mergeCell ref="C630:H630"/>
    <mergeCell ref="L630:M630"/>
    <mergeCell ref="C631:H631"/>
    <mergeCell ref="C632:H632"/>
    <mergeCell ref="C633:H633"/>
    <mergeCell ref="L633:M633"/>
    <mergeCell ref="C634:H634"/>
    <mergeCell ref="L634:M634"/>
    <mergeCell ref="C635:H635"/>
    <mergeCell ref="L635:M635"/>
    <mergeCell ref="C636:M636"/>
    <mergeCell ref="C605:F605"/>
    <mergeCell ref="G605:H605"/>
    <mergeCell ref="I605:J605"/>
    <mergeCell ref="L605:M605"/>
    <mergeCell ref="G606:H606"/>
    <mergeCell ref="I606:J606"/>
    <mergeCell ref="L606:M606"/>
    <mergeCell ref="C606:F606"/>
    <mergeCell ref="C607:F607"/>
    <mergeCell ref="G607:H607"/>
    <mergeCell ref="I607:J607"/>
    <mergeCell ref="C608:F608"/>
    <mergeCell ref="G608:H608"/>
    <mergeCell ref="I608:J608"/>
    <mergeCell ref="C609:M609"/>
    <mergeCell ref="C610:N612"/>
    <mergeCell ref="C613:I613"/>
    <mergeCell ref="L613:M613"/>
    <mergeCell ref="C614:I614"/>
    <mergeCell ref="L614:M614"/>
    <mergeCell ref="L615:M615"/>
    <mergeCell ref="C615:I615"/>
    <mergeCell ref="C616:I616"/>
    <mergeCell ref="L616:M616"/>
    <mergeCell ref="C617:I617"/>
    <mergeCell ref="L583:M584"/>
    <mergeCell ref="N583:N584"/>
    <mergeCell ref="E585:K585"/>
    <mergeCell ref="L585:N585"/>
    <mergeCell ref="L586:L587"/>
    <mergeCell ref="M586:M587"/>
    <mergeCell ref="N586:N587"/>
    <mergeCell ref="E587:K588"/>
    <mergeCell ref="L588:N588"/>
    <mergeCell ref="M590:M591"/>
    <mergeCell ref="N590:N591"/>
    <mergeCell ref="L563:M563"/>
    <mergeCell ref="C564:M564"/>
    <mergeCell ref="C566:M566"/>
    <mergeCell ref="J575:N576"/>
    <mergeCell ref="C576:E576"/>
    <mergeCell ref="C583:D591"/>
    <mergeCell ref="E583:K584"/>
    <mergeCell ref="L1123:M1123"/>
    <mergeCell ref="L1124:M1124"/>
    <mergeCell ref="L1137:M1137"/>
    <mergeCell ref="C1138:M1138"/>
    <mergeCell ref="C1140:M1140"/>
    <mergeCell ref="J1149:N1150"/>
    <mergeCell ref="C1150:E1150"/>
    <mergeCell ref="C1130:M1130"/>
    <mergeCell ref="C1131:N1133"/>
    <mergeCell ref="C1134:H1134"/>
    <mergeCell ref="L1134:M1134"/>
    <mergeCell ref="C1135:H1135"/>
    <mergeCell ref="L1135:M1135"/>
    <mergeCell ref="L1136:M1136"/>
    <mergeCell ref="E590:K591"/>
    <mergeCell ref="L590:L591"/>
    <mergeCell ref="D593:L593"/>
    <mergeCell ref="D594:L594"/>
    <mergeCell ref="C597:N597"/>
    <mergeCell ref="D599:K599"/>
    <mergeCell ref="L599:M599"/>
    <mergeCell ref="D600:K600"/>
    <mergeCell ref="L600:M600"/>
    <mergeCell ref="C601:N603"/>
    <mergeCell ref="C604:F604"/>
    <mergeCell ref="G604:H604"/>
    <mergeCell ref="I604:J604"/>
    <mergeCell ref="L604:M604"/>
    <mergeCell ref="L607:M607"/>
    <mergeCell ref="L608:M608"/>
    <mergeCell ref="C625:H625"/>
    <mergeCell ref="C626:M626"/>
    <mergeCell ref="C1122:H1122"/>
    <mergeCell ref="L1122:M1122"/>
    <mergeCell ref="C1123:H1123"/>
    <mergeCell ref="C1124:H1124"/>
    <mergeCell ref="C1125:H1125"/>
    <mergeCell ref="L1125:M1125"/>
    <mergeCell ref="C1126:H1126"/>
    <mergeCell ref="L1126:M1126"/>
    <mergeCell ref="C1127:H1127"/>
    <mergeCell ref="L1127:M1127"/>
    <mergeCell ref="C1128:M1128"/>
    <mergeCell ref="C1097:F1097"/>
    <mergeCell ref="G1097:H1097"/>
    <mergeCell ref="I1097:J1097"/>
    <mergeCell ref="L1097:M1097"/>
    <mergeCell ref="G1098:H1098"/>
    <mergeCell ref="I1098:J1098"/>
    <mergeCell ref="L1098:M1098"/>
    <mergeCell ref="C1098:F1098"/>
    <mergeCell ref="C1099:F1099"/>
    <mergeCell ref="G1099:H1099"/>
    <mergeCell ref="I1099:J1099"/>
    <mergeCell ref="C1100:F1100"/>
    <mergeCell ref="G1100:H1100"/>
    <mergeCell ref="I1100:J1100"/>
    <mergeCell ref="C1101:M1101"/>
    <mergeCell ref="C1102:N1104"/>
    <mergeCell ref="C1105:I1105"/>
    <mergeCell ref="L1105:M1105"/>
    <mergeCell ref="C1106:I1106"/>
    <mergeCell ref="L1106:M1106"/>
    <mergeCell ref="L1107:M1107"/>
    <mergeCell ref="C1117:H1117"/>
    <mergeCell ref="C1118:M1118"/>
    <mergeCell ref="C1119:N1121"/>
    <mergeCell ref="C1107:I1107"/>
    <mergeCell ref="C1108:I1108"/>
    <mergeCell ref="L1108:M1108"/>
    <mergeCell ref="C1109:I1109"/>
    <mergeCell ref="L1109:M1109"/>
    <mergeCell ref="C1110:I1110"/>
    <mergeCell ref="L1110:M1110"/>
    <mergeCell ref="C1111:M1111"/>
    <mergeCell ref="C1112:N1114"/>
    <mergeCell ref="C1115:H1115"/>
    <mergeCell ref="L1115:M1115"/>
    <mergeCell ref="C1116:H1116"/>
    <mergeCell ref="L1116:M1116"/>
    <mergeCell ref="L1117:M1117"/>
    <mergeCell ref="E918:K919"/>
    <mergeCell ref="L918:L919"/>
    <mergeCell ref="C953:H953"/>
    <mergeCell ref="C954:M954"/>
    <mergeCell ref="C955:N957"/>
    <mergeCell ref="C958:H958"/>
    <mergeCell ref="L958:M958"/>
    <mergeCell ref="C959:H959"/>
    <mergeCell ref="C960:H960"/>
    <mergeCell ref="C946:I946"/>
    <mergeCell ref="N829:N830"/>
    <mergeCell ref="E831:K831"/>
    <mergeCell ref="L831:N831"/>
    <mergeCell ref="L832:L833"/>
    <mergeCell ref="M832:M833"/>
    <mergeCell ref="N832:N833"/>
    <mergeCell ref="E833:K834"/>
    <mergeCell ref="L834:N834"/>
    <mergeCell ref="M836:M837"/>
    <mergeCell ref="N836:N837"/>
    <mergeCell ref="C881:H881"/>
    <mergeCell ref="L881:M881"/>
    <mergeCell ref="C882:M882"/>
    <mergeCell ref="C884:M884"/>
    <mergeCell ref="C885:N887"/>
    <mergeCell ref="L888:M888"/>
    <mergeCell ref="C888:H888"/>
    <mergeCell ref="C936:F936"/>
    <mergeCell ref="G936:H936"/>
    <mergeCell ref="I936:J936"/>
    <mergeCell ref="C937:M937"/>
    <mergeCell ref="C938:N940"/>
    <mergeCell ref="L809:M809"/>
    <mergeCell ref="C810:M810"/>
    <mergeCell ref="C812:M812"/>
    <mergeCell ref="J821:N822"/>
    <mergeCell ref="C822:E822"/>
    <mergeCell ref="C829:D837"/>
    <mergeCell ref="E829:K830"/>
    <mergeCell ref="C873:N875"/>
    <mergeCell ref="C876:H876"/>
    <mergeCell ref="C877:H877"/>
    <mergeCell ref="L876:M876"/>
    <mergeCell ref="L877:M877"/>
    <mergeCell ref="C878:H878"/>
    <mergeCell ref="L878:M878"/>
    <mergeCell ref="C879:H879"/>
    <mergeCell ref="L879:M879"/>
    <mergeCell ref="L880:M880"/>
    <mergeCell ref="C880:H880"/>
    <mergeCell ref="L1099:M1099"/>
    <mergeCell ref="L1100:M1100"/>
    <mergeCell ref="E836:K837"/>
    <mergeCell ref="L836:L837"/>
    <mergeCell ref="D839:L839"/>
    <mergeCell ref="D840:L840"/>
    <mergeCell ref="C843:N843"/>
    <mergeCell ref="D845:K845"/>
    <mergeCell ref="L845:M845"/>
    <mergeCell ref="D846:K846"/>
    <mergeCell ref="L846:M846"/>
    <mergeCell ref="C847:N849"/>
    <mergeCell ref="C850:F850"/>
    <mergeCell ref="G850:H850"/>
    <mergeCell ref="I850:J850"/>
    <mergeCell ref="L850:M850"/>
    <mergeCell ref="L853:M853"/>
    <mergeCell ref="L854:M854"/>
    <mergeCell ref="C855:M855"/>
    <mergeCell ref="C856:N858"/>
    <mergeCell ref="C859:I859"/>
    <mergeCell ref="L859:M859"/>
    <mergeCell ref="L860:M860"/>
    <mergeCell ref="C860:I860"/>
    <mergeCell ref="C861:I861"/>
    <mergeCell ref="L861:M861"/>
    <mergeCell ref="C862:I862"/>
    <mergeCell ref="L862:M862"/>
    <mergeCell ref="C863:I863"/>
    <mergeCell ref="C864:I864"/>
    <mergeCell ref="L863:M863"/>
    <mergeCell ref="L864:M864"/>
    <mergeCell ref="D1092:K1092"/>
    <mergeCell ref="L1092:M1092"/>
    <mergeCell ref="C1093:N1095"/>
    <mergeCell ref="C1096:F1096"/>
    <mergeCell ref="G1096:H1096"/>
    <mergeCell ref="I1096:J1096"/>
    <mergeCell ref="L1096:M1096"/>
    <mergeCell ref="L1075:M1076"/>
    <mergeCell ref="N1075:N1076"/>
    <mergeCell ref="E1077:K1077"/>
    <mergeCell ref="L1077:N1077"/>
    <mergeCell ref="L1078:L1079"/>
    <mergeCell ref="M1078:M1079"/>
    <mergeCell ref="N1078:N1079"/>
    <mergeCell ref="E1079:K1080"/>
    <mergeCell ref="L1080:N1080"/>
    <mergeCell ref="M1082:M1083"/>
    <mergeCell ref="N1082:N1083"/>
    <mergeCell ref="C1075:D1083"/>
    <mergeCell ref="E1075:K1076"/>
    <mergeCell ref="L1035:M1035"/>
    <mergeCell ref="L1041:M1041"/>
    <mergeCell ref="L1042:M1042"/>
    <mergeCell ref="C1048:M1048"/>
    <mergeCell ref="C1049:N1051"/>
    <mergeCell ref="C1052:H1052"/>
    <mergeCell ref="L1052:M1052"/>
    <mergeCell ref="C1053:H1053"/>
    <mergeCell ref="L1053:M1053"/>
    <mergeCell ref="L1054:M1054"/>
    <mergeCell ref="E1082:K1083"/>
    <mergeCell ref="L1082:L1083"/>
    <mergeCell ref="D1085:L1085"/>
    <mergeCell ref="D1086:L1086"/>
    <mergeCell ref="C1089:N1089"/>
    <mergeCell ref="D1091:K1091"/>
    <mergeCell ref="L1091:M1091"/>
    <mergeCell ref="L1055:M1055"/>
    <mergeCell ref="C1056:M1056"/>
    <mergeCell ref="C1058:M1058"/>
    <mergeCell ref="J1067:N1068"/>
    <mergeCell ref="C1068:E1068"/>
    <mergeCell ref="C1023:I1023"/>
    <mergeCell ref="L1023:M1023"/>
    <mergeCell ref="C1024:I1024"/>
    <mergeCell ref="L1024:M1024"/>
    <mergeCell ref="L1025:M1025"/>
    <mergeCell ref="C1025:I1025"/>
    <mergeCell ref="C1026:I1026"/>
    <mergeCell ref="L1026:M1026"/>
    <mergeCell ref="C1027:I1027"/>
    <mergeCell ref="L1027:M1027"/>
    <mergeCell ref="C1028:I1028"/>
    <mergeCell ref="L1028:M1028"/>
    <mergeCell ref="C1029:M1029"/>
    <mergeCell ref="C1030:N1032"/>
    <mergeCell ref="C1033:H1033"/>
    <mergeCell ref="L1033:M1033"/>
    <mergeCell ref="C1034:H1034"/>
    <mergeCell ref="L1034:M1034"/>
    <mergeCell ref="L1017:M1017"/>
    <mergeCell ref="L1018:M1018"/>
    <mergeCell ref="C1035:H1035"/>
    <mergeCell ref="C1036:M1036"/>
    <mergeCell ref="C1037:N1039"/>
    <mergeCell ref="C1040:H1040"/>
    <mergeCell ref="L1040:M1040"/>
    <mergeCell ref="C1041:H1041"/>
    <mergeCell ref="C1042:H1042"/>
    <mergeCell ref="C1043:H1043"/>
    <mergeCell ref="L1043:M1043"/>
    <mergeCell ref="C1044:H1044"/>
    <mergeCell ref="L1044:M1044"/>
    <mergeCell ref="C1045:H1045"/>
    <mergeCell ref="L1045:M1045"/>
    <mergeCell ref="C1046:M1046"/>
    <mergeCell ref="C1015:F1015"/>
    <mergeCell ref="G1015:H1015"/>
    <mergeCell ref="I1015:J1015"/>
    <mergeCell ref="L1015:M1015"/>
    <mergeCell ref="G1016:H1016"/>
    <mergeCell ref="I1016:J1016"/>
    <mergeCell ref="L1016:M1016"/>
    <mergeCell ref="C1016:F1016"/>
    <mergeCell ref="C1017:F1017"/>
    <mergeCell ref="G1017:H1017"/>
    <mergeCell ref="I1017:J1017"/>
    <mergeCell ref="C1018:F1018"/>
    <mergeCell ref="G1018:H1018"/>
    <mergeCell ref="I1018:J1018"/>
    <mergeCell ref="C1019:M1019"/>
    <mergeCell ref="C1020:N1022"/>
    <mergeCell ref="D1003:L1003"/>
    <mergeCell ref="D1004:L1004"/>
    <mergeCell ref="C1007:N1007"/>
    <mergeCell ref="D1009:K1009"/>
    <mergeCell ref="L1009:M1009"/>
    <mergeCell ref="D1010:K1010"/>
    <mergeCell ref="L1010:M1010"/>
    <mergeCell ref="C1011:N1013"/>
    <mergeCell ref="C1014:F1014"/>
    <mergeCell ref="G1014:H1014"/>
    <mergeCell ref="I1014:J1014"/>
    <mergeCell ref="L1014:M1014"/>
    <mergeCell ref="L993:M994"/>
    <mergeCell ref="N993:N994"/>
    <mergeCell ref="E995:K995"/>
    <mergeCell ref="L995:N995"/>
    <mergeCell ref="L996:L997"/>
    <mergeCell ref="M996:M997"/>
    <mergeCell ref="N996:N997"/>
    <mergeCell ref="E997:K998"/>
    <mergeCell ref="L998:N998"/>
    <mergeCell ref="M1000:M1001"/>
    <mergeCell ref="N1000:N1001"/>
    <mergeCell ref="C993:D1001"/>
    <mergeCell ref="E993:K994"/>
    <mergeCell ref="L277:M277"/>
    <mergeCell ref="L278:M278"/>
    <mergeCell ref="C851:F851"/>
    <mergeCell ref="G851:H851"/>
    <mergeCell ref="I851:J851"/>
    <mergeCell ref="L851:M851"/>
    <mergeCell ref="G852:H852"/>
    <mergeCell ref="I852:J852"/>
    <mergeCell ref="L852:M852"/>
    <mergeCell ref="C852:F852"/>
    <mergeCell ref="C853:F853"/>
    <mergeCell ref="G853:H853"/>
    <mergeCell ref="I853:J853"/>
    <mergeCell ref="C854:F854"/>
    <mergeCell ref="G854:H854"/>
    <mergeCell ref="I854:J854"/>
    <mergeCell ref="E1000:K1001"/>
    <mergeCell ref="L1000:L1001"/>
    <mergeCell ref="L973:M973"/>
    <mergeCell ref="C974:M974"/>
    <mergeCell ref="C976:M976"/>
    <mergeCell ref="J985:N986"/>
    <mergeCell ref="C986:E986"/>
    <mergeCell ref="C865:M865"/>
    <mergeCell ref="C866:N868"/>
    <mergeCell ref="C869:H869"/>
    <mergeCell ref="L869:M869"/>
    <mergeCell ref="L870:M870"/>
    <mergeCell ref="C870:H870"/>
    <mergeCell ref="C871:H871"/>
    <mergeCell ref="L871:M871"/>
    <mergeCell ref="C872:M872"/>
    <mergeCell ref="C274:F274"/>
    <mergeCell ref="G274:H274"/>
    <mergeCell ref="I274:J274"/>
    <mergeCell ref="L274:M274"/>
    <mergeCell ref="L253:M254"/>
    <mergeCell ref="N253:N254"/>
    <mergeCell ref="E255:K255"/>
    <mergeCell ref="L255:N255"/>
    <mergeCell ref="L256:L257"/>
    <mergeCell ref="M256:M257"/>
    <mergeCell ref="N256:N257"/>
    <mergeCell ref="E257:K258"/>
    <mergeCell ref="L258:N258"/>
    <mergeCell ref="M260:M261"/>
    <mergeCell ref="N260:N261"/>
    <mergeCell ref="L231:M231"/>
    <mergeCell ref="C232:M232"/>
    <mergeCell ref="C234:M234"/>
    <mergeCell ref="J243:N244"/>
    <mergeCell ref="C244:E244"/>
    <mergeCell ref="C253:D261"/>
    <mergeCell ref="E253:K254"/>
    <mergeCell ref="C224:M224"/>
    <mergeCell ref="C225:N227"/>
    <mergeCell ref="C228:H228"/>
    <mergeCell ref="L228:M228"/>
    <mergeCell ref="C229:H229"/>
    <mergeCell ref="L229:M229"/>
    <mergeCell ref="L230:M230"/>
    <mergeCell ref="E260:K261"/>
    <mergeCell ref="L260:L261"/>
    <mergeCell ref="D263:L263"/>
    <mergeCell ref="D264:L264"/>
    <mergeCell ref="C267:N267"/>
    <mergeCell ref="D269:K269"/>
    <mergeCell ref="L269:M269"/>
    <mergeCell ref="D270:K270"/>
    <mergeCell ref="L270:M270"/>
    <mergeCell ref="C271:N273"/>
    <mergeCell ref="C220:H220"/>
    <mergeCell ref="L220:M220"/>
    <mergeCell ref="C221:H221"/>
    <mergeCell ref="L221:M221"/>
    <mergeCell ref="C222:M222"/>
    <mergeCell ref="C191:F191"/>
    <mergeCell ref="G191:H191"/>
    <mergeCell ref="I191:J191"/>
    <mergeCell ref="L191:M191"/>
    <mergeCell ref="G192:H192"/>
    <mergeCell ref="I192:J192"/>
    <mergeCell ref="L192:M192"/>
    <mergeCell ref="C192:F192"/>
    <mergeCell ref="C193:F193"/>
    <mergeCell ref="G193:H193"/>
    <mergeCell ref="I193:J193"/>
    <mergeCell ref="C194:F194"/>
    <mergeCell ref="G194:H194"/>
    <mergeCell ref="I194:J194"/>
    <mergeCell ref="C195:M195"/>
    <mergeCell ref="C196:N198"/>
    <mergeCell ref="C199:I199"/>
    <mergeCell ref="L199:M199"/>
    <mergeCell ref="C200:I200"/>
    <mergeCell ref="L200:M200"/>
    <mergeCell ref="L201:M201"/>
    <mergeCell ref="C201:I201"/>
    <mergeCell ref="C202:I202"/>
    <mergeCell ref="L202:M202"/>
    <mergeCell ref="C203:I203"/>
    <mergeCell ref="L203:M203"/>
    <mergeCell ref="C204:I204"/>
    <mergeCell ref="L149:M149"/>
    <mergeCell ref="C150:M150"/>
    <mergeCell ref="C152:M152"/>
    <mergeCell ref="J161:N162"/>
    <mergeCell ref="C162:E162"/>
    <mergeCell ref="C169:D177"/>
    <mergeCell ref="E169:K170"/>
    <mergeCell ref="L193:M193"/>
    <mergeCell ref="L194:M194"/>
    <mergeCell ref="C211:H211"/>
    <mergeCell ref="C212:M212"/>
    <mergeCell ref="C213:N215"/>
    <mergeCell ref="C216:H216"/>
    <mergeCell ref="L216:M216"/>
    <mergeCell ref="C217:H217"/>
    <mergeCell ref="C218:H218"/>
    <mergeCell ref="C219:H219"/>
    <mergeCell ref="L219:M219"/>
    <mergeCell ref="L204:M204"/>
    <mergeCell ref="C205:M205"/>
    <mergeCell ref="C206:N208"/>
    <mergeCell ref="C209:H209"/>
    <mergeCell ref="L209:M209"/>
    <mergeCell ref="C210:H210"/>
    <mergeCell ref="L210:M210"/>
    <mergeCell ref="L211:M211"/>
    <mergeCell ref="L217:M217"/>
    <mergeCell ref="L218:M218"/>
    <mergeCell ref="D180:L180"/>
    <mergeCell ref="C183:N183"/>
    <mergeCell ref="D185:K185"/>
    <mergeCell ref="L185:M185"/>
    <mergeCell ref="D186:K186"/>
    <mergeCell ref="L186:M186"/>
    <mergeCell ref="C187:N189"/>
    <mergeCell ref="C190:F190"/>
    <mergeCell ref="G190:H190"/>
    <mergeCell ref="I190:J190"/>
    <mergeCell ref="L190:M190"/>
    <mergeCell ref="L169:M170"/>
    <mergeCell ref="N169:N170"/>
    <mergeCell ref="E171:K171"/>
    <mergeCell ref="L171:N171"/>
    <mergeCell ref="L172:L173"/>
    <mergeCell ref="M172:M173"/>
    <mergeCell ref="N172:N173"/>
    <mergeCell ref="E173:K174"/>
    <mergeCell ref="L174:N174"/>
    <mergeCell ref="M176:M177"/>
    <mergeCell ref="N176:N177"/>
    <mergeCell ref="E505:K506"/>
    <mergeCell ref="L506:N506"/>
    <mergeCell ref="M508:M509"/>
    <mergeCell ref="N508:N509"/>
    <mergeCell ref="L479:M479"/>
    <mergeCell ref="C480:M480"/>
    <mergeCell ref="C482:M482"/>
    <mergeCell ref="J491:N492"/>
    <mergeCell ref="C492:E492"/>
    <mergeCell ref="C497:E497"/>
    <mergeCell ref="C501:D509"/>
    <mergeCell ref="L525:M525"/>
    <mergeCell ref="L523:M523"/>
    <mergeCell ref="G524:H524"/>
    <mergeCell ref="I524:J524"/>
    <mergeCell ref="L524:M524"/>
    <mergeCell ref="C524:F524"/>
    <mergeCell ref="C525:F525"/>
    <mergeCell ref="G525:H525"/>
    <mergeCell ref="I525:J525"/>
    <mergeCell ref="C556:M556"/>
    <mergeCell ref="C557:N559"/>
    <mergeCell ref="C560:H560"/>
    <mergeCell ref="L560:M560"/>
    <mergeCell ref="C561:H561"/>
    <mergeCell ref="L561:M561"/>
    <mergeCell ref="L562:M562"/>
    <mergeCell ref="E508:K509"/>
    <mergeCell ref="L508:L509"/>
    <mergeCell ref="D511:L511"/>
    <mergeCell ref="D512:L512"/>
    <mergeCell ref="C515:N515"/>
    <mergeCell ref="D517:K517"/>
    <mergeCell ref="L517:M517"/>
    <mergeCell ref="D518:K518"/>
    <mergeCell ref="L518:M518"/>
    <mergeCell ref="C519:N521"/>
    <mergeCell ref="C522:F522"/>
    <mergeCell ref="G522:H522"/>
    <mergeCell ref="I522:J522"/>
    <mergeCell ref="L522:M522"/>
    <mergeCell ref="L526:M526"/>
    <mergeCell ref="C551:H551"/>
    <mergeCell ref="L551:M551"/>
    <mergeCell ref="C552:H552"/>
    <mergeCell ref="L552:M552"/>
    <mergeCell ref="C553:H553"/>
    <mergeCell ref="L553:M553"/>
    <mergeCell ref="C554:M554"/>
    <mergeCell ref="C523:F523"/>
    <mergeCell ref="G523:H523"/>
    <mergeCell ref="I523:J523"/>
    <mergeCell ref="C526:F526"/>
    <mergeCell ref="G526:H526"/>
    <mergeCell ref="I526:J526"/>
    <mergeCell ref="C527:M527"/>
    <mergeCell ref="C528:N530"/>
    <mergeCell ref="C531:I531"/>
    <mergeCell ref="L531:M531"/>
    <mergeCell ref="C532:I532"/>
    <mergeCell ref="L532:M532"/>
    <mergeCell ref="L533:M533"/>
    <mergeCell ref="C533:I533"/>
    <mergeCell ref="C534:I534"/>
    <mergeCell ref="L534:M534"/>
    <mergeCell ref="C535:I535"/>
    <mergeCell ref="L459:M459"/>
    <mergeCell ref="L465:M465"/>
    <mergeCell ref="L466:M466"/>
    <mergeCell ref="C472:M472"/>
    <mergeCell ref="C473:N475"/>
    <mergeCell ref="C476:H476"/>
    <mergeCell ref="L476:M476"/>
    <mergeCell ref="C477:H477"/>
    <mergeCell ref="L477:M477"/>
    <mergeCell ref="L478:M478"/>
    <mergeCell ref="E501:K502"/>
    <mergeCell ref="L501:M502"/>
    <mergeCell ref="N501:N502"/>
    <mergeCell ref="E503:K503"/>
    <mergeCell ref="L503:N503"/>
    <mergeCell ref="L504:L505"/>
    <mergeCell ref="M504:M505"/>
    <mergeCell ref="N504:N505"/>
    <mergeCell ref="C543:H543"/>
    <mergeCell ref="C544:M544"/>
    <mergeCell ref="C545:N547"/>
    <mergeCell ref="C548:H548"/>
    <mergeCell ref="L548:M548"/>
    <mergeCell ref="C549:H549"/>
    <mergeCell ref="C550:H550"/>
    <mergeCell ref="L535:M535"/>
    <mergeCell ref="C536:I536"/>
    <mergeCell ref="L536:M536"/>
    <mergeCell ref="C537:M537"/>
    <mergeCell ref="C538:N540"/>
    <mergeCell ref="C541:H541"/>
    <mergeCell ref="L541:M541"/>
    <mergeCell ref="C542:H542"/>
    <mergeCell ref="L542:M542"/>
    <mergeCell ref="L543:M543"/>
    <mergeCell ref="L549:M549"/>
    <mergeCell ref="L550:M550"/>
    <mergeCell ref="C447:I447"/>
    <mergeCell ref="L447:M447"/>
    <mergeCell ref="C448:I448"/>
    <mergeCell ref="L448:M448"/>
    <mergeCell ref="L449:M449"/>
    <mergeCell ref="C449:I449"/>
    <mergeCell ref="C450:I450"/>
    <mergeCell ref="L450:M450"/>
    <mergeCell ref="C451:I451"/>
    <mergeCell ref="L451:M451"/>
    <mergeCell ref="C452:I452"/>
    <mergeCell ref="L452:M452"/>
    <mergeCell ref="C453:M453"/>
    <mergeCell ref="C454:N456"/>
    <mergeCell ref="C457:H457"/>
    <mergeCell ref="L457:M457"/>
    <mergeCell ref="C458:H458"/>
    <mergeCell ref="L458:M458"/>
    <mergeCell ref="L441:M441"/>
    <mergeCell ref="L442:M442"/>
    <mergeCell ref="C459:H459"/>
    <mergeCell ref="C460:M460"/>
    <mergeCell ref="C461:N463"/>
    <mergeCell ref="C464:H464"/>
    <mergeCell ref="L464:M464"/>
    <mergeCell ref="C465:H465"/>
    <mergeCell ref="C466:H466"/>
    <mergeCell ref="C467:H467"/>
    <mergeCell ref="L467:M467"/>
    <mergeCell ref="C468:H468"/>
    <mergeCell ref="L468:M468"/>
    <mergeCell ref="C469:H469"/>
    <mergeCell ref="L469:M469"/>
    <mergeCell ref="C470:M470"/>
    <mergeCell ref="C439:F439"/>
    <mergeCell ref="G439:H439"/>
    <mergeCell ref="I439:J439"/>
    <mergeCell ref="L439:M439"/>
    <mergeCell ref="G440:H440"/>
    <mergeCell ref="I440:J440"/>
    <mergeCell ref="L440:M440"/>
    <mergeCell ref="C440:F440"/>
    <mergeCell ref="C441:F441"/>
    <mergeCell ref="G441:H441"/>
    <mergeCell ref="I441:J441"/>
    <mergeCell ref="C442:F442"/>
    <mergeCell ref="G442:H442"/>
    <mergeCell ref="I442:J442"/>
    <mergeCell ref="C443:M443"/>
    <mergeCell ref="C444:N446"/>
    <mergeCell ref="D434:K434"/>
    <mergeCell ref="L434:M434"/>
    <mergeCell ref="C435:N437"/>
    <mergeCell ref="C438:F438"/>
    <mergeCell ref="G438:H438"/>
    <mergeCell ref="I438:J438"/>
    <mergeCell ref="L438:M438"/>
    <mergeCell ref="L417:M418"/>
    <mergeCell ref="N417:N418"/>
    <mergeCell ref="E419:K419"/>
    <mergeCell ref="L419:N419"/>
    <mergeCell ref="L420:L421"/>
    <mergeCell ref="M420:M421"/>
    <mergeCell ref="N420:N421"/>
    <mergeCell ref="E421:K422"/>
    <mergeCell ref="L422:N422"/>
    <mergeCell ref="M424:M425"/>
    <mergeCell ref="N424:N425"/>
    <mergeCell ref="C417:D425"/>
    <mergeCell ref="E417:K418"/>
    <mergeCell ref="L377:M377"/>
    <mergeCell ref="L383:M383"/>
    <mergeCell ref="L384:M384"/>
    <mergeCell ref="C390:M390"/>
    <mergeCell ref="C391:N393"/>
    <mergeCell ref="C394:H394"/>
    <mergeCell ref="L394:M394"/>
    <mergeCell ref="C395:H395"/>
    <mergeCell ref="L395:M395"/>
    <mergeCell ref="L396:M396"/>
    <mergeCell ref="E424:K425"/>
    <mergeCell ref="L424:L425"/>
    <mergeCell ref="D427:L427"/>
    <mergeCell ref="D428:L428"/>
    <mergeCell ref="C431:N431"/>
    <mergeCell ref="D433:K433"/>
    <mergeCell ref="L433:M433"/>
    <mergeCell ref="L397:M397"/>
    <mergeCell ref="C398:M398"/>
    <mergeCell ref="C400:M400"/>
    <mergeCell ref="J409:N410"/>
    <mergeCell ref="C410:E410"/>
    <mergeCell ref="C365:I365"/>
    <mergeCell ref="L365:M365"/>
    <mergeCell ref="C366:I366"/>
    <mergeCell ref="L366:M366"/>
    <mergeCell ref="L367:M367"/>
    <mergeCell ref="C367:I367"/>
    <mergeCell ref="C368:I368"/>
    <mergeCell ref="L368:M368"/>
    <mergeCell ref="C369:I369"/>
    <mergeCell ref="L369:M369"/>
    <mergeCell ref="C370:I370"/>
    <mergeCell ref="L370:M370"/>
    <mergeCell ref="C371:M371"/>
    <mergeCell ref="C372:N374"/>
    <mergeCell ref="C375:H375"/>
    <mergeCell ref="L375:M375"/>
    <mergeCell ref="C376:H376"/>
    <mergeCell ref="L376:M376"/>
    <mergeCell ref="L359:M359"/>
    <mergeCell ref="L360:M360"/>
    <mergeCell ref="C377:H377"/>
    <mergeCell ref="C378:M378"/>
    <mergeCell ref="C379:N381"/>
    <mergeCell ref="C382:H382"/>
    <mergeCell ref="L382:M382"/>
    <mergeCell ref="C383:H383"/>
    <mergeCell ref="C384:H384"/>
    <mergeCell ref="C385:H385"/>
    <mergeCell ref="L385:M385"/>
    <mergeCell ref="C386:H386"/>
    <mergeCell ref="L386:M386"/>
    <mergeCell ref="C387:H387"/>
    <mergeCell ref="L387:M387"/>
    <mergeCell ref="C388:M388"/>
    <mergeCell ref="C357:F357"/>
    <mergeCell ref="G357:H357"/>
    <mergeCell ref="I357:J357"/>
    <mergeCell ref="L357:M357"/>
    <mergeCell ref="G358:H358"/>
    <mergeCell ref="I358:J358"/>
    <mergeCell ref="L358:M358"/>
    <mergeCell ref="C358:F358"/>
    <mergeCell ref="C359:F359"/>
    <mergeCell ref="G359:H359"/>
    <mergeCell ref="I359:J359"/>
    <mergeCell ref="C360:F360"/>
    <mergeCell ref="G360:H360"/>
    <mergeCell ref="I360:J360"/>
    <mergeCell ref="C361:M361"/>
    <mergeCell ref="C362:N364"/>
    <mergeCell ref="C356:F356"/>
    <mergeCell ref="G356:H356"/>
    <mergeCell ref="I356:J356"/>
    <mergeCell ref="L356:M356"/>
    <mergeCell ref="L335:M336"/>
    <mergeCell ref="N335:N336"/>
    <mergeCell ref="E337:K337"/>
    <mergeCell ref="L337:N337"/>
    <mergeCell ref="L338:L339"/>
    <mergeCell ref="M338:M339"/>
    <mergeCell ref="N338:N339"/>
    <mergeCell ref="E339:K340"/>
    <mergeCell ref="L340:N340"/>
    <mergeCell ref="M342:M343"/>
    <mergeCell ref="N342:N343"/>
    <mergeCell ref="L315:M315"/>
    <mergeCell ref="C316:M316"/>
    <mergeCell ref="C318:M318"/>
    <mergeCell ref="J327:N328"/>
    <mergeCell ref="C328:E328"/>
    <mergeCell ref="C335:D343"/>
    <mergeCell ref="E335:K336"/>
    <mergeCell ref="C308:M308"/>
    <mergeCell ref="C309:N311"/>
    <mergeCell ref="C312:H312"/>
    <mergeCell ref="L312:M312"/>
    <mergeCell ref="C313:H313"/>
    <mergeCell ref="L313:M313"/>
    <mergeCell ref="L314:M314"/>
    <mergeCell ref="E342:K343"/>
    <mergeCell ref="L342:L343"/>
    <mergeCell ref="D345:L345"/>
    <mergeCell ref="D346:L346"/>
    <mergeCell ref="C349:N349"/>
    <mergeCell ref="D351:K351"/>
    <mergeCell ref="L351:M351"/>
    <mergeCell ref="D352:K352"/>
    <mergeCell ref="L352:M352"/>
    <mergeCell ref="C353:N355"/>
    <mergeCell ref="C303:H303"/>
    <mergeCell ref="L303:M303"/>
    <mergeCell ref="C304:H304"/>
    <mergeCell ref="L304:M304"/>
    <mergeCell ref="C305:H305"/>
    <mergeCell ref="L305:M305"/>
    <mergeCell ref="C306:M306"/>
    <mergeCell ref="C275:F275"/>
    <mergeCell ref="G275:H275"/>
    <mergeCell ref="I275:J275"/>
    <mergeCell ref="L275:M275"/>
    <mergeCell ref="G276:H276"/>
    <mergeCell ref="I276:J276"/>
    <mergeCell ref="L276:M276"/>
    <mergeCell ref="C276:F276"/>
    <mergeCell ref="C277:F277"/>
    <mergeCell ref="G277:H277"/>
    <mergeCell ref="I277:J277"/>
    <mergeCell ref="C278:F278"/>
    <mergeCell ref="G278:H278"/>
    <mergeCell ref="I278:J278"/>
    <mergeCell ref="C279:M279"/>
    <mergeCell ref="C280:N282"/>
    <mergeCell ref="C283:I283"/>
    <mergeCell ref="L283:M283"/>
    <mergeCell ref="C284:I284"/>
    <mergeCell ref="L284:M284"/>
    <mergeCell ref="L285:M285"/>
    <mergeCell ref="C285:I285"/>
    <mergeCell ref="C286:I286"/>
    <mergeCell ref="L286:M286"/>
    <mergeCell ref="C287:I287"/>
    <mergeCell ref="L129:M129"/>
    <mergeCell ref="L135:M135"/>
    <mergeCell ref="L136:M136"/>
    <mergeCell ref="C142:M142"/>
    <mergeCell ref="C143:N145"/>
    <mergeCell ref="C146:H146"/>
    <mergeCell ref="L146:M146"/>
    <mergeCell ref="C147:H147"/>
    <mergeCell ref="L147:M147"/>
    <mergeCell ref="L148:M148"/>
    <mergeCell ref="C295:H295"/>
    <mergeCell ref="C296:M296"/>
    <mergeCell ref="C297:N299"/>
    <mergeCell ref="C300:H300"/>
    <mergeCell ref="L300:M300"/>
    <mergeCell ref="C301:H301"/>
    <mergeCell ref="C302:H302"/>
    <mergeCell ref="L287:M287"/>
    <mergeCell ref="C288:I288"/>
    <mergeCell ref="L288:M288"/>
    <mergeCell ref="C289:M289"/>
    <mergeCell ref="C290:N292"/>
    <mergeCell ref="C293:H293"/>
    <mergeCell ref="L293:M293"/>
    <mergeCell ref="C294:H294"/>
    <mergeCell ref="L294:M294"/>
    <mergeCell ref="L295:M295"/>
    <mergeCell ref="L301:M301"/>
    <mergeCell ref="L302:M302"/>
    <mergeCell ref="E176:K177"/>
    <mergeCell ref="L176:L177"/>
    <mergeCell ref="D179:L179"/>
    <mergeCell ref="C117:I117"/>
    <mergeCell ref="L117:M117"/>
    <mergeCell ref="C118:I118"/>
    <mergeCell ref="L118:M118"/>
    <mergeCell ref="L119:M119"/>
    <mergeCell ref="C119:I119"/>
    <mergeCell ref="C120:I120"/>
    <mergeCell ref="L120:M120"/>
    <mergeCell ref="C121:I121"/>
    <mergeCell ref="L121:M121"/>
    <mergeCell ref="C122:I122"/>
    <mergeCell ref="L122:M122"/>
    <mergeCell ref="C123:M123"/>
    <mergeCell ref="C124:N126"/>
    <mergeCell ref="C127:H127"/>
    <mergeCell ref="L127:M127"/>
    <mergeCell ref="C128:H128"/>
    <mergeCell ref="L128:M128"/>
    <mergeCell ref="L111:M111"/>
    <mergeCell ref="L112:M112"/>
    <mergeCell ref="C129:H129"/>
    <mergeCell ref="C130:M130"/>
    <mergeCell ref="C131:N133"/>
    <mergeCell ref="C134:H134"/>
    <mergeCell ref="L134:M134"/>
    <mergeCell ref="C135:H135"/>
    <mergeCell ref="C136:H136"/>
    <mergeCell ref="C137:H137"/>
    <mergeCell ref="L137:M137"/>
    <mergeCell ref="C138:H138"/>
    <mergeCell ref="L138:M138"/>
    <mergeCell ref="C139:H139"/>
    <mergeCell ref="L139:M139"/>
    <mergeCell ref="C140:M140"/>
    <mergeCell ref="C109:F109"/>
    <mergeCell ref="G109:H109"/>
    <mergeCell ref="I109:J109"/>
    <mergeCell ref="L109:M109"/>
    <mergeCell ref="G110:H110"/>
    <mergeCell ref="I110:J110"/>
    <mergeCell ref="L110:M110"/>
    <mergeCell ref="C110:F110"/>
    <mergeCell ref="C111:F111"/>
    <mergeCell ref="G111:H111"/>
    <mergeCell ref="I111:J111"/>
    <mergeCell ref="C112:F112"/>
    <mergeCell ref="G112:H112"/>
    <mergeCell ref="I112:J112"/>
    <mergeCell ref="C113:M113"/>
    <mergeCell ref="C114:N116"/>
    <mergeCell ref="D103:K103"/>
    <mergeCell ref="L103:M103"/>
    <mergeCell ref="D104:K104"/>
    <mergeCell ref="L104:M104"/>
    <mergeCell ref="C53:H53"/>
    <mergeCell ref="C54:H54"/>
    <mergeCell ref="C55:H55"/>
    <mergeCell ref="L55:M55"/>
    <mergeCell ref="C56:H56"/>
    <mergeCell ref="L56:M56"/>
    <mergeCell ref="C57:H57"/>
    <mergeCell ref="L57:M57"/>
    <mergeCell ref="C58:M58"/>
    <mergeCell ref="C105:N107"/>
    <mergeCell ref="C108:F108"/>
    <mergeCell ref="G108:H108"/>
    <mergeCell ref="I108:J108"/>
    <mergeCell ref="L108:M108"/>
    <mergeCell ref="L87:M88"/>
    <mergeCell ref="N87:N88"/>
    <mergeCell ref="E89:K89"/>
    <mergeCell ref="L89:N89"/>
    <mergeCell ref="L90:L91"/>
    <mergeCell ref="M90:M91"/>
    <mergeCell ref="N90:N91"/>
    <mergeCell ref="E91:K92"/>
    <mergeCell ref="L92:N92"/>
    <mergeCell ref="M94:M95"/>
    <mergeCell ref="N94:N95"/>
    <mergeCell ref="L67:M67"/>
    <mergeCell ref="C68:M68"/>
    <mergeCell ref="C70:M70"/>
    <mergeCell ref="L53:M53"/>
    <mergeCell ref="L54:M54"/>
    <mergeCell ref="C60:M60"/>
    <mergeCell ref="C61:N63"/>
    <mergeCell ref="C64:H64"/>
    <mergeCell ref="L64:M64"/>
    <mergeCell ref="C65:H65"/>
    <mergeCell ref="L65:M65"/>
    <mergeCell ref="L66:M66"/>
    <mergeCell ref="E94:K95"/>
    <mergeCell ref="L94:L95"/>
    <mergeCell ref="D97:L97"/>
    <mergeCell ref="D98:L98"/>
    <mergeCell ref="C101:N101"/>
    <mergeCell ref="J79:N80"/>
    <mergeCell ref="C80:E80"/>
    <mergeCell ref="C87:D95"/>
    <mergeCell ref="E87:K88"/>
    <mergeCell ref="C19:N19"/>
    <mergeCell ref="D21:K21"/>
    <mergeCell ref="L21:M21"/>
    <mergeCell ref="D22:K22"/>
    <mergeCell ref="L22:M22"/>
    <mergeCell ref="C23:N25"/>
    <mergeCell ref="C26:F26"/>
    <mergeCell ref="G26:H26"/>
    <mergeCell ref="I26:J26"/>
    <mergeCell ref="L26:M26"/>
    <mergeCell ref="L29:M29"/>
    <mergeCell ref="L30:M30"/>
    <mergeCell ref="C27:F27"/>
    <mergeCell ref="G27:H27"/>
    <mergeCell ref="I27:J27"/>
    <mergeCell ref="L27:M27"/>
    <mergeCell ref="G28:H28"/>
    <mergeCell ref="I28:J28"/>
    <mergeCell ref="L28:M28"/>
    <mergeCell ref="C28:F28"/>
    <mergeCell ref="C29:F29"/>
    <mergeCell ref="G29:H29"/>
    <mergeCell ref="I29:J29"/>
    <mergeCell ref="C30:F30"/>
    <mergeCell ref="G30:H30"/>
    <mergeCell ref="I30:J30"/>
    <mergeCell ref="C31:M31"/>
    <mergeCell ref="C47:H47"/>
    <mergeCell ref="C48:M48"/>
    <mergeCell ref="C49:N51"/>
    <mergeCell ref="C52:H52"/>
    <mergeCell ref="L52:M52"/>
    <mergeCell ref="L38:M38"/>
    <mergeCell ref="C39:I39"/>
    <mergeCell ref="L39:M39"/>
    <mergeCell ref="C40:I40"/>
    <mergeCell ref="L40:M40"/>
    <mergeCell ref="C41:M41"/>
    <mergeCell ref="C42:N44"/>
    <mergeCell ref="C45:H45"/>
    <mergeCell ref="L45:M45"/>
    <mergeCell ref="C46:H46"/>
    <mergeCell ref="L46:M46"/>
    <mergeCell ref="L47:M47"/>
    <mergeCell ref="C32:N34"/>
    <mergeCell ref="C35:I35"/>
    <mergeCell ref="L35:M35"/>
    <mergeCell ref="C36:I36"/>
    <mergeCell ref="L36:M36"/>
    <mergeCell ref="L37:M37"/>
    <mergeCell ref="C37:I37"/>
    <mergeCell ref="C38:I38"/>
    <mergeCell ref="M8:M9"/>
    <mergeCell ref="N8:N9"/>
    <mergeCell ref="E9:K10"/>
    <mergeCell ref="L10:N10"/>
    <mergeCell ref="M12:M13"/>
    <mergeCell ref="N12:N13"/>
    <mergeCell ref="C5:D13"/>
    <mergeCell ref="E5:K6"/>
    <mergeCell ref="L5:M6"/>
    <mergeCell ref="N5:N6"/>
    <mergeCell ref="E7:K7"/>
    <mergeCell ref="L7:N7"/>
    <mergeCell ref="L8:L9"/>
    <mergeCell ref="E12:K13"/>
    <mergeCell ref="L12:L13"/>
    <mergeCell ref="D15:L15"/>
    <mergeCell ref="D16:L16"/>
  </mergeCells>
  <conditionalFormatting sqref="A1:A1151">
    <cfRule type="cellIs" dxfId="97" priority="1" operator="equal">
      <formula>0</formula>
    </cfRule>
  </conditionalFormatting>
  <dataValidations count="4">
    <dataValidation type="list" allowBlank="1" showErrorMessage="1" sqref="C28:C30 C110:C112 C192:C194 C276:C278 C358:C360 C440:C442 C524:C526 C606:C608 C688:C690 C770:C772 C852:C854 C934:C936 C1016:C1018 C1098:C1100" xr:uid="{00000000-0002-0000-0800-000000000000}">
      <formula1>Equipos</formula1>
    </dataValidation>
    <dataValidation type="list" allowBlank="1" showErrorMessage="1" sqref="C46:C47 C128:C129 C210:C211 C294:C295 C376:C377 C458:C459 C542:C543 C624:C625 C706:C707 C788:C789 C870:C871 C952:C953 C1034:C1035 C1116:C1117" xr:uid="{00000000-0002-0000-0800-000001000000}">
      <formula1>Transporte</formula1>
    </dataValidation>
    <dataValidation type="list" allowBlank="1" showErrorMessage="1" sqref="C36:C40 C118:C122 C200:C203 C284:C287 C366:C369 C448:C451 C532:C536 C614:C617 C696:C700 C778:C782 C860:C864 C942:C946 C1024:C1026 C1106:C1109" xr:uid="{00000000-0002-0000-0800-000002000000}">
      <formula1>Materiales</formula1>
    </dataValidation>
    <dataValidation type="list" allowBlank="1" showErrorMessage="1" sqref="C53:C57 C135:C139 C218:C219 C302:C303 C384:C385 C466:C467 C550:C551 C632:C633 C714:C717 C796:C799 C878:C879 C960:C961 C1042:C1045 C1124:C1127" xr:uid="{00000000-0002-0000-0800-000003000000}">
      <formula1>MO</formula1>
    </dataValidation>
  </dataValidations>
  <hyperlinks>
    <hyperlink ref="Q270" r:id="rId1" xr:uid="{00000000-0004-0000-0800-000000000000}"/>
    <hyperlink ref="Q301" r:id="rId2" xr:uid="{00000000-0004-0000-0800-000001000000}"/>
  </hyperlinks>
  <printOptions horizontalCentered="1" verticalCentered="1"/>
  <pageMargins left="0.7" right="0.7" top="0.75" bottom="0.75" header="0" footer="0"/>
  <pageSetup orientation="portrait"/>
  <rowBreaks count="10" manualBreakCount="10">
    <brk id="578" man="1"/>
    <brk id="82" man="1"/>
    <brk id="660" man="1"/>
    <brk id="742" man="1"/>
    <brk id="248" man="1"/>
    <brk id="824" man="1"/>
    <brk id="906" man="1"/>
    <brk id="330" man="1"/>
    <brk id="412" man="1"/>
    <brk id="494" man="1"/>
  </rowBreaks>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pageSetUpPr fitToPage="1"/>
  </sheetPr>
  <dimension ref="B2:O52"/>
  <sheetViews>
    <sheetView topLeftCell="A24" zoomScale="70" zoomScaleNormal="70" workbookViewId="0"/>
  </sheetViews>
  <sheetFormatPr baseColWidth="10" defaultColWidth="14.42578125" defaultRowHeight="15" customHeight="1"/>
  <cols>
    <col min="1" max="1" width="11.42578125" customWidth="1"/>
    <col min="2" max="2" width="14.28515625" customWidth="1"/>
    <col min="3" max="6" width="13.85546875" customWidth="1"/>
    <col min="7" max="9" width="11.42578125" customWidth="1"/>
    <col min="10" max="10" width="14.7109375" customWidth="1"/>
    <col min="11" max="14" width="11.42578125" customWidth="1"/>
    <col min="15" max="15" width="12.28515625" customWidth="1"/>
    <col min="16" max="19" width="6.42578125" customWidth="1"/>
    <col min="20" max="26" width="11.42578125" customWidth="1"/>
  </cols>
  <sheetData>
    <row r="2" spans="2:15" ht="28.5" customHeight="1">
      <c r="B2" s="1168" t="s">
        <v>955</v>
      </c>
      <c r="C2" s="995"/>
      <c r="D2" s="995"/>
      <c r="E2" s="995"/>
      <c r="F2" s="995"/>
      <c r="G2" s="995"/>
      <c r="H2" s="995"/>
      <c r="I2" s="995"/>
      <c r="J2" s="995"/>
      <c r="K2" s="995"/>
      <c r="L2" s="995"/>
      <c r="M2" s="995"/>
      <c r="N2" s="995"/>
      <c r="O2" s="996"/>
    </row>
    <row r="3" spans="2:15">
      <c r="B3" s="622"/>
      <c r="C3" s="622"/>
      <c r="D3" s="622"/>
      <c r="E3" s="622"/>
      <c r="F3" s="622"/>
      <c r="G3" s="623"/>
      <c r="H3" s="622"/>
      <c r="I3" s="622"/>
      <c r="J3" s="622"/>
      <c r="K3" s="622"/>
      <c r="L3" s="622"/>
      <c r="M3" s="622"/>
      <c r="N3" s="622"/>
      <c r="O3" s="622"/>
    </row>
    <row r="4" spans="2:15">
      <c r="B4" s="622"/>
      <c r="C4" s="622"/>
      <c r="D4" s="622"/>
      <c r="E4" s="622"/>
      <c r="F4" s="622"/>
      <c r="G4" s="623"/>
      <c r="H4" s="622"/>
      <c r="I4" s="622"/>
      <c r="J4" s="622"/>
      <c r="K4" s="622"/>
      <c r="L4" s="622"/>
      <c r="M4" s="622"/>
      <c r="N4" s="622"/>
      <c r="O4" s="622"/>
    </row>
    <row r="5" spans="2:15">
      <c r="B5" s="1169" t="s">
        <v>2294</v>
      </c>
      <c r="C5" s="926"/>
      <c r="D5" s="926"/>
      <c r="E5" s="926"/>
      <c r="F5" s="926"/>
      <c r="G5" s="926"/>
      <c r="H5" s="926"/>
      <c r="I5" s="926"/>
      <c r="J5" s="926"/>
      <c r="K5" s="926"/>
      <c r="L5" s="926"/>
      <c r="M5" s="926"/>
      <c r="N5" s="926"/>
      <c r="O5" s="927"/>
    </row>
    <row r="6" spans="2:15">
      <c r="B6" s="929"/>
      <c r="C6" s="936"/>
      <c r="D6" s="936"/>
      <c r="E6" s="936"/>
      <c r="F6" s="936"/>
      <c r="G6" s="936"/>
      <c r="H6" s="936"/>
      <c r="I6" s="936"/>
      <c r="J6" s="936"/>
      <c r="K6" s="936"/>
      <c r="L6" s="936"/>
      <c r="M6" s="936"/>
      <c r="N6" s="936"/>
      <c r="O6" s="938"/>
    </row>
    <row r="7" spans="2:15">
      <c r="B7" s="624"/>
      <c r="C7" s="625"/>
      <c r="D7" s="625"/>
      <c r="E7" s="625"/>
      <c r="F7" s="625"/>
      <c r="G7" s="626"/>
      <c r="H7" s="625"/>
      <c r="I7" s="625"/>
      <c r="J7" s="625"/>
      <c r="K7" s="625"/>
      <c r="L7" s="625"/>
      <c r="M7" s="625"/>
      <c r="N7" s="625"/>
      <c r="O7" s="627"/>
    </row>
    <row r="8" spans="2:15" ht="21.75" customHeight="1">
      <c r="B8" s="1170" t="s">
        <v>2295</v>
      </c>
      <c r="C8" s="1000"/>
      <c r="D8" s="628" t="str">
        <f>Datos!$C$13</f>
        <v xml:space="preserve">BGA - 030 - 2026 </v>
      </c>
      <c r="E8" s="1171" t="s">
        <v>2296</v>
      </c>
      <c r="F8" s="1000"/>
      <c r="G8" s="1172"/>
      <c r="H8" s="1131"/>
      <c r="I8" s="1131"/>
      <c r="J8" s="1131"/>
      <c r="K8" s="1000"/>
      <c r="L8" s="1171" t="s">
        <v>2297</v>
      </c>
      <c r="M8" s="1000"/>
      <c r="N8" s="1173"/>
      <c r="O8" s="1137"/>
    </row>
    <row r="9" spans="2:15" ht="35.25" customHeight="1">
      <c r="B9" s="1174" t="s">
        <v>10</v>
      </c>
      <c r="C9" s="941"/>
      <c r="D9" s="1175"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E9" s="940"/>
      <c r="F9" s="940"/>
      <c r="G9" s="940"/>
      <c r="H9" s="940"/>
      <c r="I9" s="940"/>
      <c r="J9" s="940"/>
      <c r="K9" s="940"/>
      <c r="L9" s="940"/>
      <c r="M9" s="940"/>
      <c r="N9" s="940"/>
      <c r="O9" s="973"/>
    </row>
    <row r="10" spans="2:15" ht="27" customHeight="1">
      <c r="B10" s="1176" t="s">
        <v>2298</v>
      </c>
      <c r="C10" s="1039"/>
      <c r="D10" s="1177" t="str">
        <f>Datos!$C$27</f>
        <v>SASERCO SAS</v>
      </c>
      <c r="E10" s="995"/>
      <c r="F10" s="995"/>
      <c r="G10" s="995"/>
      <c r="H10" s="995"/>
      <c r="I10" s="995"/>
      <c r="J10" s="995"/>
      <c r="K10" s="1178"/>
      <c r="L10" s="1179" t="s">
        <v>2299</v>
      </c>
      <c r="M10" s="1178"/>
      <c r="N10" s="1180" t="str">
        <f>Datos!$C$14</f>
        <v>CONFINES, SANTANDER</v>
      </c>
      <c r="O10" s="1158"/>
    </row>
    <row r="11" spans="2:15">
      <c r="B11" s="629"/>
      <c r="C11" s="630"/>
      <c r="D11" s="630"/>
      <c r="E11" s="630"/>
      <c r="F11" s="630"/>
      <c r="G11" s="631"/>
      <c r="H11" s="630"/>
      <c r="I11" s="630"/>
      <c r="J11" s="630"/>
      <c r="K11" s="630"/>
      <c r="L11" s="630"/>
      <c r="M11" s="630"/>
      <c r="N11" s="630"/>
      <c r="O11" s="632"/>
    </row>
    <row r="12" spans="2:15" ht="30" customHeight="1">
      <c r="B12" s="633" t="s">
        <v>2300</v>
      </c>
      <c r="C12" s="634" t="s">
        <v>956</v>
      </c>
      <c r="D12" s="1157" t="e">
        <f>+VLOOKUP(C12,ListaAct,4,FALSE)</f>
        <v>#N/A</v>
      </c>
      <c r="E12" s="995"/>
      <c r="F12" s="995"/>
      <c r="G12" s="995"/>
      <c r="H12" s="995"/>
      <c r="I12" s="1158"/>
      <c r="J12" s="635" t="s">
        <v>123</v>
      </c>
      <c r="K12" s="636" t="e">
        <f>+VLOOKUP(C12,ListaAct,5,FALSE)</f>
        <v>#N/A</v>
      </c>
      <c r="L12" s="637" t="s">
        <v>2299</v>
      </c>
      <c r="M12" s="1157" t="str">
        <f>Datos!$C$14</f>
        <v>CONFINES, SANTANDER</v>
      </c>
      <c r="N12" s="995"/>
      <c r="O12" s="1158"/>
    </row>
    <row r="13" spans="2:15" ht="15.75" customHeight="1">
      <c r="B13" s="1159" t="s">
        <v>2301</v>
      </c>
      <c r="C13" s="926"/>
      <c r="D13" s="926"/>
      <c r="E13" s="926"/>
      <c r="F13" s="1160"/>
      <c r="G13" s="1155" t="s">
        <v>261</v>
      </c>
      <c r="H13" s="1162" t="s">
        <v>17</v>
      </c>
      <c r="I13" s="926"/>
      <c r="J13" s="927"/>
      <c r="K13" s="1165" t="s">
        <v>2302</v>
      </c>
      <c r="L13" s="965"/>
      <c r="M13" s="1166"/>
      <c r="N13" s="629"/>
      <c r="O13" s="1155" t="s">
        <v>2303</v>
      </c>
    </row>
    <row r="14" spans="2:15">
      <c r="B14" s="929"/>
      <c r="C14" s="936"/>
      <c r="D14" s="936"/>
      <c r="E14" s="936"/>
      <c r="F14" s="1161"/>
      <c r="G14" s="1156"/>
      <c r="H14" s="1163"/>
      <c r="I14" s="987"/>
      <c r="J14" s="1164"/>
      <c r="K14" s="625" t="s">
        <v>2304</v>
      </c>
      <c r="L14" s="625" t="s">
        <v>2305</v>
      </c>
      <c r="M14" s="627" t="s">
        <v>2306</v>
      </c>
      <c r="N14" s="627" t="s">
        <v>270</v>
      </c>
      <c r="O14" s="1156"/>
    </row>
    <row r="15" spans="2:15">
      <c r="B15" s="238"/>
      <c r="C15" s="622"/>
      <c r="D15" s="622"/>
      <c r="E15" s="622"/>
      <c r="F15" s="622"/>
      <c r="G15" s="638">
        <v>1</v>
      </c>
      <c r="H15" s="1181"/>
      <c r="I15" s="1131"/>
      <c r="J15" s="1000"/>
      <c r="K15" s="639"/>
      <c r="L15" s="640"/>
      <c r="M15" s="640"/>
      <c r="N15" s="641"/>
      <c r="O15" s="642"/>
    </row>
    <row r="16" spans="2:15">
      <c r="B16" s="238"/>
      <c r="C16" s="622"/>
      <c r="D16" s="622"/>
      <c r="E16" s="622"/>
      <c r="F16" s="622"/>
      <c r="G16" s="643">
        <v>2</v>
      </c>
      <c r="H16" s="1182"/>
      <c r="I16" s="940"/>
      <c r="J16" s="1047"/>
      <c r="K16" s="644"/>
      <c r="L16" s="645"/>
      <c r="M16" s="645"/>
      <c r="N16" s="646"/>
      <c r="O16" s="647">
        <f t="shared" ref="O16:O38" si="0">+PRODUCT(K16:N16)</f>
        <v>0</v>
      </c>
    </row>
    <row r="17" spans="2:15">
      <c r="B17" s="238"/>
      <c r="C17" s="622"/>
      <c r="D17" s="622"/>
      <c r="E17" s="622"/>
      <c r="F17" s="622"/>
      <c r="G17" s="643">
        <v>3</v>
      </c>
      <c r="H17" s="1167"/>
      <c r="I17" s="940"/>
      <c r="J17" s="1047"/>
      <c r="K17" s="648"/>
      <c r="L17" s="649"/>
      <c r="M17" s="645"/>
      <c r="N17" s="646"/>
      <c r="O17" s="647">
        <f t="shared" si="0"/>
        <v>0</v>
      </c>
    </row>
    <row r="18" spans="2:15">
      <c r="B18" s="238"/>
      <c r="C18" s="622"/>
      <c r="D18" s="622"/>
      <c r="E18" s="622"/>
      <c r="F18" s="622"/>
      <c r="G18" s="643">
        <v>4</v>
      </c>
      <c r="H18" s="1167"/>
      <c r="I18" s="940"/>
      <c r="J18" s="1047"/>
      <c r="K18" s="648"/>
      <c r="L18" s="649"/>
      <c r="M18" s="649"/>
      <c r="N18" s="650"/>
      <c r="O18" s="647">
        <f t="shared" si="0"/>
        <v>0</v>
      </c>
    </row>
    <row r="19" spans="2:15">
      <c r="B19" s="238"/>
      <c r="C19" s="622"/>
      <c r="D19" s="622"/>
      <c r="E19" s="622"/>
      <c r="F19" s="622"/>
      <c r="G19" s="643">
        <v>5</v>
      </c>
      <c r="H19" s="1167"/>
      <c r="I19" s="940"/>
      <c r="J19" s="1047"/>
      <c r="K19" s="648"/>
      <c r="L19" s="649"/>
      <c r="M19" s="649"/>
      <c r="N19" s="650"/>
      <c r="O19" s="647">
        <f t="shared" si="0"/>
        <v>0</v>
      </c>
    </row>
    <row r="20" spans="2:15">
      <c r="B20" s="238"/>
      <c r="C20" s="622"/>
      <c r="D20" s="622"/>
      <c r="E20" s="622"/>
      <c r="F20" s="622"/>
      <c r="G20" s="643">
        <v>6</v>
      </c>
      <c r="H20" s="1167"/>
      <c r="I20" s="940"/>
      <c r="J20" s="1047"/>
      <c r="K20" s="648"/>
      <c r="L20" s="649"/>
      <c r="M20" s="649"/>
      <c r="N20" s="650"/>
      <c r="O20" s="647">
        <f t="shared" si="0"/>
        <v>0</v>
      </c>
    </row>
    <row r="21" spans="2:15" ht="15.75" customHeight="1">
      <c r="B21" s="238"/>
      <c r="C21" s="622"/>
      <c r="D21" s="622"/>
      <c r="E21" s="622"/>
      <c r="F21" s="622"/>
      <c r="G21" s="643">
        <v>7</v>
      </c>
      <c r="H21" s="1167"/>
      <c r="I21" s="940"/>
      <c r="J21" s="1047"/>
      <c r="K21" s="648"/>
      <c r="L21" s="649"/>
      <c r="M21" s="649"/>
      <c r="N21" s="650"/>
      <c r="O21" s="647">
        <f t="shared" si="0"/>
        <v>0</v>
      </c>
    </row>
    <row r="22" spans="2:15" ht="15.75" customHeight="1">
      <c r="B22" s="238"/>
      <c r="C22" s="622"/>
      <c r="D22" s="622"/>
      <c r="E22" s="622"/>
      <c r="F22" s="622"/>
      <c r="G22" s="643">
        <v>8</v>
      </c>
      <c r="H22" s="1167"/>
      <c r="I22" s="940"/>
      <c r="J22" s="1047"/>
      <c r="K22" s="648"/>
      <c r="L22" s="649"/>
      <c r="M22" s="649"/>
      <c r="N22" s="650"/>
      <c r="O22" s="647">
        <f t="shared" si="0"/>
        <v>0</v>
      </c>
    </row>
    <row r="23" spans="2:15" ht="15.75" customHeight="1">
      <c r="B23" s="238"/>
      <c r="C23" s="622"/>
      <c r="D23" s="622"/>
      <c r="E23" s="622"/>
      <c r="F23" s="622"/>
      <c r="G23" s="643">
        <v>9</v>
      </c>
      <c r="H23" s="1167"/>
      <c r="I23" s="940"/>
      <c r="J23" s="1047"/>
      <c r="K23" s="648"/>
      <c r="L23" s="649"/>
      <c r="M23" s="649"/>
      <c r="N23" s="650"/>
      <c r="O23" s="647">
        <f t="shared" si="0"/>
        <v>0</v>
      </c>
    </row>
    <row r="24" spans="2:15" ht="15.75" customHeight="1">
      <c r="B24" s="238"/>
      <c r="C24" s="622"/>
      <c r="D24" s="622"/>
      <c r="E24" s="622"/>
      <c r="F24" s="622"/>
      <c r="G24" s="643">
        <v>10</v>
      </c>
      <c r="H24" s="1167"/>
      <c r="I24" s="940"/>
      <c r="J24" s="1047"/>
      <c r="K24" s="648"/>
      <c r="L24" s="649"/>
      <c r="M24" s="649"/>
      <c r="N24" s="650"/>
      <c r="O24" s="647">
        <f t="shared" si="0"/>
        <v>0</v>
      </c>
    </row>
    <row r="25" spans="2:15" ht="15.75" customHeight="1">
      <c r="B25" s="238"/>
      <c r="C25" s="622"/>
      <c r="D25" s="622"/>
      <c r="E25" s="622"/>
      <c r="F25" s="622"/>
      <c r="G25" s="643">
        <v>11</v>
      </c>
      <c r="H25" s="1167"/>
      <c r="I25" s="940"/>
      <c r="J25" s="1047"/>
      <c r="K25" s="648"/>
      <c r="L25" s="649"/>
      <c r="M25" s="649"/>
      <c r="N25" s="650"/>
      <c r="O25" s="647">
        <f t="shared" si="0"/>
        <v>0</v>
      </c>
    </row>
    <row r="26" spans="2:15" ht="15.75" customHeight="1">
      <c r="B26" s="238"/>
      <c r="C26" s="622"/>
      <c r="D26" s="622"/>
      <c r="E26" s="622"/>
      <c r="F26" s="622"/>
      <c r="G26" s="643">
        <v>12</v>
      </c>
      <c r="H26" s="1167"/>
      <c r="I26" s="940"/>
      <c r="J26" s="1047"/>
      <c r="K26" s="648"/>
      <c r="L26" s="649"/>
      <c r="M26" s="649"/>
      <c r="N26" s="650"/>
      <c r="O26" s="647">
        <f t="shared" si="0"/>
        <v>0</v>
      </c>
    </row>
    <row r="27" spans="2:15" ht="15.75" customHeight="1">
      <c r="B27" s="238"/>
      <c r="C27" s="622"/>
      <c r="D27" s="622"/>
      <c r="E27" s="622"/>
      <c r="F27" s="622"/>
      <c r="G27" s="643">
        <v>13</v>
      </c>
      <c r="H27" s="1167"/>
      <c r="I27" s="940"/>
      <c r="J27" s="1047"/>
      <c r="K27" s="648"/>
      <c r="L27" s="649"/>
      <c r="M27" s="649"/>
      <c r="N27" s="650"/>
      <c r="O27" s="647">
        <f t="shared" si="0"/>
        <v>0</v>
      </c>
    </row>
    <row r="28" spans="2:15" ht="15.75" customHeight="1">
      <c r="B28" s="238"/>
      <c r="C28" s="622"/>
      <c r="D28" s="622"/>
      <c r="E28" s="622"/>
      <c r="F28" s="622"/>
      <c r="G28" s="643">
        <v>14</v>
      </c>
      <c r="H28" s="1167"/>
      <c r="I28" s="940"/>
      <c r="J28" s="1047"/>
      <c r="K28" s="648"/>
      <c r="L28" s="649"/>
      <c r="M28" s="649"/>
      <c r="N28" s="650"/>
      <c r="O28" s="647">
        <f t="shared" si="0"/>
        <v>0</v>
      </c>
    </row>
    <row r="29" spans="2:15" ht="15.75" customHeight="1">
      <c r="B29" s="238"/>
      <c r="C29" s="622"/>
      <c r="D29" s="622"/>
      <c r="E29" s="622"/>
      <c r="F29" s="622"/>
      <c r="G29" s="643">
        <v>15</v>
      </c>
      <c r="H29" s="1167"/>
      <c r="I29" s="940"/>
      <c r="J29" s="1047"/>
      <c r="K29" s="648"/>
      <c r="L29" s="649"/>
      <c r="M29" s="649"/>
      <c r="N29" s="650"/>
      <c r="O29" s="647">
        <f t="shared" si="0"/>
        <v>0</v>
      </c>
    </row>
    <row r="30" spans="2:15" ht="15.75" customHeight="1">
      <c r="B30" s="238"/>
      <c r="C30" s="622"/>
      <c r="D30" s="622"/>
      <c r="E30" s="622"/>
      <c r="F30" s="622"/>
      <c r="G30" s="643">
        <v>16</v>
      </c>
      <c r="H30" s="1167"/>
      <c r="I30" s="940"/>
      <c r="J30" s="1047"/>
      <c r="K30" s="648"/>
      <c r="L30" s="649"/>
      <c r="M30" s="649"/>
      <c r="N30" s="650"/>
      <c r="O30" s="647">
        <f t="shared" si="0"/>
        <v>0</v>
      </c>
    </row>
    <row r="31" spans="2:15" ht="15.75" customHeight="1">
      <c r="B31" s="238"/>
      <c r="C31" s="622"/>
      <c r="D31" s="622"/>
      <c r="E31" s="622"/>
      <c r="F31" s="622"/>
      <c r="G31" s="643">
        <v>17</v>
      </c>
      <c r="H31" s="1167"/>
      <c r="I31" s="940"/>
      <c r="J31" s="1047"/>
      <c r="K31" s="648"/>
      <c r="L31" s="649"/>
      <c r="M31" s="649"/>
      <c r="N31" s="650"/>
      <c r="O31" s="647">
        <f t="shared" si="0"/>
        <v>0</v>
      </c>
    </row>
    <row r="32" spans="2:15" ht="15.75" customHeight="1">
      <c r="B32" s="238"/>
      <c r="C32" s="622"/>
      <c r="D32" s="622"/>
      <c r="E32" s="622"/>
      <c r="F32" s="622"/>
      <c r="G32" s="643">
        <v>18</v>
      </c>
      <c r="H32" s="1167"/>
      <c r="I32" s="940"/>
      <c r="J32" s="1047"/>
      <c r="K32" s="648"/>
      <c r="L32" s="649"/>
      <c r="M32" s="649"/>
      <c r="N32" s="650"/>
      <c r="O32" s="647">
        <f t="shared" si="0"/>
        <v>0</v>
      </c>
    </row>
    <row r="33" spans="2:15" ht="15.75" customHeight="1">
      <c r="B33" s="238"/>
      <c r="C33" s="622"/>
      <c r="D33" s="622"/>
      <c r="E33" s="622"/>
      <c r="F33" s="622"/>
      <c r="G33" s="643">
        <v>19</v>
      </c>
      <c r="H33" s="1187"/>
      <c r="I33" s="940"/>
      <c r="J33" s="1047"/>
      <c r="K33" s="648"/>
      <c r="L33" s="649"/>
      <c r="M33" s="649"/>
      <c r="N33" s="650"/>
      <c r="O33" s="647">
        <f t="shared" si="0"/>
        <v>0</v>
      </c>
    </row>
    <row r="34" spans="2:15" ht="15.75" customHeight="1">
      <c r="B34" s="238"/>
      <c r="C34" s="622"/>
      <c r="D34" s="622"/>
      <c r="E34" s="622"/>
      <c r="F34" s="622"/>
      <c r="G34" s="643">
        <v>20</v>
      </c>
      <c r="H34" s="1187"/>
      <c r="I34" s="940"/>
      <c r="J34" s="1047"/>
      <c r="K34" s="648"/>
      <c r="L34" s="649"/>
      <c r="M34" s="649"/>
      <c r="N34" s="650"/>
      <c r="O34" s="647">
        <f t="shared" si="0"/>
        <v>0</v>
      </c>
    </row>
    <row r="35" spans="2:15" ht="15.75" customHeight="1">
      <c r="B35" s="238"/>
      <c r="C35" s="622"/>
      <c r="D35" s="622"/>
      <c r="E35" s="622"/>
      <c r="F35" s="622"/>
      <c r="G35" s="643">
        <v>21</v>
      </c>
      <c r="H35" s="1187"/>
      <c r="I35" s="940"/>
      <c r="J35" s="1047"/>
      <c r="K35" s="648"/>
      <c r="L35" s="649"/>
      <c r="M35" s="649"/>
      <c r="N35" s="650"/>
      <c r="O35" s="647">
        <f t="shared" si="0"/>
        <v>0</v>
      </c>
    </row>
    <row r="36" spans="2:15" ht="15.75" customHeight="1">
      <c r="B36" s="238"/>
      <c r="C36" s="622"/>
      <c r="D36" s="622"/>
      <c r="E36" s="622"/>
      <c r="F36" s="622"/>
      <c r="G36" s="643">
        <v>22</v>
      </c>
      <c r="H36" s="1187"/>
      <c r="I36" s="940"/>
      <c r="J36" s="1047"/>
      <c r="K36" s="648"/>
      <c r="L36" s="649"/>
      <c r="M36" s="649"/>
      <c r="N36" s="650"/>
      <c r="O36" s="647">
        <f t="shared" si="0"/>
        <v>0</v>
      </c>
    </row>
    <row r="37" spans="2:15" ht="15.75" customHeight="1">
      <c r="B37" s="238"/>
      <c r="C37" s="622"/>
      <c r="D37" s="622"/>
      <c r="E37" s="622"/>
      <c r="F37" s="622"/>
      <c r="G37" s="643">
        <v>23</v>
      </c>
      <c r="H37" s="1187"/>
      <c r="I37" s="940"/>
      <c r="J37" s="1047"/>
      <c r="K37" s="648"/>
      <c r="L37" s="649"/>
      <c r="M37" s="649"/>
      <c r="N37" s="650"/>
      <c r="O37" s="647">
        <f t="shared" si="0"/>
        <v>0</v>
      </c>
    </row>
    <row r="38" spans="2:15" ht="15.75" customHeight="1">
      <c r="B38" s="238"/>
      <c r="C38" s="622"/>
      <c r="D38" s="622"/>
      <c r="E38" s="622"/>
      <c r="F38" s="622"/>
      <c r="G38" s="651">
        <v>24</v>
      </c>
      <c r="H38" s="1188"/>
      <c r="I38" s="979"/>
      <c r="J38" s="1189"/>
      <c r="K38" s="652"/>
      <c r="L38" s="653"/>
      <c r="M38" s="653"/>
      <c r="N38" s="654"/>
      <c r="O38" s="655">
        <f t="shared" si="0"/>
        <v>0</v>
      </c>
    </row>
    <row r="39" spans="2:15" ht="15.75" customHeight="1">
      <c r="B39" s="238"/>
      <c r="C39" s="622"/>
      <c r="D39" s="622"/>
      <c r="E39" s="622"/>
      <c r="F39" s="622"/>
      <c r="G39" s="1190" t="s">
        <v>2307</v>
      </c>
      <c r="H39" s="1191"/>
      <c r="I39" s="1191"/>
      <c r="J39" s="1191"/>
      <c r="K39" s="1191"/>
      <c r="L39" s="1191"/>
      <c r="M39" s="1140"/>
      <c r="N39" s="656"/>
      <c r="O39" s="657">
        <f>+ROUND(SUM(O15:O38),2)</f>
        <v>0</v>
      </c>
    </row>
    <row r="40" spans="2:15" ht="15.75" customHeight="1">
      <c r="B40" s="238"/>
      <c r="C40" s="622"/>
      <c r="D40" s="622"/>
      <c r="E40" s="622"/>
      <c r="F40" s="622"/>
      <c r="G40" s="1192" t="s">
        <v>2308</v>
      </c>
      <c r="H40" s="940"/>
      <c r="I40" s="940"/>
      <c r="J40" s="940"/>
      <c r="K40" s="940"/>
      <c r="L40" s="940"/>
      <c r="M40" s="941"/>
      <c r="N40" s="658"/>
      <c r="O40" s="650">
        <v>0</v>
      </c>
    </row>
    <row r="41" spans="2:15" ht="15.75" customHeight="1">
      <c r="B41" s="659"/>
      <c r="C41" s="660"/>
      <c r="D41" s="660"/>
      <c r="E41" s="660"/>
      <c r="F41" s="660"/>
      <c r="G41" s="1193" t="s">
        <v>2309</v>
      </c>
      <c r="H41" s="979"/>
      <c r="I41" s="979"/>
      <c r="J41" s="979"/>
      <c r="K41" s="979"/>
      <c r="L41" s="979"/>
      <c r="M41" s="1145"/>
      <c r="N41" s="661"/>
      <c r="O41" s="662">
        <f>+ROUND(SUM(O39:O40),2)</f>
        <v>0</v>
      </c>
    </row>
    <row r="42" spans="2:15" ht="15.75" customHeight="1">
      <c r="B42" s="238"/>
      <c r="C42" s="622"/>
      <c r="D42" s="622"/>
      <c r="E42" s="622"/>
      <c r="F42" s="622"/>
      <c r="G42" s="623"/>
      <c r="H42" s="622"/>
      <c r="I42" s="622"/>
      <c r="J42" s="622"/>
      <c r="K42" s="622"/>
      <c r="L42" s="622"/>
      <c r="M42" s="622"/>
      <c r="N42" s="622"/>
      <c r="O42" s="663"/>
    </row>
    <row r="43" spans="2:15" ht="15.75" customHeight="1">
      <c r="B43" s="1194" t="s">
        <v>2310</v>
      </c>
      <c r="C43" s="926"/>
      <c r="D43" s="926"/>
      <c r="E43" s="926"/>
      <c r="F43" s="926"/>
      <c r="G43" s="926"/>
      <c r="H43" s="926"/>
      <c r="I43" s="926"/>
      <c r="J43" s="926"/>
      <c r="K43" s="926"/>
      <c r="L43" s="926"/>
      <c r="M43" s="926"/>
      <c r="N43" s="926"/>
      <c r="O43" s="927"/>
    </row>
    <row r="44" spans="2:15" ht="15.75" customHeight="1">
      <c r="B44" s="929"/>
      <c r="C44" s="936"/>
      <c r="D44" s="936"/>
      <c r="E44" s="936"/>
      <c r="F44" s="936"/>
      <c r="G44" s="936"/>
      <c r="H44" s="936"/>
      <c r="I44" s="936"/>
      <c r="J44" s="936"/>
      <c r="K44" s="936"/>
      <c r="L44" s="936"/>
      <c r="M44" s="936"/>
      <c r="N44" s="936"/>
      <c r="O44" s="938"/>
    </row>
    <row r="45" spans="2:15" ht="15.75" customHeight="1">
      <c r="B45" s="238"/>
      <c r="C45" s="622"/>
      <c r="D45" s="622"/>
      <c r="E45" s="622"/>
      <c r="F45" s="622"/>
      <c r="G45" s="623"/>
      <c r="H45" s="622"/>
      <c r="I45" s="622"/>
      <c r="J45" s="622"/>
      <c r="K45" s="622"/>
      <c r="L45" s="622"/>
      <c r="M45" s="622"/>
      <c r="N45" s="622"/>
      <c r="O45" s="663"/>
    </row>
    <row r="46" spans="2:15" ht="15.75" customHeight="1">
      <c r="B46" s="238"/>
      <c r="C46" s="622"/>
      <c r="D46" s="622"/>
      <c r="E46" s="622"/>
      <c r="F46" s="622"/>
      <c r="G46" s="623"/>
      <c r="H46" s="622"/>
      <c r="I46" s="622"/>
      <c r="J46" s="622"/>
      <c r="K46" s="622"/>
      <c r="L46" s="622"/>
      <c r="M46" s="622"/>
      <c r="N46" s="622"/>
      <c r="O46" s="663"/>
    </row>
    <row r="47" spans="2:15" ht="15.75" customHeight="1">
      <c r="B47" s="238"/>
      <c r="C47" s="622"/>
      <c r="D47" s="622"/>
      <c r="E47" s="622"/>
      <c r="F47" s="622"/>
      <c r="G47" s="623"/>
      <c r="H47" s="622"/>
      <c r="I47" s="622"/>
      <c r="J47" s="622"/>
      <c r="K47" s="622"/>
      <c r="L47" s="622"/>
      <c r="M47" s="622"/>
      <c r="N47" s="622"/>
      <c r="O47" s="663"/>
    </row>
    <row r="48" spans="2:15" ht="15.75" customHeight="1">
      <c r="B48" s="1183" t="s">
        <v>2311</v>
      </c>
      <c r="C48" s="995"/>
      <c r="D48" s="996"/>
      <c r="E48" s="622"/>
      <c r="F48" s="622"/>
      <c r="G48" s="623"/>
      <c r="H48" s="622"/>
      <c r="I48" s="622"/>
      <c r="J48" s="622"/>
      <c r="K48" s="622"/>
      <c r="L48" s="1195" t="s">
        <v>2311</v>
      </c>
      <c r="M48" s="995"/>
      <c r="N48" s="995"/>
      <c r="O48" s="1158"/>
    </row>
    <row r="49" spans="2:15" ht="15.75" customHeight="1">
      <c r="B49" s="1184" t="s">
        <v>2312</v>
      </c>
      <c r="C49" s="1185"/>
      <c r="D49" s="1186"/>
      <c r="E49" s="660"/>
      <c r="F49" s="660"/>
      <c r="G49" s="664"/>
      <c r="H49" s="660"/>
      <c r="I49" s="660"/>
      <c r="J49" s="660"/>
      <c r="K49" s="660"/>
      <c r="L49" s="1196" t="s">
        <v>2313</v>
      </c>
      <c r="M49" s="1185"/>
      <c r="N49" s="1185"/>
      <c r="O49" s="1034"/>
    </row>
    <row r="50" spans="2:15" ht="15.75" customHeight="1"/>
    <row r="51" spans="2:15" ht="15.75" customHeight="1">
      <c r="B51" s="602"/>
      <c r="C51" s="205"/>
      <c r="D51" s="205"/>
      <c r="E51" s="622"/>
      <c r="F51" s="622"/>
      <c r="G51" s="623"/>
      <c r="H51" s="622"/>
      <c r="I51" s="622"/>
      <c r="J51" s="622"/>
      <c r="K51" s="622"/>
      <c r="L51" s="602"/>
      <c r="M51" s="205"/>
      <c r="N51" s="205"/>
      <c r="O51" s="205"/>
    </row>
    <row r="52" spans="2:15" ht="15.75" customHeight="1">
      <c r="B52" s="602"/>
      <c r="C52" s="363"/>
      <c r="D52" s="363"/>
      <c r="E52" s="622"/>
      <c r="F52" s="622"/>
      <c r="G52" s="623"/>
      <c r="H52" s="622"/>
      <c r="I52" s="622"/>
      <c r="J52" s="622"/>
      <c r="K52" s="622"/>
      <c r="L52" s="602"/>
      <c r="M52" s="363"/>
      <c r="N52" s="363"/>
      <c r="O52" s="363"/>
    </row>
  </sheetData>
  <mergeCells count="52">
    <mergeCell ref="H32:J32"/>
    <mergeCell ref="H33:J33"/>
    <mergeCell ref="H34:J34"/>
    <mergeCell ref="H35:J35"/>
    <mergeCell ref="H36:J36"/>
    <mergeCell ref="B48:D48"/>
    <mergeCell ref="B49:D49"/>
    <mergeCell ref="H37:J37"/>
    <mergeCell ref="H38:J38"/>
    <mergeCell ref="G39:M39"/>
    <mergeCell ref="G40:M40"/>
    <mergeCell ref="G41:M41"/>
    <mergeCell ref="B43:O44"/>
    <mergeCell ref="L48:O48"/>
    <mergeCell ref="L49:O49"/>
    <mergeCell ref="H15:J15"/>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2:O2"/>
    <mergeCell ref="B5:O6"/>
    <mergeCell ref="B8:C8"/>
    <mergeCell ref="E8:F8"/>
    <mergeCell ref="G8:K8"/>
    <mergeCell ref="L8:M8"/>
    <mergeCell ref="N8:O8"/>
    <mergeCell ref="B9:C9"/>
    <mergeCell ref="D9:O9"/>
    <mergeCell ref="B10:C10"/>
    <mergeCell ref="D10:K10"/>
    <mergeCell ref="L10:M10"/>
    <mergeCell ref="N10:O10"/>
    <mergeCell ref="M12:O12"/>
    <mergeCell ref="O13:O14"/>
    <mergeCell ref="D12:I12"/>
    <mergeCell ref="B13:F14"/>
    <mergeCell ref="G13:G14"/>
    <mergeCell ref="H13:J14"/>
    <mergeCell ref="K13:M13"/>
  </mergeCells>
  <pageMargins left="0.70866141732283472" right="0.70866141732283472" top="0.74803149606299213" bottom="0.55118110236220474" header="0" footer="0"/>
  <pageSetup fitToHeight="0" orientation="landscape"/>
  <headerFooter>
    <oddHeader>&amp;C MUNICIPIO EL GUACAMAYO, SANTANDER</oddHeader>
    <oddFooter>&amp;CPágina No. &amp;P de</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R5433"/>
  <sheetViews>
    <sheetView tabSelected="1" topLeftCell="A4436" zoomScale="70" zoomScaleNormal="70" workbookViewId="0">
      <selection activeCell="K4364" sqref="K4364"/>
    </sheetView>
  </sheetViews>
  <sheetFormatPr baseColWidth="10" defaultColWidth="14.42578125" defaultRowHeight="15" customHeight="1"/>
  <cols>
    <col min="1" max="1" width="13.85546875" customWidth="1"/>
    <col min="2" max="2" width="3.28515625" customWidth="1"/>
    <col min="3" max="4" width="17.85546875" customWidth="1"/>
    <col min="5" max="5" width="21.42578125" customWidth="1"/>
    <col min="6" max="6" width="15" customWidth="1"/>
    <col min="7" max="8" width="11.42578125" customWidth="1"/>
    <col min="9" max="9" width="14.28515625" customWidth="1"/>
    <col min="10" max="10" width="20" customWidth="1"/>
    <col min="11" max="11" width="15.85546875" customWidth="1"/>
    <col min="12" max="12" width="13.7109375" customWidth="1"/>
    <col min="13" max="13" width="11.42578125" customWidth="1"/>
    <col min="14" max="14" width="23.5703125" customWidth="1"/>
    <col min="15" max="15" width="3.28515625" customWidth="1"/>
    <col min="16" max="16" width="10.85546875" customWidth="1"/>
    <col min="17" max="17" width="17.85546875" hidden="1" customWidth="1"/>
    <col min="18" max="18" width="16.28515625" hidden="1" customWidth="1"/>
    <col min="19" max="19" width="14.42578125" customWidth="1"/>
  </cols>
  <sheetData>
    <row r="1" spans="1:15">
      <c r="A1" s="395" t="s">
        <v>941</v>
      </c>
      <c r="B1" s="184"/>
      <c r="C1" s="184"/>
      <c r="D1" s="184"/>
      <c r="E1" s="184"/>
      <c r="F1" s="184"/>
      <c r="G1" s="184"/>
      <c r="H1" s="184"/>
      <c r="I1" s="184"/>
      <c r="J1" s="184"/>
      <c r="K1" s="184"/>
      <c r="L1" s="184"/>
      <c r="M1" s="184"/>
      <c r="N1" s="184"/>
    </row>
    <row r="2" spans="1:15">
      <c r="A2" s="395"/>
      <c r="B2" s="396"/>
      <c r="C2" s="397"/>
      <c r="D2" s="397"/>
      <c r="E2" s="397"/>
      <c r="F2" s="397"/>
      <c r="G2" s="397"/>
      <c r="H2" s="397"/>
      <c r="I2" s="397"/>
      <c r="J2" s="397"/>
      <c r="K2" s="397"/>
      <c r="L2" s="397"/>
      <c r="M2" s="397"/>
      <c r="N2" s="397"/>
      <c r="O2" s="667"/>
    </row>
    <row r="3" spans="1:15" ht="14.25" customHeight="1">
      <c r="A3" s="395"/>
      <c r="B3" s="399"/>
      <c r="C3" s="1124"/>
      <c r="D3" s="927"/>
      <c r="E3" s="1207" t="str">
        <f>Datos!$C$9</f>
        <v>CONSEJO SUPERIOR  DE  JUDICATURA– DIRECCIÓN  EJECUTIVA  SECCIONAL  DE ADMINISTRACIÓN JUDICIAL DE BUCARAMANGA</v>
      </c>
      <c r="F3" s="926"/>
      <c r="G3" s="926"/>
      <c r="H3" s="926"/>
      <c r="I3" s="926"/>
      <c r="J3" s="926"/>
      <c r="K3" s="927"/>
      <c r="L3" s="925" t="s">
        <v>1</v>
      </c>
      <c r="M3" s="931"/>
      <c r="N3" s="933">
        <v>1</v>
      </c>
      <c r="O3" s="362"/>
    </row>
    <row r="4" spans="1:15" ht="30.75" customHeight="1">
      <c r="A4" s="395"/>
      <c r="B4" s="399"/>
      <c r="C4" s="920"/>
      <c r="D4" s="924"/>
      <c r="E4" s="920"/>
      <c r="F4" s="922"/>
      <c r="G4" s="922"/>
      <c r="H4" s="922"/>
      <c r="I4" s="922"/>
      <c r="J4" s="922"/>
      <c r="K4" s="924"/>
      <c r="L4" s="920"/>
      <c r="M4" s="932"/>
      <c r="N4" s="934"/>
      <c r="O4" s="362"/>
    </row>
    <row r="5" spans="1:15">
      <c r="A5" s="395"/>
      <c r="B5" s="399"/>
      <c r="C5" s="920"/>
      <c r="D5" s="924"/>
      <c r="E5" s="919" t="str">
        <f>Datos!$C$13</f>
        <v xml:space="preserve">BGA - 030 - 2026 </v>
      </c>
      <c r="F5" s="922"/>
      <c r="G5" s="922"/>
      <c r="H5" s="922"/>
      <c r="I5" s="922"/>
      <c r="J5" s="922"/>
      <c r="K5" s="922"/>
      <c r="L5" s="925" t="s">
        <v>29</v>
      </c>
      <c r="M5" s="926"/>
      <c r="N5" s="927"/>
      <c r="O5" s="362"/>
    </row>
    <row r="6" spans="1:15" ht="15" customHeight="1">
      <c r="A6" s="395"/>
      <c r="B6" s="399"/>
      <c r="C6" s="920"/>
      <c r="D6" s="924"/>
      <c r="E6"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6" s="922"/>
      <c r="G6" s="922"/>
      <c r="H6" s="922"/>
      <c r="I6" s="922"/>
      <c r="J6" s="922"/>
      <c r="K6" s="924"/>
      <c r="L6" s="919">
        <v>1</v>
      </c>
      <c r="M6" s="921" t="s">
        <v>30</v>
      </c>
      <c r="N6" s="923">
        <v>1</v>
      </c>
      <c r="O6" s="362"/>
    </row>
    <row r="7" spans="1:15" ht="15.75" customHeight="1">
      <c r="A7" s="395"/>
      <c r="B7" s="399"/>
      <c r="C7" s="920"/>
      <c r="D7" s="924"/>
      <c r="E7" s="920"/>
      <c r="F7" s="922"/>
      <c r="G7" s="922"/>
      <c r="H7" s="922"/>
      <c r="I7" s="922"/>
      <c r="J7" s="922"/>
      <c r="K7" s="924"/>
      <c r="L7" s="920"/>
      <c r="M7" s="922"/>
      <c r="N7" s="924"/>
      <c r="O7" s="362"/>
    </row>
    <row r="8" spans="1:15" ht="57.75" customHeight="1">
      <c r="A8" s="395"/>
      <c r="B8" s="399"/>
      <c r="C8" s="920"/>
      <c r="D8" s="924"/>
      <c r="E8" s="920"/>
      <c r="F8" s="922"/>
      <c r="G8" s="922"/>
      <c r="H8" s="922"/>
      <c r="I8" s="922"/>
      <c r="J8" s="922"/>
      <c r="K8" s="924"/>
      <c r="L8" s="925" t="s">
        <v>2</v>
      </c>
      <c r="M8" s="926"/>
      <c r="N8" s="927"/>
      <c r="O8" s="362"/>
    </row>
    <row r="9" spans="1:15" ht="15" customHeight="1">
      <c r="A9" s="395"/>
      <c r="B9" s="399"/>
      <c r="C9" s="920"/>
      <c r="D9" s="924"/>
      <c r="E9" s="407"/>
      <c r="F9" s="216"/>
      <c r="G9" s="216"/>
      <c r="H9" s="216"/>
      <c r="I9" s="216"/>
      <c r="J9" s="216"/>
      <c r="K9" s="216"/>
      <c r="L9" s="408" t="s">
        <v>3</v>
      </c>
      <c r="M9" s="409" t="s">
        <v>4</v>
      </c>
      <c r="N9" s="410" t="s">
        <v>5</v>
      </c>
      <c r="O9" s="362"/>
    </row>
    <row r="10" spans="1:15" ht="15" customHeight="1">
      <c r="A10" s="395"/>
      <c r="B10" s="399"/>
      <c r="C10" s="920"/>
      <c r="D10" s="924"/>
      <c r="E10" s="1125" t="s">
        <v>1186</v>
      </c>
      <c r="F10" s="945"/>
      <c r="G10" s="945"/>
      <c r="H10" s="945"/>
      <c r="I10" s="945"/>
      <c r="J10" s="945"/>
      <c r="K10" s="945"/>
      <c r="L10" s="928">
        <f>Datos!$C$7</f>
        <v>19</v>
      </c>
      <c r="M10" s="935">
        <f>Datos!$D$7</f>
        <v>6</v>
      </c>
      <c r="N10" s="937">
        <f>Datos!$E$7</f>
        <v>2026</v>
      </c>
      <c r="O10" s="362"/>
    </row>
    <row r="11" spans="1:15" ht="14.25" customHeight="1">
      <c r="A11" s="395"/>
      <c r="B11" s="399"/>
      <c r="C11" s="929"/>
      <c r="D11" s="938"/>
      <c r="E11" s="929"/>
      <c r="F11" s="936"/>
      <c r="G11" s="936"/>
      <c r="H11" s="936"/>
      <c r="I11" s="936"/>
      <c r="J11" s="936"/>
      <c r="K11" s="936"/>
      <c r="L11" s="929"/>
      <c r="M11" s="936"/>
      <c r="N11" s="938"/>
      <c r="O11" s="362"/>
    </row>
    <row r="12" spans="1:15">
      <c r="A12" s="395"/>
      <c r="B12" s="399"/>
      <c r="C12" s="404"/>
      <c r="D12" s="38"/>
      <c r="E12" s="38"/>
      <c r="F12" s="38"/>
      <c r="G12" s="38"/>
      <c r="H12" s="38"/>
      <c r="I12" s="38"/>
      <c r="J12" s="38"/>
      <c r="K12" s="38"/>
      <c r="L12" s="39"/>
      <c r="M12" s="39"/>
      <c r="N12" s="40"/>
      <c r="O12" s="362"/>
    </row>
    <row r="13" spans="1:15">
      <c r="A13" s="395"/>
      <c r="B13" s="399"/>
      <c r="C13" s="412" t="s">
        <v>1187</v>
      </c>
      <c r="D13" s="1199" t="str">
        <f>VLOOKUP(C18,ListaAct,2,0)</f>
        <v>OBRA CIVIL</v>
      </c>
      <c r="E13" s="922"/>
      <c r="F13" s="922"/>
      <c r="G13" s="922"/>
      <c r="H13" s="922"/>
      <c r="I13" s="922"/>
      <c r="J13" s="922"/>
      <c r="K13" s="922"/>
      <c r="L13" s="922"/>
      <c r="M13" s="1"/>
      <c r="N13" s="413"/>
      <c r="O13" s="362"/>
    </row>
    <row r="14" spans="1:15">
      <c r="A14" s="395"/>
      <c r="B14" s="399"/>
      <c r="C14" s="412" t="s">
        <v>1189</v>
      </c>
      <c r="D14" s="1199" t="str">
        <f>VLOOKUP(C18,ListaAct,3,0)</f>
        <v>PRELIMINARES</v>
      </c>
      <c r="E14" s="922"/>
      <c r="F14" s="922"/>
      <c r="G14" s="922"/>
      <c r="H14" s="922"/>
      <c r="I14" s="922"/>
      <c r="J14" s="922"/>
      <c r="K14" s="922"/>
      <c r="L14" s="922"/>
      <c r="M14" s="1"/>
      <c r="N14" s="413"/>
      <c r="O14" s="362"/>
    </row>
    <row r="15" spans="1:15">
      <c r="A15" s="395"/>
      <c r="B15" s="399"/>
      <c r="C15" s="925" t="s">
        <v>1191</v>
      </c>
      <c r="D15" s="926"/>
      <c r="E15" s="926"/>
      <c r="F15" s="926"/>
      <c r="G15" s="926"/>
      <c r="H15" s="926"/>
      <c r="I15" s="926"/>
      <c r="J15" s="926"/>
      <c r="K15" s="926"/>
      <c r="L15" s="926"/>
      <c r="M15" s="926"/>
      <c r="N15" s="927"/>
      <c r="O15" s="362"/>
    </row>
    <row r="16" spans="1:15">
      <c r="A16" s="395"/>
      <c r="B16" s="399"/>
      <c r="C16" s="418"/>
      <c r="D16" s="39"/>
      <c r="E16" s="39"/>
      <c r="F16" s="39"/>
      <c r="G16" s="39"/>
      <c r="H16" s="39"/>
      <c r="I16" s="39"/>
      <c r="J16" s="39"/>
      <c r="K16" s="39"/>
      <c r="L16" s="39"/>
      <c r="M16" s="39"/>
      <c r="N16" s="40"/>
      <c r="O16" s="362"/>
    </row>
    <row r="17" spans="1:15">
      <c r="A17" s="395"/>
      <c r="B17" s="399"/>
      <c r="C17" s="668" t="s">
        <v>965</v>
      </c>
      <c r="D17" s="1200" t="s">
        <v>17</v>
      </c>
      <c r="E17" s="1131"/>
      <c r="F17" s="1131"/>
      <c r="G17" s="1131"/>
      <c r="H17" s="1131"/>
      <c r="I17" s="1131"/>
      <c r="J17" s="1131"/>
      <c r="K17" s="1137"/>
      <c r="L17" s="1201" t="s">
        <v>1192</v>
      </c>
      <c r="M17" s="1137"/>
      <c r="N17" s="668" t="s">
        <v>950</v>
      </c>
      <c r="O17" s="362"/>
    </row>
    <row r="18" spans="1:15">
      <c r="A18" s="395"/>
      <c r="B18" s="421"/>
      <c r="C18" s="669" t="s">
        <v>976</v>
      </c>
      <c r="D18" s="1219" t="str">
        <f>IF($C18&gt;0,(VLOOKUP($C18,ListaAct,4,FALSE)),"")</f>
        <v>Localizacion y replanteo</v>
      </c>
      <c r="E18" s="979"/>
      <c r="F18" s="979"/>
      <c r="G18" s="979"/>
      <c r="H18" s="979"/>
      <c r="I18" s="979"/>
      <c r="J18" s="979"/>
      <c r="K18" s="980"/>
      <c r="L18" s="1203" t="str">
        <f>IF($C18&gt;0,(VLOOKUP($C18,ListaAct,5,FALSE)),"")</f>
        <v>m2</v>
      </c>
      <c r="M18" s="980"/>
      <c r="N18" s="423">
        <f>IF($C18&gt;0,(VLOOKUP($C18,ListaAct,6,FALSE)),"")</f>
        <v>130</v>
      </c>
      <c r="O18" s="362"/>
    </row>
    <row r="19" spans="1:15">
      <c r="A19" s="395"/>
      <c r="B19" s="399"/>
      <c r="C19" s="1129" t="s">
        <v>1195</v>
      </c>
      <c r="D19" s="926"/>
      <c r="E19" s="926"/>
      <c r="F19" s="926"/>
      <c r="G19" s="926"/>
      <c r="H19" s="926"/>
      <c r="I19" s="926"/>
      <c r="J19" s="926"/>
      <c r="K19" s="926"/>
      <c r="L19" s="926"/>
      <c r="M19" s="926"/>
      <c r="N19" s="927"/>
      <c r="O19" s="362"/>
    </row>
    <row r="20" spans="1:15">
      <c r="A20" s="395"/>
      <c r="B20" s="399"/>
      <c r="C20" s="920"/>
      <c r="D20" s="922"/>
      <c r="E20" s="922"/>
      <c r="F20" s="922"/>
      <c r="G20" s="922"/>
      <c r="H20" s="922"/>
      <c r="I20" s="922"/>
      <c r="J20" s="922"/>
      <c r="K20" s="922"/>
      <c r="L20" s="922"/>
      <c r="M20" s="922"/>
      <c r="N20" s="924"/>
      <c r="O20" s="362"/>
    </row>
    <row r="21" spans="1:15" ht="15.75" customHeight="1">
      <c r="A21" s="395"/>
      <c r="B21" s="399"/>
      <c r="C21" s="929"/>
      <c r="D21" s="936"/>
      <c r="E21" s="936"/>
      <c r="F21" s="936"/>
      <c r="G21" s="936"/>
      <c r="H21" s="936"/>
      <c r="I21" s="936"/>
      <c r="J21" s="936"/>
      <c r="K21" s="936"/>
      <c r="L21" s="936"/>
      <c r="M21" s="936"/>
      <c r="N21" s="938"/>
      <c r="O21" s="362"/>
    </row>
    <row r="22" spans="1:15" ht="15.75" customHeight="1">
      <c r="A22" s="395"/>
      <c r="B22" s="399"/>
      <c r="C22" s="1201" t="s">
        <v>17</v>
      </c>
      <c r="D22" s="1131"/>
      <c r="E22" s="1131"/>
      <c r="F22" s="1000"/>
      <c r="G22" s="1204" t="s">
        <v>1196</v>
      </c>
      <c r="H22" s="1000"/>
      <c r="I22" s="1204" t="s">
        <v>1197</v>
      </c>
      <c r="J22" s="1000"/>
      <c r="K22" s="670" t="s">
        <v>1213</v>
      </c>
      <c r="L22" s="1204" t="s">
        <v>1199</v>
      </c>
      <c r="M22" s="1000"/>
      <c r="N22" s="671" t="s">
        <v>1200</v>
      </c>
      <c r="O22" s="362"/>
    </row>
    <row r="23" spans="1:15" ht="15.75" customHeight="1">
      <c r="A23" s="395"/>
      <c r="B23" s="399"/>
      <c r="C23" s="1128" t="s">
        <v>1201</v>
      </c>
      <c r="D23" s="940"/>
      <c r="E23" s="940"/>
      <c r="F23" s="941"/>
      <c r="G23" s="1142"/>
      <c r="H23" s="941"/>
      <c r="I23" s="1142"/>
      <c r="J23" s="941"/>
      <c r="K23" s="429"/>
      <c r="L23" s="1143">
        <v>0.05</v>
      </c>
      <c r="M23" s="941"/>
      <c r="N23" s="430">
        <f>+L23*N62</f>
        <v>42.106941591786189</v>
      </c>
      <c r="O23" s="362"/>
    </row>
    <row r="24" spans="1:15" ht="15.75" customHeight="1">
      <c r="A24" s="395" t="str">
        <f t="array" ref="A24">IF(C24&lt;&gt;0,INDEX(CodEquipos,MATCH(C24,Equipos,0),),)</f>
        <v>EQ-02</v>
      </c>
      <c r="B24" s="399"/>
      <c r="C24" s="1128" t="s">
        <v>2443</v>
      </c>
      <c r="D24" s="940"/>
      <c r="E24" s="940"/>
      <c r="F24" s="941"/>
      <c r="G24" s="1142"/>
      <c r="H24" s="941"/>
      <c r="I24" s="1142" t="s">
        <v>306</v>
      </c>
      <c r="J24" s="941"/>
      <c r="K24" s="432">
        <f>IF($A24&gt;0,(VLOOKUP($A24,TablaEquipos,7,FALSE)),"")</f>
        <v>150000</v>
      </c>
      <c r="L24" s="1146">
        <f>+L57/8</f>
        <v>63.459103154650421</v>
      </c>
      <c r="M24" s="941"/>
      <c r="N24" s="430">
        <f t="shared" ref="N24:N25" si="0">IF(L24&gt;0,K24/L24,"")</f>
        <v>2363.7270705583187</v>
      </c>
      <c r="O24" s="362"/>
    </row>
    <row r="25" spans="1:15" ht="15.75" customHeight="1">
      <c r="A25" s="395">
        <f t="array" ref="A25">IF(C25&lt;&gt;0,INDEX(CodEquipos,MATCH(C25,Equipos,0),),)</f>
        <v>0</v>
      </c>
      <c r="B25" s="399"/>
      <c r="C25" s="1128"/>
      <c r="D25" s="940"/>
      <c r="E25" s="940"/>
      <c r="F25" s="941"/>
      <c r="G25" s="1142"/>
      <c r="H25" s="941"/>
      <c r="I25" s="1142"/>
      <c r="J25" s="941"/>
      <c r="K25" s="432" t="str">
        <f>IF($A25&gt;0,(VLOOKUP($A25,TablaEquipos,7,FALSE)),"")</f>
        <v/>
      </c>
      <c r="L25" s="1141"/>
      <c r="M25" s="941"/>
      <c r="N25" s="430" t="str">
        <f t="shared" si="0"/>
        <v/>
      </c>
      <c r="O25" s="362"/>
    </row>
    <row r="26" spans="1:15" ht="15.75" customHeight="1">
      <c r="A26" s="395">
        <f t="array" ref="A26">IF(C26&lt;&gt;0,INDEX(CodEquipos,MATCH(C26,Equipos,0),),)</f>
        <v>0</v>
      </c>
      <c r="B26" s="399"/>
      <c r="C26" s="1128"/>
      <c r="D26" s="940"/>
      <c r="E26" s="940"/>
      <c r="F26" s="941"/>
      <c r="G26" s="1142"/>
      <c r="H26" s="941"/>
      <c r="I26" s="1142"/>
      <c r="J26" s="941"/>
      <c r="K26" s="432"/>
      <c r="L26" s="1141"/>
      <c r="M26" s="941"/>
      <c r="N26" s="430"/>
      <c r="O26" s="362"/>
    </row>
    <row r="27" spans="1:15" ht="15.75" customHeight="1">
      <c r="A27" s="395">
        <f t="array" ref="A27">IF(C27&lt;&gt;0,INDEX(CodEquipos,MATCH(C27,Equipos,0),),)</f>
        <v>0</v>
      </c>
      <c r="B27" s="399"/>
      <c r="C27" s="1128"/>
      <c r="D27" s="940"/>
      <c r="E27" s="940"/>
      <c r="F27" s="941"/>
      <c r="G27" s="1142"/>
      <c r="H27" s="941"/>
      <c r="I27" s="1142"/>
      <c r="J27" s="941"/>
      <c r="K27" s="432" t="str">
        <f>IF($A27&gt;0,(VLOOKUP($A27,TablaEquipos,7,FALSE)),"")</f>
        <v/>
      </c>
      <c r="L27" s="1141"/>
      <c r="M27" s="941"/>
      <c r="N27" s="430" t="str">
        <f t="shared" ref="N27:N28" si="1">IF(L27&gt;0,K27/L27,"")</f>
        <v/>
      </c>
      <c r="O27" s="362"/>
    </row>
    <row r="28" spans="1:15" ht="15.75" customHeight="1">
      <c r="A28" s="395">
        <f t="array" ref="A28">IF(C28&lt;&gt;0,INDEX(CodEquipos,MATCH(C28,Equipos,0),),)</f>
        <v>0</v>
      </c>
      <c r="B28" s="399"/>
      <c r="C28" s="1128"/>
      <c r="D28" s="940"/>
      <c r="E28" s="940"/>
      <c r="F28" s="941"/>
      <c r="G28" s="1144"/>
      <c r="H28" s="1145"/>
      <c r="I28" s="1144"/>
      <c r="J28" s="1145"/>
      <c r="K28" s="432" t="str">
        <f>IF($A28&gt;0,(VLOOKUP($A28,TablaEquipos,7,FALSE)),"")</f>
        <v/>
      </c>
      <c r="L28" s="1208"/>
      <c r="M28" s="1145"/>
      <c r="N28" s="430" t="str">
        <f t="shared" si="1"/>
        <v/>
      </c>
      <c r="O28" s="362"/>
    </row>
    <row r="29" spans="1:15" ht="15.75" customHeight="1">
      <c r="A29" s="395"/>
      <c r="B29" s="399"/>
      <c r="C29" s="1127" t="s">
        <v>1202</v>
      </c>
      <c r="D29" s="965"/>
      <c r="E29" s="965"/>
      <c r="F29" s="965"/>
      <c r="G29" s="965"/>
      <c r="H29" s="965"/>
      <c r="I29" s="965"/>
      <c r="J29" s="965"/>
      <c r="K29" s="965"/>
      <c r="L29" s="965"/>
      <c r="M29" s="966"/>
      <c r="N29" s="433">
        <f>+SUM(N23:N28)</f>
        <v>2405.8340121501051</v>
      </c>
      <c r="O29" s="362"/>
    </row>
    <row r="30" spans="1:15" ht="15.75" customHeight="1">
      <c r="A30" s="395"/>
      <c r="B30" s="399"/>
      <c r="C30" s="1129" t="s">
        <v>1203</v>
      </c>
      <c r="D30" s="926"/>
      <c r="E30" s="926"/>
      <c r="F30" s="926"/>
      <c r="G30" s="926"/>
      <c r="H30" s="926"/>
      <c r="I30" s="926"/>
      <c r="J30" s="926"/>
      <c r="K30" s="926"/>
      <c r="L30" s="926"/>
      <c r="M30" s="926"/>
      <c r="N30" s="927"/>
      <c r="O30" s="362"/>
    </row>
    <row r="31" spans="1:15" ht="15.75" customHeight="1">
      <c r="A31" s="395"/>
      <c r="B31" s="399"/>
      <c r="C31" s="920"/>
      <c r="D31" s="922"/>
      <c r="E31" s="922"/>
      <c r="F31" s="922"/>
      <c r="G31" s="922"/>
      <c r="H31" s="922"/>
      <c r="I31" s="922"/>
      <c r="J31" s="922"/>
      <c r="K31" s="922"/>
      <c r="L31" s="922"/>
      <c r="M31" s="922"/>
      <c r="N31" s="924"/>
      <c r="O31" s="362"/>
    </row>
    <row r="32" spans="1:15" ht="15.75" customHeight="1">
      <c r="A32" s="395"/>
      <c r="B32" s="399"/>
      <c r="C32" s="929"/>
      <c r="D32" s="936"/>
      <c r="E32" s="936"/>
      <c r="F32" s="936"/>
      <c r="G32" s="936"/>
      <c r="H32" s="936"/>
      <c r="I32" s="936"/>
      <c r="J32" s="936"/>
      <c r="K32" s="936"/>
      <c r="L32" s="936"/>
      <c r="M32" s="936"/>
      <c r="N32" s="938"/>
      <c r="O32" s="362"/>
    </row>
    <row r="33" spans="1:15" ht="15.75" customHeight="1">
      <c r="A33" s="395"/>
      <c r="B33" s="399"/>
      <c r="C33" s="1201" t="s">
        <v>17</v>
      </c>
      <c r="D33" s="1131"/>
      <c r="E33" s="1131"/>
      <c r="F33" s="1131"/>
      <c r="G33" s="1131"/>
      <c r="H33" s="1131"/>
      <c r="I33" s="1000"/>
      <c r="J33" s="672" t="s">
        <v>1192</v>
      </c>
      <c r="K33" s="670" t="s">
        <v>950</v>
      </c>
      <c r="L33" s="1204" t="s">
        <v>1204</v>
      </c>
      <c r="M33" s="1000"/>
      <c r="N33" s="671" t="s">
        <v>1200</v>
      </c>
      <c r="O33" s="362"/>
    </row>
    <row r="34" spans="1:15" ht="15.75" customHeight="1">
      <c r="A34" s="395" t="str">
        <f t="array" ref="A34">IF(C34&lt;&gt;0,INDEX(CodMat,MATCH(C34,Materiales,0),),)</f>
        <v>MAT_C-31</v>
      </c>
      <c r="B34" s="399"/>
      <c r="C34" s="1128" t="s">
        <v>2444</v>
      </c>
      <c r="D34" s="940"/>
      <c r="E34" s="940"/>
      <c r="F34" s="940"/>
      <c r="G34" s="940"/>
      <c r="H34" s="940"/>
      <c r="I34" s="941"/>
      <c r="J34" s="435" t="str">
        <f t="shared" ref="J34:J41" si="2">IF($A34&gt;0,(VLOOKUP($A34,TablaInsumos,5,FALSE)),"")</f>
        <v xml:space="preserve">UND </v>
      </c>
      <c r="K34" s="673">
        <v>0.33</v>
      </c>
      <c r="L34" s="1134">
        <f t="shared" ref="L34:L41" si="3">IF($A34&gt;0,(VLOOKUP($A34,TablaInsumos,7,FALSE)),"")</f>
        <v>9085</v>
      </c>
      <c r="M34" s="941"/>
      <c r="N34" s="430">
        <f t="shared" ref="N34:N41" si="4">IF(K34&gt;0,L34*K34,"")</f>
        <v>2998.05</v>
      </c>
      <c r="O34" s="362"/>
    </row>
    <row r="35" spans="1:15" ht="15.75" customHeight="1">
      <c r="A35" s="395" t="str">
        <f t="array" ref="A35">IF(C35&lt;&gt;0,INDEX(CodMat,MATCH(C35,Materiales,0),),)</f>
        <v>MAT_C-37</v>
      </c>
      <c r="B35" s="399"/>
      <c r="C35" s="1128" t="s">
        <v>2445</v>
      </c>
      <c r="D35" s="940"/>
      <c r="E35" s="940"/>
      <c r="F35" s="940"/>
      <c r="G35" s="940"/>
      <c r="H35" s="940"/>
      <c r="I35" s="941"/>
      <c r="J35" s="435" t="str">
        <f t="shared" si="2"/>
        <v>ML</v>
      </c>
      <c r="K35" s="673">
        <v>1.5</v>
      </c>
      <c r="L35" s="1134">
        <f t="shared" si="3"/>
        <v>71</v>
      </c>
      <c r="M35" s="941"/>
      <c r="N35" s="430">
        <f t="shared" si="4"/>
        <v>106.5</v>
      </c>
      <c r="O35" s="362"/>
    </row>
    <row r="36" spans="1:15" ht="15.75" customHeight="1">
      <c r="A36" s="395" t="str">
        <f t="array" ref="A36">IF(C36&lt;&gt;0,INDEX(CodMat,MATCH(C36,Materiales,0),),)</f>
        <v>MAT_C-49</v>
      </c>
      <c r="B36" s="399"/>
      <c r="C36" s="1128" t="s">
        <v>2446</v>
      </c>
      <c r="D36" s="940"/>
      <c r="E36" s="940"/>
      <c r="F36" s="940"/>
      <c r="G36" s="940"/>
      <c r="H36" s="940"/>
      <c r="I36" s="941"/>
      <c r="J36" s="435" t="str">
        <f t="shared" si="2"/>
        <v>LIBRA</v>
      </c>
      <c r="K36" s="673">
        <v>0.05</v>
      </c>
      <c r="L36" s="1134">
        <f t="shared" si="3"/>
        <v>5100</v>
      </c>
      <c r="M36" s="941"/>
      <c r="N36" s="430">
        <f t="shared" si="4"/>
        <v>255</v>
      </c>
      <c r="O36" s="362"/>
    </row>
    <row r="37" spans="1:15" ht="15.75" customHeight="1">
      <c r="A37" s="395">
        <f t="array" ref="A37">IF(C37&lt;&gt;0,INDEX(CodMat,MATCH(C37,Materiales,0),),)</f>
        <v>0</v>
      </c>
      <c r="B37" s="399"/>
      <c r="C37" s="1128"/>
      <c r="D37" s="940"/>
      <c r="E37" s="940"/>
      <c r="F37" s="940"/>
      <c r="G37" s="940"/>
      <c r="H37" s="940"/>
      <c r="I37" s="941"/>
      <c r="J37" s="435" t="str">
        <f t="shared" si="2"/>
        <v/>
      </c>
      <c r="K37" s="673"/>
      <c r="L37" s="1134" t="str">
        <f t="shared" si="3"/>
        <v/>
      </c>
      <c r="M37" s="941"/>
      <c r="N37" s="430" t="str">
        <f t="shared" si="4"/>
        <v/>
      </c>
      <c r="O37" s="362"/>
    </row>
    <row r="38" spans="1:15" ht="15.75" customHeight="1">
      <c r="A38" s="395">
        <f t="array" ref="A38">IF(C38&lt;&gt;0,INDEX(CodMat,MATCH(C38,Materiales,0),),)</f>
        <v>0</v>
      </c>
      <c r="B38" s="399"/>
      <c r="C38" s="1128"/>
      <c r="D38" s="940"/>
      <c r="E38" s="940"/>
      <c r="F38" s="940"/>
      <c r="G38" s="940"/>
      <c r="H38" s="940"/>
      <c r="I38" s="941"/>
      <c r="J38" s="435" t="str">
        <f t="shared" si="2"/>
        <v/>
      </c>
      <c r="K38" s="436"/>
      <c r="L38" s="1134" t="str">
        <f t="shared" si="3"/>
        <v/>
      </c>
      <c r="M38" s="941"/>
      <c r="N38" s="430" t="str">
        <f t="shared" si="4"/>
        <v/>
      </c>
      <c r="O38" s="362"/>
    </row>
    <row r="39" spans="1:15" ht="15.75" customHeight="1">
      <c r="A39" s="395">
        <f t="array" ref="A39">IF(C39&lt;&gt;0,INDEX(CodMat,MATCH(C39,Materiales,0),),)</f>
        <v>0</v>
      </c>
      <c r="B39" s="399"/>
      <c r="C39" s="1128"/>
      <c r="D39" s="940"/>
      <c r="E39" s="940"/>
      <c r="F39" s="940"/>
      <c r="G39" s="940"/>
      <c r="H39" s="940"/>
      <c r="I39" s="941"/>
      <c r="J39" s="435" t="str">
        <f t="shared" si="2"/>
        <v/>
      </c>
      <c r="K39" s="436"/>
      <c r="L39" s="1134" t="str">
        <f t="shared" si="3"/>
        <v/>
      </c>
      <c r="M39" s="941"/>
      <c r="N39" s="430" t="str">
        <f t="shared" si="4"/>
        <v/>
      </c>
      <c r="O39" s="362"/>
    </row>
    <row r="40" spans="1:15" ht="15.75" customHeight="1">
      <c r="A40" s="395">
        <f t="array" ref="A40">IF(C40&lt;&gt;0,INDEX(CodMat,MATCH(C40,Materiales,0),),)</f>
        <v>0</v>
      </c>
      <c r="B40" s="399"/>
      <c r="C40" s="1128"/>
      <c r="D40" s="940"/>
      <c r="E40" s="940"/>
      <c r="F40" s="940"/>
      <c r="G40" s="940"/>
      <c r="H40" s="940"/>
      <c r="I40" s="941"/>
      <c r="J40" s="435" t="str">
        <f t="shared" si="2"/>
        <v/>
      </c>
      <c r="K40" s="436"/>
      <c r="L40" s="1134" t="str">
        <f t="shared" si="3"/>
        <v/>
      </c>
      <c r="M40" s="941"/>
      <c r="N40" s="430" t="str">
        <f t="shared" si="4"/>
        <v/>
      </c>
      <c r="O40" s="362"/>
    </row>
    <row r="41" spans="1:15" ht="15.75" customHeight="1">
      <c r="A41" s="395">
        <f t="array" ref="A41">IF(C41&lt;&gt;0,INDEX(CodMat,MATCH(C41,Materiales,0),),)</f>
        <v>0</v>
      </c>
      <c r="B41" s="399"/>
      <c r="C41" s="1128"/>
      <c r="D41" s="940"/>
      <c r="E41" s="940"/>
      <c r="F41" s="940"/>
      <c r="G41" s="940"/>
      <c r="H41" s="940"/>
      <c r="I41" s="941"/>
      <c r="J41" s="435" t="str">
        <f t="shared" si="2"/>
        <v/>
      </c>
      <c r="K41" s="436"/>
      <c r="L41" s="1205" t="str">
        <f t="shared" si="3"/>
        <v/>
      </c>
      <c r="M41" s="1145"/>
      <c r="N41" s="430" t="str">
        <f t="shared" si="4"/>
        <v/>
      </c>
      <c r="O41" s="362"/>
    </row>
    <row r="42" spans="1:15" ht="15.75" customHeight="1">
      <c r="A42" s="395"/>
      <c r="B42" s="399"/>
      <c r="C42" s="1127" t="s">
        <v>1202</v>
      </c>
      <c r="D42" s="965"/>
      <c r="E42" s="965"/>
      <c r="F42" s="965"/>
      <c r="G42" s="965"/>
      <c r="H42" s="965"/>
      <c r="I42" s="965"/>
      <c r="J42" s="965"/>
      <c r="K42" s="965"/>
      <c r="L42" s="965"/>
      <c r="M42" s="966"/>
      <c r="N42" s="433">
        <f>+SUM(N34:N41)</f>
        <v>3359.55</v>
      </c>
      <c r="O42" s="362"/>
    </row>
    <row r="43" spans="1:15" ht="15.75" customHeight="1">
      <c r="A43" s="395"/>
      <c r="B43" s="399"/>
      <c r="C43" s="1129" t="s">
        <v>1208</v>
      </c>
      <c r="D43" s="926"/>
      <c r="E43" s="926"/>
      <c r="F43" s="926"/>
      <c r="G43" s="926"/>
      <c r="H43" s="926"/>
      <c r="I43" s="926"/>
      <c r="J43" s="926"/>
      <c r="K43" s="926"/>
      <c r="L43" s="926"/>
      <c r="M43" s="926"/>
      <c r="N43" s="927"/>
      <c r="O43" s="362"/>
    </row>
    <row r="44" spans="1:15" ht="15.75" customHeight="1">
      <c r="A44" s="395"/>
      <c r="B44" s="399"/>
      <c r="C44" s="920"/>
      <c r="D44" s="922"/>
      <c r="E44" s="922"/>
      <c r="F44" s="922"/>
      <c r="G44" s="922"/>
      <c r="H44" s="922"/>
      <c r="I44" s="922"/>
      <c r="J44" s="922"/>
      <c r="K44" s="922"/>
      <c r="L44" s="922"/>
      <c r="M44" s="922"/>
      <c r="N44" s="924"/>
      <c r="O44" s="362"/>
    </row>
    <row r="45" spans="1:15" ht="15.75" customHeight="1">
      <c r="A45" s="395"/>
      <c r="B45" s="399"/>
      <c r="C45" s="929"/>
      <c r="D45" s="936"/>
      <c r="E45" s="936"/>
      <c r="F45" s="936"/>
      <c r="G45" s="936"/>
      <c r="H45" s="936"/>
      <c r="I45" s="936"/>
      <c r="J45" s="936"/>
      <c r="K45" s="936"/>
      <c r="L45" s="936"/>
      <c r="M45" s="936"/>
      <c r="N45" s="938"/>
      <c r="O45" s="362"/>
    </row>
    <row r="46" spans="1:15" ht="15.75" customHeight="1">
      <c r="A46" s="395"/>
      <c r="B46" s="399"/>
      <c r="C46" s="1201" t="s">
        <v>1209</v>
      </c>
      <c r="D46" s="1131"/>
      <c r="E46" s="1131"/>
      <c r="F46" s="1131"/>
      <c r="G46" s="1131"/>
      <c r="H46" s="1000"/>
      <c r="I46" s="670" t="s">
        <v>1210</v>
      </c>
      <c r="J46" s="674" t="s">
        <v>1211</v>
      </c>
      <c r="K46" s="675" t="s">
        <v>2318</v>
      </c>
      <c r="L46" s="1204" t="s">
        <v>1213</v>
      </c>
      <c r="M46" s="1000"/>
      <c r="N46" s="671" t="s">
        <v>1200</v>
      </c>
      <c r="O46" s="362"/>
    </row>
    <row r="47" spans="1:15" ht="15.75" customHeight="1">
      <c r="A47" s="395">
        <f t="array" ref="A47">IF(C47&lt;&gt;0,INDEX(CodTransporte,MATCH(C47,Transporte,0),),)</f>
        <v>0</v>
      </c>
      <c r="B47" s="399"/>
      <c r="C47" s="1128"/>
      <c r="D47" s="940"/>
      <c r="E47" s="940"/>
      <c r="F47" s="940"/>
      <c r="G47" s="940"/>
      <c r="H47" s="940"/>
      <c r="I47" s="440"/>
      <c r="J47" s="441" t="str">
        <f>IF($A47&gt;0,(VLOOKUP($A47,TablaTransporte,6,FALSE)),"")</f>
        <v/>
      </c>
      <c r="K47" s="442" t="str">
        <f>IF($A47&gt;0,(VLOOKUP($A47,TablaTransporte,5,FALSE)),"")</f>
        <v/>
      </c>
      <c r="L47" s="1134" t="str">
        <f>IF($A47&gt;0,(VLOOKUP($A47,TablaTransporte,7,FALSE)),"")</f>
        <v/>
      </c>
      <c r="M47" s="941"/>
      <c r="N47" s="430" t="str">
        <f t="shared" ref="N47:N51" si="5">IF(I47&gt;0,J47*L47*I47,"")</f>
        <v/>
      </c>
      <c r="O47" s="362"/>
    </row>
    <row r="48" spans="1:15" ht="15.75" customHeight="1">
      <c r="A48" s="395">
        <f t="array" ref="A48">IF(C48&lt;&gt;0,INDEX(CodTransporte,MATCH(C48,Transporte,0),),)</f>
        <v>0</v>
      </c>
      <c r="B48" s="399"/>
      <c r="C48" s="1128"/>
      <c r="D48" s="940"/>
      <c r="E48" s="940"/>
      <c r="F48" s="940"/>
      <c r="G48" s="940"/>
      <c r="H48" s="940"/>
      <c r="I48" s="440"/>
      <c r="J48" s="441" t="str">
        <f>IF($A48&gt;0,(VLOOKUP($A48,TablaTransporte,6,FALSE)),"")</f>
        <v/>
      </c>
      <c r="K48" s="442" t="str">
        <f>IF($A48&gt;0,(VLOOKUP($A48,TablaTransporte,5,FALSE)),"")</f>
        <v/>
      </c>
      <c r="L48" s="1134" t="str">
        <f>IF($A48&gt;0,(VLOOKUP($A48,TablaTransporte,7,FALSE)),"")</f>
        <v/>
      </c>
      <c r="M48" s="941"/>
      <c r="N48" s="430" t="str">
        <f t="shared" si="5"/>
        <v/>
      </c>
      <c r="O48" s="362"/>
    </row>
    <row r="49" spans="1:18" ht="15.75" customHeight="1">
      <c r="A49" s="395">
        <f t="array" ref="A49">IF(C49&lt;&gt;0,INDEX(CodTransporte,MATCH(C49,Transporte,0),),)</f>
        <v>0</v>
      </c>
      <c r="B49" s="399"/>
      <c r="C49" s="1128"/>
      <c r="D49" s="940"/>
      <c r="E49" s="940"/>
      <c r="F49" s="940"/>
      <c r="G49" s="940"/>
      <c r="H49" s="940"/>
      <c r="I49" s="440"/>
      <c r="J49" s="441" t="str">
        <f>IF($A49&gt;0,(VLOOKUP($A49,TablaTransporte,6,FALSE)),"")</f>
        <v/>
      </c>
      <c r="K49" s="442" t="str">
        <f>IF($A49&gt;0,(VLOOKUP($A49,TablaTransporte,5,FALSE)),"")</f>
        <v/>
      </c>
      <c r="L49" s="1134" t="str">
        <f>IF($A49&gt;0,(VLOOKUP($A49,TablaTransporte,7,FALSE)),"")</f>
        <v/>
      </c>
      <c r="M49" s="941"/>
      <c r="N49" s="430" t="str">
        <f t="shared" si="5"/>
        <v/>
      </c>
      <c r="O49" s="362"/>
    </row>
    <row r="50" spans="1:18" ht="15.75" customHeight="1">
      <c r="A50" s="395">
        <f t="array" ref="A50">IF(C50&lt;&gt;0,INDEX(CodTransporte,MATCH(C50,Transporte,0),),)</f>
        <v>0</v>
      </c>
      <c r="B50" s="399"/>
      <c r="C50" s="1128"/>
      <c r="D50" s="940"/>
      <c r="E50" s="940"/>
      <c r="F50" s="940"/>
      <c r="G50" s="940"/>
      <c r="H50" s="940"/>
      <c r="I50" s="440"/>
      <c r="J50" s="441" t="str">
        <f>IF($A50&gt;0,(VLOOKUP($A50,TablaTransporte,6,FALSE)),"")</f>
        <v/>
      </c>
      <c r="K50" s="442" t="str">
        <f>IF($A50&gt;0,(VLOOKUP($A50,TablaTransporte,5,FALSE)),"")</f>
        <v/>
      </c>
      <c r="L50" s="1134" t="str">
        <f>IF($A50&gt;0,(VLOOKUP($A50,TablaTransporte,7,FALSE)),"")</f>
        <v/>
      </c>
      <c r="M50" s="941"/>
      <c r="N50" s="430" t="str">
        <f t="shared" si="5"/>
        <v/>
      </c>
      <c r="O50" s="362"/>
    </row>
    <row r="51" spans="1:18" ht="15.75" customHeight="1">
      <c r="A51" s="395">
        <f t="array" ref="A51">IF(C51&lt;&gt;0,INDEX(CodTransporte,MATCH(C51,Transporte,0),),)</f>
        <v>0</v>
      </c>
      <c r="B51" s="399"/>
      <c r="C51" s="1128"/>
      <c r="D51" s="940"/>
      <c r="E51" s="940"/>
      <c r="F51" s="940"/>
      <c r="G51" s="940"/>
      <c r="H51" s="940"/>
      <c r="I51" s="440"/>
      <c r="J51" s="441" t="str">
        <f>IF($A51&gt;0,(VLOOKUP($A51,TablaTransporte,6,FALSE)),"")</f>
        <v/>
      </c>
      <c r="K51" s="442" t="str">
        <f>IF($A51&gt;0,(VLOOKUP($A51,TablaTransporte,5,FALSE)),"")</f>
        <v/>
      </c>
      <c r="L51" s="1205" t="str">
        <f>IF($A51&gt;0,(VLOOKUP($A51,TablaTransporte,7,FALSE)),"")</f>
        <v/>
      </c>
      <c r="M51" s="1145"/>
      <c r="N51" s="430" t="str">
        <f t="shared" si="5"/>
        <v/>
      </c>
      <c r="O51" s="362"/>
    </row>
    <row r="52" spans="1:18" ht="15.75" customHeight="1">
      <c r="A52" s="395"/>
      <c r="B52" s="399"/>
      <c r="C52" s="1127" t="s">
        <v>1202</v>
      </c>
      <c r="D52" s="965"/>
      <c r="E52" s="965"/>
      <c r="F52" s="965"/>
      <c r="G52" s="965"/>
      <c r="H52" s="965"/>
      <c r="I52" s="965"/>
      <c r="J52" s="965"/>
      <c r="K52" s="965"/>
      <c r="L52" s="965"/>
      <c r="M52" s="966"/>
      <c r="N52" s="433">
        <f>+SUM(N47:N51)</f>
        <v>0</v>
      </c>
      <c r="O52" s="362"/>
    </row>
    <row r="53" spans="1:18" ht="15.75" customHeight="1">
      <c r="A53" s="395"/>
      <c r="B53" s="399"/>
      <c r="C53" s="1129" t="s">
        <v>1214</v>
      </c>
      <c r="D53" s="926"/>
      <c r="E53" s="926"/>
      <c r="F53" s="926"/>
      <c r="G53" s="926"/>
      <c r="H53" s="926"/>
      <c r="I53" s="926"/>
      <c r="J53" s="926"/>
      <c r="K53" s="926"/>
      <c r="L53" s="926"/>
      <c r="M53" s="926"/>
      <c r="N53" s="927"/>
      <c r="O53" s="362"/>
    </row>
    <row r="54" spans="1:18" ht="15.75" customHeight="1">
      <c r="A54" s="395"/>
      <c r="B54" s="399"/>
      <c r="C54" s="920"/>
      <c r="D54" s="922"/>
      <c r="E54" s="922"/>
      <c r="F54" s="922"/>
      <c r="G54" s="922"/>
      <c r="H54" s="922"/>
      <c r="I54" s="922"/>
      <c r="J54" s="922"/>
      <c r="K54" s="922"/>
      <c r="L54" s="922"/>
      <c r="M54" s="922"/>
      <c r="N54" s="924"/>
      <c r="O54" s="362"/>
    </row>
    <row r="55" spans="1:18" ht="15.75" customHeight="1">
      <c r="A55" s="395"/>
      <c r="B55" s="399"/>
      <c r="C55" s="929"/>
      <c r="D55" s="936"/>
      <c r="E55" s="936"/>
      <c r="F55" s="936"/>
      <c r="G55" s="936"/>
      <c r="H55" s="936"/>
      <c r="I55" s="936"/>
      <c r="J55" s="936"/>
      <c r="K55" s="936"/>
      <c r="L55" s="936"/>
      <c r="M55" s="936"/>
      <c r="N55" s="938"/>
      <c r="O55" s="362"/>
    </row>
    <row r="56" spans="1:18" ht="15.75" customHeight="1">
      <c r="A56" s="395"/>
      <c r="B56" s="399"/>
      <c r="C56" s="1201" t="s">
        <v>1215</v>
      </c>
      <c r="D56" s="1131"/>
      <c r="E56" s="1131"/>
      <c r="F56" s="1131"/>
      <c r="G56" s="1131"/>
      <c r="H56" s="1000"/>
      <c r="I56" s="670" t="s">
        <v>1216</v>
      </c>
      <c r="J56" s="676" t="s">
        <v>1217</v>
      </c>
      <c r="K56" s="677" t="s">
        <v>1218</v>
      </c>
      <c r="L56" s="1206" t="s">
        <v>1199</v>
      </c>
      <c r="M56" s="1000"/>
      <c r="N56" s="678" t="s">
        <v>1200</v>
      </c>
      <c r="O56" s="362"/>
    </row>
    <row r="57" spans="1:18" ht="15.75" customHeight="1">
      <c r="A57" s="395" t="str">
        <f t="array" ref="A57">IF(C57&lt;&gt;0,INDEX(CodMO,MATCH(C57,MO,0),),)</f>
        <v>M.O-12</v>
      </c>
      <c r="B57" s="399"/>
      <c r="C57" s="1128" t="s">
        <v>152</v>
      </c>
      <c r="D57" s="940"/>
      <c r="E57" s="940"/>
      <c r="F57" s="940"/>
      <c r="G57" s="940"/>
      <c r="H57" s="940"/>
      <c r="I57" s="447">
        <f>IF($A57&gt;0,(VLOOKUP($A57,TablaMO,8,FALSE)),"")</f>
        <v>183393.66666666666</v>
      </c>
      <c r="J57" s="448">
        <f>IF($A57&gt;0,(VLOOKUP($A57,TablaMO,10,FALSE)),"")</f>
        <v>0.67071666666666663</v>
      </c>
      <c r="K57" s="447">
        <f>IF($A57&gt;0,(VLOOKUP($A57,TablaMO,11,FALSE)),"")</f>
        <v>306399</v>
      </c>
      <c r="L57" s="1146">
        <v>507.67282523720337</v>
      </c>
      <c r="M57" s="941"/>
      <c r="N57" s="430">
        <f t="shared" ref="N57:N61" si="6">IF(L57&gt;0,K57/L57,"")</f>
        <v>603.53634224333189</v>
      </c>
      <c r="O57" s="362"/>
    </row>
    <row r="58" spans="1:18" ht="14.25" customHeight="1">
      <c r="A58" s="395" t="str">
        <f t="array" ref="A58">IF(C58&lt;&gt;0,INDEX(CodMO,MATCH(C58,MO,0),),)</f>
        <v>M.O-01</v>
      </c>
      <c r="B58" s="399"/>
      <c r="C58" s="1128" t="s">
        <v>130</v>
      </c>
      <c r="D58" s="940"/>
      <c r="E58" s="940"/>
      <c r="F58" s="940"/>
      <c r="G58" s="940"/>
      <c r="H58" s="940"/>
      <c r="I58" s="447">
        <f>IF($A58&gt;0,(VLOOKUP($A58,TablaMO,8,FALSE)),"")</f>
        <v>72503.016666666677</v>
      </c>
      <c r="J58" s="448">
        <f>IF($A58&gt;0,(VLOOKUP($A58,TablaMO,10,FALSE)),"")</f>
        <v>0.67071666666666663</v>
      </c>
      <c r="K58" s="447">
        <f>IF($A58&gt;0,(VLOOKUP($A58,TablaMO,11,FALSE)),"")</f>
        <v>121132</v>
      </c>
      <c r="L58" s="1146">
        <f>L57</f>
        <v>507.67282523720337</v>
      </c>
      <c r="M58" s="941"/>
      <c r="N58" s="430">
        <f t="shared" si="6"/>
        <v>238.60248959239189</v>
      </c>
      <c r="O58" s="362"/>
    </row>
    <row r="59" spans="1:18" ht="15.75" customHeight="1">
      <c r="A59" s="395" t="str">
        <f t="array" ref="A59">IF(C59&lt;&gt;0,INDEX(CodMO,MATCH(C59,MO,0),),)</f>
        <v>M.O-05</v>
      </c>
      <c r="B59" s="399"/>
      <c r="C59" s="1128" t="s">
        <v>139</v>
      </c>
      <c r="D59" s="940"/>
      <c r="E59" s="940"/>
      <c r="F59" s="940"/>
      <c r="G59" s="940"/>
      <c r="H59" s="940"/>
      <c r="I59" s="447">
        <f>IF($A59&gt;0,(VLOOKUP($A59,TablaMO,8,FALSE)),"")</f>
        <v>125030.16666666667</v>
      </c>
      <c r="J59" s="448">
        <f>IF($A59&gt;0,(VLOOKUP($A59,TablaMO,10,FALSE)),"")</f>
        <v>0.67071666666666663</v>
      </c>
      <c r="K59" s="447">
        <f>IF($A59&gt;0,(VLOOKUP($A59,TablaMO,11,FALSE)),"")</f>
        <v>208890</v>
      </c>
      <c r="L59" s="1146"/>
      <c r="M59" s="941"/>
      <c r="N59" s="430" t="str">
        <f t="shared" si="6"/>
        <v/>
      </c>
      <c r="O59" s="362"/>
    </row>
    <row r="60" spans="1:18" ht="15.75" customHeight="1">
      <c r="A60" s="395">
        <f t="array" ref="A60">IF(C60&lt;&gt;0,INDEX(CodMO,MATCH(C60,MO,0),),)</f>
        <v>0</v>
      </c>
      <c r="B60" s="399"/>
      <c r="C60" s="1128"/>
      <c r="D60" s="940"/>
      <c r="E60" s="940"/>
      <c r="F60" s="940"/>
      <c r="G60" s="940"/>
      <c r="H60" s="940"/>
      <c r="I60" s="447" t="str">
        <f>IF($A60&gt;0,(VLOOKUP($A60,TablaMO,8,FALSE)),"")</f>
        <v/>
      </c>
      <c r="J60" s="448" t="str">
        <f>IF($A60&gt;0,(VLOOKUP($A60,TablaMO,10,FALSE)),"")</f>
        <v/>
      </c>
      <c r="K60" s="447" t="str">
        <f>IF($A60&gt;0,(VLOOKUP($A60,TablaMO,11,FALSE)),"")</f>
        <v/>
      </c>
      <c r="L60" s="1146"/>
      <c r="M60" s="941"/>
      <c r="N60" s="430" t="str">
        <f t="shared" si="6"/>
        <v/>
      </c>
      <c r="O60" s="362"/>
    </row>
    <row r="61" spans="1:18" ht="15.75" customHeight="1">
      <c r="A61" s="395">
        <f t="array" ref="A61">IF(C61&lt;&gt;0,INDEX(CodMO,MATCH(C61,MO,0),),)</f>
        <v>0</v>
      </c>
      <c r="B61" s="399"/>
      <c r="C61" s="1128"/>
      <c r="D61" s="940"/>
      <c r="E61" s="940"/>
      <c r="F61" s="940"/>
      <c r="G61" s="940"/>
      <c r="H61" s="940"/>
      <c r="I61" s="447" t="str">
        <f>IF($A61&gt;0,(VLOOKUP($A61,TablaMO,8,FALSE)),"")</f>
        <v/>
      </c>
      <c r="J61" s="448" t="str">
        <f>IF($A61&gt;0,(VLOOKUP($A61,TablaMO,10,FALSE)),"")</f>
        <v/>
      </c>
      <c r="K61" s="447" t="str">
        <f>IF($A61&gt;0,(VLOOKUP($A61,TablaMO,11,FALSE)),"")</f>
        <v/>
      </c>
      <c r="L61" s="1146"/>
      <c r="M61" s="941"/>
      <c r="N61" s="430" t="str">
        <f t="shared" si="6"/>
        <v/>
      </c>
      <c r="O61" s="362"/>
    </row>
    <row r="62" spans="1:18" ht="15.75" customHeight="1">
      <c r="A62" s="395"/>
      <c r="B62" s="399"/>
      <c r="C62" s="1127" t="s">
        <v>1202</v>
      </c>
      <c r="D62" s="965"/>
      <c r="E62" s="965"/>
      <c r="F62" s="965"/>
      <c r="G62" s="965"/>
      <c r="H62" s="965"/>
      <c r="I62" s="965"/>
      <c r="J62" s="965"/>
      <c r="K62" s="965"/>
      <c r="L62" s="965"/>
      <c r="M62" s="966"/>
      <c r="N62" s="433">
        <f>+SUM(N57:N61)</f>
        <v>842.13883183572375</v>
      </c>
      <c r="O62" s="362"/>
    </row>
    <row r="63" spans="1:18" ht="15.75" customHeight="1">
      <c r="B63" s="679"/>
      <c r="O63" s="362"/>
    </row>
    <row r="64" spans="1:18" ht="15.75" customHeight="1">
      <c r="B64" s="679"/>
      <c r="C64" s="1198" t="s">
        <v>1219</v>
      </c>
      <c r="D64" s="965"/>
      <c r="E64" s="965"/>
      <c r="F64" s="965"/>
      <c r="G64" s="965"/>
      <c r="H64" s="965"/>
      <c r="I64" s="965"/>
      <c r="J64" s="965"/>
      <c r="K64" s="965"/>
      <c r="L64" s="965"/>
      <c r="M64" s="966"/>
      <c r="N64" s="680">
        <f>ROUND(SUM(N62,N52,N42,N29),0)</f>
        <v>6608</v>
      </c>
      <c r="O64" s="362"/>
      <c r="Q64" s="681">
        <v>6608</v>
      </c>
      <c r="R64" s="682">
        <f>Q64-N64</f>
        <v>0</v>
      </c>
    </row>
    <row r="65" spans="2:15" ht="15.75" customHeight="1">
      <c r="B65" s="679"/>
      <c r="C65" s="1129" t="s">
        <v>1220</v>
      </c>
      <c r="D65" s="926"/>
      <c r="E65" s="926"/>
      <c r="F65" s="926"/>
      <c r="G65" s="926"/>
      <c r="H65" s="926"/>
      <c r="I65" s="926"/>
      <c r="J65" s="926"/>
      <c r="K65" s="926"/>
      <c r="L65" s="926"/>
      <c r="M65" s="926"/>
      <c r="N65" s="927"/>
      <c r="O65" s="362"/>
    </row>
    <row r="66" spans="2:15" ht="15.75" customHeight="1">
      <c r="B66" s="679"/>
      <c r="C66" s="920"/>
      <c r="D66" s="922"/>
      <c r="E66" s="922"/>
      <c r="F66" s="922"/>
      <c r="G66" s="922"/>
      <c r="H66" s="922"/>
      <c r="I66" s="922"/>
      <c r="J66" s="922"/>
      <c r="K66" s="922"/>
      <c r="L66" s="922"/>
      <c r="M66" s="922"/>
      <c r="N66" s="924"/>
      <c r="O66" s="362"/>
    </row>
    <row r="67" spans="2:15" ht="15.75" customHeight="1">
      <c r="B67" s="679"/>
      <c r="C67" s="929"/>
      <c r="D67" s="936"/>
      <c r="E67" s="936"/>
      <c r="F67" s="936"/>
      <c r="G67" s="936"/>
      <c r="H67" s="936"/>
      <c r="I67" s="936"/>
      <c r="J67" s="936"/>
      <c r="K67" s="936"/>
      <c r="L67" s="936"/>
      <c r="M67" s="936"/>
      <c r="N67" s="938"/>
      <c r="O67" s="362"/>
    </row>
    <row r="68" spans="2:15" ht="15.75" customHeight="1">
      <c r="B68" s="679"/>
      <c r="C68" s="1201" t="s">
        <v>1221</v>
      </c>
      <c r="D68" s="1131"/>
      <c r="E68" s="1131"/>
      <c r="F68" s="1131"/>
      <c r="G68" s="1131"/>
      <c r="H68" s="1132"/>
      <c r="I68" s="674"/>
      <c r="J68" s="674"/>
      <c r="K68" s="674"/>
      <c r="L68" s="1206" t="s">
        <v>1222</v>
      </c>
      <c r="M68" s="1000"/>
      <c r="N68" s="678" t="s">
        <v>1223</v>
      </c>
      <c r="O68" s="362"/>
    </row>
    <row r="69" spans="2:15" ht="15.75" customHeight="1">
      <c r="B69" s="679"/>
      <c r="C69" s="1128" t="s">
        <v>19</v>
      </c>
      <c r="D69" s="940"/>
      <c r="E69" s="940"/>
      <c r="F69" s="940"/>
      <c r="G69" s="940"/>
      <c r="H69" s="940"/>
      <c r="I69" s="452"/>
      <c r="J69" s="452"/>
      <c r="K69" s="452"/>
      <c r="L69" s="1148">
        <f>+Datos!$E$18</f>
        <v>0.25</v>
      </c>
      <c r="M69" s="941"/>
      <c r="N69" s="430">
        <f>+L69*N64</f>
        <v>1652</v>
      </c>
      <c r="O69" s="362"/>
    </row>
    <row r="70" spans="2:15" ht="15.75" customHeight="1">
      <c r="B70" s="679"/>
      <c r="C70" s="454" t="s">
        <v>20</v>
      </c>
      <c r="D70" s="455"/>
      <c r="E70" s="455"/>
      <c r="F70" s="455"/>
      <c r="G70" s="455"/>
      <c r="H70" s="455"/>
      <c r="I70" s="452"/>
      <c r="J70" s="452"/>
      <c r="K70" s="452"/>
      <c r="L70" s="1148">
        <f>+Datos!$E$19</f>
        <v>0.01</v>
      </c>
      <c r="M70" s="941"/>
      <c r="N70" s="430">
        <f>+L70*N64</f>
        <v>66.08</v>
      </c>
      <c r="O70" s="362"/>
    </row>
    <row r="71" spans="2:15" ht="15.75" customHeight="1">
      <c r="B71" s="679"/>
      <c r="C71" s="456" t="s">
        <v>21</v>
      </c>
      <c r="D71" s="457"/>
      <c r="E71" s="457"/>
      <c r="F71" s="457"/>
      <c r="G71" s="457"/>
      <c r="H71" s="457"/>
      <c r="I71" s="458"/>
      <c r="J71" s="458"/>
      <c r="K71" s="458"/>
      <c r="L71" s="1148">
        <f>+Datos!$E$20</f>
        <v>0.05</v>
      </c>
      <c r="M71" s="941"/>
      <c r="N71" s="430">
        <f>+L71*N64</f>
        <v>330.40000000000003</v>
      </c>
      <c r="O71" s="362"/>
    </row>
    <row r="72" spans="2:15" ht="15.75" customHeight="1">
      <c r="B72" s="679"/>
      <c r="C72" s="1127" t="s">
        <v>1202</v>
      </c>
      <c r="D72" s="965"/>
      <c r="E72" s="965"/>
      <c r="F72" s="965"/>
      <c r="G72" s="965"/>
      <c r="H72" s="965"/>
      <c r="I72" s="965"/>
      <c r="J72" s="965"/>
      <c r="K72" s="965"/>
      <c r="L72" s="965"/>
      <c r="M72" s="966"/>
      <c r="N72" s="433">
        <f>+SUM(N69:N71)</f>
        <v>2048.48</v>
      </c>
      <c r="O72" s="362"/>
    </row>
    <row r="73" spans="2:15" ht="15.75" customHeight="1">
      <c r="B73" s="679"/>
      <c r="C73" s="418"/>
      <c r="D73" s="39"/>
      <c r="E73" s="39"/>
      <c r="F73" s="39"/>
      <c r="G73" s="39"/>
      <c r="H73" s="39"/>
      <c r="I73" s="39"/>
      <c r="J73" s="39"/>
      <c r="K73" s="39"/>
      <c r="L73" s="39"/>
      <c r="M73" s="39"/>
      <c r="N73" s="40"/>
      <c r="O73" s="362"/>
    </row>
    <row r="74" spans="2:15" ht="15.75" customHeight="1">
      <c r="B74" s="679"/>
      <c r="C74" s="1198" t="s">
        <v>1224</v>
      </c>
      <c r="D74" s="965"/>
      <c r="E74" s="965"/>
      <c r="F74" s="965"/>
      <c r="G74" s="965"/>
      <c r="H74" s="965"/>
      <c r="I74" s="965"/>
      <c r="J74" s="965"/>
      <c r="K74" s="965"/>
      <c r="L74" s="965"/>
      <c r="M74" s="966"/>
      <c r="N74" s="683">
        <f>+ROUND(SUM(N72,N64),0)</f>
        <v>8656</v>
      </c>
      <c r="O74" s="362"/>
    </row>
    <row r="75" spans="2:15" ht="15.75" customHeight="1">
      <c r="B75" s="679"/>
      <c r="C75" s="418"/>
      <c r="D75" s="39" t="s">
        <v>1225</v>
      </c>
      <c r="E75" s="39"/>
      <c r="F75" s="39"/>
      <c r="G75" s="184"/>
      <c r="H75" s="184"/>
      <c r="I75" s="184"/>
      <c r="J75" s="39" t="s">
        <v>1225</v>
      </c>
      <c r="K75" s="39"/>
      <c r="L75" s="39"/>
      <c r="M75" s="39"/>
      <c r="N75" s="40"/>
      <c r="O75" s="362"/>
    </row>
    <row r="76" spans="2:15" ht="15.75" customHeight="1">
      <c r="B76" s="679"/>
      <c r="C76" s="418"/>
      <c r="D76" s="39" t="s">
        <v>1226</v>
      </c>
      <c r="E76" s="39"/>
      <c r="F76" s="39"/>
      <c r="G76" s="184"/>
      <c r="H76" s="184"/>
      <c r="I76" s="184"/>
      <c r="J76" s="39" t="s">
        <v>1227</v>
      </c>
      <c r="K76" s="39"/>
      <c r="L76" s="39"/>
      <c r="M76" s="39"/>
      <c r="N76" s="40"/>
      <c r="O76" s="362"/>
    </row>
    <row r="77" spans="2:15" ht="15.75" customHeight="1">
      <c r="B77" s="679"/>
      <c r="C77" s="404"/>
      <c r="D77" s="39" t="s">
        <v>1228</v>
      </c>
      <c r="E77" s="42"/>
      <c r="F77" s="42"/>
      <c r="G77" s="184"/>
      <c r="H77" s="184"/>
      <c r="I77" s="184"/>
      <c r="J77" s="39" t="s">
        <v>1228</v>
      </c>
      <c r="K77" s="42"/>
      <c r="L77" s="42"/>
      <c r="M77" s="42"/>
      <c r="N77" s="43"/>
      <c r="O77" s="362"/>
    </row>
    <row r="78" spans="2:15" ht="15.75" customHeight="1">
      <c r="B78" s="679"/>
      <c r="C78" s="418"/>
      <c r="D78" s="39"/>
      <c r="E78" s="39"/>
      <c r="F78" s="39"/>
      <c r="G78" s="39" t="s">
        <v>1229</v>
      </c>
      <c r="H78" s="39"/>
      <c r="I78" s="39"/>
      <c r="J78" s="39"/>
      <c r="K78" s="39"/>
      <c r="L78" s="39"/>
      <c r="M78" s="39"/>
      <c r="N78" s="40"/>
      <c r="O78" s="362"/>
    </row>
    <row r="79" spans="2:15" ht="15.75" customHeight="1">
      <c r="B79" s="679"/>
      <c r="C79" s="466"/>
      <c r="D79" s="467"/>
      <c r="E79" s="467"/>
      <c r="F79" s="39"/>
      <c r="G79" s="39"/>
      <c r="H79" s="39"/>
      <c r="I79" s="39"/>
      <c r="J79" s="1149"/>
      <c r="K79" s="922"/>
      <c r="L79" s="922"/>
      <c r="M79" s="922"/>
      <c r="N79" s="924"/>
      <c r="O79" s="362"/>
    </row>
    <row r="80" spans="2:15" ht="15.75" customHeight="1">
      <c r="B80" s="679"/>
      <c r="C80" s="1150"/>
      <c r="D80" s="936"/>
      <c r="E80" s="936"/>
      <c r="F80" s="416"/>
      <c r="G80" s="416"/>
      <c r="H80" s="416"/>
      <c r="I80" s="416"/>
      <c r="J80" s="936"/>
      <c r="K80" s="936"/>
      <c r="L80" s="936"/>
      <c r="M80" s="936"/>
      <c r="N80" s="938"/>
      <c r="O80" s="362"/>
    </row>
    <row r="81" spans="1:15" ht="15.75" customHeight="1">
      <c r="B81" s="684"/>
      <c r="C81" s="685"/>
      <c r="D81" s="685"/>
      <c r="E81" s="685"/>
      <c r="F81" s="685"/>
      <c r="G81" s="685"/>
      <c r="H81" s="685"/>
      <c r="I81" s="685"/>
      <c r="J81" s="685"/>
      <c r="K81" s="685"/>
      <c r="L81" s="685"/>
      <c r="M81" s="685"/>
      <c r="N81" s="685"/>
      <c r="O81" s="686"/>
    </row>
    <row r="82" spans="1:15" ht="15.75" customHeight="1"/>
    <row r="83" spans="1:15" ht="15.75" customHeight="1"/>
    <row r="84" spans="1:15" ht="15.75" customHeight="1"/>
    <row r="85" spans="1:15" ht="15.75" customHeight="1"/>
    <row r="86" spans="1:15" ht="15.75" customHeight="1"/>
    <row r="87" spans="1:15" ht="15.75" customHeight="1">
      <c r="A87" s="395" t="s">
        <v>941</v>
      </c>
      <c r="B87" s="184"/>
      <c r="C87" s="184"/>
      <c r="D87" s="184"/>
      <c r="E87" s="184"/>
      <c r="F87" s="184"/>
      <c r="G87" s="184"/>
      <c r="H87" s="184"/>
      <c r="I87" s="184"/>
      <c r="J87" s="184"/>
      <c r="K87" s="184"/>
      <c r="L87" s="184"/>
      <c r="M87" s="184"/>
      <c r="N87" s="184"/>
    </row>
    <row r="88" spans="1:15" ht="15.75" customHeight="1">
      <c r="A88" s="395"/>
      <c r="B88" s="396"/>
      <c r="C88" s="397"/>
      <c r="D88" s="397"/>
      <c r="E88" s="397"/>
      <c r="F88" s="397"/>
      <c r="G88" s="397"/>
      <c r="H88" s="397"/>
      <c r="I88" s="397"/>
      <c r="J88" s="397"/>
      <c r="K88" s="397"/>
      <c r="L88" s="397"/>
      <c r="M88" s="397"/>
      <c r="N88" s="397"/>
      <c r="O88" s="667"/>
    </row>
    <row r="89" spans="1:15" ht="15.75" customHeight="1">
      <c r="A89" s="395"/>
      <c r="B89" s="399"/>
      <c r="C89" s="1124"/>
      <c r="D89" s="927"/>
      <c r="E89" s="1207" t="str">
        <f>Datos!$C$9</f>
        <v>CONSEJO SUPERIOR  DE  JUDICATURA– DIRECCIÓN  EJECUTIVA  SECCIONAL  DE ADMINISTRACIÓN JUDICIAL DE BUCARAMANGA</v>
      </c>
      <c r="F89" s="926"/>
      <c r="G89" s="926"/>
      <c r="H89" s="926"/>
      <c r="I89" s="926"/>
      <c r="J89" s="926"/>
      <c r="K89" s="927"/>
      <c r="L89" s="925" t="s">
        <v>1</v>
      </c>
      <c r="M89" s="931"/>
      <c r="N89" s="933">
        <v>1</v>
      </c>
      <c r="O89" s="362"/>
    </row>
    <row r="90" spans="1:15" ht="15.75" customHeight="1">
      <c r="A90" s="395"/>
      <c r="B90" s="399"/>
      <c r="C90" s="920"/>
      <c r="D90" s="924"/>
      <c r="E90" s="920"/>
      <c r="F90" s="922"/>
      <c r="G90" s="922"/>
      <c r="H90" s="922"/>
      <c r="I90" s="922"/>
      <c r="J90" s="922"/>
      <c r="K90" s="924"/>
      <c r="L90" s="920"/>
      <c r="M90" s="932"/>
      <c r="N90" s="934"/>
      <c r="O90" s="362"/>
    </row>
    <row r="91" spans="1:15" ht="15.75" customHeight="1">
      <c r="A91" s="395"/>
      <c r="B91" s="399"/>
      <c r="C91" s="920"/>
      <c r="D91" s="924"/>
      <c r="E91" s="919" t="str">
        <f>Datos!$C$13</f>
        <v xml:space="preserve">BGA - 030 - 2026 </v>
      </c>
      <c r="F91" s="922"/>
      <c r="G91" s="922"/>
      <c r="H91" s="922"/>
      <c r="I91" s="922"/>
      <c r="J91" s="922"/>
      <c r="K91" s="922"/>
      <c r="L91" s="925" t="s">
        <v>29</v>
      </c>
      <c r="M91" s="926"/>
      <c r="N91" s="927"/>
      <c r="O91" s="362"/>
    </row>
    <row r="92" spans="1:15" ht="15.75" customHeight="1">
      <c r="A92" s="395"/>
      <c r="B92" s="399"/>
      <c r="C92" s="920"/>
      <c r="D92" s="924"/>
      <c r="E9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92" s="922"/>
      <c r="G92" s="922"/>
      <c r="H92" s="922"/>
      <c r="I92" s="922"/>
      <c r="J92" s="922"/>
      <c r="K92" s="924"/>
      <c r="L92" s="919">
        <v>1</v>
      </c>
      <c r="M92" s="921" t="s">
        <v>30</v>
      </c>
      <c r="N92" s="923">
        <v>1</v>
      </c>
      <c r="O92" s="362"/>
    </row>
    <row r="93" spans="1:15" ht="15.75" customHeight="1">
      <c r="A93" s="395"/>
      <c r="B93" s="399"/>
      <c r="C93" s="920"/>
      <c r="D93" s="924"/>
      <c r="E93" s="920"/>
      <c r="F93" s="922"/>
      <c r="G93" s="922"/>
      <c r="H93" s="922"/>
      <c r="I93" s="922"/>
      <c r="J93" s="922"/>
      <c r="K93" s="924"/>
      <c r="L93" s="920"/>
      <c r="M93" s="922"/>
      <c r="N93" s="924"/>
      <c r="O93" s="362"/>
    </row>
    <row r="94" spans="1:15" ht="15.75" customHeight="1">
      <c r="A94" s="395"/>
      <c r="B94" s="399"/>
      <c r="C94" s="920"/>
      <c r="D94" s="924"/>
      <c r="E94" s="920"/>
      <c r="F94" s="922"/>
      <c r="G94" s="922"/>
      <c r="H94" s="922"/>
      <c r="I94" s="922"/>
      <c r="J94" s="922"/>
      <c r="K94" s="924"/>
      <c r="L94" s="925" t="s">
        <v>2</v>
      </c>
      <c r="M94" s="926"/>
      <c r="N94" s="927"/>
      <c r="O94" s="362"/>
    </row>
    <row r="95" spans="1:15" ht="15.75" customHeight="1">
      <c r="A95" s="395"/>
      <c r="B95" s="399"/>
      <c r="C95" s="920"/>
      <c r="D95" s="924"/>
      <c r="E95" s="407"/>
      <c r="F95" s="216"/>
      <c r="G95" s="216"/>
      <c r="H95" s="216"/>
      <c r="I95" s="216"/>
      <c r="J95" s="216"/>
      <c r="K95" s="216"/>
      <c r="L95" s="408" t="s">
        <v>3</v>
      </c>
      <c r="M95" s="409" t="s">
        <v>4</v>
      </c>
      <c r="N95" s="410" t="s">
        <v>5</v>
      </c>
      <c r="O95" s="362"/>
    </row>
    <row r="96" spans="1:15" ht="15.75" customHeight="1">
      <c r="A96" s="395"/>
      <c r="B96" s="399"/>
      <c r="C96" s="920"/>
      <c r="D96" s="924"/>
      <c r="E96" s="1125" t="s">
        <v>1186</v>
      </c>
      <c r="F96" s="945"/>
      <c r="G96" s="945"/>
      <c r="H96" s="945"/>
      <c r="I96" s="945"/>
      <c r="J96" s="945"/>
      <c r="K96" s="945"/>
      <c r="L96" s="928">
        <f>Datos!$C$7</f>
        <v>19</v>
      </c>
      <c r="M96" s="935">
        <f>Datos!$D$7</f>
        <v>6</v>
      </c>
      <c r="N96" s="937">
        <f>Datos!$E$7</f>
        <v>2026</v>
      </c>
      <c r="O96" s="362"/>
    </row>
    <row r="97" spans="1:15" ht="15.75" customHeight="1">
      <c r="A97" s="395"/>
      <c r="B97" s="399"/>
      <c r="C97" s="929"/>
      <c r="D97" s="938"/>
      <c r="E97" s="929"/>
      <c r="F97" s="936"/>
      <c r="G97" s="936"/>
      <c r="H97" s="936"/>
      <c r="I97" s="936"/>
      <c r="J97" s="936"/>
      <c r="K97" s="936"/>
      <c r="L97" s="929"/>
      <c r="M97" s="936"/>
      <c r="N97" s="938"/>
      <c r="O97" s="362"/>
    </row>
    <row r="98" spans="1:15" ht="15.75" customHeight="1">
      <c r="A98" s="395"/>
      <c r="B98" s="399"/>
      <c r="C98" s="404"/>
      <c r="D98" s="38"/>
      <c r="E98" s="38"/>
      <c r="F98" s="38"/>
      <c r="G98" s="38"/>
      <c r="H98" s="38"/>
      <c r="I98" s="38"/>
      <c r="J98" s="38"/>
      <c r="K98" s="38"/>
      <c r="L98" s="39"/>
      <c r="M98" s="39"/>
      <c r="N98" s="40"/>
      <c r="O98" s="362"/>
    </row>
    <row r="99" spans="1:15" ht="15.75" customHeight="1">
      <c r="A99" s="395"/>
      <c r="B99" s="399"/>
      <c r="C99" s="412" t="s">
        <v>1187</v>
      </c>
      <c r="D99" s="1199" t="str">
        <f>VLOOKUP(C104,ListaAct,2,0)</f>
        <v>OBRA CIVIL</v>
      </c>
      <c r="E99" s="922"/>
      <c r="F99" s="922"/>
      <c r="G99" s="922"/>
      <c r="H99" s="922"/>
      <c r="I99" s="922"/>
      <c r="J99" s="922"/>
      <c r="K99" s="922"/>
      <c r="L99" s="922"/>
      <c r="M99" s="1"/>
      <c r="N99" s="413"/>
      <c r="O99" s="362"/>
    </row>
    <row r="100" spans="1:15" ht="15.75" customHeight="1">
      <c r="A100" s="395"/>
      <c r="B100" s="399"/>
      <c r="C100" s="412" t="s">
        <v>1189</v>
      </c>
      <c r="D100" s="1199" t="str">
        <f>VLOOKUP(C104,ListaAct,3,0)</f>
        <v>PRELIMINARES</v>
      </c>
      <c r="E100" s="922"/>
      <c r="F100" s="922"/>
      <c r="G100" s="922"/>
      <c r="H100" s="922"/>
      <c r="I100" s="922"/>
      <c r="J100" s="922"/>
      <c r="K100" s="922"/>
      <c r="L100" s="922"/>
      <c r="M100" s="1"/>
      <c r="N100" s="413"/>
      <c r="O100" s="362"/>
    </row>
    <row r="101" spans="1:15" ht="15.75" customHeight="1">
      <c r="A101" s="395"/>
      <c r="B101" s="399"/>
      <c r="C101" s="925" t="s">
        <v>1191</v>
      </c>
      <c r="D101" s="926"/>
      <c r="E101" s="926"/>
      <c r="F101" s="926"/>
      <c r="G101" s="926"/>
      <c r="H101" s="926"/>
      <c r="I101" s="926"/>
      <c r="J101" s="926"/>
      <c r="K101" s="926"/>
      <c r="L101" s="926"/>
      <c r="M101" s="926"/>
      <c r="N101" s="927"/>
      <c r="O101" s="362"/>
    </row>
    <row r="102" spans="1:15" ht="15.75" customHeight="1">
      <c r="A102" s="395"/>
      <c r="B102" s="399"/>
      <c r="C102" s="418"/>
      <c r="D102" s="39"/>
      <c r="E102" s="39"/>
      <c r="F102" s="39"/>
      <c r="G102" s="39"/>
      <c r="H102" s="39"/>
      <c r="I102" s="39"/>
      <c r="J102" s="39"/>
      <c r="K102" s="39"/>
      <c r="L102" s="39"/>
      <c r="M102" s="39"/>
      <c r="N102" s="40"/>
      <c r="O102" s="362"/>
    </row>
    <row r="103" spans="1:15" ht="15.75" customHeight="1">
      <c r="A103" s="395"/>
      <c r="B103" s="399"/>
      <c r="C103" s="668" t="s">
        <v>965</v>
      </c>
      <c r="D103" s="1200" t="s">
        <v>17</v>
      </c>
      <c r="E103" s="1131"/>
      <c r="F103" s="1131"/>
      <c r="G103" s="1131"/>
      <c r="H103" s="1131"/>
      <c r="I103" s="1131"/>
      <c r="J103" s="1131"/>
      <c r="K103" s="1137"/>
      <c r="L103" s="1201" t="s">
        <v>1192</v>
      </c>
      <c r="M103" s="1137"/>
      <c r="N103" s="668" t="s">
        <v>950</v>
      </c>
      <c r="O103" s="362"/>
    </row>
    <row r="104" spans="1:15" ht="15.75" customHeight="1">
      <c r="A104" s="395"/>
      <c r="B104" s="421"/>
      <c r="C104" s="669" t="s">
        <v>980</v>
      </c>
      <c r="D104" s="1219" t="str">
        <f>IF($C104&gt;0,(VLOOKUP($C104,ListaAct,4,FALSE)),"")</f>
        <v xml:space="preserve"> Instalacion de plastico negro para proteger construcción </v>
      </c>
      <c r="E104" s="979"/>
      <c r="F104" s="979"/>
      <c r="G104" s="979"/>
      <c r="H104" s="979"/>
      <c r="I104" s="979"/>
      <c r="J104" s="979"/>
      <c r="K104" s="980"/>
      <c r="L104" s="1203" t="str">
        <f>IF($C104&gt;0,(VLOOKUP($C104,ListaAct,5,FALSE)),"")</f>
        <v>m2</v>
      </c>
      <c r="M104" s="980"/>
      <c r="N104" s="423">
        <f>IF($C104&gt;0,(VLOOKUP($C104,ListaAct,6,FALSE)),"")</f>
        <v>60</v>
      </c>
      <c r="O104" s="362"/>
    </row>
    <row r="105" spans="1:15" ht="15.75" customHeight="1">
      <c r="A105" s="395"/>
      <c r="B105" s="399"/>
      <c r="C105" s="1129" t="s">
        <v>1195</v>
      </c>
      <c r="D105" s="926"/>
      <c r="E105" s="926"/>
      <c r="F105" s="926"/>
      <c r="G105" s="926"/>
      <c r="H105" s="926"/>
      <c r="I105" s="926"/>
      <c r="J105" s="926"/>
      <c r="K105" s="926"/>
      <c r="L105" s="926"/>
      <c r="M105" s="926"/>
      <c r="N105" s="927"/>
      <c r="O105" s="362"/>
    </row>
    <row r="106" spans="1:15" ht="15.75" customHeight="1">
      <c r="A106" s="395"/>
      <c r="B106" s="399"/>
      <c r="C106" s="920"/>
      <c r="D106" s="922"/>
      <c r="E106" s="922"/>
      <c r="F106" s="922"/>
      <c r="G106" s="922"/>
      <c r="H106" s="922"/>
      <c r="I106" s="922"/>
      <c r="J106" s="922"/>
      <c r="K106" s="922"/>
      <c r="L106" s="922"/>
      <c r="M106" s="922"/>
      <c r="N106" s="924"/>
      <c r="O106" s="362"/>
    </row>
    <row r="107" spans="1:15" ht="15.75" customHeight="1">
      <c r="A107" s="395"/>
      <c r="B107" s="399"/>
      <c r="C107" s="929"/>
      <c r="D107" s="936"/>
      <c r="E107" s="936"/>
      <c r="F107" s="936"/>
      <c r="G107" s="936"/>
      <c r="H107" s="936"/>
      <c r="I107" s="936"/>
      <c r="J107" s="936"/>
      <c r="K107" s="936"/>
      <c r="L107" s="936"/>
      <c r="M107" s="936"/>
      <c r="N107" s="938"/>
      <c r="O107" s="362"/>
    </row>
    <row r="108" spans="1:15" ht="15.75" customHeight="1">
      <c r="A108" s="395"/>
      <c r="B108" s="399"/>
      <c r="C108" s="1201" t="s">
        <v>17</v>
      </c>
      <c r="D108" s="1131"/>
      <c r="E108" s="1131"/>
      <c r="F108" s="1000"/>
      <c r="G108" s="1204" t="s">
        <v>1196</v>
      </c>
      <c r="H108" s="1000"/>
      <c r="I108" s="1204" t="s">
        <v>1197</v>
      </c>
      <c r="J108" s="1000"/>
      <c r="K108" s="670" t="s">
        <v>1213</v>
      </c>
      <c r="L108" s="1204" t="s">
        <v>1199</v>
      </c>
      <c r="M108" s="1000"/>
      <c r="N108" s="671" t="s">
        <v>1200</v>
      </c>
      <c r="O108" s="362"/>
    </row>
    <row r="109" spans="1:15" ht="15.75" customHeight="1">
      <c r="A109" s="395"/>
      <c r="B109" s="399"/>
      <c r="C109" s="1128" t="s">
        <v>1201</v>
      </c>
      <c r="D109" s="940"/>
      <c r="E109" s="940"/>
      <c r="F109" s="941"/>
      <c r="G109" s="1142"/>
      <c r="H109" s="941"/>
      <c r="I109" s="1142"/>
      <c r="J109" s="941"/>
      <c r="K109" s="429"/>
      <c r="L109" s="1143">
        <v>0.05</v>
      </c>
      <c r="M109" s="941"/>
      <c r="N109" s="430">
        <f>+L109*N148</f>
        <v>232.97976138554696</v>
      </c>
      <c r="O109" s="362"/>
    </row>
    <row r="110" spans="1:15" ht="15.75" customHeight="1">
      <c r="A110" s="395">
        <f t="array" ref="A110">IF(C110&lt;&gt;0,INDEX(CodEquipos,MATCH(C110,Equipos,0),),)</f>
        <v>0</v>
      </c>
      <c r="B110" s="399"/>
      <c r="C110" s="1128"/>
      <c r="D110" s="940"/>
      <c r="E110" s="940"/>
      <c r="F110" s="941"/>
      <c r="G110" s="1142"/>
      <c r="H110" s="941"/>
      <c r="I110" s="1142"/>
      <c r="J110" s="941"/>
      <c r="K110" s="432" t="str">
        <f>IF($A110&gt;0,(VLOOKUP($A110,TablaEquipos,7,FALSE)),"")</f>
        <v/>
      </c>
      <c r="L110" s="1146"/>
      <c r="M110" s="941"/>
      <c r="N110" s="430" t="str">
        <f t="shared" ref="N110:N111" si="7">IF(L110&gt;0,K110/L110,"")</f>
        <v/>
      </c>
      <c r="O110" s="362"/>
    </row>
    <row r="111" spans="1:15" ht="15.75" customHeight="1">
      <c r="A111" s="395">
        <f t="array" ref="A111">IF(C111&lt;&gt;0,INDEX(CodEquipos,MATCH(C111,Equipos,0),),)</f>
        <v>0</v>
      </c>
      <c r="B111" s="399"/>
      <c r="C111" s="1128"/>
      <c r="D111" s="940"/>
      <c r="E111" s="940"/>
      <c r="F111" s="941"/>
      <c r="G111" s="1142"/>
      <c r="H111" s="941"/>
      <c r="I111" s="1142"/>
      <c r="J111" s="941"/>
      <c r="K111" s="432" t="str">
        <f>IF($A111&gt;0,(VLOOKUP($A111,TablaEquipos,7,FALSE)),"")</f>
        <v/>
      </c>
      <c r="L111" s="1141"/>
      <c r="M111" s="941"/>
      <c r="N111" s="430" t="str">
        <f t="shared" si="7"/>
        <v/>
      </c>
      <c r="O111" s="362"/>
    </row>
    <row r="112" spans="1:15" ht="15.75" customHeight="1">
      <c r="A112" s="395">
        <f t="array" ref="A112">IF(C112&lt;&gt;0,INDEX(CodEquipos,MATCH(C112,Equipos,0),),)</f>
        <v>0</v>
      </c>
      <c r="B112" s="399"/>
      <c r="C112" s="1128"/>
      <c r="D112" s="940"/>
      <c r="E112" s="940"/>
      <c r="F112" s="941"/>
      <c r="G112" s="1142"/>
      <c r="H112" s="941"/>
      <c r="I112" s="1142"/>
      <c r="J112" s="941"/>
      <c r="K112" s="432"/>
      <c r="L112" s="1141"/>
      <c r="M112" s="941"/>
      <c r="N112" s="430"/>
      <c r="O112" s="362"/>
    </row>
    <row r="113" spans="1:15" ht="15.75" customHeight="1">
      <c r="A113" s="395">
        <f t="array" ref="A113">IF(C113&lt;&gt;0,INDEX(CodEquipos,MATCH(C113,Equipos,0),),)</f>
        <v>0</v>
      </c>
      <c r="B113" s="399"/>
      <c r="C113" s="1128"/>
      <c r="D113" s="940"/>
      <c r="E113" s="940"/>
      <c r="F113" s="941"/>
      <c r="G113" s="1142"/>
      <c r="H113" s="941"/>
      <c r="I113" s="1142"/>
      <c r="J113" s="941"/>
      <c r="K113" s="432" t="str">
        <f>IF($A113&gt;0,(VLOOKUP($A113,TablaEquipos,7,FALSE)),"")</f>
        <v/>
      </c>
      <c r="L113" s="1141"/>
      <c r="M113" s="941"/>
      <c r="N113" s="430" t="str">
        <f t="shared" ref="N113:N114" si="8">IF(L113&gt;0,K113/L113,"")</f>
        <v/>
      </c>
      <c r="O113" s="362"/>
    </row>
    <row r="114" spans="1:15" ht="15.75" customHeight="1">
      <c r="A114" s="395">
        <f t="array" ref="A114">IF(C114&lt;&gt;0,INDEX(CodEquipos,MATCH(C114,Equipos,0),),)</f>
        <v>0</v>
      </c>
      <c r="B114" s="399"/>
      <c r="C114" s="1128"/>
      <c r="D114" s="940"/>
      <c r="E114" s="940"/>
      <c r="F114" s="941"/>
      <c r="G114" s="1144"/>
      <c r="H114" s="1145"/>
      <c r="I114" s="1144"/>
      <c r="J114" s="1145"/>
      <c r="K114" s="432" t="str">
        <f>IF($A114&gt;0,(VLOOKUP($A114,TablaEquipos,7,FALSE)),"")</f>
        <v/>
      </c>
      <c r="L114" s="1208"/>
      <c r="M114" s="1145"/>
      <c r="N114" s="430" t="str">
        <f t="shared" si="8"/>
        <v/>
      </c>
      <c r="O114" s="362"/>
    </row>
    <row r="115" spans="1:15" ht="15.75" customHeight="1">
      <c r="A115" s="395"/>
      <c r="B115" s="399"/>
      <c r="C115" s="1127" t="s">
        <v>1202</v>
      </c>
      <c r="D115" s="965"/>
      <c r="E115" s="965"/>
      <c r="F115" s="965"/>
      <c r="G115" s="965"/>
      <c r="H115" s="965"/>
      <c r="I115" s="965"/>
      <c r="J115" s="965"/>
      <c r="K115" s="965"/>
      <c r="L115" s="965"/>
      <c r="M115" s="966"/>
      <c r="N115" s="433">
        <f>+SUM(N109:N114)</f>
        <v>232.97976138554696</v>
      </c>
      <c r="O115" s="362"/>
    </row>
    <row r="116" spans="1:15" ht="15.75" customHeight="1">
      <c r="A116" s="395"/>
      <c r="B116" s="399"/>
      <c r="C116" s="1129" t="s">
        <v>1203</v>
      </c>
      <c r="D116" s="926"/>
      <c r="E116" s="926"/>
      <c r="F116" s="926"/>
      <c r="G116" s="926"/>
      <c r="H116" s="926"/>
      <c r="I116" s="926"/>
      <c r="J116" s="926"/>
      <c r="K116" s="926"/>
      <c r="L116" s="926"/>
      <c r="M116" s="926"/>
      <c r="N116" s="927"/>
      <c r="O116" s="362"/>
    </row>
    <row r="117" spans="1:15" ht="15.75" customHeight="1">
      <c r="A117" s="395"/>
      <c r="B117" s="399"/>
      <c r="C117" s="920"/>
      <c r="D117" s="922"/>
      <c r="E117" s="922"/>
      <c r="F117" s="922"/>
      <c r="G117" s="922"/>
      <c r="H117" s="922"/>
      <c r="I117" s="922"/>
      <c r="J117" s="922"/>
      <c r="K117" s="922"/>
      <c r="L117" s="922"/>
      <c r="M117" s="922"/>
      <c r="N117" s="924"/>
      <c r="O117" s="362"/>
    </row>
    <row r="118" spans="1:15" ht="15.75" customHeight="1">
      <c r="A118" s="395"/>
      <c r="B118" s="399"/>
      <c r="C118" s="929"/>
      <c r="D118" s="936"/>
      <c r="E118" s="936"/>
      <c r="F118" s="936"/>
      <c r="G118" s="936"/>
      <c r="H118" s="936"/>
      <c r="I118" s="936"/>
      <c r="J118" s="936"/>
      <c r="K118" s="936"/>
      <c r="L118" s="936"/>
      <c r="M118" s="936"/>
      <c r="N118" s="938"/>
      <c r="O118" s="362"/>
    </row>
    <row r="119" spans="1:15" ht="15.75" customHeight="1">
      <c r="A119" s="395"/>
      <c r="B119" s="399"/>
      <c r="C119" s="1201" t="s">
        <v>17</v>
      </c>
      <c r="D119" s="1131"/>
      <c r="E119" s="1131"/>
      <c r="F119" s="1131"/>
      <c r="G119" s="1131"/>
      <c r="H119" s="1131"/>
      <c r="I119" s="1000"/>
      <c r="J119" s="672" t="s">
        <v>1192</v>
      </c>
      <c r="K119" s="670" t="s">
        <v>950</v>
      </c>
      <c r="L119" s="1204" t="s">
        <v>1204</v>
      </c>
      <c r="M119" s="1000"/>
      <c r="N119" s="671" t="s">
        <v>1200</v>
      </c>
      <c r="O119" s="362"/>
    </row>
    <row r="120" spans="1:15" ht="15.75" customHeight="1">
      <c r="A120" s="395" t="str">
        <f t="array" ref="A120">IF(C120&lt;&gt;0,INDEX(CodMat,MATCH(C120,Materiales,0),),)</f>
        <v>MAT_C-39</v>
      </c>
      <c r="B120" s="399"/>
      <c r="C120" s="1128" t="s">
        <v>2448</v>
      </c>
      <c r="D120" s="940"/>
      <c r="E120" s="940"/>
      <c r="F120" s="940"/>
      <c r="G120" s="940"/>
      <c r="H120" s="940"/>
      <c r="I120" s="941"/>
      <c r="J120" s="435" t="str">
        <f t="shared" ref="J120:J127" si="9">IF($A120&gt;0,(VLOOKUP($A120,TablaInsumos,5,FALSE)),"")</f>
        <v>UND</v>
      </c>
      <c r="K120" s="436">
        <v>1.0500000000000001E-2</v>
      </c>
      <c r="L120" s="1134">
        <f t="shared" ref="L120:L127" si="10">IF($A120&gt;0,(VLOOKUP($A120,TablaInsumos,7,FALSE)),"")</f>
        <v>467000</v>
      </c>
      <c r="M120" s="941"/>
      <c r="N120" s="430">
        <f t="shared" ref="N120:N127" si="11">IF(K120&gt;0,L120*K120,"")</f>
        <v>4903.5</v>
      </c>
      <c r="O120" s="362"/>
    </row>
    <row r="121" spans="1:15" ht="15.75" customHeight="1">
      <c r="A121" s="395" t="str">
        <f t="array" ref="A121">IF(C121&lt;&gt;0,INDEX(CodMat,MATCH(C121,Materiales,0),),)</f>
        <v>MAT_C-50</v>
      </c>
      <c r="B121" s="399"/>
      <c r="C121" s="1128" t="s">
        <v>2449</v>
      </c>
      <c r="D121" s="940"/>
      <c r="E121" s="940"/>
      <c r="F121" s="940"/>
      <c r="G121" s="940"/>
      <c r="H121" s="940"/>
      <c r="I121" s="941"/>
      <c r="J121" s="435" t="str">
        <f t="shared" si="9"/>
        <v>UND</v>
      </c>
      <c r="K121" s="436">
        <v>0.01</v>
      </c>
      <c r="L121" s="1134">
        <f t="shared" si="10"/>
        <v>5101</v>
      </c>
      <c r="M121" s="941"/>
      <c r="N121" s="430">
        <f t="shared" si="11"/>
        <v>51.01</v>
      </c>
      <c r="O121" s="362"/>
    </row>
    <row r="122" spans="1:15" ht="15.75" customHeight="1">
      <c r="A122" s="395" t="str">
        <f t="array" ref="A122">IF(C122&lt;&gt;0,INDEX(CodMat,MATCH(C122,Materiales,0),),)</f>
        <v>MAT_C-51</v>
      </c>
      <c r="B122" s="399"/>
      <c r="C122" s="1128" t="s">
        <v>1385</v>
      </c>
      <c r="D122" s="940"/>
      <c r="E122" s="940"/>
      <c r="F122" s="940"/>
      <c r="G122" s="940"/>
      <c r="H122" s="940"/>
      <c r="I122" s="941"/>
      <c r="J122" s="435" t="str">
        <f t="shared" si="9"/>
        <v>UND</v>
      </c>
      <c r="K122" s="436">
        <v>0.01</v>
      </c>
      <c r="L122" s="1134">
        <f t="shared" si="10"/>
        <v>39900</v>
      </c>
      <c r="M122" s="941"/>
      <c r="N122" s="430">
        <f t="shared" si="11"/>
        <v>399</v>
      </c>
      <c r="O122" s="362"/>
    </row>
    <row r="123" spans="1:15" ht="15.75" customHeight="1">
      <c r="A123" s="395" t="str">
        <f t="array" ref="A123">IF(C123&lt;&gt;0,INDEX(CodMat,MATCH(C123,Materiales,0),),)</f>
        <v>MAT_C-52</v>
      </c>
      <c r="B123" s="399"/>
      <c r="C123" s="1128" t="s">
        <v>1387</v>
      </c>
      <c r="D123" s="940"/>
      <c r="E123" s="940"/>
      <c r="F123" s="940"/>
      <c r="G123" s="940"/>
      <c r="H123" s="940"/>
      <c r="I123" s="941"/>
      <c r="J123" s="435" t="str">
        <f t="shared" si="9"/>
        <v>UND</v>
      </c>
      <c r="K123" s="436">
        <v>1</v>
      </c>
      <c r="L123" s="1134">
        <f t="shared" si="10"/>
        <v>250</v>
      </c>
      <c r="M123" s="941"/>
      <c r="N123" s="430">
        <f t="shared" si="11"/>
        <v>250</v>
      </c>
      <c r="O123" s="362"/>
    </row>
    <row r="124" spans="1:15" ht="15.75" customHeight="1">
      <c r="A124" s="395">
        <f t="array" ref="A124">IF(C124&lt;&gt;0,INDEX(CodMat,MATCH(C124,Materiales,0),),)</f>
        <v>0</v>
      </c>
      <c r="B124" s="399"/>
      <c r="C124" s="1128"/>
      <c r="D124" s="940"/>
      <c r="E124" s="940"/>
      <c r="F124" s="940"/>
      <c r="G124" s="940"/>
      <c r="H124" s="940"/>
      <c r="I124" s="941"/>
      <c r="J124" s="435" t="str">
        <f t="shared" si="9"/>
        <v/>
      </c>
      <c r="K124" s="436"/>
      <c r="L124" s="1134" t="str">
        <f t="shared" si="10"/>
        <v/>
      </c>
      <c r="M124" s="941"/>
      <c r="N124" s="430" t="str">
        <f t="shared" si="11"/>
        <v/>
      </c>
      <c r="O124" s="362"/>
    </row>
    <row r="125" spans="1:15" ht="15.75" customHeight="1">
      <c r="A125" s="395">
        <f t="array" ref="A125">IF(C125&lt;&gt;0,INDEX(CodMat,MATCH(C125,Materiales,0),),)</f>
        <v>0</v>
      </c>
      <c r="B125" s="399"/>
      <c r="C125" s="1128"/>
      <c r="D125" s="940"/>
      <c r="E125" s="940"/>
      <c r="F125" s="940"/>
      <c r="G125" s="940"/>
      <c r="H125" s="940"/>
      <c r="I125" s="941"/>
      <c r="J125" s="435" t="str">
        <f t="shared" si="9"/>
        <v/>
      </c>
      <c r="K125" s="436"/>
      <c r="L125" s="1134" t="str">
        <f t="shared" si="10"/>
        <v/>
      </c>
      <c r="M125" s="941"/>
      <c r="N125" s="430" t="str">
        <f t="shared" si="11"/>
        <v/>
      </c>
      <c r="O125" s="362"/>
    </row>
    <row r="126" spans="1:15" ht="15.75" customHeight="1">
      <c r="A126" s="395">
        <f t="array" ref="A126">IF(C126&lt;&gt;0,INDEX(CodMat,MATCH(C126,Materiales,0),),)</f>
        <v>0</v>
      </c>
      <c r="B126" s="399"/>
      <c r="C126" s="1128"/>
      <c r="D126" s="940"/>
      <c r="E126" s="940"/>
      <c r="F126" s="940"/>
      <c r="G126" s="940"/>
      <c r="H126" s="940"/>
      <c r="I126" s="941"/>
      <c r="J126" s="435" t="str">
        <f t="shared" si="9"/>
        <v/>
      </c>
      <c r="K126" s="436"/>
      <c r="L126" s="1134" t="str">
        <f t="shared" si="10"/>
        <v/>
      </c>
      <c r="M126" s="941"/>
      <c r="N126" s="430" t="str">
        <f t="shared" si="11"/>
        <v/>
      </c>
      <c r="O126" s="362"/>
    </row>
    <row r="127" spans="1:15" ht="15.75" customHeight="1">
      <c r="A127" s="395">
        <f t="array" ref="A127">IF(C127&lt;&gt;0,INDEX(CodMat,MATCH(C127,Materiales,0),),)</f>
        <v>0</v>
      </c>
      <c r="B127" s="399"/>
      <c r="C127" s="1128"/>
      <c r="D127" s="940"/>
      <c r="E127" s="940"/>
      <c r="F127" s="940"/>
      <c r="G127" s="940"/>
      <c r="H127" s="940"/>
      <c r="I127" s="941"/>
      <c r="J127" s="435" t="str">
        <f t="shared" si="9"/>
        <v/>
      </c>
      <c r="K127" s="436"/>
      <c r="L127" s="1205" t="str">
        <f t="shared" si="10"/>
        <v/>
      </c>
      <c r="M127" s="1145"/>
      <c r="N127" s="430" t="str">
        <f t="shared" si="11"/>
        <v/>
      </c>
      <c r="O127" s="362"/>
    </row>
    <row r="128" spans="1:15" ht="15.75" customHeight="1">
      <c r="A128" s="395"/>
      <c r="B128" s="399"/>
      <c r="C128" s="1127" t="s">
        <v>1202</v>
      </c>
      <c r="D128" s="965"/>
      <c r="E128" s="965"/>
      <c r="F128" s="965"/>
      <c r="G128" s="965"/>
      <c r="H128" s="965"/>
      <c r="I128" s="965"/>
      <c r="J128" s="965"/>
      <c r="K128" s="965"/>
      <c r="L128" s="965"/>
      <c r="M128" s="966"/>
      <c r="N128" s="433">
        <f>+SUM(N120:N127)</f>
        <v>5603.51</v>
      </c>
      <c r="O128" s="362"/>
    </row>
    <row r="129" spans="1:15" ht="15.75" customHeight="1">
      <c r="A129" s="395"/>
      <c r="B129" s="399"/>
      <c r="C129" s="1129" t="s">
        <v>1208</v>
      </c>
      <c r="D129" s="926"/>
      <c r="E129" s="926"/>
      <c r="F129" s="926"/>
      <c r="G129" s="926"/>
      <c r="H129" s="926"/>
      <c r="I129" s="926"/>
      <c r="J129" s="926"/>
      <c r="K129" s="926"/>
      <c r="L129" s="926"/>
      <c r="M129" s="926"/>
      <c r="N129" s="927"/>
      <c r="O129" s="362"/>
    </row>
    <row r="130" spans="1:15" ht="15.75" customHeight="1">
      <c r="A130" s="395"/>
      <c r="B130" s="399"/>
      <c r="C130" s="920"/>
      <c r="D130" s="922"/>
      <c r="E130" s="922"/>
      <c r="F130" s="922"/>
      <c r="G130" s="922"/>
      <c r="H130" s="922"/>
      <c r="I130" s="922"/>
      <c r="J130" s="922"/>
      <c r="K130" s="922"/>
      <c r="L130" s="922"/>
      <c r="M130" s="922"/>
      <c r="N130" s="924"/>
      <c r="O130" s="362"/>
    </row>
    <row r="131" spans="1:15" ht="15.75" customHeight="1">
      <c r="A131" s="395"/>
      <c r="B131" s="399"/>
      <c r="C131" s="929"/>
      <c r="D131" s="936"/>
      <c r="E131" s="936"/>
      <c r="F131" s="936"/>
      <c r="G131" s="936"/>
      <c r="H131" s="936"/>
      <c r="I131" s="936"/>
      <c r="J131" s="936"/>
      <c r="K131" s="936"/>
      <c r="L131" s="936"/>
      <c r="M131" s="936"/>
      <c r="N131" s="938"/>
      <c r="O131" s="362"/>
    </row>
    <row r="132" spans="1:15" ht="15.75" customHeight="1">
      <c r="A132" s="395"/>
      <c r="B132" s="399"/>
      <c r="C132" s="1201" t="s">
        <v>1209</v>
      </c>
      <c r="D132" s="1131"/>
      <c r="E132" s="1131"/>
      <c r="F132" s="1131"/>
      <c r="G132" s="1131"/>
      <c r="H132" s="1000"/>
      <c r="I132" s="670" t="s">
        <v>1210</v>
      </c>
      <c r="J132" s="674" t="s">
        <v>1211</v>
      </c>
      <c r="K132" s="675" t="s">
        <v>2318</v>
      </c>
      <c r="L132" s="1204" t="s">
        <v>1213</v>
      </c>
      <c r="M132" s="1000"/>
      <c r="N132" s="671" t="s">
        <v>1200</v>
      </c>
      <c r="O132" s="362"/>
    </row>
    <row r="133" spans="1:15" ht="15.75" customHeight="1">
      <c r="A133" s="395">
        <f t="array" ref="A133">IF(C133&lt;&gt;0,INDEX(CodTransporte,MATCH(C133,Transporte,0),),)</f>
        <v>0</v>
      </c>
      <c r="B133" s="399"/>
      <c r="C133" s="1128"/>
      <c r="D133" s="940"/>
      <c r="E133" s="940"/>
      <c r="F133" s="940"/>
      <c r="G133" s="940"/>
      <c r="H133" s="940"/>
      <c r="I133" s="440"/>
      <c r="J133" s="441" t="str">
        <f>IF($A133&gt;0,(VLOOKUP($A133,TablaTransporte,6,FALSE)),"")</f>
        <v/>
      </c>
      <c r="K133" s="442" t="str">
        <f>IF($A133&gt;0,(VLOOKUP($A133,TablaTransporte,5,FALSE)),"")</f>
        <v/>
      </c>
      <c r="L133" s="1134" t="str">
        <f>IF($A133&gt;0,(VLOOKUP($A133,TablaTransporte,7,FALSE)),"")</f>
        <v/>
      </c>
      <c r="M133" s="941"/>
      <c r="N133" s="430" t="str">
        <f t="shared" ref="N133:N137" si="12">IF(I133&gt;0,J133*L133*I133,"")</f>
        <v/>
      </c>
      <c r="O133" s="362"/>
    </row>
    <row r="134" spans="1:15" ht="15.75" customHeight="1">
      <c r="A134" s="395">
        <f t="array" ref="A134">IF(C134&lt;&gt;0,INDEX(CodTransporte,MATCH(C134,Transporte,0),),)</f>
        <v>0</v>
      </c>
      <c r="B134" s="399"/>
      <c r="C134" s="1128"/>
      <c r="D134" s="940"/>
      <c r="E134" s="940"/>
      <c r="F134" s="940"/>
      <c r="G134" s="940"/>
      <c r="H134" s="940"/>
      <c r="I134" s="440"/>
      <c r="J134" s="441" t="str">
        <f>IF($A134&gt;0,(VLOOKUP($A134,TablaTransporte,6,FALSE)),"")</f>
        <v/>
      </c>
      <c r="K134" s="442" t="str">
        <f>IF($A134&gt;0,(VLOOKUP($A134,TablaTransporte,5,FALSE)),"")</f>
        <v/>
      </c>
      <c r="L134" s="1134" t="str">
        <f>IF($A134&gt;0,(VLOOKUP($A134,TablaTransporte,7,FALSE)),"")</f>
        <v/>
      </c>
      <c r="M134" s="941"/>
      <c r="N134" s="430" t="str">
        <f t="shared" si="12"/>
        <v/>
      </c>
      <c r="O134" s="362"/>
    </row>
    <row r="135" spans="1:15" ht="15.75" customHeight="1">
      <c r="A135" s="395">
        <f t="array" ref="A135">IF(C135&lt;&gt;0,INDEX(CodTransporte,MATCH(C135,Transporte,0),),)</f>
        <v>0</v>
      </c>
      <c r="B135" s="399"/>
      <c r="C135" s="1128"/>
      <c r="D135" s="940"/>
      <c r="E135" s="940"/>
      <c r="F135" s="940"/>
      <c r="G135" s="940"/>
      <c r="H135" s="940"/>
      <c r="I135" s="440"/>
      <c r="J135" s="441" t="str">
        <f>IF($A135&gt;0,(VLOOKUP($A135,TablaTransporte,6,FALSE)),"")</f>
        <v/>
      </c>
      <c r="K135" s="442" t="str">
        <f>IF($A135&gt;0,(VLOOKUP($A135,TablaTransporte,5,FALSE)),"")</f>
        <v/>
      </c>
      <c r="L135" s="1134" t="str">
        <f>IF($A135&gt;0,(VLOOKUP($A135,TablaTransporte,7,FALSE)),"")</f>
        <v/>
      </c>
      <c r="M135" s="941"/>
      <c r="N135" s="430" t="str">
        <f t="shared" si="12"/>
        <v/>
      </c>
      <c r="O135" s="362"/>
    </row>
    <row r="136" spans="1:15" ht="15.75" customHeight="1">
      <c r="A136" s="395">
        <f t="array" ref="A136">IF(C136&lt;&gt;0,INDEX(CodTransporte,MATCH(C136,Transporte,0),),)</f>
        <v>0</v>
      </c>
      <c r="B136" s="399"/>
      <c r="C136" s="1128"/>
      <c r="D136" s="940"/>
      <c r="E136" s="940"/>
      <c r="F136" s="940"/>
      <c r="G136" s="940"/>
      <c r="H136" s="940"/>
      <c r="I136" s="440"/>
      <c r="J136" s="441" t="str">
        <f>IF($A136&gt;0,(VLOOKUP($A136,TablaTransporte,6,FALSE)),"")</f>
        <v/>
      </c>
      <c r="K136" s="442" t="str">
        <f>IF($A136&gt;0,(VLOOKUP($A136,TablaTransporte,5,FALSE)),"")</f>
        <v/>
      </c>
      <c r="L136" s="1134" t="str">
        <f>IF($A136&gt;0,(VLOOKUP($A136,TablaTransporte,7,FALSE)),"")</f>
        <v/>
      </c>
      <c r="M136" s="941"/>
      <c r="N136" s="430" t="str">
        <f t="shared" si="12"/>
        <v/>
      </c>
      <c r="O136" s="362"/>
    </row>
    <row r="137" spans="1:15" ht="15.75" customHeight="1">
      <c r="A137" s="395">
        <f t="array" ref="A137">IF(C137&lt;&gt;0,INDEX(CodTransporte,MATCH(C137,Transporte,0),),)</f>
        <v>0</v>
      </c>
      <c r="B137" s="399"/>
      <c r="C137" s="1128"/>
      <c r="D137" s="940"/>
      <c r="E137" s="940"/>
      <c r="F137" s="940"/>
      <c r="G137" s="940"/>
      <c r="H137" s="940"/>
      <c r="I137" s="440"/>
      <c r="J137" s="441" t="str">
        <f>IF($A137&gt;0,(VLOOKUP($A137,TablaTransporte,6,FALSE)),"")</f>
        <v/>
      </c>
      <c r="K137" s="442" t="str">
        <f>IF($A137&gt;0,(VLOOKUP($A137,TablaTransporte,5,FALSE)),"")</f>
        <v/>
      </c>
      <c r="L137" s="1205" t="str">
        <f>IF($A137&gt;0,(VLOOKUP($A137,TablaTransporte,7,FALSE)),"")</f>
        <v/>
      </c>
      <c r="M137" s="1145"/>
      <c r="N137" s="430" t="str">
        <f t="shared" si="12"/>
        <v/>
      </c>
      <c r="O137" s="362"/>
    </row>
    <row r="138" spans="1:15" ht="15.75" customHeight="1">
      <c r="A138" s="395"/>
      <c r="B138" s="399"/>
      <c r="C138" s="1127" t="s">
        <v>1202</v>
      </c>
      <c r="D138" s="965"/>
      <c r="E138" s="965"/>
      <c r="F138" s="965"/>
      <c r="G138" s="965"/>
      <c r="H138" s="965"/>
      <c r="I138" s="965"/>
      <c r="J138" s="965"/>
      <c r="K138" s="965"/>
      <c r="L138" s="965"/>
      <c r="M138" s="966"/>
      <c r="N138" s="433">
        <f>+SUM(N133:N137)</f>
        <v>0</v>
      </c>
      <c r="O138" s="362"/>
    </row>
    <row r="139" spans="1:15" ht="15.75" customHeight="1">
      <c r="A139" s="395"/>
      <c r="B139" s="399"/>
      <c r="C139" s="1129" t="s">
        <v>1214</v>
      </c>
      <c r="D139" s="926"/>
      <c r="E139" s="926"/>
      <c r="F139" s="926"/>
      <c r="G139" s="926"/>
      <c r="H139" s="926"/>
      <c r="I139" s="926"/>
      <c r="J139" s="926"/>
      <c r="K139" s="926"/>
      <c r="L139" s="926"/>
      <c r="M139" s="926"/>
      <c r="N139" s="927"/>
      <c r="O139" s="362"/>
    </row>
    <row r="140" spans="1:15" ht="15.75" customHeight="1">
      <c r="A140" s="395"/>
      <c r="B140" s="399"/>
      <c r="C140" s="920"/>
      <c r="D140" s="922"/>
      <c r="E140" s="922"/>
      <c r="F140" s="922"/>
      <c r="G140" s="922"/>
      <c r="H140" s="922"/>
      <c r="I140" s="922"/>
      <c r="J140" s="922"/>
      <c r="K140" s="922"/>
      <c r="L140" s="922"/>
      <c r="M140" s="922"/>
      <c r="N140" s="924"/>
      <c r="O140" s="362"/>
    </row>
    <row r="141" spans="1:15" ht="15.75" customHeight="1">
      <c r="A141" s="395"/>
      <c r="B141" s="399"/>
      <c r="C141" s="929"/>
      <c r="D141" s="936"/>
      <c r="E141" s="936"/>
      <c r="F141" s="936"/>
      <c r="G141" s="936"/>
      <c r="H141" s="936"/>
      <c r="I141" s="936"/>
      <c r="J141" s="936"/>
      <c r="K141" s="936"/>
      <c r="L141" s="936"/>
      <c r="M141" s="936"/>
      <c r="N141" s="938"/>
      <c r="O141" s="362"/>
    </row>
    <row r="142" spans="1:15" ht="15.75" customHeight="1">
      <c r="A142" s="395"/>
      <c r="B142" s="399"/>
      <c r="C142" s="1201" t="s">
        <v>1215</v>
      </c>
      <c r="D142" s="1131"/>
      <c r="E142" s="1131"/>
      <c r="F142" s="1131"/>
      <c r="G142" s="1131"/>
      <c r="H142" s="1000"/>
      <c r="I142" s="670" t="s">
        <v>1216</v>
      </c>
      <c r="J142" s="676" t="s">
        <v>1217</v>
      </c>
      <c r="K142" s="677" t="s">
        <v>1218</v>
      </c>
      <c r="L142" s="1206" t="s">
        <v>1199</v>
      </c>
      <c r="M142" s="1000"/>
      <c r="N142" s="678" t="s">
        <v>1200</v>
      </c>
      <c r="O142" s="362"/>
    </row>
    <row r="143" spans="1:15" ht="15.75" customHeight="1">
      <c r="A143" s="395" t="str">
        <f t="array" ref="A143">IF(C143&lt;&gt;0,INDEX(CodMO,MATCH(C143,MO,0),),)</f>
        <v>M.O-01</v>
      </c>
      <c r="B143" s="399"/>
      <c r="C143" s="1128" t="s">
        <v>130</v>
      </c>
      <c r="D143" s="940"/>
      <c r="E143" s="940"/>
      <c r="F143" s="940"/>
      <c r="G143" s="940"/>
      <c r="H143" s="940"/>
      <c r="I143" s="447">
        <f>IF($A143&gt;0,(VLOOKUP($A143,TablaMO,8,FALSE)),"")</f>
        <v>72503.016666666677</v>
      </c>
      <c r="J143" s="448">
        <f>IF($A143&gt;0,(VLOOKUP($A143,TablaMO,10,FALSE)),"")</f>
        <v>0.67071666666666663</v>
      </c>
      <c r="K143" s="447">
        <f>IF($A143&gt;0,(VLOOKUP($A143,TablaMO,11,FALSE)),"")</f>
        <v>121132</v>
      </c>
      <c r="L143" s="1146">
        <v>25.996249476696928</v>
      </c>
      <c r="M143" s="941"/>
      <c r="N143" s="430">
        <f t="shared" ref="N143:N147" si="13">IF(L143&gt;0,K143/L143,"")</f>
        <v>4659.5952277109391</v>
      </c>
      <c r="O143" s="362"/>
    </row>
    <row r="144" spans="1:15" ht="15.75" customHeight="1">
      <c r="A144" s="395">
        <f t="array" ref="A144">IF(C144&lt;&gt;0,INDEX(CodMO,MATCH(C144,MO,0),),)</f>
        <v>0</v>
      </c>
      <c r="B144" s="399"/>
      <c r="C144" s="1128"/>
      <c r="D144" s="940"/>
      <c r="E144" s="940"/>
      <c r="F144" s="940"/>
      <c r="G144" s="940"/>
      <c r="H144" s="940"/>
      <c r="I144" s="447" t="str">
        <f>IF($A144&gt;0,(VLOOKUP($A144,TablaMO,8,FALSE)),"")</f>
        <v/>
      </c>
      <c r="J144" s="448" t="str">
        <f>IF($A144&gt;0,(VLOOKUP($A144,TablaMO,10,FALSE)),"")</f>
        <v/>
      </c>
      <c r="K144" s="447" t="str">
        <f>IF($A144&gt;0,(VLOOKUP($A144,TablaMO,11,FALSE)),"")</f>
        <v/>
      </c>
      <c r="L144" s="1146"/>
      <c r="M144" s="941"/>
      <c r="N144" s="430" t="str">
        <f t="shared" si="13"/>
        <v/>
      </c>
      <c r="O144" s="362"/>
    </row>
    <row r="145" spans="1:18" ht="15.75" customHeight="1">
      <c r="A145" s="395">
        <f t="array" ref="A145">IF(C145&lt;&gt;0,INDEX(CodMO,MATCH(C145,MO,0),),)</f>
        <v>0</v>
      </c>
      <c r="B145" s="399"/>
      <c r="C145" s="1128"/>
      <c r="D145" s="940"/>
      <c r="E145" s="940"/>
      <c r="F145" s="940"/>
      <c r="G145" s="940"/>
      <c r="H145" s="940"/>
      <c r="I145" s="447" t="str">
        <f>IF($A145&gt;0,(VLOOKUP($A145,TablaMO,8,FALSE)),"")</f>
        <v/>
      </c>
      <c r="J145" s="448" t="str">
        <f>IF($A145&gt;0,(VLOOKUP($A145,TablaMO,10,FALSE)),"")</f>
        <v/>
      </c>
      <c r="K145" s="447" t="str">
        <f>IF($A145&gt;0,(VLOOKUP($A145,TablaMO,11,FALSE)),"")</f>
        <v/>
      </c>
      <c r="L145" s="1146"/>
      <c r="M145" s="941"/>
      <c r="N145" s="430" t="str">
        <f t="shared" si="13"/>
        <v/>
      </c>
      <c r="O145" s="362"/>
    </row>
    <row r="146" spans="1:18" ht="15.75" customHeight="1">
      <c r="A146" s="395">
        <f t="array" ref="A146">IF(C146&lt;&gt;0,INDEX(CodMO,MATCH(C146,MO,0),),)</f>
        <v>0</v>
      </c>
      <c r="B146" s="399"/>
      <c r="C146" s="1128"/>
      <c r="D146" s="940"/>
      <c r="E146" s="940"/>
      <c r="F146" s="940"/>
      <c r="G146" s="940"/>
      <c r="H146" s="940"/>
      <c r="I146" s="447" t="str">
        <f>IF($A146&gt;0,(VLOOKUP($A146,TablaMO,8,FALSE)),"")</f>
        <v/>
      </c>
      <c r="J146" s="448" t="str">
        <f>IF($A146&gt;0,(VLOOKUP($A146,TablaMO,10,FALSE)),"")</f>
        <v/>
      </c>
      <c r="K146" s="447" t="str">
        <f>IF($A146&gt;0,(VLOOKUP($A146,TablaMO,11,FALSE)),"")</f>
        <v/>
      </c>
      <c r="L146" s="1146"/>
      <c r="M146" s="941"/>
      <c r="N146" s="430" t="str">
        <f t="shared" si="13"/>
        <v/>
      </c>
      <c r="O146" s="362"/>
    </row>
    <row r="147" spans="1:18" ht="15.75" customHeight="1">
      <c r="A147" s="395">
        <f t="array" ref="A147">IF(C147&lt;&gt;0,INDEX(CodMO,MATCH(C147,MO,0),),)</f>
        <v>0</v>
      </c>
      <c r="B147" s="399"/>
      <c r="C147" s="1128"/>
      <c r="D147" s="940"/>
      <c r="E147" s="940"/>
      <c r="F147" s="940"/>
      <c r="G147" s="940"/>
      <c r="H147" s="940"/>
      <c r="I147" s="447" t="str">
        <f>IF($A147&gt;0,(VLOOKUP($A147,TablaMO,8,FALSE)),"")</f>
        <v/>
      </c>
      <c r="J147" s="448" t="str">
        <f>IF($A147&gt;0,(VLOOKUP($A147,TablaMO,10,FALSE)),"")</f>
        <v/>
      </c>
      <c r="K147" s="447" t="str">
        <f>IF($A147&gt;0,(VLOOKUP($A147,TablaMO,11,FALSE)),"")</f>
        <v/>
      </c>
      <c r="L147" s="1146"/>
      <c r="M147" s="941"/>
      <c r="N147" s="430" t="str">
        <f t="shared" si="13"/>
        <v/>
      </c>
      <c r="O147" s="362"/>
    </row>
    <row r="148" spans="1:18" ht="15.75" customHeight="1">
      <c r="A148" s="395"/>
      <c r="B148" s="399"/>
      <c r="C148" s="1127" t="s">
        <v>1202</v>
      </c>
      <c r="D148" s="965"/>
      <c r="E148" s="965"/>
      <c r="F148" s="965"/>
      <c r="G148" s="965"/>
      <c r="H148" s="965"/>
      <c r="I148" s="965"/>
      <c r="J148" s="965"/>
      <c r="K148" s="965"/>
      <c r="L148" s="965"/>
      <c r="M148" s="966"/>
      <c r="N148" s="433">
        <f>+SUM(N143:N147)</f>
        <v>4659.5952277109391</v>
      </c>
      <c r="O148" s="362"/>
    </row>
    <row r="149" spans="1:18" ht="15.75" customHeight="1">
      <c r="B149" s="679"/>
      <c r="O149" s="362"/>
    </row>
    <row r="150" spans="1:18" ht="15.75" customHeight="1">
      <c r="B150" s="679"/>
      <c r="C150" s="1198" t="s">
        <v>1219</v>
      </c>
      <c r="D150" s="965"/>
      <c r="E150" s="965"/>
      <c r="F150" s="965"/>
      <c r="G150" s="965"/>
      <c r="H150" s="965"/>
      <c r="I150" s="965"/>
      <c r="J150" s="965"/>
      <c r="K150" s="965"/>
      <c r="L150" s="965"/>
      <c r="M150" s="966"/>
      <c r="N150" s="680">
        <f>ROUND(SUM(N148,N138,N128,N115),0)</f>
        <v>10496</v>
      </c>
      <c r="O150" s="362"/>
      <c r="Q150" s="681">
        <v>10496</v>
      </c>
      <c r="R150" s="682">
        <f>Q150-N150</f>
        <v>0</v>
      </c>
    </row>
    <row r="151" spans="1:18" ht="15.75" customHeight="1">
      <c r="B151" s="679"/>
      <c r="C151" s="1129" t="s">
        <v>1220</v>
      </c>
      <c r="D151" s="926"/>
      <c r="E151" s="926"/>
      <c r="F151" s="926"/>
      <c r="G151" s="926"/>
      <c r="H151" s="926"/>
      <c r="I151" s="926"/>
      <c r="J151" s="926"/>
      <c r="K151" s="926"/>
      <c r="L151" s="926"/>
      <c r="M151" s="926"/>
      <c r="N151" s="927"/>
      <c r="O151" s="362"/>
    </row>
    <row r="152" spans="1:18" ht="15.75" customHeight="1">
      <c r="B152" s="679"/>
      <c r="C152" s="920"/>
      <c r="D152" s="922"/>
      <c r="E152" s="922"/>
      <c r="F152" s="922"/>
      <c r="G152" s="922"/>
      <c r="H152" s="922"/>
      <c r="I152" s="922"/>
      <c r="J152" s="922"/>
      <c r="K152" s="922"/>
      <c r="L152" s="922"/>
      <c r="M152" s="922"/>
      <c r="N152" s="924"/>
      <c r="O152" s="362"/>
    </row>
    <row r="153" spans="1:18" ht="15.75" customHeight="1">
      <c r="B153" s="679"/>
      <c r="C153" s="929"/>
      <c r="D153" s="936"/>
      <c r="E153" s="936"/>
      <c r="F153" s="936"/>
      <c r="G153" s="936"/>
      <c r="H153" s="936"/>
      <c r="I153" s="936"/>
      <c r="J153" s="936"/>
      <c r="K153" s="936"/>
      <c r="L153" s="936"/>
      <c r="M153" s="936"/>
      <c r="N153" s="938"/>
      <c r="O153" s="362"/>
    </row>
    <row r="154" spans="1:18" ht="15.75" customHeight="1">
      <c r="B154" s="679"/>
      <c r="C154" s="1201" t="s">
        <v>1221</v>
      </c>
      <c r="D154" s="1131"/>
      <c r="E154" s="1131"/>
      <c r="F154" s="1131"/>
      <c r="G154" s="1131"/>
      <c r="H154" s="1132"/>
      <c r="I154" s="674"/>
      <c r="J154" s="674"/>
      <c r="K154" s="674"/>
      <c r="L154" s="1206" t="s">
        <v>1222</v>
      </c>
      <c r="M154" s="1000"/>
      <c r="N154" s="678" t="s">
        <v>1223</v>
      </c>
      <c r="O154" s="362"/>
    </row>
    <row r="155" spans="1:18" ht="15.75" customHeight="1">
      <c r="B155" s="679"/>
      <c r="C155" s="1128" t="s">
        <v>19</v>
      </c>
      <c r="D155" s="940"/>
      <c r="E155" s="940"/>
      <c r="F155" s="940"/>
      <c r="G155" s="940"/>
      <c r="H155" s="940"/>
      <c r="I155" s="452"/>
      <c r="J155" s="452"/>
      <c r="K155" s="452"/>
      <c r="L155" s="1148">
        <f>+Datos!$E$18</f>
        <v>0.25</v>
      </c>
      <c r="M155" s="941"/>
      <c r="N155" s="430">
        <f>+L155*N150</f>
        <v>2624</v>
      </c>
      <c r="O155" s="362"/>
    </row>
    <row r="156" spans="1:18" ht="15.75" customHeight="1">
      <c r="B156" s="679"/>
      <c r="C156" s="454" t="s">
        <v>20</v>
      </c>
      <c r="D156" s="455"/>
      <c r="E156" s="455"/>
      <c r="F156" s="455"/>
      <c r="G156" s="455"/>
      <c r="H156" s="455"/>
      <c r="I156" s="452"/>
      <c r="J156" s="452"/>
      <c r="K156" s="452"/>
      <c r="L156" s="1148">
        <f>+Datos!$E$19</f>
        <v>0.01</v>
      </c>
      <c r="M156" s="941"/>
      <c r="N156" s="430">
        <f>+L156*N150</f>
        <v>104.96000000000001</v>
      </c>
      <c r="O156" s="362"/>
    </row>
    <row r="157" spans="1:18" ht="15.75" customHeight="1">
      <c r="B157" s="679"/>
      <c r="C157" s="456" t="s">
        <v>21</v>
      </c>
      <c r="D157" s="457"/>
      <c r="E157" s="457"/>
      <c r="F157" s="457"/>
      <c r="G157" s="457"/>
      <c r="H157" s="457"/>
      <c r="I157" s="458"/>
      <c r="J157" s="458"/>
      <c r="K157" s="458"/>
      <c r="L157" s="1148">
        <f>+Datos!$E$20</f>
        <v>0.05</v>
      </c>
      <c r="M157" s="941"/>
      <c r="N157" s="430">
        <f>+L157*N150</f>
        <v>524.80000000000007</v>
      </c>
      <c r="O157" s="362"/>
    </row>
    <row r="158" spans="1:18" ht="15.75" customHeight="1">
      <c r="B158" s="679"/>
      <c r="C158" s="1127" t="s">
        <v>1202</v>
      </c>
      <c r="D158" s="965"/>
      <c r="E158" s="965"/>
      <c r="F158" s="965"/>
      <c r="G158" s="965"/>
      <c r="H158" s="965"/>
      <c r="I158" s="965"/>
      <c r="J158" s="965"/>
      <c r="K158" s="965"/>
      <c r="L158" s="965"/>
      <c r="M158" s="966"/>
      <c r="N158" s="433">
        <f>+SUM(N155:N157)</f>
        <v>3253.76</v>
      </c>
      <c r="O158" s="362"/>
    </row>
    <row r="159" spans="1:18" ht="15.75" customHeight="1">
      <c r="B159" s="679"/>
      <c r="C159" s="418"/>
      <c r="D159" s="39"/>
      <c r="E159" s="39"/>
      <c r="F159" s="39"/>
      <c r="G159" s="39"/>
      <c r="H159" s="39"/>
      <c r="I159" s="39"/>
      <c r="J159" s="39"/>
      <c r="K159" s="39"/>
      <c r="L159" s="39"/>
      <c r="M159" s="39"/>
      <c r="N159" s="40"/>
      <c r="O159" s="362"/>
    </row>
    <row r="160" spans="1:18" ht="15.75" customHeight="1">
      <c r="B160" s="679"/>
      <c r="C160" s="1198" t="s">
        <v>1224</v>
      </c>
      <c r="D160" s="965"/>
      <c r="E160" s="965"/>
      <c r="F160" s="965"/>
      <c r="G160" s="965"/>
      <c r="H160" s="965"/>
      <c r="I160" s="965"/>
      <c r="J160" s="965"/>
      <c r="K160" s="965"/>
      <c r="L160" s="965"/>
      <c r="M160" s="966"/>
      <c r="N160" s="683">
        <f>+ROUND(SUM(N158,N150),0)</f>
        <v>13750</v>
      </c>
      <c r="O160" s="362"/>
    </row>
    <row r="161" spans="1:15" ht="15.75" customHeight="1">
      <c r="B161" s="679"/>
      <c r="C161" s="418"/>
      <c r="D161" s="39" t="s">
        <v>1225</v>
      </c>
      <c r="E161" s="39"/>
      <c r="F161" s="39"/>
      <c r="G161" s="184"/>
      <c r="H161" s="184"/>
      <c r="I161" s="184"/>
      <c r="J161" s="39" t="s">
        <v>1225</v>
      </c>
      <c r="K161" s="39"/>
      <c r="L161" s="39"/>
      <c r="M161" s="39"/>
      <c r="N161" s="40"/>
      <c r="O161" s="362"/>
    </row>
    <row r="162" spans="1:15" ht="15.75" customHeight="1">
      <c r="B162" s="679"/>
      <c r="C162" s="418"/>
      <c r="D162" s="39" t="s">
        <v>1226</v>
      </c>
      <c r="E162" s="39"/>
      <c r="F162" s="39"/>
      <c r="G162" s="184"/>
      <c r="H162" s="184"/>
      <c r="I162" s="184"/>
      <c r="J162" s="39" t="s">
        <v>1227</v>
      </c>
      <c r="K162" s="39"/>
      <c r="L162" s="39"/>
      <c r="M162" s="39"/>
      <c r="N162" s="40"/>
      <c r="O162" s="362"/>
    </row>
    <row r="163" spans="1:15" ht="15.75" customHeight="1">
      <c r="B163" s="679"/>
      <c r="C163" s="404"/>
      <c r="D163" s="39" t="s">
        <v>1228</v>
      </c>
      <c r="E163" s="42"/>
      <c r="F163" s="42"/>
      <c r="G163" s="184"/>
      <c r="H163" s="184"/>
      <c r="I163" s="184"/>
      <c r="J163" s="39" t="s">
        <v>1228</v>
      </c>
      <c r="K163" s="42"/>
      <c r="L163" s="42"/>
      <c r="M163" s="42"/>
      <c r="N163" s="43"/>
      <c r="O163" s="362"/>
    </row>
    <row r="164" spans="1:15" ht="15.75" customHeight="1">
      <c r="B164" s="679"/>
      <c r="C164" s="418"/>
      <c r="D164" s="39"/>
      <c r="E164" s="39"/>
      <c r="F164" s="39"/>
      <c r="G164" s="39" t="s">
        <v>1229</v>
      </c>
      <c r="H164" s="39"/>
      <c r="I164" s="39"/>
      <c r="J164" s="39"/>
      <c r="K164" s="39"/>
      <c r="L164" s="39"/>
      <c r="M164" s="39"/>
      <c r="N164" s="40"/>
      <c r="O164" s="362"/>
    </row>
    <row r="165" spans="1:15" ht="15.75" customHeight="1">
      <c r="B165" s="679"/>
      <c r="C165" s="466"/>
      <c r="D165" s="467"/>
      <c r="E165" s="467"/>
      <c r="F165" s="39"/>
      <c r="G165" s="39"/>
      <c r="H165" s="39"/>
      <c r="I165" s="39"/>
      <c r="J165" s="1149"/>
      <c r="K165" s="922"/>
      <c r="L165" s="922"/>
      <c r="M165" s="922"/>
      <c r="N165" s="924"/>
      <c r="O165" s="362"/>
    </row>
    <row r="166" spans="1:15" ht="15.75" customHeight="1">
      <c r="B166" s="679"/>
      <c r="C166" s="1150"/>
      <c r="D166" s="936"/>
      <c r="E166" s="936"/>
      <c r="F166" s="416"/>
      <c r="G166" s="416"/>
      <c r="H166" s="416"/>
      <c r="I166" s="416"/>
      <c r="J166" s="936"/>
      <c r="K166" s="936"/>
      <c r="L166" s="936"/>
      <c r="M166" s="936"/>
      <c r="N166" s="938"/>
      <c r="O166" s="362"/>
    </row>
    <row r="167" spans="1:15" ht="15.75" customHeight="1">
      <c r="B167" s="684"/>
      <c r="C167" s="685"/>
      <c r="D167" s="685"/>
      <c r="E167" s="685"/>
      <c r="F167" s="685"/>
      <c r="G167" s="685"/>
      <c r="H167" s="685"/>
      <c r="I167" s="685"/>
      <c r="J167" s="685"/>
      <c r="K167" s="685"/>
      <c r="L167" s="685"/>
      <c r="M167" s="685"/>
      <c r="N167" s="685"/>
      <c r="O167" s="686"/>
    </row>
    <row r="168" spans="1:15" ht="15.75" customHeight="1"/>
    <row r="169" spans="1:15" ht="15.75" customHeight="1"/>
    <row r="170" spans="1:15" ht="15.75" customHeight="1"/>
    <row r="171" spans="1:15" ht="15.75" customHeight="1"/>
    <row r="172" spans="1:15" ht="15.75" customHeight="1">
      <c r="A172" s="395" t="s">
        <v>941</v>
      </c>
      <c r="B172" s="184"/>
      <c r="C172" s="184"/>
      <c r="D172" s="184"/>
      <c r="E172" s="184"/>
      <c r="F172" s="184"/>
      <c r="G172" s="184"/>
      <c r="H172" s="184"/>
      <c r="I172" s="184"/>
      <c r="J172" s="184"/>
      <c r="K172" s="184"/>
      <c r="L172" s="184"/>
      <c r="M172" s="184"/>
      <c r="N172" s="184"/>
    </row>
    <row r="173" spans="1:15" ht="15.75" customHeight="1">
      <c r="A173" s="395"/>
      <c r="B173" s="396"/>
      <c r="C173" s="397"/>
      <c r="D173" s="397"/>
      <c r="E173" s="397"/>
      <c r="F173" s="397"/>
      <c r="G173" s="397"/>
      <c r="H173" s="397"/>
      <c r="I173" s="397"/>
      <c r="J173" s="397"/>
      <c r="K173" s="397"/>
      <c r="L173" s="397"/>
      <c r="M173" s="397"/>
      <c r="N173" s="397"/>
      <c r="O173" s="667"/>
    </row>
    <row r="174" spans="1:15" ht="15.75" customHeight="1">
      <c r="A174" s="395"/>
      <c r="B174" s="399"/>
      <c r="C174" s="1124"/>
      <c r="D174" s="927"/>
      <c r="E174" s="1207" t="str">
        <f>Datos!$C$9</f>
        <v>CONSEJO SUPERIOR  DE  JUDICATURA– DIRECCIÓN  EJECUTIVA  SECCIONAL  DE ADMINISTRACIÓN JUDICIAL DE BUCARAMANGA</v>
      </c>
      <c r="F174" s="926"/>
      <c r="G174" s="926"/>
      <c r="H174" s="926"/>
      <c r="I174" s="926"/>
      <c r="J174" s="926"/>
      <c r="K174" s="927"/>
      <c r="L174" s="925" t="s">
        <v>1</v>
      </c>
      <c r="M174" s="931"/>
      <c r="N174" s="933">
        <v>1</v>
      </c>
      <c r="O174" s="362"/>
    </row>
    <row r="175" spans="1:15" ht="15.75" customHeight="1">
      <c r="A175" s="395"/>
      <c r="B175" s="399"/>
      <c r="C175" s="920"/>
      <c r="D175" s="924"/>
      <c r="E175" s="920"/>
      <c r="F175" s="922"/>
      <c r="G175" s="922"/>
      <c r="H175" s="922"/>
      <c r="I175" s="922"/>
      <c r="J175" s="922"/>
      <c r="K175" s="924"/>
      <c r="L175" s="920"/>
      <c r="M175" s="932"/>
      <c r="N175" s="934"/>
      <c r="O175" s="362"/>
    </row>
    <row r="176" spans="1:15" ht="15.75" customHeight="1">
      <c r="A176" s="395"/>
      <c r="B176" s="399"/>
      <c r="C176" s="920"/>
      <c r="D176" s="924"/>
      <c r="E176" s="919" t="str">
        <f>Datos!$C$13</f>
        <v xml:space="preserve">BGA - 030 - 2026 </v>
      </c>
      <c r="F176" s="922"/>
      <c r="G176" s="922"/>
      <c r="H176" s="922"/>
      <c r="I176" s="922"/>
      <c r="J176" s="922"/>
      <c r="K176" s="922"/>
      <c r="L176" s="925" t="s">
        <v>29</v>
      </c>
      <c r="M176" s="926"/>
      <c r="N176" s="927"/>
      <c r="O176" s="362"/>
    </row>
    <row r="177" spans="1:15" ht="15.75" customHeight="1">
      <c r="A177" s="395"/>
      <c r="B177" s="399"/>
      <c r="C177" s="920"/>
      <c r="D177" s="924"/>
      <c r="E17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77" s="922"/>
      <c r="G177" s="922"/>
      <c r="H177" s="922"/>
      <c r="I177" s="922"/>
      <c r="J177" s="922"/>
      <c r="K177" s="924"/>
      <c r="L177" s="919">
        <v>1</v>
      </c>
      <c r="M177" s="921" t="s">
        <v>30</v>
      </c>
      <c r="N177" s="923">
        <v>1</v>
      </c>
      <c r="O177" s="362"/>
    </row>
    <row r="178" spans="1:15" ht="15.75" customHeight="1">
      <c r="A178" s="395"/>
      <c r="B178" s="399"/>
      <c r="C178" s="920"/>
      <c r="D178" s="924"/>
      <c r="E178" s="920"/>
      <c r="F178" s="922"/>
      <c r="G178" s="922"/>
      <c r="H178" s="922"/>
      <c r="I178" s="922"/>
      <c r="J178" s="922"/>
      <c r="K178" s="924"/>
      <c r="L178" s="920"/>
      <c r="M178" s="922"/>
      <c r="N178" s="924"/>
      <c r="O178" s="362"/>
    </row>
    <row r="179" spans="1:15" ht="15.75" customHeight="1">
      <c r="A179" s="395"/>
      <c r="B179" s="399"/>
      <c r="C179" s="920"/>
      <c r="D179" s="924"/>
      <c r="E179" s="920"/>
      <c r="F179" s="922"/>
      <c r="G179" s="922"/>
      <c r="H179" s="922"/>
      <c r="I179" s="922"/>
      <c r="J179" s="922"/>
      <c r="K179" s="924"/>
      <c r="L179" s="925" t="s">
        <v>2</v>
      </c>
      <c r="M179" s="926"/>
      <c r="N179" s="927"/>
      <c r="O179" s="362"/>
    </row>
    <row r="180" spans="1:15" ht="15.75" customHeight="1">
      <c r="A180" s="395"/>
      <c r="B180" s="399"/>
      <c r="C180" s="920"/>
      <c r="D180" s="924"/>
      <c r="E180" s="407"/>
      <c r="F180" s="216"/>
      <c r="G180" s="216"/>
      <c r="H180" s="216"/>
      <c r="I180" s="216"/>
      <c r="J180" s="216"/>
      <c r="K180" s="216"/>
      <c r="L180" s="408" t="s">
        <v>3</v>
      </c>
      <c r="M180" s="409" t="s">
        <v>4</v>
      </c>
      <c r="N180" s="410" t="s">
        <v>5</v>
      </c>
      <c r="O180" s="362"/>
    </row>
    <row r="181" spans="1:15" ht="15.75" customHeight="1">
      <c r="A181" s="395"/>
      <c r="B181" s="399"/>
      <c r="C181" s="920"/>
      <c r="D181" s="924"/>
      <c r="E181" s="1125" t="s">
        <v>1186</v>
      </c>
      <c r="F181" s="945"/>
      <c r="G181" s="945"/>
      <c r="H181" s="945"/>
      <c r="I181" s="945"/>
      <c r="J181" s="945"/>
      <c r="K181" s="945"/>
      <c r="L181" s="928">
        <f>Datos!$C$7</f>
        <v>19</v>
      </c>
      <c r="M181" s="935">
        <f>Datos!$D$7</f>
        <v>6</v>
      </c>
      <c r="N181" s="937">
        <f>Datos!$E$7</f>
        <v>2026</v>
      </c>
      <c r="O181" s="362"/>
    </row>
    <row r="182" spans="1:15" ht="15.75" customHeight="1">
      <c r="A182" s="395"/>
      <c r="B182" s="399"/>
      <c r="C182" s="929"/>
      <c r="D182" s="938"/>
      <c r="E182" s="929"/>
      <c r="F182" s="936"/>
      <c r="G182" s="936"/>
      <c r="H182" s="936"/>
      <c r="I182" s="936"/>
      <c r="J182" s="936"/>
      <c r="K182" s="936"/>
      <c r="L182" s="929"/>
      <c r="M182" s="936"/>
      <c r="N182" s="938"/>
      <c r="O182" s="362"/>
    </row>
    <row r="183" spans="1:15" ht="15.75" customHeight="1">
      <c r="A183" s="395"/>
      <c r="B183" s="399"/>
      <c r="C183" s="404"/>
      <c r="D183" s="38"/>
      <c r="E183" s="38"/>
      <c r="F183" s="38"/>
      <c r="G183" s="38"/>
      <c r="H183" s="38"/>
      <c r="I183" s="38"/>
      <c r="J183" s="38"/>
      <c r="K183" s="38"/>
      <c r="L183" s="39"/>
      <c r="M183" s="39"/>
      <c r="N183" s="40"/>
      <c r="O183" s="362"/>
    </row>
    <row r="184" spans="1:15" ht="15.75" customHeight="1">
      <c r="A184" s="395"/>
      <c r="B184" s="399"/>
      <c r="C184" s="412" t="s">
        <v>1187</v>
      </c>
      <c r="D184" s="1199" t="str">
        <f>VLOOKUP(C189,ListaAct,2,0)</f>
        <v>OBRA CIVIL</v>
      </c>
      <c r="E184" s="922"/>
      <c r="F184" s="922"/>
      <c r="G184" s="922"/>
      <c r="H184" s="922"/>
      <c r="I184" s="922"/>
      <c r="J184" s="922"/>
      <c r="K184" s="922"/>
      <c r="L184" s="922"/>
      <c r="M184" s="1"/>
      <c r="N184" s="413"/>
      <c r="O184" s="362"/>
    </row>
    <row r="185" spans="1:15" ht="15.75" customHeight="1">
      <c r="A185" s="395"/>
      <c r="B185" s="399"/>
      <c r="C185" s="412" t="s">
        <v>1189</v>
      </c>
      <c r="D185" s="1199" t="str">
        <f>VLOOKUP(C189,ListaAct,3,0)</f>
        <v>PRELIMINARES</v>
      </c>
      <c r="E185" s="922"/>
      <c r="F185" s="922"/>
      <c r="G185" s="922"/>
      <c r="H185" s="922"/>
      <c r="I185" s="922"/>
      <c r="J185" s="922"/>
      <c r="K185" s="922"/>
      <c r="L185" s="922"/>
      <c r="M185" s="1"/>
      <c r="N185" s="413"/>
      <c r="O185" s="362"/>
    </row>
    <row r="186" spans="1:15" ht="15.75" customHeight="1">
      <c r="A186" s="395"/>
      <c r="B186" s="399"/>
      <c r="C186" s="925" t="s">
        <v>1191</v>
      </c>
      <c r="D186" s="926"/>
      <c r="E186" s="926"/>
      <c r="F186" s="926"/>
      <c r="G186" s="926"/>
      <c r="H186" s="926"/>
      <c r="I186" s="926"/>
      <c r="J186" s="926"/>
      <c r="K186" s="926"/>
      <c r="L186" s="926"/>
      <c r="M186" s="926"/>
      <c r="N186" s="927"/>
      <c r="O186" s="362"/>
    </row>
    <row r="187" spans="1:15" ht="15.75" customHeight="1">
      <c r="A187" s="395"/>
      <c r="B187" s="399"/>
      <c r="C187" s="418"/>
      <c r="D187" s="39"/>
      <c r="E187" s="39"/>
      <c r="F187" s="39"/>
      <c r="G187" s="39"/>
      <c r="H187" s="39"/>
      <c r="I187" s="39"/>
      <c r="J187" s="39"/>
      <c r="K187" s="39"/>
      <c r="L187" s="39"/>
      <c r="M187" s="39"/>
      <c r="N187" s="40"/>
      <c r="O187" s="362"/>
    </row>
    <row r="188" spans="1:15" ht="15.75" customHeight="1">
      <c r="A188" s="395"/>
      <c r="B188" s="399"/>
      <c r="C188" s="668" t="s">
        <v>965</v>
      </c>
      <c r="D188" s="1200" t="s">
        <v>17</v>
      </c>
      <c r="E188" s="1131"/>
      <c r="F188" s="1131"/>
      <c r="G188" s="1131"/>
      <c r="H188" s="1131"/>
      <c r="I188" s="1131"/>
      <c r="J188" s="1131"/>
      <c r="K188" s="1137"/>
      <c r="L188" s="1201" t="s">
        <v>1192</v>
      </c>
      <c r="M188" s="1137"/>
      <c r="N188" s="668" t="s">
        <v>950</v>
      </c>
      <c r="O188" s="362"/>
    </row>
    <row r="189" spans="1:15" ht="36.75" customHeight="1">
      <c r="A189" s="395"/>
      <c r="B189" s="421"/>
      <c r="C189" s="669" t="s">
        <v>983</v>
      </c>
      <c r="D189" s="1202" t="str">
        <f>IF($C189&gt;0,(VLOOKUP($C189,ListaAct,4,FALSE)),"")</f>
        <v xml:space="preserve"> Instalación durante la obra de cerramiento en polisombra sostenido con madera resistente apoyada en recipiente pesado no anclado al piso a una altura de 3.0 mts alrededor del juzgado separada 1,50 mts de las fachadas. </v>
      </c>
      <c r="E189" s="979"/>
      <c r="F189" s="979"/>
      <c r="G189" s="979"/>
      <c r="H189" s="979"/>
      <c r="I189" s="979"/>
      <c r="J189" s="979"/>
      <c r="K189" s="980"/>
      <c r="L189" s="1203" t="str">
        <f>IF($C189&gt;0,(VLOOKUP($C189,ListaAct,5,FALSE)),"")</f>
        <v>ml</v>
      </c>
      <c r="M189" s="980"/>
      <c r="N189" s="423">
        <f>IF($C189&gt;0,(VLOOKUP($C189,ListaAct,6,FALSE)),"")</f>
        <v>39.5</v>
      </c>
      <c r="O189" s="362"/>
    </row>
    <row r="190" spans="1:15" ht="15.75" customHeight="1">
      <c r="A190" s="395"/>
      <c r="B190" s="399"/>
      <c r="C190" s="1129" t="s">
        <v>1195</v>
      </c>
      <c r="D190" s="926"/>
      <c r="E190" s="926"/>
      <c r="F190" s="926"/>
      <c r="G190" s="926"/>
      <c r="H190" s="926"/>
      <c r="I190" s="926"/>
      <c r="J190" s="926"/>
      <c r="K190" s="926"/>
      <c r="L190" s="926"/>
      <c r="M190" s="926"/>
      <c r="N190" s="927"/>
      <c r="O190" s="362"/>
    </row>
    <row r="191" spans="1:15" ht="15.75" customHeight="1">
      <c r="A191" s="395"/>
      <c r="B191" s="399"/>
      <c r="C191" s="920"/>
      <c r="D191" s="922"/>
      <c r="E191" s="922"/>
      <c r="F191" s="922"/>
      <c r="G191" s="922"/>
      <c r="H191" s="922"/>
      <c r="I191" s="922"/>
      <c r="J191" s="922"/>
      <c r="K191" s="922"/>
      <c r="L191" s="922"/>
      <c r="M191" s="922"/>
      <c r="N191" s="924"/>
      <c r="O191" s="362"/>
    </row>
    <row r="192" spans="1:15" ht="15.75" customHeight="1">
      <c r="A192" s="395"/>
      <c r="B192" s="399"/>
      <c r="C192" s="929"/>
      <c r="D192" s="936"/>
      <c r="E192" s="936"/>
      <c r="F192" s="936"/>
      <c r="G192" s="936"/>
      <c r="H192" s="936"/>
      <c r="I192" s="936"/>
      <c r="J192" s="936"/>
      <c r="K192" s="936"/>
      <c r="L192" s="936"/>
      <c r="M192" s="936"/>
      <c r="N192" s="938"/>
      <c r="O192" s="362"/>
    </row>
    <row r="193" spans="1:15" ht="15.75" customHeight="1">
      <c r="A193" s="395"/>
      <c r="B193" s="399"/>
      <c r="C193" s="1201" t="s">
        <v>17</v>
      </c>
      <c r="D193" s="1131"/>
      <c r="E193" s="1131"/>
      <c r="F193" s="1000"/>
      <c r="G193" s="1204" t="s">
        <v>1196</v>
      </c>
      <c r="H193" s="1000"/>
      <c r="I193" s="1204" t="s">
        <v>1197</v>
      </c>
      <c r="J193" s="1000"/>
      <c r="K193" s="670" t="s">
        <v>1213</v>
      </c>
      <c r="L193" s="1204" t="s">
        <v>1199</v>
      </c>
      <c r="M193" s="1000"/>
      <c r="N193" s="671" t="s">
        <v>1200</v>
      </c>
      <c r="O193" s="362"/>
    </row>
    <row r="194" spans="1:15" ht="15.75" customHeight="1">
      <c r="A194" s="395"/>
      <c r="B194" s="399"/>
      <c r="C194" s="1128" t="s">
        <v>1201</v>
      </c>
      <c r="D194" s="940"/>
      <c r="E194" s="940"/>
      <c r="F194" s="941"/>
      <c r="G194" s="1142"/>
      <c r="H194" s="941"/>
      <c r="I194" s="1142"/>
      <c r="J194" s="941"/>
      <c r="K194" s="429"/>
      <c r="L194" s="1143">
        <v>0.05</v>
      </c>
      <c r="M194" s="941"/>
      <c r="N194" s="430">
        <f>+L194*N233</f>
        <v>351.43624439299879</v>
      </c>
      <c r="O194" s="362"/>
    </row>
    <row r="195" spans="1:15" ht="15.75" customHeight="1">
      <c r="A195" s="395">
        <f t="array" ref="A195">IF(C195&lt;&gt;0,INDEX(CodEquipos,MATCH(C195,Equipos,0),),)</f>
        <v>0</v>
      </c>
      <c r="B195" s="399"/>
      <c r="C195" s="1128"/>
      <c r="D195" s="940"/>
      <c r="E195" s="940"/>
      <c r="F195" s="941"/>
      <c r="G195" s="1142"/>
      <c r="H195" s="941"/>
      <c r="I195" s="1142"/>
      <c r="J195" s="941"/>
      <c r="K195" s="432" t="str">
        <f>IF($A195&gt;0,(VLOOKUP($A195,TablaEquipos,7,FALSE)),"")</f>
        <v/>
      </c>
      <c r="L195" s="1146"/>
      <c r="M195" s="941"/>
      <c r="N195" s="430" t="str">
        <f t="shared" ref="N195:N196" si="14">IF(L195&gt;0,K195/L195,"")</f>
        <v/>
      </c>
      <c r="O195" s="362"/>
    </row>
    <row r="196" spans="1:15" ht="15.75" customHeight="1">
      <c r="A196" s="395">
        <f t="array" ref="A196">IF(C196&lt;&gt;0,INDEX(CodEquipos,MATCH(C196,Equipos,0),),)</f>
        <v>0</v>
      </c>
      <c r="B196" s="399"/>
      <c r="C196" s="1128"/>
      <c r="D196" s="940"/>
      <c r="E196" s="940"/>
      <c r="F196" s="941"/>
      <c r="G196" s="1142"/>
      <c r="H196" s="941"/>
      <c r="I196" s="1142"/>
      <c r="J196" s="941"/>
      <c r="K196" s="432" t="str">
        <f>IF($A196&gt;0,(VLOOKUP($A196,TablaEquipos,7,FALSE)),"")</f>
        <v/>
      </c>
      <c r="L196" s="1141"/>
      <c r="M196" s="941"/>
      <c r="N196" s="430" t="str">
        <f t="shared" si="14"/>
        <v/>
      </c>
      <c r="O196" s="362"/>
    </row>
    <row r="197" spans="1:15" ht="15.75" customHeight="1">
      <c r="A197" s="395">
        <f t="array" ref="A197">IF(C197&lt;&gt;0,INDEX(CodEquipos,MATCH(C197,Equipos,0),),)</f>
        <v>0</v>
      </c>
      <c r="B197" s="399"/>
      <c r="C197" s="1128"/>
      <c r="D197" s="940"/>
      <c r="E197" s="940"/>
      <c r="F197" s="941"/>
      <c r="G197" s="1142"/>
      <c r="H197" s="941"/>
      <c r="I197" s="1142"/>
      <c r="J197" s="941"/>
      <c r="K197" s="432"/>
      <c r="L197" s="1141"/>
      <c r="M197" s="941"/>
      <c r="N197" s="430"/>
      <c r="O197" s="362"/>
    </row>
    <row r="198" spans="1:15" ht="15.75" customHeight="1">
      <c r="A198" s="395">
        <f t="array" ref="A198">IF(C198&lt;&gt;0,INDEX(CodEquipos,MATCH(C198,Equipos,0),),)</f>
        <v>0</v>
      </c>
      <c r="B198" s="399"/>
      <c r="C198" s="1128"/>
      <c r="D198" s="940"/>
      <c r="E198" s="940"/>
      <c r="F198" s="941"/>
      <c r="G198" s="1142"/>
      <c r="H198" s="941"/>
      <c r="I198" s="1142"/>
      <c r="J198" s="941"/>
      <c r="K198" s="432" t="str">
        <f>IF($A198&gt;0,(VLOOKUP($A198,TablaEquipos,7,FALSE)),"")</f>
        <v/>
      </c>
      <c r="L198" s="1141"/>
      <c r="M198" s="941"/>
      <c r="N198" s="430" t="str">
        <f t="shared" ref="N198:N199" si="15">IF(L198&gt;0,K198/L198,"")</f>
        <v/>
      </c>
      <c r="O198" s="362"/>
    </row>
    <row r="199" spans="1:15" ht="15.75" customHeight="1">
      <c r="A199" s="395">
        <f t="array" ref="A199">IF(C199&lt;&gt;0,INDEX(CodEquipos,MATCH(C199,Equipos,0),),)</f>
        <v>0</v>
      </c>
      <c r="B199" s="399"/>
      <c r="C199" s="1128"/>
      <c r="D199" s="940"/>
      <c r="E199" s="940"/>
      <c r="F199" s="941"/>
      <c r="G199" s="1144"/>
      <c r="H199" s="1145"/>
      <c r="I199" s="1144"/>
      <c r="J199" s="1145"/>
      <c r="K199" s="432" t="str">
        <f>IF($A199&gt;0,(VLOOKUP($A199,TablaEquipos,7,FALSE)),"")</f>
        <v/>
      </c>
      <c r="L199" s="1208"/>
      <c r="M199" s="1145"/>
      <c r="N199" s="430" t="str">
        <f t="shared" si="15"/>
        <v/>
      </c>
      <c r="O199" s="362"/>
    </row>
    <row r="200" spans="1:15" ht="15.75" customHeight="1">
      <c r="A200" s="395"/>
      <c r="B200" s="399"/>
      <c r="C200" s="1127" t="s">
        <v>1202</v>
      </c>
      <c r="D200" s="965"/>
      <c r="E200" s="965"/>
      <c r="F200" s="965"/>
      <c r="G200" s="965"/>
      <c r="H200" s="965"/>
      <c r="I200" s="965"/>
      <c r="J200" s="965"/>
      <c r="K200" s="965"/>
      <c r="L200" s="965"/>
      <c r="M200" s="966"/>
      <c r="N200" s="433">
        <f>+SUM(N194:N199)</f>
        <v>351.43624439299879</v>
      </c>
      <c r="O200" s="362"/>
    </row>
    <row r="201" spans="1:15" ht="15.75" customHeight="1">
      <c r="A201" s="395"/>
      <c r="B201" s="399"/>
      <c r="C201" s="1129" t="s">
        <v>1203</v>
      </c>
      <c r="D201" s="926"/>
      <c r="E201" s="926"/>
      <c r="F201" s="926"/>
      <c r="G201" s="926"/>
      <c r="H201" s="926"/>
      <c r="I201" s="926"/>
      <c r="J201" s="926"/>
      <c r="K201" s="926"/>
      <c r="L201" s="926"/>
      <c r="M201" s="926"/>
      <c r="N201" s="927"/>
      <c r="O201" s="362"/>
    </row>
    <row r="202" spans="1:15" ht="15.75" customHeight="1">
      <c r="A202" s="395"/>
      <c r="B202" s="399"/>
      <c r="C202" s="920"/>
      <c r="D202" s="922"/>
      <c r="E202" s="922"/>
      <c r="F202" s="922"/>
      <c r="G202" s="922"/>
      <c r="H202" s="922"/>
      <c r="I202" s="922"/>
      <c r="J202" s="922"/>
      <c r="K202" s="922"/>
      <c r="L202" s="922"/>
      <c r="M202" s="922"/>
      <c r="N202" s="924"/>
      <c r="O202" s="362"/>
    </row>
    <row r="203" spans="1:15" ht="15.75" customHeight="1">
      <c r="A203" s="395"/>
      <c r="B203" s="399"/>
      <c r="C203" s="929"/>
      <c r="D203" s="936"/>
      <c r="E203" s="936"/>
      <c r="F203" s="936"/>
      <c r="G203" s="936"/>
      <c r="H203" s="936"/>
      <c r="I203" s="936"/>
      <c r="J203" s="936"/>
      <c r="K203" s="936"/>
      <c r="L203" s="936"/>
      <c r="M203" s="936"/>
      <c r="N203" s="938"/>
      <c r="O203" s="362"/>
    </row>
    <row r="204" spans="1:15" ht="15.75" customHeight="1">
      <c r="A204" s="395"/>
      <c r="B204" s="399"/>
      <c r="C204" s="1201" t="s">
        <v>17</v>
      </c>
      <c r="D204" s="1131"/>
      <c r="E204" s="1131"/>
      <c r="F204" s="1131"/>
      <c r="G204" s="1131"/>
      <c r="H204" s="1131"/>
      <c r="I204" s="1000"/>
      <c r="J204" s="672" t="s">
        <v>1192</v>
      </c>
      <c r="K204" s="670" t="s">
        <v>950</v>
      </c>
      <c r="L204" s="1204" t="s">
        <v>1204</v>
      </c>
      <c r="M204" s="1000"/>
      <c r="N204" s="671" t="s">
        <v>1200</v>
      </c>
      <c r="O204" s="362"/>
    </row>
    <row r="205" spans="1:15" ht="15.75" customHeight="1">
      <c r="A205" s="395" t="str">
        <f t="array" ref="A205">IF(C205&lt;&gt;0,INDEX(CodMat,MATCH(C205,Materiales,0),),)</f>
        <v>MAT_C-43</v>
      </c>
      <c r="B205" s="399"/>
      <c r="C205" s="1128" t="s">
        <v>1373</v>
      </c>
      <c r="D205" s="940"/>
      <c r="E205" s="940"/>
      <c r="F205" s="940"/>
      <c r="G205" s="940"/>
      <c r="H205" s="940"/>
      <c r="I205" s="941"/>
      <c r="J205" s="435" t="str">
        <f t="shared" ref="J205:J212" si="16">IF($A205&gt;0,(VLOOKUP($A205,TablaInsumos,5,FALSE)),"")</f>
        <v>ML</v>
      </c>
      <c r="K205" s="673">
        <v>0.01</v>
      </c>
      <c r="L205" s="1134">
        <f t="shared" ref="L205:L212" si="17">IF($A205&gt;0,(VLOOKUP($A205,TablaInsumos,7,FALSE)),"")</f>
        <v>2822</v>
      </c>
      <c r="M205" s="941"/>
      <c r="N205" s="430">
        <f t="shared" ref="N205:N212" si="18">IF(K205&gt;0,L205*K205,"")</f>
        <v>28.22</v>
      </c>
      <c r="O205" s="362"/>
    </row>
    <row r="206" spans="1:15" ht="15.75" customHeight="1">
      <c r="A206" s="395" t="str">
        <f t="array" ref="A206">IF(C206&lt;&gt;0,INDEX(CodMat,MATCH(C206,Materiales,0),),)</f>
        <v>MAT_C-32</v>
      </c>
      <c r="B206" s="399"/>
      <c r="C206" s="1128" t="s">
        <v>2450</v>
      </c>
      <c r="D206" s="940"/>
      <c r="E206" s="940"/>
      <c r="F206" s="940"/>
      <c r="G206" s="940"/>
      <c r="H206" s="940"/>
      <c r="I206" s="941"/>
      <c r="J206" s="435" t="str">
        <f t="shared" si="16"/>
        <v xml:space="preserve">UND </v>
      </c>
      <c r="K206" s="673">
        <v>1.5</v>
      </c>
      <c r="L206" s="1134">
        <f t="shared" si="17"/>
        <v>27025</v>
      </c>
      <c r="M206" s="941"/>
      <c r="N206" s="430">
        <f t="shared" si="18"/>
        <v>40537.5</v>
      </c>
      <c r="O206" s="362"/>
    </row>
    <row r="207" spans="1:15" ht="15.75" customHeight="1">
      <c r="A207" s="395" t="str">
        <f t="array" ref="A207">IF(C207&lt;&gt;0,INDEX(CodMat,MATCH(C207,Materiales,0),),)</f>
        <v>MAT_C-53</v>
      </c>
      <c r="B207" s="399"/>
      <c r="C207" s="1128" t="s">
        <v>1389</v>
      </c>
      <c r="D207" s="940"/>
      <c r="E207" s="940"/>
      <c r="F207" s="940"/>
      <c r="G207" s="940"/>
      <c r="H207" s="940"/>
      <c r="I207" s="941"/>
      <c r="J207" s="435" t="str">
        <f t="shared" si="16"/>
        <v>UND</v>
      </c>
      <c r="K207" s="673">
        <v>1.5</v>
      </c>
      <c r="L207" s="1134">
        <f t="shared" si="17"/>
        <v>20500</v>
      </c>
      <c r="M207" s="941"/>
      <c r="N207" s="430">
        <f t="shared" si="18"/>
        <v>30750</v>
      </c>
      <c r="O207" s="362"/>
    </row>
    <row r="208" spans="1:15" ht="15.75" customHeight="1">
      <c r="A208" s="395" t="str">
        <f t="array" ref="A208">IF(C208&lt;&gt;0,INDEX(CodMat,MATCH(C208,Materiales,0),),)</f>
        <v>MAT_C-48</v>
      </c>
      <c r="B208" s="399"/>
      <c r="C208" s="1128" t="s">
        <v>2451</v>
      </c>
      <c r="D208" s="940"/>
      <c r="E208" s="940"/>
      <c r="F208" s="940"/>
      <c r="G208" s="940"/>
      <c r="H208" s="940"/>
      <c r="I208" s="941"/>
      <c r="J208" s="435" t="str">
        <f t="shared" si="16"/>
        <v>LIBRA</v>
      </c>
      <c r="K208" s="673">
        <v>0.1</v>
      </c>
      <c r="L208" s="1134">
        <f t="shared" si="17"/>
        <v>11385</v>
      </c>
      <c r="M208" s="941"/>
      <c r="N208" s="430">
        <f t="shared" si="18"/>
        <v>1138.5</v>
      </c>
      <c r="O208" s="362"/>
    </row>
    <row r="209" spans="1:15" ht="15.75" customHeight="1">
      <c r="A209" s="395">
        <f t="array" ref="A209">IF(C209&lt;&gt;0,INDEX(CodMat,MATCH(C209,Materiales,0),),)</f>
        <v>0</v>
      </c>
      <c r="B209" s="399"/>
      <c r="C209" s="1128"/>
      <c r="D209" s="940"/>
      <c r="E209" s="940"/>
      <c r="F209" s="940"/>
      <c r="G209" s="940"/>
      <c r="H209" s="940"/>
      <c r="I209" s="941"/>
      <c r="J209" s="435" t="str">
        <f t="shared" si="16"/>
        <v/>
      </c>
      <c r="K209" s="436"/>
      <c r="L209" s="1134" t="str">
        <f t="shared" si="17"/>
        <v/>
      </c>
      <c r="M209" s="941"/>
      <c r="N209" s="430" t="str">
        <f t="shared" si="18"/>
        <v/>
      </c>
      <c r="O209" s="362"/>
    </row>
    <row r="210" spans="1:15" ht="15.75" customHeight="1">
      <c r="A210" s="395">
        <f t="array" ref="A210">IF(C210&lt;&gt;0,INDEX(CodMat,MATCH(C210,Materiales,0),),)</f>
        <v>0</v>
      </c>
      <c r="B210" s="399"/>
      <c r="C210" s="1128"/>
      <c r="D210" s="940"/>
      <c r="E210" s="940"/>
      <c r="F210" s="940"/>
      <c r="G210" s="940"/>
      <c r="H210" s="940"/>
      <c r="I210" s="941"/>
      <c r="J210" s="435" t="str">
        <f t="shared" si="16"/>
        <v/>
      </c>
      <c r="K210" s="436"/>
      <c r="L210" s="1134" t="str">
        <f t="shared" si="17"/>
        <v/>
      </c>
      <c r="M210" s="941"/>
      <c r="N210" s="430" t="str">
        <f t="shared" si="18"/>
        <v/>
      </c>
      <c r="O210" s="362"/>
    </row>
    <row r="211" spans="1:15" ht="15.75" customHeight="1">
      <c r="A211" s="395">
        <f t="array" ref="A211">IF(C211&lt;&gt;0,INDEX(CodMat,MATCH(C211,Materiales,0),),)</f>
        <v>0</v>
      </c>
      <c r="B211" s="399"/>
      <c r="C211" s="1128"/>
      <c r="D211" s="940"/>
      <c r="E211" s="940"/>
      <c r="F211" s="940"/>
      <c r="G211" s="940"/>
      <c r="H211" s="940"/>
      <c r="I211" s="941"/>
      <c r="J211" s="435" t="str">
        <f t="shared" si="16"/>
        <v/>
      </c>
      <c r="K211" s="436"/>
      <c r="L211" s="1134" t="str">
        <f t="shared" si="17"/>
        <v/>
      </c>
      <c r="M211" s="941"/>
      <c r="N211" s="430" t="str">
        <f t="shared" si="18"/>
        <v/>
      </c>
      <c r="O211" s="362"/>
    </row>
    <row r="212" spans="1:15" ht="15.75" customHeight="1">
      <c r="A212" s="395">
        <f t="array" ref="A212">IF(C212&lt;&gt;0,INDEX(CodMat,MATCH(C212,Materiales,0),),)</f>
        <v>0</v>
      </c>
      <c r="B212" s="399"/>
      <c r="C212" s="1128"/>
      <c r="D212" s="940"/>
      <c r="E212" s="940"/>
      <c r="F212" s="940"/>
      <c r="G212" s="940"/>
      <c r="H212" s="940"/>
      <c r="I212" s="941"/>
      <c r="J212" s="435" t="str">
        <f t="shared" si="16"/>
        <v/>
      </c>
      <c r="K212" s="436"/>
      <c r="L212" s="1205" t="str">
        <f t="shared" si="17"/>
        <v/>
      </c>
      <c r="M212" s="1145"/>
      <c r="N212" s="430" t="str">
        <f t="shared" si="18"/>
        <v/>
      </c>
      <c r="O212" s="362"/>
    </row>
    <row r="213" spans="1:15" ht="15.75" customHeight="1">
      <c r="A213" s="395"/>
      <c r="B213" s="399"/>
      <c r="C213" s="1127" t="s">
        <v>1202</v>
      </c>
      <c r="D213" s="965"/>
      <c r="E213" s="965"/>
      <c r="F213" s="965"/>
      <c r="G213" s="965"/>
      <c r="H213" s="965"/>
      <c r="I213" s="965"/>
      <c r="J213" s="965"/>
      <c r="K213" s="965"/>
      <c r="L213" s="965"/>
      <c r="M213" s="966"/>
      <c r="N213" s="433">
        <f>+SUM(N205:N212)</f>
        <v>72454.22</v>
      </c>
      <c r="O213" s="362"/>
    </row>
    <row r="214" spans="1:15" ht="15.75" customHeight="1">
      <c r="A214" s="395"/>
      <c r="B214" s="399"/>
      <c r="C214" s="1129" t="s">
        <v>1208</v>
      </c>
      <c r="D214" s="926"/>
      <c r="E214" s="926"/>
      <c r="F214" s="926"/>
      <c r="G214" s="926"/>
      <c r="H214" s="926"/>
      <c r="I214" s="926"/>
      <c r="J214" s="926"/>
      <c r="K214" s="926"/>
      <c r="L214" s="926"/>
      <c r="M214" s="926"/>
      <c r="N214" s="927"/>
      <c r="O214" s="362"/>
    </row>
    <row r="215" spans="1:15" ht="15.75" customHeight="1">
      <c r="A215" s="395"/>
      <c r="B215" s="399"/>
      <c r="C215" s="920"/>
      <c r="D215" s="922"/>
      <c r="E215" s="922"/>
      <c r="F215" s="922"/>
      <c r="G215" s="922"/>
      <c r="H215" s="922"/>
      <c r="I215" s="922"/>
      <c r="J215" s="922"/>
      <c r="K215" s="922"/>
      <c r="L215" s="922"/>
      <c r="M215" s="922"/>
      <c r="N215" s="924"/>
      <c r="O215" s="362"/>
    </row>
    <row r="216" spans="1:15" ht="15.75" customHeight="1">
      <c r="A216" s="395"/>
      <c r="B216" s="399"/>
      <c r="C216" s="929"/>
      <c r="D216" s="936"/>
      <c r="E216" s="936"/>
      <c r="F216" s="936"/>
      <c r="G216" s="936"/>
      <c r="H216" s="936"/>
      <c r="I216" s="936"/>
      <c r="J216" s="936"/>
      <c r="K216" s="936"/>
      <c r="L216" s="936"/>
      <c r="M216" s="936"/>
      <c r="N216" s="938"/>
      <c r="O216" s="362"/>
    </row>
    <row r="217" spans="1:15" ht="15.75" customHeight="1">
      <c r="A217" s="395"/>
      <c r="B217" s="399"/>
      <c r="C217" s="1201" t="s">
        <v>1209</v>
      </c>
      <c r="D217" s="1131"/>
      <c r="E217" s="1131"/>
      <c r="F217" s="1131"/>
      <c r="G217" s="1131"/>
      <c r="H217" s="1000"/>
      <c r="I217" s="670" t="s">
        <v>1210</v>
      </c>
      <c r="J217" s="674" t="s">
        <v>1211</v>
      </c>
      <c r="K217" s="675" t="s">
        <v>2318</v>
      </c>
      <c r="L217" s="1204" t="s">
        <v>1213</v>
      </c>
      <c r="M217" s="1000"/>
      <c r="N217" s="671" t="s">
        <v>1200</v>
      </c>
      <c r="O217" s="362"/>
    </row>
    <row r="218" spans="1:15" ht="15.75" customHeight="1">
      <c r="A218" s="395">
        <f t="array" ref="A218">IF(C218&lt;&gt;0,INDEX(CodTransporte,MATCH(C218,Transporte,0),),)</f>
        <v>0</v>
      </c>
      <c r="B218" s="399"/>
      <c r="C218" s="1128"/>
      <c r="D218" s="940"/>
      <c r="E218" s="940"/>
      <c r="F218" s="940"/>
      <c r="G218" s="940"/>
      <c r="H218" s="940"/>
      <c r="I218" s="440"/>
      <c r="J218" s="441" t="str">
        <f>IF($A218&gt;0,(VLOOKUP($A218,TablaTransporte,6,FALSE)),"")</f>
        <v/>
      </c>
      <c r="K218" s="442" t="str">
        <f>IF($A218&gt;0,(VLOOKUP($A218,TablaTransporte,5,FALSE)),"")</f>
        <v/>
      </c>
      <c r="L218" s="1134" t="str">
        <f>IF($A218&gt;0,(VLOOKUP($A218,TablaTransporte,7,FALSE)),"")</f>
        <v/>
      </c>
      <c r="M218" s="941"/>
      <c r="N218" s="430" t="str">
        <f t="shared" ref="N218:N222" si="19">IF(I218&gt;0,J218*L218*I218,"")</f>
        <v/>
      </c>
      <c r="O218" s="362"/>
    </row>
    <row r="219" spans="1:15" ht="15.75" customHeight="1">
      <c r="A219" s="395">
        <f t="array" ref="A219">IF(C219&lt;&gt;0,INDEX(CodTransporte,MATCH(C219,Transporte,0),),)</f>
        <v>0</v>
      </c>
      <c r="B219" s="399"/>
      <c r="C219" s="1128"/>
      <c r="D219" s="940"/>
      <c r="E219" s="940"/>
      <c r="F219" s="940"/>
      <c r="G219" s="940"/>
      <c r="H219" s="940"/>
      <c r="I219" s="440"/>
      <c r="J219" s="441" t="str">
        <f>IF($A219&gt;0,(VLOOKUP($A219,TablaTransporte,6,FALSE)),"")</f>
        <v/>
      </c>
      <c r="K219" s="442" t="str">
        <f>IF($A219&gt;0,(VLOOKUP($A219,TablaTransporte,5,FALSE)),"")</f>
        <v/>
      </c>
      <c r="L219" s="1134" t="str">
        <f>IF($A219&gt;0,(VLOOKUP($A219,TablaTransporte,7,FALSE)),"")</f>
        <v/>
      </c>
      <c r="M219" s="941"/>
      <c r="N219" s="430" t="str">
        <f t="shared" si="19"/>
        <v/>
      </c>
      <c r="O219" s="362"/>
    </row>
    <row r="220" spans="1:15" ht="15.75" customHeight="1">
      <c r="A220" s="395">
        <f t="array" ref="A220">IF(C220&lt;&gt;0,INDEX(CodTransporte,MATCH(C220,Transporte,0),),)</f>
        <v>0</v>
      </c>
      <c r="B220" s="399"/>
      <c r="C220" s="1128"/>
      <c r="D220" s="940"/>
      <c r="E220" s="940"/>
      <c r="F220" s="940"/>
      <c r="G220" s="940"/>
      <c r="H220" s="940"/>
      <c r="I220" s="440"/>
      <c r="J220" s="441" t="str">
        <f>IF($A220&gt;0,(VLOOKUP($A220,TablaTransporte,6,FALSE)),"")</f>
        <v/>
      </c>
      <c r="K220" s="442" t="str">
        <f>IF($A220&gt;0,(VLOOKUP($A220,TablaTransporte,5,FALSE)),"")</f>
        <v/>
      </c>
      <c r="L220" s="1134" t="str">
        <f>IF($A220&gt;0,(VLOOKUP($A220,TablaTransporte,7,FALSE)),"")</f>
        <v/>
      </c>
      <c r="M220" s="941"/>
      <c r="N220" s="430" t="str">
        <f t="shared" si="19"/>
        <v/>
      </c>
      <c r="O220" s="362"/>
    </row>
    <row r="221" spans="1:15" ht="15.75" customHeight="1">
      <c r="A221" s="395">
        <f t="array" ref="A221">IF(C221&lt;&gt;0,INDEX(CodTransporte,MATCH(C221,Transporte,0),),)</f>
        <v>0</v>
      </c>
      <c r="B221" s="399"/>
      <c r="C221" s="1128"/>
      <c r="D221" s="940"/>
      <c r="E221" s="940"/>
      <c r="F221" s="940"/>
      <c r="G221" s="940"/>
      <c r="H221" s="940"/>
      <c r="I221" s="440"/>
      <c r="J221" s="441" t="str">
        <f>IF($A221&gt;0,(VLOOKUP($A221,TablaTransporte,6,FALSE)),"")</f>
        <v/>
      </c>
      <c r="K221" s="442" t="str">
        <f>IF($A221&gt;0,(VLOOKUP($A221,TablaTransporte,5,FALSE)),"")</f>
        <v/>
      </c>
      <c r="L221" s="1134" t="str">
        <f>IF($A221&gt;0,(VLOOKUP($A221,TablaTransporte,7,FALSE)),"")</f>
        <v/>
      </c>
      <c r="M221" s="941"/>
      <c r="N221" s="430" t="str">
        <f t="shared" si="19"/>
        <v/>
      </c>
      <c r="O221" s="362"/>
    </row>
    <row r="222" spans="1:15" ht="15.75" customHeight="1">
      <c r="A222" s="395">
        <f t="array" ref="A222">IF(C222&lt;&gt;0,INDEX(CodTransporte,MATCH(C222,Transporte,0),),)</f>
        <v>0</v>
      </c>
      <c r="B222" s="399"/>
      <c r="C222" s="1128"/>
      <c r="D222" s="940"/>
      <c r="E222" s="940"/>
      <c r="F222" s="940"/>
      <c r="G222" s="940"/>
      <c r="H222" s="940"/>
      <c r="I222" s="440"/>
      <c r="J222" s="441" t="str">
        <f>IF($A222&gt;0,(VLOOKUP($A222,TablaTransporte,6,FALSE)),"")</f>
        <v/>
      </c>
      <c r="K222" s="442" t="str">
        <f>IF($A222&gt;0,(VLOOKUP($A222,TablaTransporte,5,FALSE)),"")</f>
        <v/>
      </c>
      <c r="L222" s="1205" t="str">
        <f>IF($A222&gt;0,(VLOOKUP($A222,TablaTransporte,7,FALSE)),"")</f>
        <v/>
      </c>
      <c r="M222" s="1145"/>
      <c r="N222" s="430" t="str">
        <f t="shared" si="19"/>
        <v/>
      </c>
      <c r="O222" s="362"/>
    </row>
    <row r="223" spans="1:15" ht="15.75" customHeight="1">
      <c r="A223" s="395"/>
      <c r="B223" s="399"/>
      <c r="C223" s="1127" t="s">
        <v>1202</v>
      </c>
      <c r="D223" s="965"/>
      <c r="E223" s="965"/>
      <c r="F223" s="965"/>
      <c r="G223" s="965"/>
      <c r="H223" s="965"/>
      <c r="I223" s="965"/>
      <c r="J223" s="965"/>
      <c r="K223" s="965"/>
      <c r="L223" s="965"/>
      <c r="M223" s="966"/>
      <c r="N223" s="433">
        <f>+SUM(N218:N222)</f>
        <v>0</v>
      </c>
      <c r="O223" s="362"/>
    </row>
    <row r="224" spans="1:15" ht="15.75" customHeight="1">
      <c r="A224" s="395"/>
      <c r="B224" s="399"/>
      <c r="C224" s="1129" t="s">
        <v>1214</v>
      </c>
      <c r="D224" s="926"/>
      <c r="E224" s="926"/>
      <c r="F224" s="926"/>
      <c r="G224" s="926"/>
      <c r="H224" s="926"/>
      <c r="I224" s="926"/>
      <c r="J224" s="926"/>
      <c r="K224" s="926"/>
      <c r="L224" s="926"/>
      <c r="M224" s="926"/>
      <c r="N224" s="927"/>
      <c r="O224" s="362"/>
    </row>
    <row r="225" spans="1:18" ht="15.75" customHeight="1">
      <c r="A225" s="395"/>
      <c r="B225" s="399"/>
      <c r="C225" s="920"/>
      <c r="D225" s="922"/>
      <c r="E225" s="922"/>
      <c r="F225" s="922"/>
      <c r="G225" s="922"/>
      <c r="H225" s="922"/>
      <c r="I225" s="922"/>
      <c r="J225" s="922"/>
      <c r="K225" s="922"/>
      <c r="L225" s="922"/>
      <c r="M225" s="922"/>
      <c r="N225" s="924"/>
      <c r="O225" s="362"/>
    </row>
    <row r="226" spans="1:18" ht="15.75" customHeight="1">
      <c r="A226" s="395"/>
      <c r="B226" s="399"/>
      <c r="C226" s="929"/>
      <c r="D226" s="936"/>
      <c r="E226" s="936"/>
      <c r="F226" s="936"/>
      <c r="G226" s="936"/>
      <c r="H226" s="936"/>
      <c r="I226" s="936"/>
      <c r="J226" s="936"/>
      <c r="K226" s="936"/>
      <c r="L226" s="936"/>
      <c r="M226" s="936"/>
      <c r="N226" s="938"/>
      <c r="O226" s="362"/>
    </row>
    <row r="227" spans="1:18" ht="15.75" customHeight="1">
      <c r="A227" s="395"/>
      <c r="B227" s="399"/>
      <c r="C227" s="1201" t="s">
        <v>1215</v>
      </c>
      <c r="D227" s="1131"/>
      <c r="E227" s="1131"/>
      <c r="F227" s="1131"/>
      <c r="G227" s="1131"/>
      <c r="H227" s="1000"/>
      <c r="I227" s="670" t="s">
        <v>1216</v>
      </c>
      <c r="J227" s="676" t="s">
        <v>1217</v>
      </c>
      <c r="K227" s="677" t="s">
        <v>1218</v>
      </c>
      <c r="L227" s="1206" t="s">
        <v>1199</v>
      </c>
      <c r="M227" s="1000"/>
      <c r="N227" s="678" t="s">
        <v>1200</v>
      </c>
      <c r="O227" s="362"/>
    </row>
    <row r="228" spans="1:18" ht="15.75" customHeight="1">
      <c r="A228" s="395" t="str">
        <f t="array" ref="A228">IF(C228&lt;&gt;0,INDEX(CodMO,MATCH(C228,MO,0),),)</f>
        <v>M.O-05</v>
      </c>
      <c r="B228" s="399"/>
      <c r="C228" s="1128" t="s">
        <v>139</v>
      </c>
      <c r="D228" s="940"/>
      <c r="E228" s="940"/>
      <c r="F228" s="940"/>
      <c r="G228" s="940"/>
      <c r="H228" s="940"/>
      <c r="I228" s="447">
        <f>IF($A228&gt;0,(VLOOKUP($A228,TablaMO,8,FALSE)),"")</f>
        <v>125030.16666666667</v>
      </c>
      <c r="J228" s="448">
        <f>IF($A228&gt;0,(VLOOKUP($A228,TablaMO,10,FALSE)),"")</f>
        <v>0.67071666666666663</v>
      </c>
      <c r="K228" s="447">
        <f>IF($A228&gt;0,(VLOOKUP($A228,TablaMO,11,FALSE)),"")</f>
        <v>208890</v>
      </c>
      <c r="L228" s="1146">
        <v>46.953324431578551</v>
      </c>
      <c r="M228" s="941"/>
      <c r="N228" s="430">
        <f t="shared" ref="N228:N232" si="20">IF(L228&gt;0,K228/L228,"")</f>
        <v>4448.8862615979242</v>
      </c>
      <c r="O228" s="362"/>
    </row>
    <row r="229" spans="1:18" ht="15.75" customHeight="1">
      <c r="A229" s="395" t="str">
        <f t="array" ref="A229">IF(C229&lt;&gt;0,INDEX(CodMO,MATCH(C229,MO,0),),)</f>
        <v>M.O-01</v>
      </c>
      <c r="B229" s="399"/>
      <c r="C229" s="1128" t="s">
        <v>130</v>
      </c>
      <c r="D229" s="940"/>
      <c r="E229" s="940"/>
      <c r="F229" s="940"/>
      <c r="G229" s="940"/>
      <c r="H229" s="940"/>
      <c r="I229" s="447">
        <f>IF($A229&gt;0,(VLOOKUP($A229,TablaMO,8,FALSE)),"")</f>
        <v>72503.016666666677</v>
      </c>
      <c r="J229" s="448">
        <f>IF($A229&gt;0,(VLOOKUP($A229,TablaMO,10,FALSE)),"")</f>
        <v>0.67071666666666663</v>
      </c>
      <c r="K229" s="447">
        <f>IF($A229&gt;0,(VLOOKUP($A229,TablaMO,11,FALSE)),"")</f>
        <v>121132</v>
      </c>
      <c r="L229" s="1146">
        <f>L228</f>
        <v>46.953324431578551</v>
      </c>
      <c r="M229" s="941"/>
      <c r="N229" s="430">
        <f t="shared" si="20"/>
        <v>2579.8386262620511</v>
      </c>
      <c r="O229" s="362"/>
    </row>
    <row r="230" spans="1:18" ht="15.75" customHeight="1">
      <c r="A230" s="395">
        <f t="array" ref="A230">IF(C230&lt;&gt;0,INDEX(CodMO,MATCH(C230,MO,0),),)</f>
        <v>0</v>
      </c>
      <c r="B230" s="399"/>
      <c r="C230" s="1128"/>
      <c r="D230" s="940"/>
      <c r="E230" s="940"/>
      <c r="F230" s="940"/>
      <c r="G230" s="940"/>
      <c r="H230" s="940"/>
      <c r="I230" s="447" t="str">
        <f>IF($A230&gt;0,(VLOOKUP($A230,TablaMO,8,FALSE)),"")</f>
        <v/>
      </c>
      <c r="J230" s="448" t="str">
        <f>IF($A230&gt;0,(VLOOKUP($A230,TablaMO,10,FALSE)),"")</f>
        <v/>
      </c>
      <c r="K230" s="447" t="str">
        <f>IF($A230&gt;0,(VLOOKUP($A230,TablaMO,11,FALSE)),"")</f>
        <v/>
      </c>
      <c r="L230" s="1146"/>
      <c r="M230" s="941"/>
      <c r="N230" s="430" t="str">
        <f t="shared" si="20"/>
        <v/>
      </c>
      <c r="O230" s="362"/>
    </row>
    <row r="231" spans="1:18" ht="15.75" customHeight="1">
      <c r="A231" s="395">
        <f t="array" ref="A231">IF(C231&lt;&gt;0,INDEX(CodMO,MATCH(C231,MO,0),),)</f>
        <v>0</v>
      </c>
      <c r="B231" s="399"/>
      <c r="C231" s="1128"/>
      <c r="D231" s="940"/>
      <c r="E231" s="940"/>
      <c r="F231" s="940"/>
      <c r="G231" s="940"/>
      <c r="H231" s="940"/>
      <c r="I231" s="447" t="str">
        <f>IF($A231&gt;0,(VLOOKUP($A231,TablaMO,8,FALSE)),"")</f>
        <v/>
      </c>
      <c r="J231" s="448" t="str">
        <f>IF($A231&gt;0,(VLOOKUP($A231,TablaMO,10,FALSE)),"")</f>
        <v/>
      </c>
      <c r="K231" s="447" t="str">
        <f>IF($A231&gt;0,(VLOOKUP($A231,TablaMO,11,FALSE)),"")</f>
        <v/>
      </c>
      <c r="L231" s="1146"/>
      <c r="M231" s="941"/>
      <c r="N231" s="430" t="str">
        <f t="shared" si="20"/>
        <v/>
      </c>
      <c r="O231" s="362"/>
    </row>
    <row r="232" spans="1:18" ht="15.75" customHeight="1">
      <c r="A232" s="395">
        <f t="array" ref="A232">IF(C232&lt;&gt;0,INDEX(CodMO,MATCH(C232,MO,0),),)</f>
        <v>0</v>
      </c>
      <c r="B232" s="399"/>
      <c r="C232" s="1128"/>
      <c r="D232" s="940"/>
      <c r="E232" s="940"/>
      <c r="F232" s="940"/>
      <c r="G232" s="940"/>
      <c r="H232" s="940"/>
      <c r="I232" s="447" t="str">
        <f>IF($A232&gt;0,(VLOOKUP($A232,TablaMO,8,FALSE)),"")</f>
        <v/>
      </c>
      <c r="J232" s="448" t="str">
        <f>IF($A232&gt;0,(VLOOKUP($A232,TablaMO,10,FALSE)),"")</f>
        <v/>
      </c>
      <c r="K232" s="447" t="str">
        <f>IF($A232&gt;0,(VLOOKUP($A232,TablaMO,11,FALSE)),"")</f>
        <v/>
      </c>
      <c r="L232" s="1146"/>
      <c r="M232" s="941"/>
      <c r="N232" s="430" t="str">
        <f t="shared" si="20"/>
        <v/>
      </c>
      <c r="O232" s="362"/>
    </row>
    <row r="233" spans="1:18" ht="15.75" customHeight="1">
      <c r="A233" s="395"/>
      <c r="B233" s="399"/>
      <c r="C233" s="1127" t="s">
        <v>1202</v>
      </c>
      <c r="D233" s="965"/>
      <c r="E233" s="965"/>
      <c r="F233" s="965"/>
      <c r="G233" s="965"/>
      <c r="H233" s="965"/>
      <c r="I233" s="965"/>
      <c r="J233" s="965"/>
      <c r="K233" s="965"/>
      <c r="L233" s="965"/>
      <c r="M233" s="966"/>
      <c r="N233" s="433">
        <f>+SUM(N228:N232)</f>
        <v>7028.7248878599748</v>
      </c>
      <c r="O233" s="362"/>
    </row>
    <row r="234" spans="1:18" ht="15.75" customHeight="1">
      <c r="B234" s="679"/>
      <c r="O234" s="362"/>
    </row>
    <row r="235" spans="1:18" ht="15.75" customHeight="1">
      <c r="B235" s="679"/>
      <c r="C235" s="1198" t="s">
        <v>1219</v>
      </c>
      <c r="D235" s="965"/>
      <c r="E235" s="965"/>
      <c r="F235" s="965"/>
      <c r="G235" s="965"/>
      <c r="H235" s="965"/>
      <c r="I235" s="965"/>
      <c r="J235" s="965"/>
      <c r="K235" s="965"/>
      <c r="L235" s="965"/>
      <c r="M235" s="966"/>
      <c r="N235" s="680">
        <f>ROUND(SUM(N233,N223,N213,N200),0)</f>
        <v>79834</v>
      </c>
      <c r="O235" s="362"/>
      <c r="Q235" s="681">
        <v>79834</v>
      </c>
      <c r="R235" s="682">
        <f>Q235-N235</f>
        <v>0</v>
      </c>
    </row>
    <row r="236" spans="1:18" ht="15.75" customHeight="1">
      <c r="B236" s="679"/>
      <c r="C236" s="1129" t="s">
        <v>1220</v>
      </c>
      <c r="D236" s="926"/>
      <c r="E236" s="926"/>
      <c r="F236" s="926"/>
      <c r="G236" s="926"/>
      <c r="H236" s="926"/>
      <c r="I236" s="926"/>
      <c r="J236" s="926"/>
      <c r="K236" s="926"/>
      <c r="L236" s="926"/>
      <c r="M236" s="926"/>
      <c r="N236" s="927"/>
      <c r="O236" s="362"/>
    </row>
    <row r="237" spans="1:18" ht="15.75" customHeight="1">
      <c r="B237" s="679"/>
      <c r="C237" s="920"/>
      <c r="D237" s="922"/>
      <c r="E237" s="922"/>
      <c r="F237" s="922"/>
      <c r="G237" s="922"/>
      <c r="H237" s="922"/>
      <c r="I237" s="922"/>
      <c r="J237" s="922"/>
      <c r="K237" s="922"/>
      <c r="L237" s="922"/>
      <c r="M237" s="922"/>
      <c r="N237" s="924"/>
      <c r="O237" s="362"/>
    </row>
    <row r="238" spans="1:18" ht="15.75" customHeight="1">
      <c r="B238" s="679"/>
      <c r="C238" s="929"/>
      <c r="D238" s="936"/>
      <c r="E238" s="936"/>
      <c r="F238" s="936"/>
      <c r="G238" s="936"/>
      <c r="H238" s="936"/>
      <c r="I238" s="936"/>
      <c r="J238" s="936"/>
      <c r="K238" s="936"/>
      <c r="L238" s="936"/>
      <c r="M238" s="936"/>
      <c r="N238" s="938"/>
      <c r="O238" s="362"/>
    </row>
    <row r="239" spans="1:18" ht="15.75" customHeight="1">
      <c r="B239" s="679"/>
      <c r="C239" s="1201" t="s">
        <v>1221</v>
      </c>
      <c r="D239" s="1131"/>
      <c r="E239" s="1131"/>
      <c r="F239" s="1131"/>
      <c r="G239" s="1131"/>
      <c r="H239" s="1132"/>
      <c r="I239" s="674"/>
      <c r="J239" s="674"/>
      <c r="K239" s="674"/>
      <c r="L239" s="1206" t="s">
        <v>1222</v>
      </c>
      <c r="M239" s="1000"/>
      <c r="N239" s="678" t="s">
        <v>1223</v>
      </c>
      <c r="O239" s="362"/>
    </row>
    <row r="240" spans="1:18" ht="15.75" customHeight="1">
      <c r="B240" s="679"/>
      <c r="C240" s="1128" t="s">
        <v>19</v>
      </c>
      <c r="D240" s="940"/>
      <c r="E240" s="940"/>
      <c r="F240" s="940"/>
      <c r="G240" s="940"/>
      <c r="H240" s="940"/>
      <c r="I240" s="452"/>
      <c r="J240" s="452"/>
      <c r="K240" s="452"/>
      <c r="L240" s="1148">
        <f>+Datos!$E$18</f>
        <v>0.25</v>
      </c>
      <c r="M240" s="941"/>
      <c r="N240" s="430">
        <f>+L240*N235</f>
        <v>19958.5</v>
      </c>
      <c r="O240" s="362"/>
    </row>
    <row r="241" spans="2:15" ht="15.75" customHeight="1">
      <c r="B241" s="679"/>
      <c r="C241" s="454" t="s">
        <v>20</v>
      </c>
      <c r="D241" s="455"/>
      <c r="E241" s="455"/>
      <c r="F241" s="455"/>
      <c r="G241" s="455"/>
      <c r="H241" s="455"/>
      <c r="I241" s="452"/>
      <c r="J241" s="452"/>
      <c r="K241" s="452"/>
      <c r="L241" s="1148">
        <f>+Datos!$E$19</f>
        <v>0.01</v>
      </c>
      <c r="M241" s="941"/>
      <c r="N241" s="430">
        <f>+L241*N235</f>
        <v>798.34</v>
      </c>
      <c r="O241" s="362"/>
    </row>
    <row r="242" spans="2:15" ht="15.75" customHeight="1">
      <c r="B242" s="679"/>
      <c r="C242" s="456" t="s">
        <v>21</v>
      </c>
      <c r="D242" s="457"/>
      <c r="E242" s="457"/>
      <c r="F242" s="457"/>
      <c r="G242" s="457"/>
      <c r="H242" s="457"/>
      <c r="I242" s="458"/>
      <c r="J242" s="458"/>
      <c r="K242" s="458"/>
      <c r="L242" s="1148">
        <f>+Datos!$E$20</f>
        <v>0.05</v>
      </c>
      <c r="M242" s="941"/>
      <c r="N242" s="430">
        <f>+L242*N235</f>
        <v>3991.7000000000003</v>
      </c>
      <c r="O242" s="362"/>
    </row>
    <row r="243" spans="2:15" ht="15.75" customHeight="1">
      <c r="B243" s="679"/>
      <c r="C243" s="1127" t="s">
        <v>1202</v>
      </c>
      <c r="D243" s="965"/>
      <c r="E243" s="965"/>
      <c r="F243" s="965"/>
      <c r="G243" s="965"/>
      <c r="H243" s="965"/>
      <c r="I243" s="965"/>
      <c r="J243" s="965"/>
      <c r="K243" s="965"/>
      <c r="L243" s="965"/>
      <c r="M243" s="966"/>
      <c r="N243" s="433">
        <f>+SUM(N240:N242)</f>
        <v>24748.54</v>
      </c>
      <c r="O243" s="362"/>
    </row>
    <row r="244" spans="2:15" ht="15.75" customHeight="1">
      <c r="B244" s="679"/>
      <c r="C244" s="418"/>
      <c r="D244" s="39"/>
      <c r="E244" s="39"/>
      <c r="F244" s="39"/>
      <c r="G244" s="39"/>
      <c r="H244" s="39"/>
      <c r="I244" s="39"/>
      <c r="J244" s="39"/>
      <c r="K244" s="39"/>
      <c r="L244" s="39"/>
      <c r="M244" s="39"/>
      <c r="N244" s="40"/>
      <c r="O244" s="362"/>
    </row>
    <row r="245" spans="2:15" ht="15.75" customHeight="1">
      <c r="B245" s="679"/>
      <c r="C245" s="1198" t="s">
        <v>1224</v>
      </c>
      <c r="D245" s="965"/>
      <c r="E245" s="965"/>
      <c r="F245" s="965"/>
      <c r="G245" s="965"/>
      <c r="H245" s="965"/>
      <c r="I245" s="965"/>
      <c r="J245" s="965"/>
      <c r="K245" s="965"/>
      <c r="L245" s="965"/>
      <c r="M245" s="966"/>
      <c r="N245" s="683">
        <f>+ROUND(SUM(N243,N235),0)</f>
        <v>104583</v>
      </c>
      <c r="O245" s="362"/>
    </row>
    <row r="246" spans="2:15" ht="15.75" customHeight="1">
      <c r="B246" s="679"/>
      <c r="C246" s="418"/>
      <c r="D246" s="39" t="s">
        <v>1225</v>
      </c>
      <c r="E246" s="39"/>
      <c r="F246" s="39"/>
      <c r="G246" s="184"/>
      <c r="H246" s="184"/>
      <c r="I246" s="184"/>
      <c r="J246" s="39" t="s">
        <v>1225</v>
      </c>
      <c r="K246" s="39"/>
      <c r="L246" s="39"/>
      <c r="M246" s="39"/>
      <c r="N246" s="40"/>
      <c r="O246" s="362"/>
    </row>
    <row r="247" spans="2:15" ht="15.75" customHeight="1">
      <c r="B247" s="679"/>
      <c r="C247" s="418"/>
      <c r="D247" s="39" t="s">
        <v>1226</v>
      </c>
      <c r="E247" s="39"/>
      <c r="F247" s="39"/>
      <c r="G247" s="184"/>
      <c r="H247" s="184"/>
      <c r="I247" s="184"/>
      <c r="J247" s="39" t="s">
        <v>1227</v>
      </c>
      <c r="K247" s="39"/>
      <c r="L247" s="39"/>
      <c r="M247" s="39"/>
      <c r="N247" s="40"/>
      <c r="O247" s="362"/>
    </row>
    <row r="248" spans="2:15" ht="15.75" customHeight="1">
      <c r="B248" s="679"/>
      <c r="C248" s="404"/>
      <c r="D248" s="39" t="s">
        <v>1228</v>
      </c>
      <c r="E248" s="42"/>
      <c r="F248" s="42"/>
      <c r="G248" s="184"/>
      <c r="H248" s="184"/>
      <c r="I248" s="184"/>
      <c r="J248" s="39" t="s">
        <v>1228</v>
      </c>
      <c r="K248" s="42"/>
      <c r="L248" s="42"/>
      <c r="M248" s="42"/>
      <c r="N248" s="43"/>
      <c r="O248" s="362"/>
    </row>
    <row r="249" spans="2:15" ht="15.75" customHeight="1">
      <c r="B249" s="679"/>
      <c r="C249" s="418"/>
      <c r="D249" s="39"/>
      <c r="E249" s="39"/>
      <c r="F249" s="39"/>
      <c r="G249" s="39" t="s">
        <v>1229</v>
      </c>
      <c r="H249" s="39"/>
      <c r="I249" s="39"/>
      <c r="J249" s="39"/>
      <c r="K249" s="39"/>
      <c r="L249" s="39"/>
      <c r="M249" s="39"/>
      <c r="N249" s="40"/>
      <c r="O249" s="362"/>
    </row>
    <row r="250" spans="2:15" ht="15.75" customHeight="1">
      <c r="B250" s="679"/>
      <c r="C250" s="466"/>
      <c r="D250" s="467"/>
      <c r="E250" s="467"/>
      <c r="F250" s="39"/>
      <c r="G250" s="39"/>
      <c r="H250" s="39"/>
      <c r="I250" s="39"/>
      <c r="J250" s="1149"/>
      <c r="K250" s="922"/>
      <c r="L250" s="922"/>
      <c r="M250" s="922"/>
      <c r="N250" s="924"/>
      <c r="O250" s="362"/>
    </row>
    <row r="251" spans="2:15" ht="15.75" customHeight="1">
      <c r="B251" s="679"/>
      <c r="C251" s="1150"/>
      <c r="D251" s="936"/>
      <c r="E251" s="936"/>
      <c r="F251" s="416"/>
      <c r="G251" s="416"/>
      <c r="H251" s="416"/>
      <c r="I251" s="416"/>
      <c r="J251" s="936"/>
      <c r="K251" s="936"/>
      <c r="L251" s="936"/>
      <c r="M251" s="936"/>
      <c r="N251" s="938"/>
      <c r="O251" s="362"/>
    </row>
    <row r="252" spans="2:15" ht="15.75" customHeight="1">
      <c r="B252" s="684"/>
      <c r="C252" s="685"/>
      <c r="D252" s="685"/>
      <c r="E252" s="685"/>
      <c r="F252" s="685"/>
      <c r="G252" s="685"/>
      <c r="H252" s="685"/>
      <c r="I252" s="685"/>
      <c r="J252" s="685"/>
      <c r="K252" s="685"/>
      <c r="L252" s="685"/>
      <c r="M252" s="685"/>
      <c r="N252" s="685"/>
      <c r="O252" s="686"/>
    </row>
    <row r="253" spans="2:15" ht="15.75" customHeight="1"/>
    <row r="254" spans="2:15" ht="15.75" customHeight="1"/>
    <row r="255" spans="2:15" ht="15.75" customHeight="1"/>
    <row r="256" spans="2:15" ht="15.75" customHeight="1"/>
    <row r="257" spans="1:15" ht="15.75" customHeight="1">
      <c r="A257" s="395" t="s">
        <v>941</v>
      </c>
      <c r="B257" s="184"/>
      <c r="C257" s="184"/>
      <c r="D257" s="184"/>
      <c r="E257" s="184"/>
      <c r="F257" s="184"/>
      <c r="G257" s="184"/>
      <c r="H257" s="184"/>
      <c r="I257" s="184"/>
      <c r="J257" s="184"/>
      <c r="K257" s="184"/>
      <c r="L257" s="184"/>
      <c r="M257" s="184"/>
      <c r="N257" s="184"/>
    </row>
    <row r="258" spans="1:15" ht="15.75" customHeight="1">
      <c r="A258" s="395"/>
      <c r="B258" s="396"/>
      <c r="C258" s="397"/>
      <c r="D258" s="397"/>
      <c r="E258" s="397"/>
      <c r="F258" s="397"/>
      <c r="G258" s="397"/>
      <c r="H258" s="397"/>
      <c r="I258" s="397"/>
      <c r="J258" s="397"/>
      <c r="K258" s="397"/>
      <c r="L258" s="397"/>
      <c r="M258" s="397"/>
      <c r="N258" s="397"/>
      <c r="O258" s="667"/>
    </row>
    <row r="259" spans="1:15" ht="15.75" customHeight="1">
      <c r="A259" s="395"/>
      <c r="B259" s="399"/>
      <c r="C259" s="1124"/>
      <c r="D259" s="927"/>
      <c r="E259" s="1207" t="str">
        <f>Datos!$C$9</f>
        <v>CONSEJO SUPERIOR  DE  JUDICATURA– DIRECCIÓN  EJECUTIVA  SECCIONAL  DE ADMINISTRACIÓN JUDICIAL DE BUCARAMANGA</v>
      </c>
      <c r="F259" s="926"/>
      <c r="G259" s="926"/>
      <c r="H259" s="926"/>
      <c r="I259" s="926"/>
      <c r="J259" s="926"/>
      <c r="K259" s="927"/>
      <c r="L259" s="925" t="s">
        <v>1</v>
      </c>
      <c r="M259" s="931"/>
      <c r="N259" s="933">
        <v>1</v>
      </c>
      <c r="O259" s="362"/>
    </row>
    <row r="260" spans="1:15" ht="15.75" customHeight="1">
      <c r="A260" s="395"/>
      <c r="B260" s="399"/>
      <c r="C260" s="920"/>
      <c r="D260" s="924"/>
      <c r="E260" s="920"/>
      <c r="F260" s="922"/>
      <c r="G260" s="922"/>
      <c r="H260" s="922"/>
      <c r="I260" s="922"/>
      <c r="J260" s="922"/>
      <c r="K260" s="924"/>
      <c r="L260" s="920"/>
      <c r="M260" s="932"/>
      <c r="N260" s="934"/>
      <c r="O260" s="362"/>
    </row>
    <row r="261" spans="1:15" ht="15.75" customHeight="1">
      <c r="A261" s="395"/>
      <c r="B261" s="399"/>
      <c r="C261" s="920"/>
      <c r="D261" s="924"/>
      <c r="E261" s="919" t="str">
        <f>Datos!$C$13</f>
        <v xml:space="preserve">BGA - 030 - 2026 </v>
      </c>
      <c r="F261" s="922"/>
      <c r="G261" s="922"/>
      <c r="H261" s="922"/>
      <c r="I261" s="922"/>
      <c r="J261" s="922"/>
      <c r="K261" s="922"/>
      <c r="L261" s="925" t="s">
        <v>29</v>
      </c>
      <c r="M261" s="926"/>
      <c r="N261" s="927"/>
      <c r="O261" s="362"/>
    </row>
    <row r="262" spans="1:15" ht="15.75" customHeight="1">
      <c r="A262" s="395"/>
      <c r="B262" s="399"/>
      <c r="C262" s="920"/>
      <c r="D262" s="924"/>
      <c r="E26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62" s="922"/>
      <c r="G262" s="922"/>
      <c r="H262" s="922"/>
      <c r="I262" s="922"/>
      <c r="J262" s="922"/>
      <c r="K262" s="924"/>
      <c r="L262" s="919">
        <v>1</v>
      </c>
      <c r="M262" s="921" t="s">
        <v>30</v>
      </c>
      <c r="N262" s="923">
        <v>1</v>
      </c>
      <c r="O262" s="362"/>
    </row>
    <row r="263" spans="1:15" ht="15.75" customHeight="1">
      <c r="A263" s="395"/>
      <c r="B263" s="399"/>
      <c r="C263" s="920"/>
      <c r="D263" s="924"/>
      <c r="E263" s="920"/>
      <c r="F263" s="922"/>
      <c r="G263" s="922"/>
      <c r="H263" s="922"/>
      <c r="I263" s="922"/>
      <c r="J263" s="922"/>
      <c r="K263" s="924"/>
      <c r="L263" s="920"/>
      <c r="M263" s="922"/>
      <c r="N263" s="924"/>
      <c r="O263" s="362"/>
    </row>
    <row r="264" spans="1:15" ht="15.75" customHeight="1">
      <c r="A264" s="395"/>
      <c r="B264" s="399"/>
      <c r="C264" s="920"/>
      <c r="D264" s="924"/>
      <c r="E264" s="920"/>
      <c r="F264" s="922"/>
      <c r="G264" s="922"/>
      <c r="H264" s="922"/>
      <c r="I264" s="922"/>
      <c r="J264" s="922"/>
      <c r="K264" s="924"/>
      <c r="L264" s="925" t="s">
        <v>2</v>
      </c>
      <c r="M264" s="926"/>
      <c r="N264" s="927"/>
      <c r="O264" s="362"/>
    </row>
    <row r="265" spans="1:15" ht="15.75" customHeight="1">
      <c r="A265" s="395"/>
      <c r="B265" s="399"/>
      <c r="C265" s="920"/>
      <c r="D265" s="924"/>
      <c r="E265" s="407"/>
      <c r="F265" s="216"/>
      <c r="G265" s="216"/>
      <c r="H265" s="216"/>
      <c r="I265" s="216"/>
      <c r="J265" s="216"/>
      <c r="K265" s="216"/>
      <c r="L265" s="408" t="s">
        <v>3</v>
      </c>
      <c r="M265" s="409" t="s">
        <v>4</v>
      </c>
      <c r="N265" s="410" t="s">
        <v>5</v>
      </c>
      <c r="O265" s="362"/>
    </row>
    <row r="266" spans="1:15" ht="15.75" customHeight="1">
      <c r="A266" s="395"/>
      <c r="B266" s="399"/>
      <c r="C266" s="920"/>
      <c r="D266" s="924"/>
      <c r="E266" s="1125" t="s">
        <v>1186</v>
      </c>
      <c r="F266" s="945"/>
      <c r="G266" s="945"/>
      <c r="H266" s="945"/>
      <c r="I266" s="945"/>
      <c r="J266" s="945"/>
      <c r="K266" s="945"/>
      <c r="L266" s="928">
        <f>Datos!$C$7</f>
        <v>19</v>
      </c>
      <c r="M266" s="935">
        <f>Datos!$D$7</f>
        <v>6</v>
      </c>
      <c r="N266" s="937">
        <f>Datos!$E$7</f>
        <v>2026</v>
      </c>
      <c r="O266" s="362"/>
    </row>
    <row r="267" spans="1:15" ht="15.75" customHeight="1">
      <c r="A267" s="395"/>
      <c r="B267" s="399"/>
      <c r="C267" s="929"/>
      <c r="D267" s="938"/>
      <c r="E267" s="929"/>
      <c r="F267" s="936"/>
      <c r="G267" s="936"/>
      <c r="H267" s="936"/>
      <c r="I267" s="936"/>
      <c r="J267" s="936"/>
      <c r="K267" s="936"/>
      <c r="L267" s="929"/>
      <c r="M267" s="936"/>
      <c r="N267" s="938"/>
      <c r="O267" s="362"/>
    </row>
    <row r="268" spans="1:15" ht="15.75" customHeight="1">
      <c r="A268" s="395"/>
      <c r="B268" s="399"/>
      <c r="C268" s="404"/>
      <c r="D268" s="38"/>
      <c r="E268" s="38"/>
      <c r="F268" s="38"/>
      <c r="G268" s="38"/>
      <c r="H268" s="38"/>
      <c r="I268" s="38"/>
      <c r="J268" s="38"/>
      <c r="K268" s="38"/>
      <c r="L268" s="39"/>
      <c r="M268" s="39"/>
      <c r="N268" s="40"/>
      <c r="O268" s="362"/>
    </row>
    <row r="269" spans="1:15" ht="15.75" customHeight="1">
      <c r="A269" s="395"/>
      <c r="B269" s="399"/>
      <c r="C269" s="412" t="s">
        <v>1187</v>
      </c>
      <c r="D269" s="1199" t="str">
        <f>VLOOKUP(C274,ListaAct,2,0)</f>
        <v>OBRA CIVIL</v>
      </c>
      <c r="E269" s="922"/>
      <c r="F269" s="922"/>
      <c r="G269" s="922"/>
      <c r="H269" s="922"/>
      <c r="I269" s="922"/>
      <c r="J269" s="922"/>
      <c r="K269" s="922"/>
      <c r="L269" s="922"/>
      <c r="M269" s="1"/>
      <c r="N269" s="413"/>
      <c r="O269" s="362"/>
    </row>
    <row r="270" spans="1:15" ht="15.75" customHeight="1">
      <c r="A270" s="395"/>
      <c r="B270" s="399"/>
      <c r="C270" s="412" t="s">
        <v>1189</v>
      </c>
      <c r="D270" s="1199" t="str">
        <f>VLOOKUP(C274,ListaAct,3,0)</f>
        <v>DEMOLICIONES, DESCAPOTES Y RETIROS</v>
      </c>
      <c r="E270" s="922"/>
      <c r="F270" s="922"/>
      <c r="G270" s="922"/>
      <c r="H270" s="922"/>
      <c r="I270" s="922"/>
      <c r="J270" s="922"/>
      <c r="K270" s="922"/>
      <c r="L270" s="922"/>
      <c r="M270" s="1"/>
      <c r="N270" s="413"/>
      <c r="O270" s="362"/>
    </row>
    <row r="271" spans="1:15" ht="15.75" customHeight="1">
      <c r="A271" s="395"/>
      <c r="B271" s="399"/>
      <c r="C271" s="925" t="s">
        <v>1191</v>
      </c>
      <c r="D271" s="926"/>
      <c r="E271" s="926"/>
      <c r="F271" s="926"/>
      <c r="G271" s="926"/>
      <c r="H271" s="926"/>
      <c r="I271" s="926"/>
      <c r="J271" s="926"/>
      <c r="K271" s="926"/>
      <c r="L271" s="926"/>
      <c r="M271" s="926"/>
      <c r="N271" s="927"/>
      <c r="O271" s="362"/>
    </row>
    <row r="272" spans="1:15" ht="15.75" customHeight="1">
      <c r="A272" s="395"/>
      <c r="B272" s="399"/>
      <c r="C272" s="418"/>
      <c r="D272" s="39"/>
      <c r="E272" s="39"/>
      <c r="F272" s="39"/>
      <c r="G272" s="39"/>
      <c r="H272" s="39"/>
      <c r="I272" s="39"/>
      <c r="J272" s="39"/>
      <c r="K272" s="39"/>
      <c r="L272" s="39"/>
      <c r="M272" s="39"/>
      <c r="N272" s="40"/>
      <c r="O272" s="362"/>
    </row>
    <row r="273" spans="1:15" ht="15.75" customHeight="1">
      <c r="A273" s="395"/>
      <c r="B273" s="399"/>
      <c r="C273" s="668" t="s">
        <v>965</v>
      </c>
      <c r="D273" s="1200" t="s">
        <v>17</v>
      </c>
      <c r="E273" s="1131"/>
      <c r="F273" s="1131"/>
      <c r="G273" s="1131"/>
      <c r="H273" s="1131"/>
      <c r="I273" s="1131"/>
      <c r="J273" s="1131"/>
      <c r="K273" s="1137"/>
      <c r="L273" s="1201" t="s">
        <v>1192</v>
      </c>
      <c r="M273" s="1137"/>
      <c r="N273" s="668" t="s">
        <v>950</v>
      </c>
      <c r="O273" s="362"/>
    </row>
    <row r="274" spans="1:15" ht="15.75" customHeight="1">
      <c r="A274" s="395"/>
      <c r="B274" s="421"/>
      <c r="C274" s="669" t="s">
        <v>989</v>
      </c>
      <c r="D274" s="1202" t="str">
        <f>IF($C274&gt;0,(VLOOKUP($C274,ListaAct,4,FALSE)),"")</f>
        <v xml:space="preserve"> Demolición de placa de concreto e=0,10 mts zona norte. </v>
      </c>
      <c r="E274" s="979"/>
      <c r="F274" s="979"/>
      <c r="G274" s="979"/>
      <c r="H274" s="979"/>
      <c r="I274" s="979"/>
      <c r="J274" s="979"/>
      <c r="K274" s="980"/>
      <c r="L274" s="1203" t="str">
        <f>IF($C274&gt;0,(VLOOKUP($C274,ListaAct,5,FALSE)),"")</f>
        <v>m2</v>
      </c>
      <c r="M274" s="980"/>
      <c r="N274" s="423">
        <f>IF($C274&gt;0,(VLOOKUP($C274,ListaAct,6,FALSE)),"")</f>
        <v>4.51</v>
      </c>
      <c r="O274" s="362"/>
    </row>
    <row r="275" spans="1:15" ht="15.75" customHeight="1">
      <c r="A275" s="395"/>
      <c r="B275" s="399"/>
      <c r="C275" s="1129" t="s">
        <v>1195</v>
      </c>
      <c r="D275" s="926"/>
      <c r="E275" s="926"/>
      <c r="F275" s="926"/>
      <c r="G275" s="926"/>
      <c r="H275" s="926"/>
      <c r="I275" s="926"/>
      <c r="J275" s="926"/>
      <c r="K275" s="926"/>
      <c r="L275" s="926"/>
      <c r="M275" s="926"/>
      <c r="N275" s="927"/>
      <c r="O275" s="362"/>
    </row>
    <row r="276" spans="1:15" ht="15.75" customHeight="1">
      <c r="A276" s="395"/>
      <c r="B276" s="399"/>
      <c r="C276" s="920"/>
      <c r="D276" s="922"/>
      <c r="E276" s="922"/>
      <c r="F276" s="922"/>
      <c r="G276" s="922"/>
      <c r="H276" s="922"/>
      <c r="I276" s="922"/>
      <c r="J276" s="922"/>
      <c r="K276" s="922"/>
      <c r="L276" s="922"/>
      <c r="M276" s="922"/>
      <c r="N276" s="924"/>
      <c r="O276" s="362"/>
    </row>
    <row r="277" spans="1:15" ht="15.75" customHeight="1">
      <c r="A277" s="395"/>
      <c r="B277" s="399"/>
      <c r="C277" s="929"/>
      <c r="D277" s="936"/>
      <c r="E277" s="936"/>
      <c r="F277" s="936"/>
      <c r="G277" s="936"/>
      <c r="H277" s="936"/>
      <c r="I277" s="936"/>
      <c r="J277" s="936"/>
      <c r="K277" s="936"/>
      <c r="L277" s="936"/>
      <c r="M277" s="936"/>
      <c r="N277" s="938"/>
      <c r="O277" s="362"/>
    </row>
    <row r="278" spans="1:15" ht="15.75" customHeight="1">
      <c r="A278" s="395"/>
      <c r="B278" s="399"/>
      <c r="C278" s="1201" t="s">
        <v>17</v>
      </c>
      <c r="D278" s="1131"/>
      <c r="E278" s="1131"/>
      <c r="F278" s="1000"/>
      <c r="G278" s="1204" t="s">
        <v>1196</v>
      </c>
      <c r="H278" s="1000"/>
      <c r="I278" s="1204" t="s">
        <v>1197</v>
      </c>
      <c r="J278" s="1000"/>
      <c r="K278" s="670" t="s">
        <v>1213</v>
      </c>
      <c r="L278" s="1204" t="s">
        <v>1199</v>
      </c>
      <c r="M278" s="1000"/>
      <c r="N278" s="671" t="s">
        <v>1200</v>
      </c>
      <c r="O278" s="362"/>
    </row>
    <row r="279" spans="1:15" ht="15.75" customHeight="1">
      <c r="A279" s="395"/>
      <c r="B279" s="399"/>
      <c r="C279" s="1128" t="s">
        <v>1201</v>
      </c>
      <c r="D279" s="940"/>
      <c r="E279" s="940"/>
      <c r="F279" s="941"/>
      <c r="G279" s="1142"/>
      <c r="H279" s="941"/>
      <c r="I279" s="1142"/>
      <c r="J279" s="941"/>
      <c r="K279" s="429"/>
      <c r="L279" s="1143">
        <v>0.05</v>
      </c>
      <c r="M279" s="941"/>
      <c r="N279" s="430">
        <f>+L279*N318</f>
        <v>2382.4695898939549</v>
      </c>
      <c r="O279" s="362"/>
    </row>
    <row r="280" spans="1:15" ht="15.75" customHeight="1">
      <c r="A280" s="395" t="str">
        <f t="array" ref="A280">IF(C280&lt;&gt;0,INDEX(CodEquipos,MATCH(C280,Equipos,0),),)</f>
        <v>MEQ-19</v>
      </c>
      <c r="B280" s="399"/>
      <c r="C280" s="1128" t="s">
        <v>2452</v>
      </c>
      <c r="D280" s="940"/>
      <c r="E280" s="940"/>
      <c r="F280" s="941"/>
      <c r="G280" s="1142"/>
      <c r="H280" s="941"/>
      <c r="I280" s="1142"/>
      <c r="J280" s="941"/>
      <c r="K280" s="432">
        <f>IF($A280&gt;0,(VLOOKUP($A280,TablaEquipos,7,FALSE)),"")</f>
        <v>103499.99999999999</v>
      </c>
      <c r="L280" s="1146">
        <v>10</v>
      </c>
      <c r="M280" s="941"/>
      <c r="N280" s="430">
        <f t="shared" ref="N280:N281" si="21">IF(L280&gt;0,K280/L280,"")</f>
        <v>10349.999999999998</v>
      </c>
      <c r="O280" s="362"/>
    </row>
    <row r="281" spans="1:15" ht="15.75" customHeight="1">
      <c r="A281" s="395">
        <f t="array" ref="A281">IF(C281&lt;&gt;0,INDEX(CodEquipos,MATCH(C281,Equipos,0),),)</f>
        <v>0</v>
      </c>
      <c r="B281" s="399"/>
      <c r="C281" s="1128"/>
      <c r="D281" s="940"/>
      <c r="E281" s="940"/>
      <c r="F281" s="941"/>
      <c r="G281" s="1142"/>
      <c r="H281" s="941"/>
      <c r="I281" s="1142"/>
      <c r="J281" s="941"/>
      <c r="K281" s="432" t="str">
        <f>IF($A281&gt;0,(VLOOKUP($A281,TablaEquipos,7,FALSE)),"")</f>
        <v/>
      </c>
      <c r="L281" s="1141"/>
      <c r="M281" s="941"/>
      <c r="N281" s="430" t="str">
        <f t="shared" si="21"/>
        <v/>
      </c>
      <c r="O281" s="362"/>
    </row>
    <row r="282" spans="1:15" ht="15.75" customHeight="1">
      <c r="A282" s="395">
        <f t="array" ref="A282">IF(C282&lt;&gt;0,INDEX(CodEquipos,MATCH(C282,Equipos,0),),)</f>
        <v>0</v>
      </c>
      <c r="B282" s="399"/>
      <c r="C282" s="1128"/>
      <c r="D282" s="940"/>
      <c r="E282" s="940"/>
      <c r="F282" s="941"/>
      <c r="G282" s="1142"/>
      <c r="H282" s="941"/>
      <c r="I282" s="1142"/>
      <c r="J282" s="941"/>
      <c r="K282" s="432"/>
      <c r="L282" s="1141"/>
      <c r="M282" s="941"/>
      <c r="N282" s="430"/>
      <c r="O282" s="362"/>
    </row>
    <row r="283" spans="1:15" ht="15.75" customHeight="1">
      <c r="A283" s="395">
        <f t="array" ref="A283">IF(C283&lt;&gt;0,INDEX(CodEquipos,MATCH(C283,Equipos,0),),)</f>
        <v>0</v>
      </c>
      <c r="B283" s="399"/>
      <c r="C283" s="1128"/>
      <c r="D283" s="940"/>
      <c r="E283" s="940"/>
      <c r="F283" s="941"/>
      <c r="G283" s="1142"/>
      <c r="H283" s="941"/>
      <c r="I283" s="1142"/>
      <c r="J283" s="941"/>
      <c r="K283" s="432" t="str">
        <f>IF($A283&gt;0,(VLOOKUP($A283,TablaEquipos,7,FALSE)),"")</f>
        <v/>
      </c>
      <c r="L283" s="1141"/>
      <c r="M283" s="941"/>
      <c r="N283" s="430" t="str">
        <f t="shared" ref="N283:N284" si="22">IF(L283&gt;0,K283/L283,"")</f>
        <v/>
      </c>
      <c r="O283" s="362"/>
    </row>
    <row r="284" spans="1:15" ht="15.75" customHeight="1">
      <c r="A284" s="395">
        <f t="array" ref="A284">IF(C284&lt;&gt;0,INDEX(CodEquipos,MATCH(C284,Equipos,0),),)</f>
        <v>0</v>
      </c>
      <c r="B284" s="399"/>
      <c r="C284" s="1128"/>
      <c r="D284" s="940"/>
      <c r="E284" s="940"/>
      <c r="F284" s="941"/>
      <c r="G284" s="1144"/>
      <c r="H284" s="1145"/>
      <c r="I284" s="1144"/>
      <c r="J284" s="1145"/>
      <c r="K284" s="432" t="str">
        <f>IF($A284&gt;0,(VLOOKUP($A284,TablaEquipos,7,FALSE)),"")</f>
        <v/>
      </c>
      <c r="L284" s="1208"/>
      <c r="M284" s="1145"/>
      <c r="N284" s="430" t="str">
        <f t="shared" si="22"/>
        <v/>
      </c>
      <c r="O284" s="362"/>
    </row>
    <row r="285" spans="1:15" ht="15.75" customHeight="1">
      <c r="A285" s="395"/>
      <c r="B285" s="399"/>
      <c r="C285" s="1127" t="s">
        <v>1202</v>
      </c>
      <c r="D285" s="965"/>
      <c r="E285" s="965"/>
      <c r="F285" s="965"/>
      <c r="G285" s="965"/>
      <c r="H285" s="965"/>
      <c r="I285" s="965"/>
      <c r="J285" s="965"/>
      <c r="K285" s="965"/>
      <c r="L285" s="965"/>
      <c r="M285" s="966"/>
      <c r="N285" s="433">
        <f>+SUM(N279:N284)</f>
        <v>12732.469589893954</v>
      </c>
      <c r="O285" s="362"/>
    </row>
    <row r="286" spans="1:15" ht="15.75" customHeight="1">
      <c r="A286" s="395"/>
      <c r="B286" s="399"/>
      <c r="C286" s="1129" t="s">
        <v>1203</v>
      </c>
      <c r="D286" s="926"/>
      <c r="E286" s="926"/>
      <c r="F286" s="926"/>
      <c r="G286" s="926"/>
      <c r="H286" s="926"/>
      <c r="I286" s="926"/>
      <c r="J286" s="926"/>
      <c r="K286" s="926"/>
      <c r="L286" s="926"/>
      <c r="M286" s="926"/>
      <c r="N286" s="927"/>
      <c r="O286" s="362"/>
    </row>
    <row r="287" spans="1:15" ht="15.75" customHeight="1">
      <c r="A287" s="395"/>
      <c r="B287" s="399"/>
      <c r="C287" s="920"/>
      <c r="D287" s="922"/>
      <c r="E287" s="922"/>
      <c r="F287" s="922"/>
      <c r="G287" s="922"/>
      <c r="H287" s="922"/>
      <c r="I287" s="922"/>
      <c r="J287" s="922"/>
      <c r="K287" s="922"/>
      <c r="L287" s="922"/>
      <c r="M287" s="922"/>
      <c r="N287" s="924"/>
      <c r="O287" s="362"/>
    </row>
    <row r="288" spans="1:15" ht="15.75" customHeight="1">
      <c r="A288" s="395"/>
      <c r="B288" s="399"/>
      <c r="C288" s="929"/>
      <c r="D288" s="936"/>
      <c r="E288" s="936"/>
      <c r="F288" s="936"/>
      <c r="G288" s="936"/>
      <c r="H288" s="936"/>
      <c r="I288" s="936"/>
      <c r="J288" s="936"/>
      <c r="K288" s="936"/>
      <c r="L288" s="936"/>
      <c r="M288" s="936"/>
      <c r="N288" s="938"/>
      <c r="O288" s="362"/>
    </row>
    <row r="289" spans="1:15" ht="15.75" customHeight="1">
      <c r="A289" s="395"/>
      <c r="B289" s="399"/>
      <c r="C289" s="1201" t="s">
        <v>17</v>
      </c>
      <c r="D289" s="1131"/>
      <c r="E289" s="1131"/>
      <c r="F289" s="1131"/>
      <c r="G289" s="1131"/>
      <c r="H289" s="1131"/>
      <c r="I289" s="1000"/>
      <c r="J289" s="672" t="s">
        <v>1192</v>
      </c>
      <c r="K289" s="670" t="s">
        <v>950</v>
      </c>
      <c r="L289" s="1204" t="s">
        <v>1204</v>
      </c>
      <c r="M289" s="1000"/>
      <c r="N289" s="671" t="s">
        <v>1200</v>
      </c>
      <c r="O289" s="362"/>
    </row>
    <row r="290" spans="1:15" ht="15.75" customHeight="1">
      <c r="A290" s="395">
        <f t="array" ref="A290">IF(C290&lt;&gt;0,INDEX(CodMat,MATCH(C290,Materiales,0),),)</f>
        <v>0</v>
      </c>
      <c r="B290" s="399"/>
      <c r="C290" s="1128"/>
      <c r="D290" s="940"/>
      <c r="E290" s="940"/>
      <c r="F290" s="940"/>
      <c r="G290" s="940"/>
      <c r="H290" s="940"/>
      <c r="I290" s="941"/>
      <c r="J290" s="435" t="str">
        <f t="shared" ref="J290:J297" si="23">IF($A290&gt;0,(VLOOKUP($A290,TablaInsumos,5,FALSE)),"")</f>
        <v/>
      </c>
      <c r="K290" s="673"/>
      <c r="L290" s="1134" t="str">
        <f t="shared" ref="L290:L297" si="24">IF($A290&gt;0,(VLOOKUP($A290,TablaInsumos,7,FALSE)),"")</f>
        <v/>
      </c>
      <c r="M290" s="941"/>
      <c r="N290" s="430" t="str">
        <f t="shared" ref="N290:N297" si="25">IF(K290&gt;0,L290*K290,"")</f>
        <v/>
      </c>
      <c r="O290" s="362"/>
    </row>
    <row r="291" spans="1:15" ht="15.75" customHeight="1">
      <c r="A291" s="395">
        <f t="array" ref="A291">IF(C291&lt;&gt;0,INDEX(CodMat,MATCH(C291,Materiales,0),),)</f>
        <v>0</v>
      </c>
      <c r="B291" s="399"/>
      <c r="C291" s="1128"/>
      <c r="D291" s="940"/>
      <c r="E291" s="940"/>
      <c r="F291" s="940"/>
      <c r="G291" s="940"/>
      <c r="H291" s="940"/>
      <c r="I291" s="941"/>
      <c r="J291" s="435" t="str">
        <f t="shared" si="23"/>
        <v/>
      </c>
      <c r="K291" s="673"/>
      <c r="L291" s="1134" t="str">
        <f t="shared" si="24"/>
        <v/>
      </c>
      <c r="M291" s="941"/>
      <c r="N291" s="430" t="str">
        <f t="shared" si="25"/>
        <v/>
      </c>
      <c r="O291" s="362"/>
    </row>
    <row r="292" spans="1:15" ht="15.75" customHeight="1">
      <c r="A292" s="395">
        <f t="array" ref="A292">IF(C292&lt;&gt;0,INDEX(CodMat,MATCH(C292,Materiales,0),),)</f>
        <v>0</v>
      </c>
      <c r="B292" s="399"/>
      <c r="C292" s="1128"/>
      <c r="D292" s="940"/>
      <c r="E292" s="940"/>
      <c r="F292" s="940"/>
      <c r="G292" s="940"/>
      <c r="H292" s="940"/>
      <c r="I292" s="941"/>
      <c r="J292" s="435" t="str">
        <f t="shared" si="23"/>
        <v/>
      </c>
      <c r="K292" s="673"/>
      <c r="L292" s="1134" t="str">
        <f t="shared" si="24"/>
        <v/>
      </c>
      <c r="M292" s="941"/>
      <c r="N292" s="430" t="str">
        <f t="shared" si="25"/>
        <v/>
      </c>
      <c r="O292" s="362"/>
    </row>
    <row r="293" spans="1:15" ht="15.75" customHeight="1">
      <c r="A293" s="395">
        <f t="array" ref="A293">IF(C293&lt;&gt;0,INDEX(CodMat,MATCH(C293,Materiales,0),),)</f>
        <v>0</v>
      </c>
      <c r="B293" s="399"/>
      <c r="C293" s="1128"/>
      <c r="D293" s="940"/>
      <c r="E293" s="940"/>
      <c r="F293" s="940"/>
      <c r="G293" s="940"/>
      <c r="H293" s="940"/>
      <c r="I293" s="941"/>
      <c r="J293" s="435" t="str">
        <f t="shared" si="23"/>
        <v/>
      </c>
      <c r="K293" s="673"/>
      <c r="L293" s="1134" t="str">
        <f t="shared" si="24"/>
        <v/>
      </c>
      <c r="M293" s="941"/>
      <c r="N293" s="430" t="str">
        <f t="shared" si="25"/>
        <v/>
      </c>
      <c r="O293" s="362"/>
    </row>
    <row r="294" spans="1:15" ht="15.75" customHeight="1">
      <c r="A294" s="395">
        <f t="array" ref="A294">IF(C294&lt;&gt;0,INDEX(CodMat,MATCH(C294,Materiales,0),),)</f>
        <v>0</v>
      </c>
      <c r="B294" s="399"/>
      <c r="C294" s="1128"/>
      <c r="D294" s="940"/>
      <c r="E294" s="940"/>
      <c r="F294" s="940"/>
      <c r="G294" s="940"/>
      <c r="H294" s="940"/>
      <c r="I294" s="941"/>
      <c r="J294" s="435" t="str">
        <f t="shared" si="23"/>
        <v/>
      </c>
      <c r="K294" s="436"/>
      <c r="L294" s="1134" t="str">
        <f t="shared" si="24"/>
        <v/>
      </c>
      <c r="M294" s="941"/>
      <c r="N294" s="430" t="str">
        <f t="shared" si="25"/>
        <v/>
      </c>
      <c r="O294" s="362"/>
    </row>
    <row r="295" spans="1:15" ht="15.75" customHeight="1">
      <c r="A295" s="395">
        <f t="array" ref="A295">IF(C295&lt;&gt;0,INDEX(CodMat,MATCH(C295,Materiales,0),),)</f>
        <v>0</v>
      </c>
      <c r="B295" s="399"/>
      <c r="C295" s="1128"/>
      <c r="D295" s="940"/>
      <c r="E295" s="940"/>
      <c r="F295" s="940"/>
      <c r="G295" s="940"/>
      <c r="H295" s="940"/>
      <c r="I295" s="941"/>
      <c r="J295" s="435" t="str">
        <f t="shared" si="23"/>
        <v/>
      </c>
      <c r="K295" s="436"/>
      <c r="L295" s="1134" t="str">
        <f t="shared" si="24"/>
        <v/>
      </c>
      <c r="M295" s="941"/>
      <c r="N295" s="430" t="str">
        <f t="shared" si="25"/>
        <v/>
      </c>
      <c r="O295" s="362"/>
    </row>
    <row r="296" spans="1:15" ht="15.75" customHeight="1">
      <c r="A296" s="395">
        <f t="array" ref="A296">IF(C296&lt;&gt;0,INDEX(CodMat,MATCH(C296,Materiales,0),),)</f>
        <v>0</v>
      </c>
      <c r="B296" s="399"/>
      <c r="C296" s="1128"/>
      <c r="D296" s="940"/>
      <c r="E296" s="940"/>
      <c r="F296" s="940"/>
      <c r="G296" s="940"/>
      <c r="H296" s="940"/>
      <c r="I296" s="941"/>
      <c r="J296" s="435" t="str">
        <f t="shared" si="23"/>
        <v/>
      </c>
      <c r="K296" s="436"/>
      <c r="L296" s="1134" t="str">
        <f t="shared" si="24"/>
        <v/>
      </c>
      <c r="M296" s="941"/>
      <c r="N296" s="430" t="str">
        <f t="shared" si="25"/>
        <v/>
      </c>
      <c r="O296" s="362"/>
    </row>
    <row r="297" spans="1:15" ht="15.75" customHeight="1">
      <c r="A297" s="395">
        <f t="array" ref="A297">IF(C297&lt;&gt;0,INDEX(CodMat,MATCH(C297,Materiales,0),),)</f>
        <v>0</v>
      </c>
      <c r="B297" s="399"/>
      <c r="C297" s="1128"/>
      <c r="D297" s="940"/>
      <c r="E297" s="940"/>
      <c r="F297" s="940"/>
      <c r="G297" s="940"/>
      <c r="H297" s="940"/>
      <c r="I297" s="941"/>
      <c r="J297" s="435" t="str">
        <f t="shared" si="23"/>
        <v/>
      </c>
      <c r="K297" s="436"/>
      <c r="L297" s="1205" t="str">
        <f t="shared" si="24"/>
        <v/>
      </c>
      <c r="M297" s="1145"/>
      <c r="N297" s="430" t="str">
        <f t="shared" si="25"/>
        <v/>
      </c>
      <c r="O297" s="362"/>
    </row>
    <row r="298" spans="1:15" ht="15.75" customHeight="1">
      <c r="A298" s="395"/>
      <c r="B298" s="399"/>
      <c r="C298" s="1127" t="s">
        <v>1202</v>
      </c>
      <c r="D298" s="965"/>
      <c r="E298" s="965"/>
      <c r="F298" s="965"/>
      <c r="G298" s="965"/>
      <c r="H298" s="965"/>
      <c r="I298" s="965"/>
      <c r="J298" s="965"/>
      <c r="K298" s="965"/>
      <c r="L298" s="965"/>
      <c r="M298" s="966"/>
      <c r="N298" s="433">
        <f>+SUM(N290:N297)</f>
        <v>0</v>
      </c>
      <c r="O298" s="362"/>
    </row>
    <row r="299" spans="1:15" ht="15.75" customHeight="1">
      <c r="A299" s="395"/>
      <c r="B299" s="399"/>
      <c r="C299" s="1129" t="s">
        <v>1208</v>
      </c>
      <c r="D299" s="926"/>
      <c r="E299" s="926"/>
      <c r="F299" s="926"/>
      <c r="G299" s="926"/>
      <c r="H299" s="926"/>
      <c r="I299" s="926"/>
      <c r="J299" s="926"/>
      <c r="K299" s="926"/>
      <c r="L299" s="926"/>
      <c r="M299" s="926"/>
      <c r="N299" s="927"/>
      <c r="O299" s="362"/>
    </row>
    <row r="300" spans="1:15" ht="15.75" customHeight="1">
      <c r="A300" s="395"/>
      <c r="B300" s="399"/>
      <c r="C300" s="920"/>
      <c r="D300" s="922"/>
      <c r="E300" s="922"/>
      <c r="F300" s="922"/>
      <c r="G300" s="922"/>
      <c r="H300" s="922"/>
      <c r="I300" s="922"/>
      <c r="J300" s="922"/>
      <c r="K300" s="922"/>
      <c r="L300" s="922"/>
      <c r="M300" s="922"/>
      <c r="N300" s="924"/>
      <c r="O300" s="362"/>
    </row>
    <row r="301" spans="1:15" ht="15.75" customHeight="1">
      <c r="A301" s="395"/>
      <c r="B301" s="399"/>
      <c r="C301" s="929"/>
      <c r="D301" s="936"/>
      <c r="E301" s="936"/>
      <c r="F301" s="936"/>
      <c r="G301" s="936"/>
      <c r="H301" s="936"/>
      <c r="I301" s="936"/>
      <c r="J301" s="936"/>
      <c r="K301" s="936"/>
      <c r="L301" s="936"/>
      <c r="M301" s="936"/>
      <c r="N301" s="938"/>
      <c r="O301" s="362"/>
    </row>
    <row r="302" spans="1:15" ht="15.75" customHeight="1">
      <c r="A302" s="395"/>
      <c r="B302" s="399"/>
      <c r="C302" s="1201" t="s">
        <v>1209</v>
      </c>
      <c r="D302" s="1131"/>
      <c r="E302" s="1131"/>
      <c r="F302" s="1131"/>
      <c r="G302" s="1131"/>
      <c r="H302" s="1000"/>
      <c r="I302" s="670" t="s">
        <v>1210</v>
      </c>
      <c r="J302" s="674" t="s">
        <v>1211</v>
      </c>
      <c r="K302" s="675" t="s">
        <v>2318</v>
      </c>
      <c r="L302" s="1204" t="s">
        <v>1213</v>
      </c>
      <c r="M302" s="1000"/>
      <c r="N302" s="671" t="s">
        <v>1200</v>
      </c>
      <c r="O302" s="362"/>
    </row>
    <row r="303" spans="1:15" ht="15.75" customHeight="1">
      <c r="A303" s="395">
        <f t="array" ref="A303">IF(C303&lt;&gt;0,INDEX(CodTransporte,MATCH(C303,Transporte,0),),)</f>
        <v>0</v>
      </c>
      <c r="B303" s="399"/>
      <c r="C303" s="1128"/>
      <c r="D303" s="940"/>
      <c r="E303" s="940"/>
      <c r="F303" s="940"/>
      <c r="G303" s="940"/>
      <c r="H303" s="940"/>
      <c r="I303" s="440"/>
      <c r="J303" s="441" t="str">
        <f>IF($A303&gt;0,(VLOOKUP($A303,TablaTransporte,6,FALSE)),"")</f>
        <v/>
      </c>
      <c r="K303" s="442" t="str">
        <f>IF($A303&gt;0,(VLOOKUP($A303,TablaTransporte,5,FALSE)),"")</f>
        <v/>
      </c>
      <c r="L303" s="1134" t="str">
        <f>IF($A303&gt;0,(VLOOKUP($A303,TablaTransporte,7,FALSE)),"")</f>
        <v/>
      </c>
      <c r="M303" s="941"/>
      <c r="N303" s="430" t="str">
        <f t="shared" ref="N303:N307" si="26">IF(I303&gt;0,J303*L303*I303,"")</f>
        <v/>
      </c>
      <c r="O303" s="362"/>
    </row>
    <row r="304" spans="1:15" ht="15.75" customHeight="1">
      <c r="A304" s="395">
        <f t="array" ref="A304">IF(C304&lt;&gt;0,INDEX(CodTransporte,MATCH(C304,Transporte,0),),)</f>
        <v>0</v>
      </c>
      <c r="B304" s="399"/>
      <c r="C304" s="1128"/>
      <c r="D304" s="940"/>
      <c r="E304" s="940"/>
      <c r="F304" s="940"/>
      <c r="G304" s="940"/>
      <c r="H304" s="940"/>
      <c r="I304" s="440"/>
      <c r="J304" s="441" t="str">
        <f>IF($A304&gt;0,(VLOOKUP($A304,TablaTransporte,6,FALSE)),"")</f>
        <v/>
      </c>
      <c r="K304" s="442" t="str">
        <f>IF($A304&gt;0,(VLOOKUP($A304,TablaTransporte,5,FALSE)),"")</f>
        <v/>
      </c>
      <c r="L304" s="1134" t="str">
        <f>IF($A304&gt;0,(VLOOKUP($A304,TablaTransporte,7,FALSE)),"")</f>
        <v/>
      </c>
      <c r="M304" s="941"/>
      <c r="N304" s="430" t="str">
        <f t="shared" si="26"/>
        <v/>
      </c>
      <c r="O304" s="362"/>
    </row>
    <row r="305" spans="1:18" ht="15.75" customHeight="1">
      <c r="A305" s="395">
        <f t="array" ref="A305">IF(C305&lt;&gt;0,INDEX(CodTransporte,MATCH(C305,Transporte,0),),)</f>
        <v>0</v>
      </c>
      <c r="B305" s="399"/>
      <c r="C305" s="1128"/>
      <c r="D305" s="940"/>
      <c r="E305" s="940"/>
      <c r="F305" s="940"/>
      <c r="G305" s="940"/>
      <c r="H305" s="940"/>
      <c r="I305" s="440"/>
      <c r="J305" s="441" t="str">
        <f>IF($A305&gt;0,(VLOOKUP($A305,TablaTransporte,6,FALSE)),"")</f>
        <v/>
      </c>
      <c r="K305" s="442" t="str">
        <f>IF($A305&gt;0,(VLOOKUP($A305,TablaTransporte,5,FALSE)),"")</f>
        <v/>
      </c>
      <c r="L305" s="1134" t="str">
        <f>IF($A305&gt;0,(VLOOKUP($A305,TablaTransporte,7,FALSE)),"")</f>
        <v/>
      </c>
      <c r="M305" s="941"/>
      <c r="N305" s="430" t="str">
        <f t="shared" si="26"/>
        <v/>
      </c>
      <c r="O305" s="362"/>
    </row>
    <row r="306" spans="1:18" ht="15.75" customHeight="1">
      <c r="A306" s="395">
        <f t="array" ref="A306">IF(C306&lt;&gt;0,INDEX(CodTransporte,MATCH(C306,Transporte,0),),)</f>
        <v>0</v>
      </c>
      <c r="B306" s="399"/>
      <c r="C306" s="1128"/>
      <c r="D306" s="940"/>
      <c r="E306" s="940"/>
      <c r="F306" s="940"/>
      <c r="G306" s="940"/>
      <c r="H306" s="940"/>
      <c r="I306" s="440"/>
      <c r="J306" s="441" t="str">
        <f>IF($A306&gt;0,(VLOOKUP($A306,TablaTransporte,6,FALSE)),"")</f>
        <v/>
      </c>
      <c r="K306" s="442" t="str">
        <f>IF($A306&gt;0,(VLOOKUP($A306,TablaTransporte,5,FALSE)),"")</f>
        <v/>
      </c>
      <c r="L306" s="1134" t="str">
        <f>IF($A306&gt;0,(VLOOKUP($A306,TablaTransporte,7,FALSE)),"")</f>
        <v/>
      </c>
      <c r="M306" s="941"/>
      <c r="N306" s="430" t="str">
        <f t="shared" si="26"/>
        <v/>
      </c>
      <c r="O306" s="362"/>
    </row>
    <row r="307" spans="1:18" ht="15.75" customHeight="1">
      <c r="A307" s="395">
        <f t="array" ref="A307">IF(C307&lt;&gt;0,INDEX(CodTransporte,MATCH(C307,Transporte,0),),)</f>
        <v>0</v>
      </c>
      <c r="B307" s="399"/>
      <c r="C307" s="1128"/>
      <c r="D307" s="940"/>
      <c r="E307" s="940"/>
      <c r="F307" s="940"/>
      <c r="G307" s="940"/>
      <c r="H307" s="940"/>
      <c r="I307" s="440"/>
      <c r="J307" s="441" t="str">
        <f>IF($A307&gt;0,(VLOOKUP($A307,TablaTransporte,6,FALSE)),"")</f>
        <v/>
      </c>
      <c r="K307" s="442" t="str">
        <f>IF($A307&gt;0,(VLOOKUP($A307,TablaTransporte,5,FALSE)),"")</f>
        <v/>
      </c>
      <c r="L307" s="1205" t="str">
        <f>IF($A307&gt;0,(VLOOKUP($A307,TablaTransporte,7,FALSE)),"")</f>
        <v/>
      </c>
      <c r="M307" s="1145"/>
      <c r="N307" s="430" t="str">
        <f t="shared" si="26"/>
        <v/>
      </c>
      <c r="O307" s="362"/>
    </row>
    <row r="308" spans="1:18" ht="15.75" customHeight="1">
      <c r="A308" s="395"/>
      <c r="B308" s="399"/>
      <c r="C308" s="1127" t="s">
        <v>1202</v>
      </c>
      <c r="D308" s="965"/>
      <c r="E308" s="965"/>
      <c r="F308" s="965"/>
      <c r="G308" s="965"/>
      <c r="H308" s="965"/>
      <c r="I308" s="965"/>
      <c r="J308" s="965"/>
      <c r="K308" s="965"/>
      <c r="L308" s="965"/>
      <c r="M308" s="966"/>
      <c r="N308" s="433">
        <f>+SUM(N303:N307)</f>
        <v>0</v>
      </c>
      <c r="O308" s="362"/>
    </row>
    <row r="309" spans="1:18" ht="15.75" customHeight="1">
      <c r="A309" s="395"/>
      <c r="B309" s="399"/>
      <c r="C309" s="1129" t="s">
        <v>1214</v>
      </c>
      <c r="D309" s="926"/>
      <c r="E309" s="926"/>
      <c r="F309" s="926"/>
      <c r="G309" s="926"/>
      <c r="H309" s="926"/>
      <c r="I309" s="926"/>
      <c r="J309" s="926"/>
      <c r="K309" s="926"/>
      <c r="L309" s="926"/>
      <c r="M309" s="926"/>
      <c r="N309" s="927"/>
      <c r="O309" s="362"/>
    </row>
    <row r="310" spans="1:18" ht="15.75" customHeight="1">
      <c r="A310" s="395"/>
      <c r="B310" s="399"/>
      <c r="C310" s="920"/>
      <c r="D310" s="922"/>
      <c r="E310" s="922"/>
      <c r="F310" s="922"/>
      <c r="G310" s="922"/>
      <c r="H310" s="922"/>
      <c r="I310" s="922"/>
      <c r="J310" s="922"/>
      <c r="K310" s="922"/>
      <c r="L310" s="922"/>
      <c r="M310" s="922"/>
      <c r="N310" s="924"/>
      <c r="O310" s="362"/>
    </row>
    <row r="311" spans="1:18" ht="15.75" customHeight="1">
      <c r="A311" s="395"/>
      <c r="B311" s="399"/>
      <c r="C311" s="929"/>
      <c r="D311" s="936"/>
      <c r="E311" s="936"/>
      <c r="F311" s="936"/>
      <c r="G311" s="936"/>
      <c r="H311" s="936"/>
      <c r="I311" s="936"/>
      <c r="J311" s="936"/>
      <c r="K311" s="936"/>
      <c r="L311" s="936"/>
      <c r="M311" s="936"/>
      <c r="N311" s="938"/>
      <c r="O311" s="362"/>
    </row>
    <row r="312" spans="1:18" ht="15.75" customHeight="1">
      <c r="A312" s="395"/>
      <c r="B312" s="399"/>
      <c r="C312" s="1201" t="s">
        <v>1215</v>
      </c>
      <c r="D312" s="1131"/>
      <c r="E312" s="1131"/>
      <c r="F312" s="1131"/>
      <c r="G312" s="1131"/>
      <c r="H312" s="1000"/>
      <c r="I312" s="670" t="s">
        <v>1216</v>
      </c>
      <c r="J312" s="676" t="s">
        <v>1217</v>
      </c>
      <c r="K312" s="677" t="s">
        <v>1218</v>
      </c>
      <c r="L312" s="1206" t="s">
        <v>1199</v>
      </c>
      <c r="M312" s="1000"/>
      <c r="N312" s="678" t="s">
        <v>1200</v>
      </c>
      <c r="O312" s="362"/>
    </row>
    <row r="313" spans="1:18" ht="15.75" customHeight="1">
      <c r="A313" s="395" t="str">
        <f t="array" ref="A313">IF(C313&lt;&gt;0,INDEX(CodMO,MATCH(C313,MO,0),),)</f>
        <v>M.O-05</v>
      </c>
      <c r="B313" s="399"/>
      <c r="C313" s="1128" t="s">
        <v>139</v>
      </c>
      <c r="D313" s="940"/>
      <c r="E313" s="940"/>
      <c r="F313" s="940"/>
      <c r="G313" s="940"/>
      <c r="H313" s="940"/>
      <c r="I313" s="447">
        <f>IF($A313&gt;0,(VLOOKUP($A313,TablaMO,8,FALSE)),"")</f>
        <v>125030.16666666667</v>
      </c>
      <c r="J313" s="448">
        <f>IF($A313&gt;0,(VLOOKUP($A313,TablaMO,10,FALSE)),"")</f>
        <v>0.67071666666666663</v>
      </c>
      <c r="K313" s="447">
        <f>IF($A313&gt;0,(VLOOKUP($A313,TablaMO,11,FALSE)),"")</f>
        <v>208890</v>
      </c>
      <c r="L313" s="1146">
        <v>6.9260485296412426</v>
      </c>
      <c r="M313" s="941"/>
      <c r="N313" s="430">
        <f t="shared" ref="N313:N317" si="27">IF(L313&gt;0,K313/L313,"")</f>
        <v>30160.054337768284</v>
      </c>
      <c r="O313" s="362"/>
    </row>
    <row r="314" spans="1:18" ht="15.75" customHeight="1">
      <c r="A314" s="395" t="str">
        <f t="array" ref="A314">IF(C314&lt;&gt;0,INDEX(CodMO,MATCH(C314,MO,0),),)</f>
        <v>M.O-01</v>
      </c>
      <c r="B314" s="399"/>
      <c r="C314" s="1128" t="s">
        <v>130</v>
      </c>
      <c r="D314" s="940"/>
      <c r="E314" s="940"/>
      <c r="F314" s="940"/>
      <c r="G314" s="940"/>
      <c r="H314" s="940"/>
      <c r="I314" s="447">
        <f>IF($A314&gt;0,(VLOOKUP($A314,TablaMO,8,FALSE)),"")</f>
        <v>72503.016666666677</v>
      </c>
      <c r="J314" s="448">
        <f>IF($A314&gt;0,(VLOOKUP($A314,TablaMO,10,FALSE)),"")</f>
        <v>0.67071666666666663</v>
      </c>
      <c r="K314" s="447">
        <f>IF($A314&gt;0,(VLOOKUP($A314,TablaMO,11,FALSE)),"")</f>
        <v>121132</v>
      </c>
      <c r="L314" s="1146">
        <f>L313</f>
        <v>6.9260485296412426</v>
      </c>
      <c r="M314" s="941"/>
      <c r="N314" s="430">
        <f t="shared" si="27"/>
        <v>17489.337460110812</v>
      </c>
      <c r="O314" s="362"/>
    </row>
    <row r="315" spans="1:18" ht="15.75" customHeight="1">
      <c r="A315" s="395">
        <f t="array" ref="A315">IF(C315&lt;&gt;0,INDEX(CodMO,MATCH(C315,MO,0),),)</f>
        <v>0</v>
      </c>
      <c r="B315" s="399"/>
      <c r="C315" s="1128"/>
      <c r="D315" s="940"/>
      <c r="E315" s="940"/>
      <c r="F315" s="940"/>
      <c r="G315" s="940"/>
      <c r="H315" s="940"/>
      <c r="I315" s="447" t="str">
        <f>IF($A315&gt;0,(VLOOKUP($A315,TablaMO,8,FALSE)),"")</f>
        <v/>
      </c>
      <c r="J315" s="448" t="str">
        <f>IF($A315&gt;0,(VLOOKUP($A315,TablaMO,10,FALSE)),"")</f>
        <v/>
      </c>
      <c r="K315" s="447" t="str">
        <f>IF($A315&gt;0,(VLOOKUP($A315,TablaMO,11,FALSE)),"")</f>
        <v/>
      </c>
      <c r="L315" s="1146"/>
      <c r="M315" s="941"/>
      <c r="N315" s="430" t="str">
        <f t="shared" si="27"/>
        <v/>
      </c>
      <c r="O315" s="362"/>
    </row>
    <row r="316" spans="1:18" ht="15.75" customHeight="1">
      <c r="A316" s="395">
        <f t="array" ref="A316">IF(C316&lt;&gt;0,INDEX(CodMO,MATCH(C316,MO,0),),)</f>
        <v>0</v>
      </c>
      <c r="B316" s="399"/>
      <c r="C316" s="1128"/>
      <c r="D316" s="940"/>
      <c r="E316" s="940"/>
      <c r="F316" s="940"/>
      <c r="G316" s="940"/>
      <c r="H316" s="940"/>
      <c r="I316" s="447" t="str">
        <f>IF($A316&gt;0,(VLOOKUP($A316,TablaMO,8,FALSE)),"")</f>
        <v/>
      </c>
      <c r="J316" s="448" t="str">
        <f>IF($A316&gt;0,(VLOOKUP($A316,TablaMO,10,FALSE)),"")</f>
        <v/>
      </c>
      <c r="K316" s="447" t="str">
        <f>IF($A316&gt;0,(VLOOKUP($A316,TablaMO,11,FALSE)),"")</f>
        <v/>
      </c>
      <c r="L316" s="1146"/>
      <c r="M316" s="941"/>
      <c r="N316" s="430" t="str">
        <f t="shared" si="27"/>
        <v/>
      </c>
      <c r="O316" s="362"/>
    </row>
    <row r="317" spans="1:18" ht="15.75" customHeight="1">
      <c r="A317" s="395">
        <f t="array" ref="A317">IF(C317&lt;&gt;0,INDEX(CodMO,MATCH(C317,MO,0),),)</f>
        <v>0</v>
      </c>
      <c r="B317" s="399"/>
      <c r="C317" s="1128"/>
      <c r="D317" s="940"/>
      <c r="E317" s="940"/>
      <c r="F317" s="940"/>
      <c r="G317" s="940"/>
      <c r="H317" s="940"/>
      <c r="I317" s="447" t="str">
        <f>IF($A317&gt;0,(VLOOKUP($A317,TablaMO,8,FALSE)),"")</f>
        <v/>
      </c>
      <c r="J317" s="448" t="str">
        <f>IF($A317&gt;0,(VLOOKUP($A317,TablaMO,10,FALSE)),"")</f>
        <v/>
      </c>
      <c r="K317" s="447" t="str">
        <f>IF($A317&gt;0,(VLOOKUP($A317,TablaMO,11,FALSE)),"")</f>
        <v/>
      </c>
      <c r="L317" s="1146"/>
      <c r="M317" s="941"/>
      <c r="N317" s="430" t="str">
        <f t="shared" si="27"/>
        <v/>
      </c>
      <c r="O317" s="362"/>
    </row>
    <row r="318" spans="1:18" ht="15.75" customHeight="1">
      <c r="A318" s="395"/>
      <c r="B318" s="399"/>
      <c r="C318" s="1127" t="s">
        <v>1202</v>
      </c>
      <c r="D318" s="965"/>
      <c r="E318" s="965"/>
      <c r="F318" s="965"/>
      <c r="G318" s="965"/>
      <c r="H318" s="965"/>
      <c r="I318" s="965"/>
      <c r="J318" s="965"/>
      <c r="K318" s="965"/>
      <c r="L318" s="965"/>
      <c r="M318" s="966"/>
      <c r="N318" s="433">
        <f>+SUM(N313:N317)</f>
        <v>47649.3917978791</v>
      </c>
      <c r="O318" s="362"/>
    </row>
    <row r="319" spans="1:18" ht="15.75" customHeight="1">
      <c r="B319" s="679"/>
      <c r="O319" s="362"/>
    </row>
    <row r="320" spans="1:18" ht="15.75" customHeight="1">
      <c r="B320" s="679"/>
      <c r="C320" s="1198" t="s">
        <v>1219</v>
      </c>
      <c r="D320" s="965"/>
      <c r="E320" s="965"/>
      <c r="F320" s="965"/>
      <c r="G320" s="965"/>
      <c r="H320" s="965"/>
      <c r="I320" s="965"/>
      <c r="J320" s="965"/>
      <c r="K320" s="965"/>
      <c r="L320" s="965"/>
      <c r="M320" s="966"/>
      <c r="N320" s="680">
        <f>ROUND(SUM(N318,N308,N298,N285),0)</f>
        <v>60382</v>
      </c>
      <c r="O320" s="362"/>
      <c r="Q320" s="681">
        <v>60382</v>
      </c>
      <c r="R320" s="682">
        <f>Q320-N320</f>
        <v>0</v>
      </c>
    </row>
    <row r="321" spans="2:15" ht="15.75" customHeight="1">
      <c r="B321" s="679"/>
      <c r="C321" s="1129" t="s">
        <v>1220</v>
      </c>
      <c r="D321" s="926"/>
      <c r="E321" s="926"/>
      <c r="F321" s="926"/>
      <c r="G321" s="926"/>
      <c r="H321" s="926"/>
      <c r="I321" s="926"/>
      <c r="J321" s="926"/>
      <c r="K321" s="926"/>
      <c r="L321" s="926"/>
      <c r="M321" s="926"/>
      <c r="N321" s="927"/>
      <c r="O321" s="362"/>
    </row>
    <row r="322" spans="2:15" ht="15.75" customHeight="1">
      <c r="B322" s="679"/>
      <c r="C322" s="920"/>
      <c r="D322" s="922"/>
      <c r="E322" s="922"/>
      <c r="F322" s="922"/>
      <c r="G322" s="922"/>
      <c r="H322" s="922"/>
      <c r="I322" s="922"/>
      <c r="J322" s="922"/>
      <c r="K322" s="922"/>
      <c r="L322" s="922"/>
      <c r="M322" s="922"/>
      <c r="N322" s="924"/>
      <c r="O322" s="362"/>
    </row>
    <row r="323" spans="2:15" ht="15.75" customHeight="1">
      <c r="B323" s="679"/>
      <c r="C323" s="929"/>
      <c r="D323" s="936"/>
      <c r="E323" s="936"/>
      <c r="F323" s="936"/>
      <c r="G323" s="936"/>
      <c r="H323" s="936"/>
      <c r="I323" s="936"/>
      <c r="J323" s="936"/>
      <c r="K323" s="936"/>
      <c r="L323" s="936"/>
      <c r="M323" s="936"/>
      <c r="N323" s="938"/>
      <c r="O323" s="362"/>
    </row>
    <row r="324" spans="2:15" ht="15.75" customHeight="1">
      <c r="B324" s="679"/>
      <c r="C324" s="1201" t="s">
        <v>1221</v>
      </c>
      <c r="D324" s="1131"/>
      <c r="E324" s="1131"/>
      <c r="F324" s="1131"/>
      <c r="G324" s="1131"/>
      <c r="H324" s="1132"/>
      <c r="I324" s="674"/>
      <c r="J324" s="674"/>
      <c r="K324" s="674"/>
      <c r="L324" s="1206" t="s">
        <v>1222</v>
      </c>
      <c r="M324" s="1000"/>
      <c r="N324" s="678" t="s">
        <v>1223</v>
      </c>
      <c r="O324" s="362"/>
    </row>
    <row r="325" spans="2:15" ht="15.75" customHeight="1">
      <c r="B325" s="679"/>
      <c r="C325" s="1128" t="s">
        <v>19</v>
      </c>
      <c r="D325" s="940"/>
      <c r="E325" s="940"/>
      <c r="F325" s="940"/>
      <c r="G325" s="940"/>
      <c r="H325" s="940"/>
      <c r="I325" s="452"/>
      <c r="J325" s="452"/>
      <c r="K325" s="452"/>
      <c r="L325" s="1148">
        <f>+Datos!$E$18</f>
        <v>0.25</v>
      </c>
      <c r="M325" s="941"/>
      <c r="N325" s="430">
        <f>+L325*N320</f>
        <v>15095.5</v>
      </c>
      <c r="O325" s="362"/>
    </row>
    <row r="326" spans="2:15" ht="15.75" customHeight="1">
      <c r="B326" s="679"/>
      <c r="C326" s="454" t="s">
        <v>20</v>
      </c>
      <c r="D326" s="455"/>
      <c r="E326" s="455"/>
      <c r="F326" s="455"/>
      <c r="G326" s="455"/>
      <c r="H326" s="455"/>
      <c r="I326" s="452"/>
      <c r="J326" s="452"/>
      <c r="K326" s="452"/>
      <c r="L326" s="1148">
        <f>+Datos!$E$19</f>
        <v>0.01</v>
      </c>
      <c r="M326" s="941"/>
      <c r="N326" s="430">
        <f>+L326*N320</f>
        <v>603.82000000000005</v>
      </c>
      <c r="O326" s="362"/>
    </row>
    <row r="327" spans="2:15" ht="15.75" customHeight="1">
      <c r="B327" s="679"/>
      <c r="C327" s="456" t="s">
        <v>21</v>
      </c>
      <c r="D327" s="457"/>
      <c r="E327" s="457"/>
      <c r="F327" s="457"/>
      <c r="G327" s="457"/>
      <c r="H327" s="457"/>
      <c r="I327" s="458"/>
      <c r="J327" s="458"/>
      <c r="K327" s="458"/>
      <c r="L327" s="1148">
        <f>+Datos!$E$20</f>
        <v>0.05</v>
      </c>
      <c r="M327" s="941"/>
      <c r="N327" s="430">
        <f>+L327*N320</f>
        <v>3019.1000000000004</v>
      </c>
      <c r="O327" s="362"/>
    </row>
    <row r="328" spans="2:15" ht="15.75" customHeight="1">
      <c r="B328" s="679"/>
      <c r="C328" s="1127" t="s">
        <v>1202</v>
      </c>
      <c r="D328" s="965"/>
      <c r="E328" s="965"/>
      <c r="F328" s="965"/>
      <c r="G328" s="965"/>
      <c r="H328" s="965"/>
      <c r="I328" s="965"/>
      <c r="J328" s="965"/>
      <c r="K328" s="965"/>
      <c r="L328" s="965"/>
      <c r="M328" s="966"/>
      <c r="N328" s="433">
        <f>+SUM(N325:N327)</f>
        <v>18718.419999999998</v>
      </c>
      <c r="O328" s="362"/>
    </row>
    <row r="329" spans="2:15" ht="15.75" customHeight="1">
      <c r="B329" s="679"/>
      <c r="C329" s="418"/>
      <c r="D329" s="39"/>
      <c r="E329" s="39"/>
      <c r="F329" s="39"/>
      <c r="G329" s="39"/>
      <c r="H329" s="39"/>
      <c r="I329" s="39"/>
      <c r="J329" s="39"/>
      <c r="K329" s="39"/>
      <c r="L329" s="39"/>
      <c r="M329" s="39"/>
      <c r="N329" s="40"/>
      <c r="O329" s="362"/>
    </row>
    <row r="330" spans="2:15" ht="15.75" customHeight="1">
      <c r="B330" s="679"/>
      <c r="C330" s="1198" t="s">
        <v>1224</v>
      </c>
      <c r="D330" s="965"/>
      <c r="E330" s="965"/>
      <c r="F330" s="965"/>
      <c r="G330" s="965"/>
      <c r="H330" s="965"/>
      <c r="I330" s="965"/>
      <c r="J330" s="965"/>
      <c r="K330" s="965"/>
      <c r="L330" s="965"/>
      <c r="M330" s="966"/>
      <c r="N330" s="683">
        <f>+ROUND(SUM(N328,N320),0)</f>
        <v>79100</v>
      </c>
      <c r="O330" s="362"/>
    </row>
    <row r="331" spans="2:15" ht="15.75" customHeight="1">
      <c r="B331" s="679"/>
      <c r="C331" s="418"/>
      <c r="D331" s="39" t="s">
        <v>1225</v>
      </c>
      <c r="E331" s="39"/>
      <c r="F331" s="39"/>
      <c r="G331" s="184"/>
      <c r="H331" s="184"/>
      <c r="I331" s="184"/>
      <c r="J331" s="39" t="s">
        <v>1225</v>
      </c>
      <c r="K331" s="39"/>
      <c r="L331" s="39"/>
      <c r="M331" s="39"/>
      <c r="N331" s="40"/>
      <c r="O331" s="362"/>
    </row>
    <row r="332" spans="2:15" ht="15.75" customHeight="1">
      <c r="B332" s="679"/>
      <c r="C332" s="418"/>
      <c r="D332" s="39" t="s">
        <v>1226</v>
      </c>
      <c r="E332" s="39"/>
      <c r="F332" s="39"/>
      <c r="G332" s="184"/>
      <c r="H332" s="184"/>
      <c r="I332" s="184"/>
      <c r="J332" s="39" t="s">
        <v>1227</v>
      </c>
      <c r="K332" s="39"/>
      <c r="L332" s="39"/>
      <c r="M332" s="39"/>
      <c r="N332" s="40"/>
      <c r="O332" s="362"/>
    </row>
    <row r="333" spans="2:15" ht="15.75" customHeight="1">
      <c r="B333" s="679"/>
      <c r="C333" s="404"/>
      <c r="D333" s="39" t="s">
        <v>1228</v>
      </c>
      <c r="E333" s="42"/>
      <c r="F333" s="42"/>
      <c r="G333" s="184"/>
      <c r="H333" s="184"/>
      <c r="I333" s="184"/>
      <c r="J333" s="39" t="s">
        <v>1228</v>
      </c>
      <c r="K333" s="42"/>
      <c r="L333" s="42"/>
      <c r="M333" s="42"/>
      <c r="N333" s="43"/>
      <c r="O333" s="362"/>
    </row>
    <row r="334" spans="2:15" ht="15.75" customHeight="1">
      <c r="B334" s="679"/>
      <c r="C334" s="418"/>
      <c r="D334" s="39"/>
      <c r="E334" s="39"/>
      <c r="F334" s="39"/>
      <c r="G334" s="39" t="s">
        <v>1229</v>
      </c>
      <c r="H334" s="39"/>
      <c r="I334" s="39"/>
      <c r="J334" s="39"/>
      <c r="K334" s="39"/>
      <c r="L334" s="39"/>
      <c r="M334" s="39"/>
      <c r="N334" s="40"/>
      <c r="O334" s="362"/>
    </row>
    <row r="335" spans="2:15" ht="15.75" customHeight="1">
      <c r="B335" s="679"/>
      <c r="C335" s="466"/>
      <c r="D335" s="467"/>
      <c r="E335" s="467"/>
      <c r="F335" s="39"/>
      <c r="G335" s="39"/>
      <c r="H335" s="39"/>
      <c r="I335" s="39"/>
      <c r="J335" s="1149"/>
      <c r="K335" s="922"/>
      <c r="L335" s="922"/>
      <c r="M335" s="922"/>
      <c r="N335" s="924"/>
      <c r="O335" s="362"/>
    </row>
    <row r="336" spans="2:15" ht="15.75" customHeight="1">
      <c r="B336" s="679"/>
      <c r="C336" s="1150"/>
      <c r="D336" s="936"/>
      <c r="E336" s="936"/>
      <c r="F336" s="416"/>
      <c r="G336" s="416"/>
      <c r="H336" s="416"/>
      <c r="I336" s="416"/>
      <c r="J336" s="936"/>
      <c r="K336" s="936"/>
      <c r="L336" s="936"/>
      <c r="M336" s="936"/>
      <c r="N336" s="938"/>
      <c r="O336" s="362"/>
    </row>
    <row r="337" spans="1:15" ht="15.75" customHeight="1">
      <c r="B337" s="684"/>
      <c r="C337" s="685"/>
      <c r="D337" s="685"/>
      <c r="E337" s="685"/>
      <c r="F337" s="685"/>
      <c r="G337" s="685"/>
      <c r="H337" s="685"/>
      <c r="I337" s="685"/>
      <c r="J337" s="685"/>
      <c r="K337" s="685"/>
      <c r="L337" s="685"/>
      <c r="M337" s="685"/>
      <c r="N337" s="685"/>
      <c r="O337" s="686"/>
    </row>
    <row r="338" spans="1:15" ht="15.75" customHeight="1"/>
    <row r="339" spans="1:15" ht="15.75" customHeight="1"/>
    <row r="340" spans="1:15" ht="15.75" customHeight="1"/>
    <row r="341" spans="1:15" ht="15.75" customHeight="1"/>
    <row r="342" spans="1:15" ht="15.75" customHeight="1">
      <c r="A342" s="395" t="s">
        <v>941</v>
      </c>
      <c r="B342" s="184"/>
      <c r="C342" s="184"/>
      <c r="D342" s="184"/>
      <c r="E342" s="184"/>
      <c r="F342" s="184"/>
      <c r="G342" s="184"/>
      <c r="H342" s="184"/>
      <c r="I342" s="184"/>
      <c r="J342" s="184"/>
      <c r="K342" s="184"/>
      <c r="L342" s="184"/>
      <c r="M342" s="184"/>
      <c r="N342" s="184"/>
    </row>
    <row r="343" spans="1:15" ht="15.75" customHeight="1">
      <c r="A343" s="395"/>
      <c r="B343" s="396"/>
      <c r="C343" s="397"/>
      <c r="D343" s="397"/>
      <c r="E343" s="397"/>
      <c r="F343" s="397"/>
      <c r="G343" s="397"/>
      <c r="H343" s="397"/>
      <c r="I343" s="397"/>
      <c r="J343" s="397"/>
      <c r="K343" s="397"/>
      <c r="L343" s="397"/>
      <c r="M343" s="397"/>
      <c r="N343" s="397"/>
      <c r="O343" s="667"/>
    </row>
    <row r="344" spans="1:15" ht="15.75" customHeight="1">
      <c r="A344" s="395"/>
      <c r="B344" s="399"/>
      <c r="C344" s="1124"/>
      <c r="D344" s="927"/>
      <c r="E344" s="1207" t="str">
        <f>Datos!$C$9</f>
        <v>CONSEJO SUPERIOR  DE  JUDICATURA– DIRECCIÓN  EJECUTIVA  SECCIONAL  DE ADMINISTRACIÓN JUDICIAL DE BUCARAMANGA</v>
      </c>
      <c r="F344" s="926"/>
      <c r="G344" s="926"/>
      <c r="H344" s="926"/>
      <c r="I344" s="926"/>
      <c r="J344" s="926"/>
      <c r="K344" s="927"/>
      <c r="L344" s="925" t="s">
        <v>1</v>
      </c>
      <c r="M344" s="931"/>
      <c r="N344" s="933">
        <v>1</v>
      </c>
      <c r="O344" s="362"/>
    </row>
    <row r="345" spans="1:15" ht="15.75" customHeight="1">
      <c r="A345" s="395"/>
      <c r="B345" s="399"/>
      <c r="C345" s="920"/>
      <c r="D345" s="924"/>
      <c r="E345" s="920"/>
      <c r="F345" s="922"/>
      <c r="G345" s="922"/>
      <c r="H345" s="922"/>
      <c r="I345" s="922"/>
      <c r="J345" s="922"/>
      <c r="K345" s="924"/>
      <c r="L345" s="920"/>
      <c r="M345" s="932"/>
      <c r="N345" s="934"/>
      <c r="O345" s="362"/>
    </row>
    <row r="346" spans="1:15" ht="15.75" customHeight="1">
      <c r="A346" s="395"/>
      <c r="B346" s="399"/>
      <c r="C346" s="920"/>
      <c r="D346" s="924"/>
      <c r="E346" s="919" t="str">
        <f>Datos!$C$13</f>
        <v xml:space="preserve">BGA - 030 - 2026 </v>
      </c>
      <c r="F346" s="922"/>
      <c r="G346" s="922"/>
      <c r="H346" s="922"/>
      <c r="I346" s="922"/>
      <c r="J346" s="922"/>
      <c r="K346" s="922"/>
      <c r="L346" s="925" t="s">
        <v>29</v>
      </c>
      <c r="M346" s="926"/>
      <c r="N346" s="927"/>
      <c r="O346" s="362"/>
    </row>
    <row r="347" spans="1:15" ht="15.75" customHeight="1">
      <c r="A347" s="395"/>
      <c r="B347" s="399"/>
      <c r="C347" s="920"/>
      <c r="D347" s="924"/>
      <c r="E34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47" s="922"/>
      <c r="G347" s="922"/>
      <c r="H347" s="922"/>
      <c r="I347" s="922"/>
      <c r="J347" s="922"/>
      <c r="K347" s="924"/>
      <c r="L347" s="919">
        <v>1</v>
      </c>
      <c r="M347" s="921" t="s">
        <v>30</v>
      </c>
      <c r="N347" s="923">
        <v>1</v>
      </c>
      <c r="O347" s="362"/>
    </row>
    <row r="348" spans="1:15" ht="15.75" customHeight="1">
      <c r="A348" s="395"/>
      <c r="B348" s="399"/>
      <c r="C348" s="920"/>
      <c r="D348" s="924"/>
      <c r="E348" s="920"/>
      <c r="F348" s="922"/>
      <c r="G348" s="922"/>
      <c r="H348" s="922"/>
      <c r="I348" s="922"/>
      <c r="J348" s="922"/>
      <c r="K348" s="924"/>
      <c r="L348" s="920"/>
      <c r="M348" s="922"/>
      <c r="N348" s="924"/>
      <c r="O348" s="362"/>
    </row>
    <row r="349" spans="1:15" ht="15.75" customHeight="1">
      <c r="A349" s="395"/>
      <c r="B349" s="399"/>
      <c r="C349" s="920"/>
      <c r="D349" s="924"/>
      <c r="E349" s="920"/>
      <c r="F349" s="922"/>
      <c r="G349" s="922"/>
      <c r="H349" s="922"/>
      <c r="I349" s="922"/>
      <c r="J349" s="922"/>
      <c r="K349" s="924"/>
      <c r="L349" s="925" t="s">
        <v>2</v>
      </c>
      <c r="M349" s="926"/>
      <c r="N349" s="927"/>
      <c r="O349" s="362"/>
    </row>
    <row r="350" spans="1:15" ht="15.75" customHeight="1">
      <c r="A350" s="395"/>
      <c r="B350" s="399"/>
      <c r="C350" s="920"/>
      <c r="D350" s="924"/>
      <c r="E350" s="407"/>
      <c r="F350" s="216"/>
      <c r="G350" s="216"/>
      <c r="H350" s="216"/>
      <c r="I350" s="216"/>
      <c r="J350" s="216"/>
      <c r="K350" s="216"/>
      <c r="L350" s="408" t="s">
        <v>3</v>
      </c>
      <c r="M350" s="409" t="s">
        <v>4</v>
      </c>
      <c r="N350" s="410" t="s">
        <v>5</v>
      </c>
      <c r="O350" s="362"/>
    </row>
    <row r="351" spans="1:15" ht="15.75" customHeight="1">
      <c r="A351" s="395"/>
      <c r="B351" s="399"/>
      <c r="C351" s="920"/>
      <c r="D351" s="924"/>
      <c r="E351" s="1125" t="s">
        <v>1186</v>
      </c>
      <c r="F351" s="945"/>
      <c r="G351" s="945"/>
      <c r="H351" s="945"/>
      <c r="I351" s="945"/>
      <c r="J351" s="945"/>
      <c r="K351" s="945"/>
      <c r="L351" s="928">
        <f>Datos!$C$7</f>
        <v>19</v>
      </c>
      <c r="M351" s="935">
        <f>Datos!$D$7</f>
        <v>6</v>
      </c>
      <c r="N351" s="937">
        <f>Datos!$E$7</f>
        <v>2026</v>
      </c>
      <c r="O351" s="362"/>
    </row>
    <row r="352" spans="1:15" ht="15.75" customHeight="1">
      <c r="A352" s="395"/>
      <c r="B352" s="399"/>
      <c r="C352" s="929"/>
      <c r="D352" s="938"/>
      <c r="E352" s="929"/>
      <c r="F352" s="936"/>
      <c r="G352" s="936"/>
      <c r="H352" s="936"/>
      <c r="I352" s="936"/>
      <c r="J352" s="936"/>
      <c r="K352" s="936"/>
      <c r="L352" s="929"/>
      <c r="M352" s="936"/>
      <c r="N352" s="938"/>
      <c r="O352" s="362"/>
    </row>
    <row r="353" spans="1:15" ht="15.75" customHeight="1">
      <c r="A353" s="395"/>
      <c r="B353" s="399"/>
      <c r="C353" s="404"/>
      <c r="D353" s="38"/>
      <c r="E353" s="38"/>
      <c r="F353" s="38"/>
      <c r="G353" s="38"/>
      <c r="H353" s="38"/>
      <c r="I353" s="38"/>
      <c r="J353" s="38"/>
      <c r="K353" s="38"/>
      <c r="L353" s="39"/>
      <c r="M353" s="39"/>
      <c r="N353" s="40"/>
      <c r="O353" s="362"/>
    </row>
    <row r="354" spans="1:15" ht="15.75" customHeight="1">
      <c r="A354" s="395"/>
      <c r="B354" s="399"/>
      <c r="C354" s="412" t="s">
        <v>1187</v>
      </c>
      <c r="D354" s="1199" t="str">
        <f>VLOOKUP(C359,ListaAct,2,0)</f>
        <v>OBRA CIVIL</v>
      </c>
      <c r="E354" s="922"/>
      <c r="F354" s="922"/>
      <c r="G354" s="922"/>
      <c r="H354" s="922"/>
      <c r="I354" s="922"/>
      <c r="J354" s="922"/>
      <c r="K354" s="922"/>
      <c r="L354" s="922"/>
      <c r="M354" s="1"/>
      <c r="N354" s="413"/>
      <c r="O354" s="362"/>
    </row>
    <row r="355" spans="1:15" ht="15.75" customHeight="1">
      <c r="A355" s="395"/>
      <c r="B355" s="399"/>
      <c r="C355" s="412" t="s">
        <v>1189</v>
      </c>
      <c r="D355" s="1199" t="str">
        <f>VLOOKUP(C359,ListaAct,3,0)</f>
        <v>DEMOLICIONES, DESCAPOTES Y RETIROS</v>
      </c>
      <c r="E355" s="922"/>
      <c r="F355" s="922"/>
      <c r="G355" s="922"/>
      <c r="H355" s="922"/>
      <c r="I355" s="922"/>
      <c r="J355" s="922"/>
      <c r="K355" s="922"/>
      <c r="L355" s="922"/>
      <c r="M355" s="1"/>
      <c r="N355" s="413"/>
      <c r="O355" s="362"/>
    </row>
    <row r="356" spans="1:15" ht="15.75" customHeight="1">
      <c r="A356" s="395"/>
      <c r="B356" s="399"/>
      <c r="C356" s="925" t="s">
        <v>1191</v>
      </c>
      <c r="D356" s="926"/>
      <c r="E356" s="926"/>
      <c r="F356" s="926"/>
      <c r="G356" s="926"/>
      <c r="H356" s="926"/>
      <c r="I356" s="926"/>
      <c r="J356" s="926"/>
      <c r="K356" s="926"/>
      <c r="L356" s="926"/>
      <c r="M356" s="926"/>
      <c r="N356" s="927"/>
      <c r="O356" s="362"/>
    </row>
    <row r="357" spans="1:15" ht="15.75" customHeight="1">
      <c r="A357" s="395"/>
      <c r="B357" s="399"/>
      <c r="C357" s="418"/>
      <c r="D357" s="39"/>
      <c r="E357" s="39"/>
      <c r="F357" s="39"/>
      <c r="G357" s="39"/>
      <c r="H357" s="39"/>
      <c r="I357" s="39"/>
      <c r="J357" s="39"/>
      <c r="K357" s="39"/>
      <c r="L357" s="39"/>
      <c r="M357" s="39"/>
      <c r="N357" s="40"/>
      <c r="O357" s="362"/>
    </row>
    <row r="358" spans="1:15" ht="15.75" customHeight="1">
      <c r="A358" s="395"/>
      <c r="B358" s="399"/>
      <c r="C358" s="668" t="s">
        <v>965</v>
      </c>
      <c r="D358" s="1200" t="s">
        <v>17</v>
      </c>
      <c r="E358" s="1131"/>
      <c r="F358" s="1131"/>
      <c r="G358" s="1131"/>
      <c r="H358" s="1131"/>
      <c r="I358" s="1131"/>
      <c r="J358" s="1131"/>
      <c r="K358" s="1137"/>
      <c r="L358" s="1201" t="s">
        <v>1192</v>
      </c>
      <c r="M358" s="1137"/>
      <c r="N358" s="668" t="s">
        <v>950</v>
      </c>
      <c r="O358" s="362"/>
    </row>
    <row r="359" spans="1:15" ht="15.75" customHeight="1">
      <c r="A359" s="395"/>
      <c r="B359" s="421"/>
      <c r="C359" s="669" t="s">
        <v>992</v>
      </c>
      <c r="D359" s="1202" t="str">
        <f>IF($C359&gt;0,(VLOOKUP($C359,ListaAct,4,FALSE)),"")</f>
        <v xml:space="preserve"> Demolición de pañete en mortero comun muros norte, sur y occidente en bahareque y tapia pisada interno y externo. </v>
      </c>
      <c r="E359" s="979"/>
      <c r="F359" s="979"/>
      <c r="G359" s="979"/>
      <c r="H359" s="979"/>
      <c r="I359" s="979"/>
      <c r="J359" s="979"/>
      <c r="K359" s="980"/>
      <c r="L359" s="1203" t="str">
        <f>IF($C359&gt;0,(VLOOKUP($C359,ListaAct,5,FALSE)),"")</f>
        <v>m2</v>
      </c>
      <c r="M359" s="980"/>
      <c r="N359" s="423">
        <f>IF($C359&gt;0,(VLOOKUP($C359,ListaAct,6,FALSE)),"")</f>
        <v>161.35</v>
      </c>
      <c r="O359" s="362"/>
    </row>
    <row r="360" spans="1:15" ht="15.75" customHeight="1">
      <c r="A360" s="395"/>
      <c r="B360" s="399"/>
      <c r="C360" s="1129" t="s">
        <v>1195</v>
      </c>
      <c r="D360" s="926"/>
      <c r="E360" s="926"/>
      <c r="F360" s="926"/>
      <c r="G360" s="926"/>
      <c r="H360" s="926"/>
      <c r="I360" s="926"/>
      <c r="J360" s="926"/>
      <c r="K360" s="926"/>
      <c r="L360" s="926"/>
      <c r="M360" s="926"/>
      <c r="N360" s="927"/>
      <c r="O360" s="362"/>
    </row>
    <row r="361" spans="1:15" ht="15.75" customHeight="1">
      <c r="A361" s="395"/>
      <c r="B361" s="399"/>
      <c r="C361" s="920"/>
      <c r="D361" s="922"/>
      <c r="E361" s="922"/>
      <c r="F361" s="922"/>
      <c r="G361" s="922"/>
      <c r="H361" s="922"/>
      <c r="I361" s="922"/>
      <c r="J361" s="922"/>
      <c r="K361" s="922"/>
      <c r="L361" s="922"/>
      <c r="M361" s="922"/>
      <c r="N361" s="924"/>
      <c r="O361" s="362"/>
    </row>
    <row r="362" spans="1:15" ht="15.75" customHeight="1">
      <c r="A362" s="395"/>
      <c r="B362" s="399"/>
      <c r="C362" s="929"/>
      <c r="D362" s="936"/>
      <c r="E362" s="936"/>
      <c r="F362" s="936"/>
      <c r="G362" s="936"/>
      <c r="H362" s="936"/>
      <c r="I362" s="936"/>
      <c r="J362" s="936"/>
      <c r="K362" s="936"/>
      <c r="L362" s="936"/>
      <c r="M362" s="936"/>
      <c r="N362" s="938"/>
      <c r="O362" s="362"/>
    </row>
    <row r="363" spans="1:15" ht="15.75" customHeight="1">
      <c r="A363" s="395"/>
      <c r="B363" s="399"/>
      <c r="C363" s="1201" t="s">
        <v>17</v>
      </c>
      <c r="D363" s="1131"/>
      <c r="E363" s="1131"/>
      <c r="F363" s="1000"/>
      <c r="G363" s="1204" t="s">
        <v>1196</v>
      </c>
      <c r="H363" s="1000"/>
      <c r="I363" s="1204" t="s">
        <v>1197</v>
      </c>
      <c r="J363" s="1000"/>
      <c r="K363" s="670" t="s">
        <v>1213</v>
      </c>
      <c r="L363" s="1204" t="s">
        <v>1199</v>
      </c>
      <c r="M363" s="1000"/>
      <c r="N363" s="671" t="s">
        <v>1200</v>
      </c>
      <c r="O363" s="362"/>
    </row>
    <row r="364" spans="1:15" ht="15.75" customHeight="1">
      <c r="A364" s="395"/>
      <c r="B364" s="399"/>
      <c r="C364" s="1128" t="s">
        <v>1201</v>
      </c>
      <c r="D364" s="940"/>
      <c r="E364" s="940"/>
      <c r="F364" s="941"/>
      <c r="G364" s="1142"/>
      <c r="H364" s="941"/>
      <c r="I364" s="1142"/>
      <c r="J364" s="941"/>
      <c r="K364" s="429"/>
      <c r="L364" s="1143">
        <v>0.05</v>
      </c>
      <c r="M364" s="941"/>
      <c r="N364" s="430">
        <f>+L364*N403</f>
        <v>1733.4598176926884</v>
      </c>
      <c r="O364" s="362"/>
    </row>
    <row r="365" spans="1:15" ht="15.75" customHeight="1">
      <c r="A365" s="395">
        <f t="array" ref="A365">IF(C365&lt;&gt;0,INDEX(CodEquipos,MATCH(C365,Equipos,0),),)</f>
        <v>0</v>
      </c>
      <c r="B365" s="399"/>
      <c r="C365" s="1128"/>
      <c r="D365" s="940"/>
      <c r="E365" s="940"/>
      <c r="F365" s="941"/>
      <c r="G365" s="1142"/>
      <c r="H365" s="941"/>
      <c r="I365" s="1142"/>
      <c r="J365" s="941"/>
      <c r="K365" s="432" t="str">
        <f>IF($A365&gt;0,(VLOOKUP($A365,TablaEquipos,7,FALSE)),"")</f>
        <v/>
      </c>
      <c r="L365" s="1146"/>
      <c r="M365" s="941"/>
      <c r="N365" s="430" t="str">
        <f t="shared" ref="N365:N366" si="28">IF(L365&gt;0,K365/L365,"")</f>
        <v/>
      </c>
      <c r="O365" s="362"/>
    </row>
    <row r="366" spans="1:15" ht="15.75" customHeight="1">
      <c r="A366" s="395">
        <f t="array" ref="A366">IF(C366&lt;&gt;0,INDEX(CodEquipos,MATCH(C366,Equipos,0),),)</f>
        <v>0</v>
      </c>
      <c r="B366" s="399"/>
      <c r="C366" s="1128"/>
      <c r="D366" s="940"/>
      <c r="E366" s="940"/>
      <c r="F366" s="941"/>
      <c r="G366" s="1142"/>
      <c r="H366" s="941"/>
      <c r="I366" s="1142"/>
      <c r="J366" s="941"/>
      <c r="K366" s="432" t="str">
        <f>IF($A366&gt;0,(VLOOKUP($A366,TablaEquipos,7,FALSE)),"")</f>
        <v/>
      </c>
      <c r="L366" s="1141"/>
      <c r="M366" s="941"/>
      <c r="N366" s="430" t="str">
        <f t="shared" si="28"/>
        <v/>
      </c>
      <c r="O366" s="362"/>
    </row>
    <row r="367" spans="1:15" ht="15.75" customHeight="1">
      <c r="A367" s="395">
        <f t="array" ref="A367">IF(C367&lt;&gt;0,INDEX(CodEquipos,MATCH(C367,Equipos,0),),)</f>
        <v>0</v>
      </c>
      <c r="B367" s="399"/>
      <c r="C367" s="1128"/>
      <c r="D367" s="940"/>
      <c r="E367" s="940"/>
      <c r="F367" s="941"/>
      <c r="G367" s="1142"/>
      <c r="H367" s="941"/>
      <c r="I367" s="1142"/>
      <c r="J367" s="941"/>
      <c r="K367" s="432"/>
      <c r="L367" s="1141"/>
      <c r="M367" s="941"/>
      <c r="N367" s="430"/>
      <c r="O367" s="362"/>
    </row>
    <row r="368" spans="1:15" ht="15.75" customHeight="1">
      <c r="A368" s="395">
        <f t="array" ref="A368">IF(C368&lt;&gt;0,INDEX(CodEquipos,MATCH(C368,Equipos,0),),)</f>
        <v>0</v>
      </c>
      <c r="B368" s="399"/>
      <c r="C368" s="1128"/>
      <c r="D368" s="940"/>
      <c r="E368" s="940"/>
      <c r="F368" s="941"/>
      <c r="G368" s="1142"/>
      <c r="H368" s="941"/>
      <c r="I368" s="1142"/>
      <c r="J368" s="941"/>
      <c r="K368" s="432" t="str">
        <f>IF($A368&gt;0,(VLOOKUP($A368,TablaEquipos,7,FALSE)),"")</f>
        <v/>
      </c>
      <c r="L368" s="1141"/>
      <c r="M368" s="941"/>
      <c r="N368" s="430" t="str">
        <f t="shared" ref="N368:N369" si="29">IF(L368&gt;0,K368/L368,"")</f>
        <v/>
      </c>
      <c r="O368" s="362"/>
    </row>
    <row r="369" spans="1:15" ht="15.75" customHeight="1">
      <c r="A369" s="395">
        <f t="array" ref="A369">IF(C369&lt;&gt;0,INDEX(CodEquipos,MATCH(C369,Equipos,0),),)</f>
        <v>0</v>
      </c>
      <c r="B369" s="399"/>
      <c r="C369" s="1128"/>
      <c r="D369" s="940"/>
      <c r="E369" s="940"/>
      <c r="F369" s="941"/>
      <c r="G369" s="1144"/>
      <c r="H369" s="1145"/>
      <c r="I369" s="1144"/>
      <c r="J369" s="1145"/>
      <c r="K369" s="432" t="str">
        <f>IF($A369&gt;0,(VLOOKUP($A369,TablaEquipos,7,FALSE)),"")</f>
        <v/>
      </c>
      <c r="L369" s="1208"/>
      <c r="M369" s="1145"/>
      <c r="N369" s="430" t="str">
        <f t="shared" si="29"/>
        <v/>
      </c>
      <c r="O369" s="362"/>
    </row>
    <row r="370" spans="1:15" ht="15.75" customHeight="1">
      <c r="A370" s="395"/>
      <c r="B370" s="399"/>
      <c r="C370" s="1127" t="s">
        <v>1202</v>
      </c>
      <c r="D370" s="965"/>
      <c r="E370" s="965"/>
      <c r="F370" s="965"/>
      <c r="G370" s="965"/>
      <c r="H370" s="965"/>
      <c r="I370" s="965"/>
      <c r="J370" s="965"/>
      <c r="K370" s="965"/>
      <c r="L370" s="965"/>
      <c r="M370" s="966"/>
      <c r="N370" s="433">
        <f>+SUM(N364:N369)</f>
        <v>1733.4598176926884</v>
      </c>
      <c r="O370" s="362"/>
    </row>
    <row r="371" spans="1:15" ht="15.75" customHeight="1">
      <c r="A371" s="395"/>
      <c r="B371" s="399"/>
      <c r="C371" s="1129" t="s">
        <v>1203</v>
      </c>
      <c r="D371" s="926"/>
      <c r="E371" s="926"/>
      <c r="F371" s="926"/>
      <c r="G371" s="926"/>
      <c r="H371" s="926"/>
      <c r="I371" s="926"/>
      <c r="J371" s="926"/>
      <c r="K371" s="926"/>
      <c r="L371" s="926"/>
      <c r="M371" s="926"/>
      <c r="N371" s="927"/>
      <c r="O371" s="362"/>
    </row>
    <row r="372" spans="1:15" ht="15.75" customHeight="1">
      <c r="A372" s="395"/>
      <c r="B372" s="399"/>
      <c r="C372" s="920"/>
      <c r="D372" s="922"/>
      <c r="E372" s="922"/>
      <c r="F372" s="922"/>
      <c r="G372" s="922"/>
      <c r="H372" s="922"/>
      <c r="I372" s="922"/>
      <c r="J372" s="922"/>
      <c r="K372" s="922"/>
      <c r="L372" s="922"/>
      <c r="M372" s="922"/>
      <c r="N372" s="924"/>
      <c r="O372" s="362"/>
    </row>
    <row r="373" spans="1:15" ht="15.75" customHeight="1">
      <c r="A373" s="395"/>
      <c r="B373" s="399"/>
      <c r="C373" s="929"/>
      <c r="D373" s="936"/>
      <c r="E373" s="936"/>
      <c r="F373" s="936"/>
      <c r="G373" s="936"/>
      <c r="H373" s="936"/>
      <c r="I373" s="936"/>
      <c r="J373" s="936"/>
      <c r="K373" s="936"/>
      <c r="L373" s="936"/>
      <c r="M373" s="936"/>
      <c r="N373" s="938"/>
      <c r="O373" s="362"/>
    </row>
    <row r="374" spans="1:15" ht="15.75" customHeight="1">
      <c r="A374" s="395"/>
      <c r="B374" s="399"/>
      <c r="C374" s="1201" t="s">
        <v>17</v>
      </c>
      <c r="D374" s="1131"/>
      <c r="E374" s="1131"/>
      <c r="F374" s="1131"/>
      <c r="G374" s="1131"/>
      <c r="H374" s="1131"/>
      <c r="I374" s="1000"/>
      <c r="J374" s="672" t="s">
        <v>1192</v>
      </c>
      <c r="K374" s="670" t="s">
        <v>950</v>
      </c>
      <c r="L374" s="1204" t="s">
        <v>1204</v>
      </c>
      <c r="M374" s="1000"/>
      <c r="N374" s="671" t="s">
        <v>1200</v>
      </c>
      <c r="O374" s="362"/>
    </row>
    <row r="375" spans="1:15" ht="15.75" customHeight="1">
      <c r="A375" s="395">
        <f t="array" ref="A375">IF(C375&lt;&gt;0,INDEX(CodMat,MATCH(C375,Materiales,0),),)</f>
        <v>0</v>
      </c>
      <c r="B375" s="399"/>
      <c r="C375" s="1128"/>
      <c r="D375" s="940"/>
      <c r="E375" s="940"/>
      <c r="F375" s="940"/>
      <c r="G375" s="940"/>
      <c r="H375" s="940"/>
      <c r="I375" s="941"/>
      <c r="J375" s="435" t="str">
        <f t="shared" ref="J375:J382" si="30">IF($A375&gt;0,(VLOOKUP($A375,TablaInsumos,5,FALSE)),"")</f>
        <v/>
      </c>
      <c r="K375" s="673"/>
      <c r="L375" s="1134" t="str">
        <f t="shared" ref="L375:L382" si="31">IF($A375&gt;0,(VLOOKUP($A375,TablaInsumos,7,FALSE)),"")</f>
        <v/>
      </c>
      <c r="M375" s="941"/>
      <c r="N375" s="430" t="str">
        <f t="shared" ref="N375:N382" si="32">IF(K375&gt;0,L375*K375,"")</f>
        <v/>
      </c>
      <c r="O375" s="362"/>
    </row>
    <row r="376" spans="1:15" ht="15.75" customHeight="1">
      <c r="A376" s="395">
        <f t="array" ref="A376">IF(C376&lt;&gt;0,INDEX(CodMat,MATCH(C376,Materiales,0),),)</f>
        <v>0</v>
      </c>
      <c r="B376" s="399"/>
      <c r="C376" s="1128"/>
      <c r="D376" s="940"/>
      <c r="E376" s="940"/>
      <c r="F376" s="940"/>
      <c r="G376" s="940"/>
      <c r="H376" s="940"/>
      <c r="I376" s="941"/>
      <c r="J376" s="435" t="str">
        <f t="shared" si="30"/>
        <v/>
      </c>
      <c r="K376" s="673"/>
      <c r="L376" s="1134" t="str">
        <f t="shared" si="31"/>
        <v/>
      </c>
      <c r="M376" s="941"/>
      <c r="N376" s="430" t="str">
        <f t="shared" si="32"/>
        <v/>
      </c>
      <c r="O376" s="362"/>
    </row>
    <row r="377" spans="1:15" ht="15.75" customHeight="1">
      <c r="A377" s="395">
        <f t="array" ref="A377">IF(C377&lt;&gt;0,INDEX(CodMat,MATCH(C377,Materiales,0),),)</f>
        <v>0</v>
      </c>
      <c r="B377" s="399"/>
      <c r="C377" s="1128"/>
      <c r="D377" s="940"/>
      <c r="E377" s="940"/>
      <c r="F377" s="940"/>
      <c r="G377" s="940"/>
      <c r="H377" s="940"/>
      <c r="I377" s="941"/>
      <c r="J377" s="435" t="str">
        <f t="shared" si="30"/>
        <v/>
      </c>
      <c r="K377" s="673"/>
      <c r="L377" s="1134" t="str">
        <f t="shared" si="31"/>
        <v/>
      </c>
      <c r="M377" s="941"/>
      <c r="N377" s="430" t="str">
        <f t="shared" si="32"/>
        <v/>
      </c>
      <c r="O377" s="362"/>
    </row>
    <row r="378" spans="1:15" ht="15.75" customHeight="1">
      <c r="A378" s="395">
        <f t="array" ref="A378">IF(C378&lt;&gt;0,INDEX(CodMat,MATCH(C378,Materiales,0),),)</f>
        <v>0</v>
      </c>
      <c r="B378" s="399"/>
      <c r="C378" s="1128"/>
      <c r="D378" s="940"/>
      <c r="E378" s="940"/>
      <c r="F378" s="940"/>
      <c r="G378" s="940"/>
      <c r="H378" s="940"/>
      <c r="I378" s="941"/>
      <c r="J378" s="435" t="str">
        <f t="shared" si="30"/>
        <v/>
      </c>
      <c r="K378" s="673"/>
      <c r="L378" s="1134" t="str">
        <f t="shared" si="31"/>
        <v/>
      </c>
      <c r="M378" s="941"/>
      <c r="N378" s="430" t="str">
        <f t="shared" si="32"/>
        <v/>
      </c>
      <c r="O378" s="362"/>
    </row>
    <row r="379" spans="1:15" ht="15.75" customHeight="1">
      <c r="A379" s="395">
        <f t="array" ref="A379">IF(C379&lt;&gt;0,INDEX(CodMat,MATCH(C379,Materiales,0),),)</f>
        <v>0</v>
      </c>
      <c r="B379" s="399"/>
      <c r="C379" s="1128"/>
      <c r="D379" s="940"/>
      <c r="E379" s="940"/>
      <c r="F379" s="940"/>
      <c r="G379" s="940"/>
      <c r="H379" s="940"/>
      <c r="I379" s="941"/>
      <c r="J379" s="435" t="str">
        <f t="shared" si="30"/>
        <v/>
      </c>
      <c r="K379" s="436"/>
      <c r="L379" s="1134" t="str">
        <f t="shared" si="31"/>
        <v/>
      </c>
      <c r="M379" s="941"/>
      <c r="N379" s="430" t="str">
        <f t="shared" si="32"/>
        <v/>
      </c>
      <c r="O379" s="362"/>
    </row>
    <row r="380" spans="1:15" ht="15.75" customHeight="1">
      <c r="A380" s="395">
        <f t="array" ref="A380">IF(C380&lt;&gt;0,INDEX(CodMat,MATCH(C380,Materiales,0),),)</f>
        <v>0</v>
      </c>
      <c r="B380" s="399"/>
      <c r="C380" s="1128"/>
      <c r="D380" s="940"/>
      <c r="E380" s="940"/>
      <c r="F380" s="940"/>
      <c r="G380" s="940"/>
      <c r="H380" s="940"/>
      <c r="I380" s="941"/>
      <c r="J380" s="435" t="str">
        <f t="shared" si="30"/>
        <v/>
      </c>
      <c r="K380" s="436"/>
      <c r="L380" s="1134" t="str">
        <f t="shared" si="31"/>
        <v/>
      </c>
      <c r="M380" s="941"/>
      <c r="N380" s="430" t="str">
        <f t="shared" si="32"/>
        <v/>
      </c>
      <c r="O380" s="362"/>
    </row>
    <row r="381" spans="1:15" ht="15.75" customHeight="1">
      <c r="A381" s="395">
        <f t="array" ref="A381">IF(C381&lt;&gt;0,INDEX(CodMat,MATCH(C381,Materiales,0),),)</f>
        <v>0</v>
      </c>
      <c r="B381" s="399"/>
      <c r="C381" s="1128"/>
      <c r="D381" s="940"/>
      <c r="E381" s="940"/>
      <c r="F381" s="940"/>
      <c r="G381" s="940"/>
      <c r="H381" s="940"/>
      <c r="I381" s="941"/>
      <c r="J381" s="435" t="str">
        <f t="shared" si="30"/>
        <v/>
      </c>
      <c r="K381" s="436"/>
      <c r="L381" s="1134" t="str">
        <f t="shared" si="31"/>
        <v/>
      </c>
      <c r="M381" s="941"/>
      <c r="N381" s="430" t="str">
        <f t="shared" si="32"/>
        <v/>
      </c>
      <c r="O381" s="362"/>
    </row>
    <row r="382" spans="1:15" ht="15.75" customHeight="1">
      <c r="A382" s="395">
        <f t="array" ref="A382">IF(C382&lt;&gt;0,INDEX(CodMat,MATCH(C382,Materiales,0),),)</f>
        <v>0</v>
      </c>
      <c r="B382" s="399"/>
      <c r="C382" s="1128"/>
      <c r="D382" s="940"/>
      <c r="E382" s="940"/>
      <c r="F382" s="940"/>
      <c r="G382" s="940"/>
      <c r="H382" s="940"/>
      <c r="I382" s="941"/>
      <c r="J382" s="435" t="str">
        <f t="shared" si="30"/>
        <v/>
      </c>
      <c r="K382" s="436"/>
      <c r="L382" s="1205" t="str">
        <f t="shared" si="31"/>
        <v/>
      </c>
      <c r="M382" s="1145"/>
      <c r="N382" s="430" t="str">
        <f t="shared" si="32"/>
        <v/>
      </c>
      <c r="O382" s="362"/>
    </row>
    <row r="383" spans="1:15" ht="15.75" customHeight="1">
      <c r="A383" s="395"/>
      <c r="B383" s="399"/>
      <c r="C383" s="1127" t="s">
        <v>1202</v>
      </c>
      <c r="D383" s="965"/>
      <c r="E383" s="965"/>
      <c r="F383" s="965"/>
      <c r="G383" s="965"/>
      <c r="H383" s="965"/>
      <c r="I383" s="965"/>
      <c r="J383" s="965"/>
      <c r="K383" s="965"/>
      <c r="L383" s="965"/>
      <c r="M383" s="966"/>
      <c r="N383" s="433">
        <f>+SUM(N375:N382)</f>
        <v>0</v>
      </c>
      <c r="O383" s="362"/>
    </row>
    <row r="384" spans="1:15" ht="15.75" customHeight="1">
      <c r="A384" s="395"/>
      <c r="B384" s="399"/>
      <c r="C384" s="1129" t="s">
        <v>1208</v>
      </c>
      <c r="D384" s="926"/>
      <c r="E384" s="926"/>
      <c r="F384" s="926"/>
      <c r="G384" s="926"/>
      <c r="H384" s="926"/>
      <c r="I384" s="926"/>
      <c r="J384" s="926"/>
      <c r="K384" s="926"/>
      <c r="L384" s="926"/>
      <c r="M384" s="926"/>
      <c r="N384" s="927"/>
      <c r="O384" s="362"/>
    </row>
    <row r="385" spans="1:15" ht="15.75" customHeight="1">
      <c r="A385" s="395"/>
      <c r="B385" s="399"/>
      <c r="C385" s="920"/>
      <c r="D385" s="922"/>
      <c r="E385" s="922"/>
      <c r="F385" s="922"/>
      <c r="G385" s="922"/>
      <c r="H385" s="922"/>
      <c r="I385" s="922"/>
      <c r="J385" s="922"/>
      <c r="K385" s="922"/>
      <c r="L385" s="922"/>
      <c r="M385" s="922"/>
      <c r="N385" s="924"/>
      <c r="O385" s="362"/>
    </row>
    <row r="386" spans="1:15" ht="15.75" customHeight="1">
      <c r="A386" s="395"/>
      <c r="B386" s="399"/>
      <c r="C386" s="929"/>
      <c r="D386" s="936"/>
      <c r="E386" s="936"/>
      <c r="F386" s="936"/>
      <c r="G386" s="936"/>
      <c r="H386" s="936"/>
      <c r="I386" s="936"/>
      <c r="J386" s="936"/>
      <c r="K386" s="936"/>
      <c r="L386" s="936"/>
      <c r="M386" s="936"/>
      <c r="N386" s="938"/>
      <c r="O386" s="362"/>
    </row>
    <row r="387" spans="1:15" ht="15.75" customHeight="1">
      <c r="A387" s="395"/>
      <c r="B387" s="399"/>
      <c r="C387" s="1201" t="s">
        <v>1209</v>
      </c>
      <c r="D387" s="1131"/>
      <c r="E387" s="1131"/>
      <c r="F387" s="1131"/>
      <c r="G387" s="1131"/>
      <c r="H387" s="1000"/>
      <c r="I387" s="670" t="s">
        <v>1210</v>
      </c>
      <c r="J387" s="674" t="s">
        <v>1211</v>
      </c>
      <c r="K387" s="675" t="s">
        <v>2318</v>
      </c>
      <c r="L387" s="1204" t="s">
        <v>1213</v>
      </c>
      <c r="M387" s="1000"/>
      <c r="N387" s="671" t="s">
        <v>1200</v>
      </c>
      <c r="O387" s="362"/>
    </row>
    <row r="388" spans="1:15" ht="15.75" customHeight="1">
      <c r="A388" s="395">
        <f t="array" ref="A388">IF(C388&lt;&gt;0,INDEX(CodTransporte,MATCH(C388,Transporte,0),),)</f>
        <v>0</v>
      </c>
      <c r="B388" s="399"/>
      <c r="C388" s="1128"/>
      <c r="D388" s="940"/>
      <c r="E388" s="940"/>
      <c r="F388" s="940"/>
      <c r="G388" s="940"/>
      <c r="H388" s="940"/>
      <c r="I388" s="440"/>
      <c r="J388" s="441" t="str">
        <f>IF($A388&gt;0,(VLOOKUP($A388,TablaTransporte,6,FALSE)),"")</f>
        <v/>
      </c>
      <c r="K388" s="442" t="str">
        <f>IF($A388&gt;0,(VLOOKUP($A388,TablaTransporte,5,FALSE)),"")</f>
        <v/>
      </c>
      <c r="L388" s="1134" t="str">
        <f>IF($A388&gt;0,(VLOOKUP($A388,TablaTransporte,7,FALSE)),"")</f>
        <v/>
      </c>
      <c r="M388" s="941"/>
      <c r="N388" s="430" t="str">
        <f t="shared" ref="N388:N392" si="33">IF(I388&gt;0,J388*L388*I388,"")</f>
        <v/>
      </c>
      <c r="O388" s="362"/>
    </row>
    <row r="389" spans="1:15" ht="15.75" customHeight="1">
      <c r="A389" s="395">
        <f t="array" ref="A389">IF(C389&lt;&gt;0,INDEX(CodTransporte,MATCH(C389,Transporte,0),),)</f>
        <v>0</v>
      </c>
      <c r="B389" s="399"/>
      <c r="C389" s="1128"/>
      <c r="D389" s="940"/>
      <c r="E389" s="940"/>
      <c r="F389" s="940"/>
      <c r="G389" s="940"/>
      <c r="H389" s="940"/>
      <c r="I389" s="440"/>
      <c r="J389" s="441" t="str">
        <f>IF($A389&gt;0,(VLOOKUP($A389,TablaTransporte,6,FALSE)),"")</f>
        <v/>
      </c>
      <c r="K389" s="442" t="str">
        <f>IF($A389&gt;0,(VLOOKUP($A389,TablaTransporte,5,FALSE)),"")</f>
        <v/>
      </c>
      <c r="L389" s="1134" t="str">
        <f>IF($A389&gt;0,(VLOOKUP($A389,TablaTransporte,7,FALSE)),"")</f>
        <v/>
      </c>
      <c r="M389" s="941"/>
      <c r="N389" s="430" t="str">
        <f t="shared" si="33"/>
        <v/>
      </c>
      <c r="O389" s="362"/>
    </row>
    <row r="390" spans="1:15" ht="15.75" customHeight="1">
      <c r="A390" s="395">
        <f t="array" ref="A390">IF(C390&lt;&gt;0,INDEX(CodTransporte,MATCH(C390,Transporte,0),),)</f>
        <v>0</v>
      </c>
      <c r="B390" s="399"/>
      <c r="C390" s="1128"/>
      <c r="D390" s="940"/>
      <c r="E390" s="940"/>
      <c r="F390" s="940"/>
      <c r="G390" s="940"/>
      <c r="H390" s="940"/>
      <c r="I390" s="440"/>
      <c r="J390" s="441" t="str">
        <f>IF($A390&gt;0,(VLOOKUP($A390,TablaTransporte,6,FALSE)),"")</f>
        <v/>
      </c>
      <c r="K390" s="442" t="str">
        <f>IF($A390&gt;0,(VLOOKUP($A390,TablaTransporte,5,FALSE)),"")</f>
        <v/>
      </c>
      <c r="L390" s="1134" t="str">
        <f>IF($A390&gt;0,(VLOOKUP($A390,TablaTransporte,7,FALSE)),"")</f>
        <v/>
      </c>
      <c r="M390" s="941"/>
      <c r="N390" s="430" t="str">
        <f t="shared" si="33"/>
        <v/>
      </c>
      <c r="O390" s="362"/>
    </row>
    <row r="391" spans="1:15" ht="15.75" customHeight="1">
      <c r="A391" s="395">
        <f t="array" ref="A391">IF(C391&lt;&gt;0,INDEX(CodTransporte,MATCH(C391,Transporte,0),),)</f>
        <v>0</v>
      </c>
      <c r="B391" s="399"/>
      <c r="C391" s="1128"/>
      <c r="D391" s="940"/>
      <c r="E391" s="940"/>
      <c r="F391" s="940"/>
      <c r="G391" s="940"/>
      <c r="H391" s="940"/>
      <c r="I391" s="440"/>
      <c r="J391" s="441" t="str">
        <f>IF($A391&gt;0,(VLOOKUP($A391,TablaTransporte,6,FALSE)),"")</f>
        <v/>
      </c>
      <c r="K391" s="442" t="str">
        <f>IF($A391&gt;0,(VLOOKUP($A391,TablaTransporte,5,FALSE)),"")</f>
        <v/>
      </c>
      <c r="L391" s="1134" t="str">
        <f>IF($A391&gt;0,(VLOOKUP($A391,TablaTransporte,7,FALSE)),"")</f>
        <v/>
      </c>
      <c r="M391" s="941"/>
      <c r="N391" s="430" t="str">
        <f t="shared" si="33"/>
        <v/>
      </c>
      <c r="O391" s="362"/>
    </row>
    <row r="392" spans="1:15" ht="15.75" customHeight="1">
      <c r="A392" s="395">
        <f t="array" ref="A392">IF(C392&lt;&gt;0,INDEX(CodTransporte,MATCH(C392,Transporte,0),),)</f>
        <v>0</v>
      </c>
      <c r="B392" s="399"/>
      <c r="C392" s="1128"/>
      <c r="D392" s="940"/>
      <c r="E392" s="940"/>
      <c r="F392" s="940"/>
      <c r="G392" s="940"/>
      <c r="H392" s="940"/>
      <c r="I392" s="440"/>
      <c r="J392" s="441" t="str">
        <f>IF($A392&gt;0,(VLOOKUP($A392,TablaTransporte,6,FALSE)),"")</f>
        <v/>
      </c>
      <c r="K392" s="442" t="str">
        <f>IF($A392&gt;0,(VLOOKUP($A392,TablaTransporte,5,FALSE)),"")</f>
        <v/>
      </c>
      <c r="L392" s="1205" t="str">
        <f>IF($A392&gt;0,(VLOOKUP($A392,TablaTransporte,7,FALSE)),"")</f>
        <v/>
      </c>
      <c r="M392" s="1145"/>
      <c r="N392" s="430" t="str">
        <f t="shared" si="33"/>
        <v/>
      </c>
      <c r="O392" s="362"/>
    </row>
    <row r="393" spans="1:15" ht="15.75" customHeight="1">
      <c r="A393" s="395"/>
      <c r="B393" s="399"/>
      <c r="C393" s="1127" t="s">
        <v>1202</v>
      </c>
      <c r="D393" s="965"/>
      <c r="E393" s="965"/>
      <c r="F393" s="965"/>
      <c r="G393" s="965"/>
      <c r="H393" s="965"/>
      <c r="I393" s="965"/>
      <c r="J393" s="965"/>
      <c r="K393" s="965"/>
      <c r="L393" s="965"/>
      <c r="M393" s="966"/>
      <c r="N393" s="433">
        <f>+SUM(N388:N392)</f>
        <v>0</v>
      </c>
      <c r="O393" s="362"/>
    </row>
    <row r="394" spans="1:15" ht="15.75" customHeight="1">
      <c r="A394" s="395"/>
      <c r="B394" s="399"/>
      <c r="C394" s="1129" t="s">
        <v>1214</v>
      </c>
      <c r="D394" s="926"/>
      <c r="E394" s="926"/>
      <c r="F394" s="926"/>
      <c r="G394" s="926"/>
      <c r="H394" s="926"/>
      <c r="I394" s="926"/>
      <c r="J394" s="926"/>
      <c r="K394" s="926"/>
      <c r="L394" s="926"/>
      <c r="M394" s="926"/>
      <c r="N394" s="927"/>
      <c r="O394" s="362"/>
    </row>
    <row r="395" spans="1:15" ht="15.75" customHeight="1">
      <c r="A395" s="395"/>
      <c r="B395" s="399"/>
      <c r="C395" s="920"/>
      <c r="D395" s="922"/>
      <c r="E395" s="922"/>
      <c r="F395" s="922"/>
      <c r="G395" s="922"/>
      <c r="H395" s="922"/>
      <c r="I395" s="922"/>
      <c r="J395" s="922"/>
      <c r="K395" s="922"/>
      <c r="L395" s="922"/>
      <c r="M395" s="922"/>
      <c r="N395" s="924"/>
      <c r="O395" s="362"/>
    </row>
    <row r="396" spans="1:15" ht="15.75" customHeight="1">
      <c r="A396" s="395"/>
      <c r="B396" s="399"/>
      <c r="C396" s="929"/>
      <c r="D396" s="936"/>
      <c r="E396" s="936"/>
      <c r="F396" s="936"/>
      <c r="G396" s="936"/>
      <c r="H396" s="936"/>
      <c r="I396" s="936"/>
      <c r="J396" s="936"/>
      <c r="K396" s="936"/>
      <c r="L396" s="936"/>
      <c r="M396" s="936"/>
      <c r="N396" s="938"/>
      <c r="O396" s="362"/>
    </row>
    <row r="397" spans="1:15" ht="15.75" customHeight="1">
      <c r="A397" s="395"/>
      <c r="B397" s="399"/>
      <c r="C397" s="1201" t="s">
        <v>1215</v>
      </c>
      <c r="D397" s="1131"/>
      <c r="E397" s="1131"/>
      <c r="F397" s="1131"/>
      <c r="G397" s="1131"/>
      <c r="H397" s="1000"/>
      <c r="I397" s="670" t="s">
        <v>1216</v>
      </c>
      <c r="J397" s="676" t="s">
        <v>1217</v>
      </c>
      <c r="K397" s="677" t="s">
        <v>1218</v>
      </c>
      <c r="L397" s="1206" t="s">
        <v>1199</v>
      </c>
      <c r="M397" s="1000"/>
      <c r="N397" s="678" t="s">
        <v>1200</v>
      </c>
      <c r="O397" s="362"/>
    </row>
    <row r="398" spans="1:15" ht="15.75" customHeight="1">
      <c r="A398" s="395" t="str">
        <f t="array" ref="A398">IF(C398&lt;&gt;0,INDEX(CodMO,MATCH(C398,MO,0),),)</f>
        <v>M.O-05</v>
      </c>
      <c r="B398" s="399"/>
      <c r="C398" s="1128" t="s">
        <v>139</v>
      </c>
      <c r="D398" s="940"/>
      <c r="E398" s="940"/>
      <c r="F398" s="940"/>
      <c r="G398" s="940"/>
      <c r="H398" s="940"/>
      <c r="I398" s="447">
        <f>IF($A398&gt;0,(VLOOKUP($A398,TablaMO,8,FALSE)),"")</f>
        <v>125030.16666666667</v>
      </c>
      <c r="J398" s="448">
        <f>IF($A398&gt;0,(VLOOKUP($A398,TablaMO,10,FALSE)),"")</f>
        <v>0.67071666666666663</v>
      </c>
      <c r="K398" s="447">
        <f>IF($A398&gt;0,(VLOOKUP($A398,TablaMO,11,FALSE)),"")</f>
        <v>208890</v>
      </c>
      <c r="L398" s="1146">
        <v>9.519170754107062</v>
      </c>
      <c r="M398" s="941"/>
      <c r="N398" s="430">
        <f t="shared" ref="N398:N402" si="34">IF(L398&gt;0,K398/L398,"")</f>
        <v>21944.138349432807</v>
      </c>
      <c r="O398" s="362"/>
    </row>
    <row r="399" spans="1:15" ht="15.75" customHeight="1">
      <c r="A399" s="395" t="str">
        <f t="array" ref="A399">IF(C399&lt;&gt;0,INDEX(CodMO,MATCH(C399,MO,0),),)</f>
        <v>M.O-01</v>
      </c>
      <c r="B399" s="399"/>
      <c r="C399" s="1128" t="s">
        <v>130</v>
      </c>
      <c r="D399" s="940"/>
      <c r="E399" s="940"/>
      <c r="F399" s="940"/>
      <c r="G399" s="940"/>
      <c r="H399" s="940"/>
      <c r="I399" s="447">
        <f>IF($A399&gt;0,(VLOOKUP($A399,TablaMO,8,FALSE)),"")</f>
        <v>72503.016666666677</v>
      </c>
      <c r="J399" s="448">
        <f>IF($A399&gt;0,(VLOOKUP($A399,TablaMO,10,FALSE)),"")</f>
        <v>0.67071666666666663</v>
      </c>
      <c r="K399" s="447">
        <f>IF($A399&gt;0,(VLOOKUP($A399,TablaMO,11,FALSE)),"")</f>
        <v>121132</v>
      </c>
      <c r="L399" s="1146">
        <f>L398</f>
        <v>9.519170754107062</v>
      </c>
      <c r="M399" s="941"/>
      <c r="N399" s="430">
        <f t="shared" si="34"/>
        <v>12725.058004420962</v>
      </c>
      <c r="O399" s="362"/>
    </row>
    <row r="400" spans="1:15" ht="15.75" customHeight="1">
      <c r="A400" s="395">
        <f t="array" ref="A400">IF(C400&lt;&gt;0,INDEX(CodMO,MATCH(C400,MO,0),),)</f>
        <v>0</v>
      </c>
      <c r="B400" s="399"/>
      <c r="C400" s="1128"/>
      <c r="D400" s="940"/>
      <c r="E400" s="940"/>
      <c r="F400" s="940"/>
      <c r="G400" s="940"/>
      <c r="H400" s="940"/>
      <c r="I400" s="447" t="str">
        <f>IF($A400&gt;0,(VLOOKUP($A400,TablaMO,8,FALSE)),"")</f>
        <v/>
      </c>
      <c r="J400" s="448" t="str">
        <f>IF($A400&gt;0,(VLOOKUP($A400,TablaMO,10,FALSE)),"")</f>
        <v/>
      </c>
      <c r="K400" s="447" t="str">
        <f>IF($A400&gt;0,(VLOOKUP($A400,TablaMO,11,FALSE)),"")</f>
        <v/>
      </c>
      <c r="L400" s="1146"/>
      <c r="M400" s="941"/>
      <c r="N400" s="430" t="str">
        <f t="shared" si="34"/>
        <v/>
      </c>
      <c r="O400" s="362"/>
    </row>
    <row r="401" spans="1:18" ht="15.75" customHeight="1">
      <c r="A401" s="395">
        <f t="array" ref="A401">IF(C401&lt;&gt;0,INDEX(CodMO,MATCH(C401,MO,0),),)</f>
        <v>0</v>
      </c>
      <c r="B401" s="399"/>
      <c r="C401" s="1128"/>
      <c r="D401" s="940"/>
      <c r="E401" s="940"/>
      <c r="F401" s="940"/>
      <c r="G401" s="940"/>
      <c r="H401" s="940"/>
      <c r="I401" s="447" t="str">
        <f>IF($A401&gt;0,(VLOOKUP($A401,TablaMO,8,FALSE)),"")</f>
        <v/>
      </c>
      <c r="J401" s="448" t="str">
        <f>IF($A401&gt;0,(VLOOKUP($A401,TablaMO,10,FALSE)),"")</f>
        <v/>
      </c>
      <c r="K401" s="447" t="str">
        <f>IF($A401&gt;0,(VLOOKUP($A401,TablaMO,11,FALSE)),"")</f>
        <v/>
      </c>
      <c r="L401" s="1146"/>
      <c r="M401" s="941"/>
      <c r="N401" s="430" t="str">
        <f t="shared" si="34"/>
        <v/>
      </c>
      <c r="O401" s="362"/>
    </row>
    <row r="402" spans="1:18" ht="15.75" customHeight="1">
      <c r="A402" s="395">
        <f t="array" ref="A402">IF(C402&lt;&gt;0,INDEX(CodMO,MATCH(C402,MO,0),),)</f>
        <v>0</v>
      </c>
      <c r="B402" s="399"/>
      <c r="C402" s="1128"/>
      <c r="D402" s="940"/>
      <c r="E402" s="940"/>
      <c r="F402" s="940"/>
      <c r="G402" s="940"/>
      <c r="H402" s="940"/>
      <c r="I402" s="447" t="str">
        <f>IF($A402&gt;0,(VLOOKUP($A402,TablaMO,8,FALSE)),"")</f>
        <v/>
      </c>
      <c r="J402" s="448" t="str">
        <f>IF($A402&gt;0,(VLOOKUP($A402,TablaMO,10,FALSE)),"")</f>
        <v/>
      </c>
      <c r="K402" s="447" t="str">
        <f>IF($A402&gt;0,(VLOOKUP($A402,TablaMO,11,FALSE)),"")</f>
        <v/>
      </c>
      <c r="L402" s="1146"/>
      <c r="M402" s="941"/>
      <c r="N402" s="430" t="str">
        <f t="shared" si="34"/>
        <v/>
      </c>
      <c r="O402" s="362"/>
    </row>
    <row r="403" spans="1:18" ht="15.75" customHeight="1">
      <c r="A403" s="395"/>
      <c r="B403" s="399"/>
      <c r="C403" s="1127" t="s">
        <v>1202</v>
      </c>
      <c r="D403" s="965"/>
      <c r="E403" s="965"/>
      <c r="F403" s="965"/>
      <c r="G403" s="965"/>
      <c r="H403" s="965"/>
      <c r="I403" s="965"/>
      <c r="J403" s="965"/>
      <c r="K403" s="965"/>
      <c r="L403" s="965"/>
      <c r="M403" s="966"/>
      <c r="N403" s="433">
        <f>+SUM(N398:N402)</f>
        <v>34669.196353853768</v>
      </c>
      <c r="O403" s="362"/>
    </row>
    <row r="404" spans="1:18" ht="15.75" customHeight="1">
      <c r="B404" s="679"/>
      <c r="O404" s="362"/>
    </row>
    <row r="405" spans="1:18" ht="15.75" customHeight="1">
      <c r="B405" s="679"/>
      <c r="C405" s="1198" t="s">
        <v>1219</v>
      </c>
      <c r="D405" s="965"/>
      <c r="E405" s="965"/>
      <c r="F405" s="965"/>
      <c r="G405" s="965"/>
      <c r="H405" s="965"/>
      <c r="I405" s="965"/>
      <c r="J405" s="965"/>
      <c r="K405" s="965"/>
      <c r="L405" s="965"/>
      <c r="M405" s="966"/>
      <c r="N405" s="680">
        <f>ROUND(SUM(N403,N393,N383,N370),0)</f>
        <v>36403</v>
      </c>
      <c r="O405" s="362"/>
      <c r="Q405" s="681">
        <f>VLOOKUP(C359,PROPUESTASASERCO,8,FALSE)</f>
        <v>36403</v>
      </c>
      <c r="R405" s="682">
        <f>Q405-N405</f>
        <v>0</v>
      </c>
    </row>
    <row r="406" spans="1:18" ht="15.75" customHeight="1">
      <c r="B406" s="679"/>
      <c r="C406" s="1129" t="s">
        <v>1220</v>
      </c>
      <c r="D406" s="926"/>
      <c r="E406" s="926"/>
      <c r="F406" s="926"/>
      <c r="G406" s="926"/>
      <c r="H406" s="926"/>
      <c r="I406" s="926"/>
      <c r="J406" s="926"/>
      <c r="K406" s="926"/>
      <c r="L406" s="926"/>
      <c r="M406" s="926"/>
      <c r="N406" s="927"/>
      <c r="O406" s="362"/>
    </row>
    <row r="407" spans="1:18" ht="15.75" customHeight="1">
      <c r="B407" s="679"/>
      <c r="C407" s="920"/>
      <c r="D407" s="922"/>
      <c r="E407" s="922"/>
      <c r="F407" s="922"/>
      <c r="G407" s="922"/>
      <c r="H407" s="922"/>
      <c r="I407" s="922"/>
      <c r="J407" s="922"/>
      <c r="K407" s="922"/>
      <c r="L407" s="922"/>
      <c r="M407" s="922"/>
      <c r="N407" s="924"/>
      <c r="O407" s="362"/>
    </row>
    <row r="408" spans="1:18" ht="15.75" customHeight="1">
      <c r="B408" s="679"/>
      <c r="C408" s="929"/>
      <c r="D408" s="936"/>
      <c r="E408" s="936"/>
      <c r="F408" s="936"/>
      <c r="G408" s="936"/>
      <c r="H408" s="936"/>
      <c r="I408" s="936"/>
      <c r="J408" s="936"/>
      <c r="K408" s="936"/>
      <c r="L408" s="936"/>
      <c r="M408" s="936"/>
      <c r="N408" s="938"/>
      <c r="O408" s="362"/>
    </row>
    <row r="409" spans="1:18" ht="15.75" customHeight="1">
      <c r="B409" s="679"/>
      <c r="C409" s="1201" t="s">
        <v>1221</v>
      </c>
      <c r="D409" s="1131"/>
      <c r="E409" s="1131"/>
      <c r="F409" s="1131"/>
      <c r="G409" s="1131"/>
      <c r="H409" s="1132"/>
      <c r="I409" s="674"/>
      <c r="J409" s="674"/>
      <c r="K409" s="674"/>
      <c r="L409" s="1206" t="s">
        <v>1222</v>
      </c>
      <c r="M409" s="1000"/>
      <c r="N409" s="678" t="s">
        <v>1223</v>
      </c>
      <c r="O409" s="362"/>
    </row>
    <row r="410" spans="1:18" ht="15.75" customHeight="1">
      <c r="B410" s="679"/>
      <c r="C410" s="1128" t="s">
        <v>19</v>
      </c>
      <c r="D410" s="940"/>
      <c r="E410" s="940"/>
      <c r="F410" s="940"/>
      <c r="G410" s="940"/>
      <c r="H410" s="940"/>
      <c r="I410" s="452"/>
      <c r="J410" s="452"/>
      <c r="K410" s="452"/>
      <c r="L410" s="1148">
        <f>+Datos!$E$18</f>
        <v>0.25</v>
      </c>
      <c r="M410" s="941"/>
      <c r="N410" s="430">
        <f>+L410*N405</f>
        <v>9100.75</v>
      </c>
      <c r="O410" s="362"/>
    </row>
    <row r="411" spans="1:18" ht="15.75" customHeight="1">
      <c r="B411" s="679"/>
      <c r="C411" s="454" t="s">
        <v>20</v>
      </c>
      <c r="D411" s="455"/>
      <c r="E411" s="455"/>
      <c r="F411" s="455"/>
      <c r="G411" s="455"/>
      <c r="H411" s="455"/>
      <c r="I411" s="452"/>
      <c r="J411" s="452"/>
      <c r="K411" s="452"/>
      <c r="L411" s="1148">
        <f>+Datos!$E$19</f>
        <v>0.01</v>
      </c>
      <c r="M411" s="941"/>
      <c r="N411" s="430">
        <f>+L411*N405</f>
        <v>364.03000000000003</v>
      </c>
      <c r="O411" s="362"/>
    </row>
    <row r="412" spans="1:18" ht="15.75" customHeight="1">
      <c r="B412" s="679"/>
      <c r="C412" s="456" t="s">
        <v>21</v>
      </c>
      <c r="D412" s="457"/>
      <c r="E412" s="457"/>
      <c r="F412" s="457"/>
      <c r="G412" s="457"/>
      <c r="H412" s="457"/>
      <c r="I412" s="458"/>
      <c r="J412" s="458"/>
      <c r="K412" s="458"/>
      <c r="L412" s="1148">
        <f>+Datos!$E$20</f>
        <v>0.05</v>
      </c>
      <c r="M412" s="941"/>
      <c r="N412" s="430">
        <f>+L412*N405</f>
        <v>1820.15</v>
      </c>
      <c r="O412" s="362"/>
    </row>
    <row r="413" spans="1:18" ht="15.75" customHeight="1">
      <c r="B413" s="679"/>
      <c r="C413" s="1127" t="s">
        <v>1202</v>
      </c>
      <c r="D413" s="965"/>
      <c r="E413" s="965"/>
      <c r="F413" s="965"/>
      <c r="G413" s="965"/>
      <c r="H413" s="965"/>
      <c r="I413" s="965"/>
      <c r="J413" s="965"/>
      <c r="K413" s="965"/>
      <c r="L413" s="965"/>
      <c r="M413" s="966"/>
      <c r="N413" s="433">
        <f>+SUM(N410:N412)</f>
        <v>11284.93</v>
      </c>
      <c r="O413" s="362"/>
    </row>
    <row r="414" spans="1:18" ht="15.75" customHeight="1">
      <c r="B414" s="679"/>
      <c r="C414" s="418"/>
      <c r="D414" s="39"/>
      <c r="E414" s="39"/>
      <c r="F414" s="39"/>
      <c r="G414" s="39"/>
      <c r="H414" s="39"/>
      <c r="I414" s="39"/>
      <c r="J414" s="39"/>
      <c r="K414" s="39"/>
      <c r="L414" s="39"/>
      <c r="M414" s="39"/>
      <c r="N414" s="40"/>
      <c r="O414" s="362"/>
    </row>
    <row r="415" spans="1:18" ht="15.75" customHeight="1">
      <c r="B415" s="679"/>
      <c r="C415" s="1198" t="s">
        <v>1224</v>
      </c>
      <c r="D415" s="965"/>
      <c r="E415" s="965"/>
      <c r="F415" s="965"/>
      <c r="G415" s="965"/>
      <c r="H415" s="965"/>
      <c r="I415" s="965"/>
      <c r="J415" s="965"/>
      <c r="K415" s="965"/>
      <c r="L415" s="965"/>
      <c r="M415" s="966"/>
      <c r="N415" s="683">
        <f>+ROUND(SUM(N413,N405),0)</f>
        <v>47688</v>
      </c>
      <c r="O415" s="362"/>
    </row>
    <row r="416" spans="1:18" ht="15.75" customHeight="1">
      <c r="B416" s="679"/>
      <c r="C416" s="418"/>
      <c r="D416" s="39" t="s">
        <v>1225</v>
      </c>
      <c r="E416" s="39"/>
      <c r="F416" s="39"/>
      <c r="G416" s="184"/>
      <c r="H416" s="184"/>
      <c r="I416" s="184"/>
      <c r="J416" s="39" t="s">
        <v>1225</v>
      </c>
      <c r="K416" s="39"/>
      <c r="L416" s="39"/>
      <c r="M416" s="39"/>
      <c r="N416" s="40"/>
      <c r="O416" s="362"/>
    </row>
    <row r="417" spans="1:15" ht="15.75" customHeight="1">
      <c r="B417" s="679"/>
      <c r="C417" s="418"/>
      <c r="D417" s="39" t="s">
        <v>1226</v>
      </c>
      <c r="E417" s="39"/>
      <c r="F417" s="39"/>
      <c r="G417" s="184"/>
      <c r="H417" s="184"/>
      <c r="I417" s="184"/>
      <c r="J417" s="39" t="s">
        <v>1227</v>
      </c>
      <c r="K417" s="39"/>
      <c r="L417" s="39"/>
      <c r="M417" s="39"/>
      <c r="N417" s="40"/>
      <c r="O417" s="362"/>
    </row>
    <row r="418" spans="1:15" ht="15.75" customHeight="1">
      <c r="B418" s="679"/>
      <c r="C418" s="404"/>
      <c r="D418" s="39" t="s">
        <v>1228</v>
      </c>
      <c r="E418" s="42"/>
      <c r="F418" s="42"/>
      <c r="G418" s="184"/>
      <c r="H418" s="184"/>
      <c r="I418" s="184"/>
      <c r="J418" s="39" t="s">
        <v>1228</v>
      </c>
      <c r="K418" s="42"/>
      <c r="L418" s="42"/>
      <c r="M418" s="42"/>
      <c r="N418" s="43"/>
      <c r="O418" s="362"/>
    </row>
    <row r="419" spans="1:15" ht="15.75" customHeight="1">
      <c r="B419" s="679"/>
      <c r="C419" s="418"/>
      <c r="D419" s="39"/>
      <c r="E419" s="39"/>
      <c r="F419" s="39"/>
      <c r="G419" s="39" t="s">
        <v>1229</v>
      </c>
      <c r="H419" s="39"/>
      <c r="I419" s="39"/>
      <c r="J419" s="39"/>
      <c r="K419" s="39"/>
      <c r="L419" s="39"/>
      <c r="M419" s="39"/>
      <c r="N419" s="40"/>
      <c r="O419" s="362"/>
    </row>
    <row r="420" spans="1:15" ht="15.75" customHeight="1">
      <c r="B420" s="679"/>
      <c r="C420" s="466"/>
      <c r="D420" s="467"/>
      <c r="E420" s="467"/>
      <c r="F420" s="39"/>
      <c r="G420" s="39"/>
      <c r="H420" s="39"/>
      <c r="I420" s="39"/>
      <c r="J420" s="1149"/>
      <c r="K420" s="922"/>
      <c r="L420" s="922"/>
      <c r="M420" s="922"/>
      <c r="N420" s="924"/>
      <c r="O420" s="362"/>
    </row>
    <row r="421" spans="1:15" ht="15.75" customHeight="1">
      <c r="B421" s="679"/>
      <c r="C421" s="1150"/>
      <c r="D421" s="936"/>
      <c r="E421" s="936"/>
      <c r="F421" s="416"/>
      <c r="G421" s="416"/>
      <c r="H421" s="416"/>
      <c r="I421" s="416"/>
      <c r="J421" s="936"/>
      <c r="K421" s="936"/>
      <c r="L421" s="936"/>
      <c r="M421" s="936"/>
      <c r="N421" s="938"/>
      <c r="O421" s="362"/>
    </row>
    <row r="422" spans="1:15" ht="15.75" customHeight="1">
      <c r="B422" s="684"/>
      <c r="C422" s="685"/>
      <c r="D422" s="685"/>
      <c r="E422" s="685"/>
      <c r="F422" s="685"/>
      <c r="G422" s="685"/>
      <c r="H422" s="685"/>
      <c r="I422" s="685"/>
      <c r="J422" s="685"/>
      <c r="K422" s="685"/>
      <c r="L422" s="685"/>
      <c r="M422" s="685"/>
      <c r="N422" s="685"/>
      <c r="O422" s="686"/>
    </row>
    <row r="423" spans="1:15" ht="15.75" customHeight="1"/>
    <row r="424" spans="1:15" ht="15.75" customHeight="1"/>
    <row r="425" spans="1:15" ht="15.75" customHeight="1"/>
    <row r="426" spans="1:15" ht="15.75" customHeight="1"/>
    <row r="427" spans="1:15" ht="15.75" customHeight="1">
      <c r="A427" s="395" t="s">
        <v>941</v>
      </c>
      <c r="B427" s="184"/>
      <c r="C427" s="184"/>
      <c r="D427" s="184"/>
      <c r="E427" s="184"/>
      <c r="F427" s="184"/>
      <c r="G427" s="184"/>
      <c r="H427" s="184"/>
      <c r="I427" s="184"/>
      <c r="J427" s="184"/>
      <c r="K427" s="184"/>
      <c r="L427" s="184"/>
      <c r="M427" s="184"/>
      <c r="N427" s="184"/>
    </row>
    <row r="428" spans="1:15" ht="15.75" customHeight="1">
      <c r="A428" s="395"/>
      <c r="B428" s="396"/>
      <c r="C428" s="397"/>
      <c r="D428" s="397"/>
      <c r="E428" s="397"/>
      <c r="F428" s="397"/>
      <c r="G428" s="397"/>
      <c r="H428" s="397"/>
      <c r="I428" s="397"/>
      <c r="J428" s="397"/>
      <c r="K428" s="397"/>
      <c r="L428" s="397"/>
      <c r="M428" s="397"/>
      <c r="N428" s="397"/>
      <c r="O428" s="667"/>
    </row>
    <row r="429" spans="1:15" ht="15.75" customHeight="1">
      <c r="A429" s="395"/>
      <c r="B429" s="399"/>
      <c r="C429" s="1124"/>
      <c r="D429" s="927"/>
      <c r="E429" s="1207" t="str">
        <f>Datos!$C$9</f>
        <v>CONSEJO SUPERIOR  DE  JUDICATURA– DIRECCIÓN  EJECUTIVA  SECCIONAL  DE ADMINISTRACIÓN JUDICIAL DE BUCARAMANGA</v>
      </c>
      <c r="F429" s="926"/>
      <c r="G429" s="926"/>
      <c r="H429" s="926"/>
      <c r="I429" s="926"/>
      <c r="J429" s="926"/>
      <c r="K429" s="927"/>
      <c r="L429" s="925" t="s">
        <v>1</v>
      </c>
      <c r="M429" s="931"/>
      <c r="N429" s="933">
        <v>1</v>
      </c>
      <c r="O429" s="362"/>
    </row>
    <row r="430" spans="1:15" ht="15.75" customHeight="1">
      <c r="A430" s="395"/>
      <c r="B430" s="399"/>
      <c r="C430" s="920"/>
      <c r="D430" s="924"/>
      <c r="E430" s="920"/>
      <c r="F430" s="922"/>
      <c r="G430" s="922"/>
      <c r="H430" s="922"/>
      <c r="I430" s="922"/>
      <c r="J430" s="922"/>
      <c r="K430" s="924"/>
      <c r="L430" s="920"/>
      <c r="M430" s="932"/>
      <c r="N430" s="934"/>
      <c r="O430" s="362"/>
    </row>
    <row r="431" spans="1:15" ht="15.75" customHeight="1">
      <c r="A431" s="395"/>
      <c r="B431" s="399"/>
      <c r="C431" s="920"/>
      <c r="D431" s="924"/>
      <c r="E431" s="919" t="str">
        <f>Datos!$C$13</f>
        <v xml:space="preserve">BGA - 030 - 2026 </v>
      </c>
      <c r="F431" s="922"/>
      <c r="G431" s="922"/>
      <c r="H431" s="922"/>
      <c r="I431" s="922"/>
      <c r="J431" s="922"/>
      <c r="K431" s="922"/>
      <c r="L431" s="925" t="s">
        <v>29</v>
      </c>
      <c r="M431" s="926"/>
      <c r="N431" s="927"/>
      <c r="O431" s="362"/>
    </row>
    <row r="432" spans="1:15" ht="15.75" customHeight="1">
      <c r="A432" s="395"/>
      <c r="B432" s="399"/>
      <c r="C432" s="920"/>
      <c r="D432" s="924"/>
      <c r="E43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32" s="922"/>
      <c r="G432" s="922"/>
      <c r="H432" s="922"/>
      <c r="I432" s="922"/>
      <c r="J432" s="922"/>
      <c r="K432" s="924"/>
      <c r="L432" s="919">
        <v>1</v>
      </c>
      <c r="M432" s="921" t="s">
        <v>30</v>
      </c>
      <c r="N432" s="923">
        <v>1</v>
      </c>
      <c r="O432" s="362"/>
    </row>
    <row r="433" spans="1:15" ht="15.75" customHeight="1">
      <c r="A433" s="395"/>
      <c r="B433" s="399"/>
      <c r="C433" s="920"/>
      <c r="D433" s="924"/>
      <c r="E433" s="920"/>
      <c r="F433" s="922"/>
      <c r="G433" s="922"/>
      <c r="H433" s="922"/>
      <c r="I433" s="922"/>
      <c r="J433" s="922"/>
      <c r="K433" s="924"/>
      <c r="L433" s="920"/>
      <c r="M433" s="922"/>
      <c r="N433" s="924"/>
      <c r="O433" s="362"/>
    </row>
    <row r="434" spans="1:15" ht="15.75" customHeight="1">
      <c r="A434" s="395"/>
      <c r="B434" s="399"/>
      <c r="C434" s="920"/>
      <c r="D434" s="924"/>
      <c r="E434" s="920"/>
      <c r="F434" s="922"/>
      <c r="G434" s="922"/>
      <c r="H434" s="922"/>
      <c r="I434" s="922"/>
      <c r="J434" s="922"/>
      <c r="K434" s="924"/>
      <c r="L434" s="925" t="s">
        <v>2</v>
      </c>
      <c r="M434" s="926"/>
      <c r="N434" s="927"/>
      <c r="O434" s="362"/>
    </row>
    <row r="435" spans="1:15" ht="15.75" customHeight="1">
      <c r="A435" s="395"/>
      <c r="B435" s="399"/>
      <c r="C435" s="920"/>
      <c r="D435" s="924"/>
      <c r="E435" s="407"/>
      <c r="F435" s="216"/>
      <c r="G435" s="216"/>
      <c r="H435" s="216"/>
      <c r="I435" s="216"/>
      <c r="J435" s="216"/>
      <c r="K435" s="216"/>
      <c r="L435" s="408" t="s">
        <v>3</v>
      </c>
      <c r="M435" s="409" t="s">
        <v>4</v>
      </c>
      <c r="N435" s="410" t="s">
        <v>5</v>
      </c>
      <c r="O435" s="362"/>
    </row>
    <row r="436" spans="1:15" ht="15.75" customHeight="1">
      <c r="A436" s="395"/>
      <c r="B436" s="399"/>
      <c r="C436" s="920"/>
      <c r="D436" s="924"/>
      <c r="E436" s="1125" t="s">
        <v>1186</v>
      </c>
      <c r="F436" s="945"/>
      <c r="G436" s="945"/>
      <c r="H436" s="945"/>
      <c r="I436" s="945"/>
      <c r="J436" s="945"/>
      <c r="K436" s="945"/>
      <c r="L436" s="928">
        <f>Datos!$C$7</f>
        <v>19</v>
      </c>
      <c r="M436" s="935">
        <f>Datos!$D$7</f>
        <v>6</v>
      </c>
      <c r="N436" s="937">
        <f>Datos!$E$7</f>
        <v>2026</v>
      </c>
      <c r="O436" s="362"/>
    </row>
    <row r="437" spans="1:15" ht="15.75" customHeight="1">
      <c r="A437" s="395"/>
      <c r="B437" s="399"/>
      <c r="C437" s="929"/>
      <c r="D437" s="938"/>
      <c r="E437" s="929"/>
      <c r="F437" s="936"/>
      <c r="G437" s="936"/>
      <c r="H437" s="936"/>
      <c r="I437" s="936"/>
      <c r="J437" s="936"/>
      <c r="K437" s="936"/>
      <c r="L437" s="929"/>
      <c r="M437" s="936"/>
      <c r="N437" s="938"/>
      <c r="O437" s="362"/>
    </row>
    <row r="438" spans="1:15" ht="15.75" customHeight="1">
      <c r="A438" s="395"/>
      <c r="B438" s="399"/>
      <c r="C438" s="404"/>
      <c r="D438" s="38"/>
      <c r="E438" s="38"/>
      <c r="F438" s="38"/>
      <c r="G438" s="38"/>
      <c r="H438" s="38"/>
      <c r="I438" s="38"/>
      <c r="J438" s="38"/>
      <c r="K438" s="38"/>
      <c r="L438" s="39"/>
      <c r="M438" s="39"/>
      <c r="N438" s="40"/>
      <c r="O438" s="362"/>
    </row>
    <row r="439" spans="1:15" ht="15.75" customHeight="1">
      <c r="A439" s="395"/>
      <c r="B439" s="399"/>
      <c r="C439" s="412" t="s">
        <v>1187</v>
      </c>
      <c r="D439" s="1199" t="str">
        <f>VLOOKUP(C444,ListaAct,2,0)</f>
        <v>OBRA CIVIL</v>
      </c>
      <c r="E439" s="922"/>
      <c r="F439" s="922"/>
      <c r="G439" s="922"/>
      <c r="H439" s="922"/>
      <c r="I439" s="922"/>
      <c r="J439" s="922"/>
      <c r="K439" s="922"/>
      <c r="L439" s="922"/>
      <c r="M439" s="1"/>
      <c r="N439" s="413"/>
      <c r="O439" s="362"/>
    </row>
    <row r="440" spans="1:15" ht="15.75" customHeight="1">
      <c r="A440" s="395"/>
      <c r="B440" s="399"/>
      <c r="C440" s="412" t="s">
        <v>1189</v>
      </c>
      <c r="D440" s="1199" t="str">
        <f>VLOOKUP(C444,ListaAct,3,0)</f>
        <v>DEMOLICIONES, DESCAPOTES Y RETIROS</v>
      </c>
      <c r="E440" s="922"/>
      <c r="F440" s="922"/>
      <c r="G440" s="922"/>
      <c r="H440" s="922"/>
      <c r="I440" s="922"/>
      <c r="J440" s="922"/>
      <c r="K440" s="922"/>
      <c r="L440" s="922"/>
      <c r="M440" s="1"/>
      <c r="N440" s="413"/>
      <c r="O440" s="362"/>
    </row>
    <row r="441" spans="1:15" ht="15.75" customHeight="1">
      <c r="A441" s="395"/>
      <c r="B441" s="399"/>
      <c r="C441" s="925" t="s">
        <v>1191</v>
      </c>
      <c r="D441" s="926"/>
      <c r="E441" s="926"/>
      <c r="F441" s="926"/>
      <c r="G441" s="926"/>
      <c r="H441" s="926"/>
      <c r="I441" s="926"/>
      <c r="J441" s="926"/>
      <c r="K441" s="926"/>
      <c r="L441" s="926"/>
      <c r="M441" s="926"/>
      <c r="N441" s="927"/>
      <c r="O441" s="362"/>
    </row>
    <row r="442" spans="1:15" ht="15.75" customHeight="1">
      <c r="A442" s="395"/>
      <c r="B442" s="399"/>
      <c r="C442" s="418"/>
      <c r="D442" s="39"/>
      <c r="E442" s="39"/>
      <c r="F442" s="39"/>
      <c r="G442" s="39"/>
      <c r="H442" s="39"/>
      <c r="I442" s="39"/>
      <c r="J442" s="39"/>
      <c r="K442" s="39"/>
      <c r="L442" s="39"/>
      <c r="M442" s="39"/>
      <c r="N442" s="40"/>
      <c r="O442" s="362"/>
    </row>
    <row r="443" spans="1:15" ht="15.75" customHeight="1">
      <c r="A443" s="395"/>
      <c r="B443" s="399"/>
      <c r="C443" s="668" t="s">
        <v>965</v>
      </c>
      <c r="D443" s="1200" t="s">
        <v>17</v>
      </c>
      <c r="E443" s="1131"/>
      <c r="F443" s="1131"/>
      <c r="G443" s="1131"/>
      <c r="H443" s="1131"/>
      <c r="I443" s="1131"/>
      <c r="J443" s="1131"/>
      <c r="K443" s="1137"/>
      <c r="L443" s="1201" t="s">
        <v>1192</v>
      </c>
      <c r="M443" s="1137"/>
      <c r="N443" s="668" t="s">
        <v>950</v>
      </c>
      <c r="O443" s="362"/>
    </row>
    <row r="444" spans="1:15" ht="15.75" customHeight="1">
      <c r="A444" s="395"/>
      <c r="B444" s="421"/>
      <c r="C444" s="669" t="s">
        <v>995</v>
      </c>
      <c r="D444" s="1202" t="str">
        <f>IF($C444&gt;0,(VLOOKUP($C444,ListaAct,4,FALSE)),"")</f>
        <v xml:space="preserve"> Retiro de maleza en la zona norte del juzgado. </v>
      </c>
      <c r="E444" s="979"/>
      <c r="F444" s="979"/>
      <c r="G444" s="979"/>
      <c r="H444" s="979"/>
      <c r="I444" s="979"/>
      <c r="J444" s="979"/>
      <c r="K444" s="980"/>
      <c r="L444" s="1203" t="str">
        <f>IF($C444&gt;0,(VLOOKUP($C444,ListaAct,5,FALSE)),"")</f>
        <v>m2</v>
      </c>
      <c r="M444" s="980"/>
      <c r="N444" s="423">
        <f>IF($C444&gt;0,(VLOOKUP($C444,ListaAct,6,FALSE)),"")</f>
        <v>8.5</v>
      </c>
      <c r="O444" s="362"/>
    </row>
    <row r="445" spans="1:15" ht="15.75" customHeight="1">
      <c r="A445" s="395"/>
      <c r="B445" s="399"/>
      <c r="C445" s="1129" t="s">
        <v>1195</v>
      </c>
      <c r="D445" s="926"/>
      <c r="E445" s="926"/>
      <c r="F445" s="926"/>
      <c r="G445" s="926"/>
      <c r="H445" s="926"/>
      <c r="I445" s="926"/>
      <c r="J445" s="926"/>
      <c r="K445" s="926"/>
      <c r="L445" s="926"/>
      <c r="M445" s="926"/>
      <c r="N445" s="927"/>
      <c r="O445" s="362"/>
    </row>
    <row r="446" spans="1:15" ht="15.75" customHeight="1">
      <c r="A446" s="395"/>
      <c r="B446" s="399"/>
      <c r="C446" s="920"/>
      <c r="D446" s="922"/>
      <c r="E446" s="922"/>
      <c r="F446" s="922"/>
      <c r="G446" s="922"/>
      <c r="H446" s="922"/>
      <c r="I446" s="922"/>
      <c r="J446" s="922"/>
      <c r="K446" s="922"/>
      <c r="L446" s="922"/>
      <c r="M446" s="922"/>
      <c r="N446" s="924"/>
      <c r="O446" s="362"/>
    </row>
    <row r="447" spans="1:15" ht="15.75" customHeight="1">
      <c r="A447" s="395"/>
      <c r="B447" s="399"/>
      <c r="C447" s="929"/>
      <c r="D447" s="936"/>
      <c r="E447" s="936"/>
      <c r="F447" s="936"/>
      <c r="G447" s="936"/>
      <c r="H447" s="936"/>
      <c r="I447" s="936"/>
      <c r="J447" s="936"/>
      <c r="K447" s="936"/>
      <c r="L447" s="936"/>
      <c r="M447" s="936"/>
      <c r="N447" s="938"/>
      <c r="O447" s="362"/>
    </row>
    <row r="448" spans="1:15" ht="15.75" customHeight="1">
      <c r="A448" s="395"/>
      <c r="B448" s="399"/>
      <c r="C448" s="1201" t="s">
        <v>17</v>
      </c>
      <c r="D448" s="1131"/>
      <c r="E448" s="1131"/>
      <c r="F448" s="1000"/>
      <c r="G448" s="1204" t="s">
        <v>1196</v>
      </c>
      <c r="H448" s="1000"/>
      <c r="I448" s="1204" t="s">
        <v>1197</v>
      </c>
      <c r="J448" s="1000"/>
      <c r="K448" s="670" t="s">
        <v>1213</v>
      </c>
      <c r="L448" s="1204" t="s">
        <v>1199</v>
      </c>
      <c r="M448" s="1000"/>
      <c r="N448" s="671" t="s">
        <v>1200</v>
      </c>
      <c r="O448" s="362"/>
    </row>
    <row r="449" spans="1:17" ht="15.75" customHeight="1">
      <c r="A449" s="395"/>
      <c r="B449" s="399"/>
      <c r="C449" s="1128" t="s">
        <v>1201</v>
      </c>
      <c r="D449" s="940"/>
      <c r="E449" s="940"/>
      <c r="F449" s="941"/>
      <c r="G449" s="1142"/>
      <c r="H449" s="941"/>
      <c r="I449" s="1142"/>
      <c r="J449" s="941"/>
      <c r="K449" s="429"/>
      <c r="L449" s="1143">
        <v>0.05</v>
      </c>
      <c r="M449" s="941"/>
      <c r="N449" s="430">
        <f>+L449*N488</f>
        <v>294.2352626391372</v>
      </c>
      <c r="O449" s="362"/>
    </row>
    <row r="450" spans="1:17" ht="15.75" customHeight="1">
      <c r="A450" s="395" t="str">
        <f t="array" ref="A450">IF(C450&lt;&gt;0,INDEX(CodEquipos,MATCH(C450,Equipos,0),),)</f>
        <v>EQ-16</v>
      </c>
      <c r="B450" s="399"/>
      <c r="C450" s="1128" t="s">
        <v>308</v>
      </c>
      <c r="D450" s="940"/>
      <c r="E450" s="940"/>
      <c r="F450" s="941"/>
      <c r="G450" s="1142"/>
      <c r="H450" s="941"/>
      <c r="I450" s="1142"/>
      <c r="J450" s="941"/>
      <c r="K450" s="432">
        <f>IF($A450&gt;0,(VLOOKUP($A450,TablaEquipos,7,FALSE)),"")</f>
        <v>180000</v>
      </c>
      <c r="L450" s="1146">
        <f>L483/8</f>
        <v>7.0101641846025355</v>
      </c>
      <c r="M450" s="941"/>
      <c r="N450" s="430">
        <f t="shared" ref="N450:N451" si="35">IF(L450&gt;0,K450/L450,"")</f>
        <v>25677.002030189353</v>
      </c>
      <c r="O450" s="362"/>
    </row>
    <row r="451" spans="1:17" ht="15.75" customHeight="1">
      <c r="A451" s="395">
        <f t="array" ref="A451">IF(C451&lt;&gt;0,INDEX(CodEquipos,MATCH(C451,Equipos,0),),)</f>
        <v>0</v>
      </c>
      <c r="B451" s="399"/>
      <c r="C451" s="1128"/>
      <c r="D451" s="940"/>
      <c r="E451" s="940"/>
      <c r="F451" s="941"/>
      <c r="G451" s="1142"/>
      <c r="H451" s="941"/>
      <c r="I451" s="1142"/>
      <c r="J451" s="941"/>
      <c r="K451" s="432" t="str">
        <f>IF($A451&gt;0,(VLOOKUP($A451,TablaEquipos,7,FALSE)),"")</f>
        <v/>
      </c>
      <c r="L451" s="1141"/>
      <c r="M451" s="941"/>
      <c r="N451" s="430" t="str">
        <f t="shared" si="35"/>
        <v/>
      </c>
      <c r="O451" s="362"/>
    </row>
    <row r="452" spans="1:17" ht="15.75" customHeight="1">
      <c r="A452" s="395">
        <f t="array" ref="A452">IF(C452&lt;&gt;0,INDEX(CodEquipos,MATCH(C452,Equipos,0),),)</f>
        <v>0</v>
      </c>
      <c r="B452" s="399"/>
      <c r="C452" s="1128"/>
      <c r="D452" s="940"/>
      <c r="E452" s="940"/>
      <c r="F452" s="941"/>
      <c r="G452" s="1142"/>
      <c r="H452" s="941"/>
      <c r="I452" s="1142"/>
      <c r="J452" s="941"/>
      <c r="K452" s="432"/>
      <c r="L452" s="1141"/>
      <c r="M452" s="941"/>
      <c r="N452" s="430"/>
      <c r="O452" s="362"/>
    </row>
    <row r="453" spans="1:17" ht="15.75" customHeight="1">
      <c r="A453" s="395">
        <f t="array" ref="A453">IF(C453&lt;&gt;0,INDEX(CodEquipos,MATCH(C453,Equipos,0),),)</f>
        <v>0</v>
      </c>
      <c r="B453" s="399"/>
      <c r="C453" s="1128"/>
      <c r="D453" s="940"/>
      <c r="E453" s="940"/>
      <c r="F453" s="941"/>
      <c r="G453" s="1142"/>
      <c r="H453" s="941"/>
      <c r="I453" s="1142"/>
      <c r="J453" s="941"/>
      <c r="K453" s="432" t="str">
        <f>IF($A453&gt;0,(VLOOKUP($A453,TablaEquipos,7,FALSE)),"")</f>
        <v/>
      </c>
      <c r="L453" s="1141"/>
      <c r="M453" s="941"/>
      <c r="N453" s="430" t="str">
        <f t="shared" ref="N453:N454" si="36">IF(L453&gt;0,K453/L453,"")</f>
        <v/>
      </c>
      <c r="O453" s="362"/>
    </row>
    <row r="454" spans="1:17" ht="15.75" customHeight="1">
      <c r="A454" s="395">
        <f t="array" ref="A454">IF(C454&lt;&gt;0,INDEX(CodEquipos,MATCH(C454,Equipos,0),),)</f>
        <v>0</v>
      </c>
      <c r="B454" s="399"/>
      <c r="C454" s="1128"/>
      <c r="D454" s="940"/>
      <c r="E454" s="940"/>
      <c r="F454" s="941"/>
      <c r="G454" s="1144"/>
      <c r="H454" s="1145"/>
      <c r="I454" s="1144"/>
      <c r="J454" s="1145"/>
      <c r="K454" s="432" t="str">
        <f>IF($A454&gt;0,(VLOOKUP($A454,TablaEquipos,7,FALSE)),"")</f>
        <v/>
      </c>
      <c r="L454" s="1208"/>
      <c r="M454" s="1145"/>
      <c r="N454" s="430" t="str">
        <f t="shared" si="36"/>
        <v/>
      </c>
      <c r="O454" s="362"/>
    </row>
    <row r="455" spans="1:17" ht="15.75" customHeight="1">
      <c r="A455" s="395"/>
      <c r="B455" s="399"/>
      <c r="C455" s="1127" t="s">
        <v>1202</v>
      </c>
      <c r="D455" s="965"/>
      <c r="E455" s="965"/>
      <c r="F455" s="965"/>
      <c r="G455" s="965"/>
      <c r="H455" s="965"/>
      <c r="I455" s="965"/>
      <c r="J455" s="965"/>
      <c r="K455" s="965"/>
      <c r="L455" s="965"/>
      <c r="M455" s="966"/>
      <c r="N455" s="433">
        <f>+SUM(N449:N454)</f>
        <v>25971.237292828489</v>
      </c>
      <c r="O455" s="362"/>
    </row>
    <row r="456" spans="1:17" ht="15.75" customHeight="1">
      <c r="A456" s="395"/>
      <c r="B456" s="399"/>
      <c r="C456" s="1129" t="s">
        <v>1203</v>
      </c>
      <c r="D456" s="926"/>
      <c r="E456" s="926"/>
      <c r="F456" s="926"/>
      <c r="G456" s="926"/>
      <c r="H456" s="926"/>
      <c r="I456" s="926"/>
      <c r="J456" s="926"/>
      <c r="K456" s="926"/>
      <c r="L456" s="926"/>
      <c r="M456" s="926"/>
      <c r="N456" s="927"/>
      <c r="O456" s="362"/>
    </row>
    <row r="457" spans="1:17" ht="15.75" customHeight="1">
      <c r="A457" s="395"/>
      <c r="B457" s="399"/>
      <c r="C457" s="920"/>
      <c r="D457" s="922"/>
      <c r="E457" s="922"/>
      <c r="F457" s="922"/>
      <c r="G457" s="922"/>
      <c r="H457" s="922"/>
      <c r="I457" s="922"/>
      <c r="J457" s="922"/>
      <c r="K457" s="922"/>
      <c r="L457" s="922"/>
      <c r="M457" s="922"/>
      <c r="N457" s="924"/>
      <c r="O457" s="362"/>
    </row>
    <row r="458" spans="1:17" ht="15.75" customHeight="1">
      <c r="A458" s="395"/>
      <c r="B458" s="399"/>
      <c r="C458" s="929"/>
      <c r="D458" s="936"/>
      <c r="E458" s="936"/>
      <c r="F458" s="936"/>
      <c r="G458" s="936"/>
      <c r="H458" s="936"/>
      <c r="I458" s="936"/>
      <c r="J458" s="936"/>
      <c r="K458" s="936"/>
      <c r="L458" s="936"/>
      <c r="M458" s="936"/>
      <c r="N458" s="938"/>
      <c r="O458" s="362"/>
    </row>
    <row r="459" spans="1:17" ht="15.75" customHeight="1">
      <c r="A459" s="395"/>
      <c r="B459" s="399"/>
      <c r="C459" s="1201" t="s">
        <v>17</v>
      </c>
      <c r="D459" s="1131"/>
      <c r="E459" s="1131"/>
      <c r="F459" s="1131"/>
      <c r="G459" s="1131"/>
      <c r="H459" s="1131"/>
      <c r="I459" s="1000"/>
      <c r="J459" s="672" t="s">
        <v>1192</v>
      </c>
      <c r="K459" s="670" t="s">
        <v>950</v>
      </c>
      <c r="L459" s="1204" t="s">
        <v>1204</v>
      </c>
      <c r="M459" s="1000"/>
      <c r="N459" s="671" t="s">
        <v>1200</v>
      </c>
      <c r="O459" s="362"/>
    </row>
    <row r="460" spans="1:17" ht="15.75" customHeight="1">
      <c r="A460" s="395" t="str">
        <f t="array" ref="A460">IF(C460&lt;&gt;0,INDEX(CodMat,MATCH(C460,Materiales,0),),)</f>
        <v>MAT_CON-08</v>
      </c>
      <c r="B460" s="399"/>
      <c r="C460" s="1128" t="s">
        <v>2496</v>
      </c>
      <c r="D460" s="940"/>
      <c r="E460" s="940"/>
      <c r="F460" s="940"/>
      <c r="G460" s="940"/>
      <c r="H460" s="940"/>
      <c r="I460" s="941"/>
      <c r="J460" s="435" t="str">
        <f t="shared" ref="J460:J467" si="37">IF($A460&gt;0,(VLOOKUP($A460,TablaInsumos,5,FALSE)),"")</f>
        <v>GAL</v>
      </c>
      <c r="K460" s="673">
        <v>0.05</v>
      </c>
      <c r="L460" s="1134">
        <f t="shared" ref="L460:L467" si="38">IF($A460&gt;0,(VLOOKUP($A460,TablaInsumos,7,FALSE)),"")</f>
        <v>15649</v>
      </c>
      <c r="M460" s="941"/>
      <c r="N460" s="430">
        <f t="shared" ref="N460:N467" si="39">IF(K460&gt;0,L460*K460,"")</f>
        <v>782.45</v>
      </c>
      <c r="O460" s="362"/>
    </row>
    <row r="461" spans="1:17" ht="15.75" customHeight="1">
      <c r="A461" s="395" t="str">
        <f t="array" ref="A461">IF(C461&lt;&gt;0,INDEX(CodMat,MATCH(C461,Materiales,0),),)</f>
        <v>MAT_CON-09</v>
      </c>
      <c r="B461" s="399"/>
      <c r="C461" s="1128" t="s">
        <v>2497</v>
      </c>
      <c r="D461" s="940"/>
      <c r="E461" s="940"/>
      <c r="F461" s="940"/>
      <c r="G461" s="940"/>
      <c r="H461" s="940"/>
      <c r="I461" s="941"/>
      <c r="J461" s="435" t="str">
        <f t="shared" si="37"/>
        <v>GAL</v>
      </c>
      <c r="K461" s="673">
        <v>0.05</v>
      </c>
      <c r="L461" s="1134">
        <f t="shared" si="38"/>
        <v>20000</v>
      </c>
      <c r="M461" s="941"/>
      <c r="N461" s="430">
        <f t="shared" si="39"/>
        <v>1000</v>
      </c>
      <c r="O461" s="362"/>
    </row>
    <row r="462" spans="1:17" ht="15.75" customHeight="1">
      <c r="A462" s="395" t="str">
        <f t="array" ref="A462">IF(C462&lt;&gt;0,INDEX(CodMat,MATCH(C462,Materiales,0),),)</f>
        <v>MAT_C-79</v>
      </c>
      <c r="B462" s="399"/>
      <c r="C462" s="1128" t="s">
        <v>2498</v>
      </c>
      <c r="D462" s="940"/>
      <c r="E462" s="940"/>
      <c r="F462" s="940"/>
      <c r="G462" s="940"/>
      <c r="H462" s="940"/>
      <c r="I462" s="941"/>
      <c r="J462" s="435" t="str">
        <f t="shared" si="37"/>
        <v>UND</v>
      </c>
      <c r="K462" s="673">
        <v>1E-3</v>
      </c>
      <c r="L462" s="1134">
        <f t="shared" si="38"/>
        <v>57500</v>
      </c>
      <c r="M462" s="941"/>
      <c r="N462" s="430">
        <f t="shared" si="39"/>
        <v>57.5</v>
      </c>
      <c r="O462" s="362"/>
      <c r="Q462" s="687"/>
    </row>
    <row r="463" spans="1:17" ht="15.75" customHeight="1">
      <c r="A463" s="395" t="str">
        <f t="array" ref="A463">IF(C463&lt;&gt;0,INDEX(CodMat,MATCH(C463,Materiales,0),),)</f>
        <v>MAT_CON-10</v>
      </c>
      <c r="B463" s="399"/>
      <c r="C463" s="1128" t="s">
        <v>2499</v>
      </c>
      <c r="D463" s="940"/>
      <c r="E463" s="940"/>
      <c r="F463" s="940"/>
      <c r="G463" s="940"/>
      <c r="H463" s="940"/>
      <c r="I463" s="941"/>
      <c r="J463" s="435" t="str">
        <f t="shared" si="37"/>
        <v xml:space="preserve">UND </v>
      </c>
      <c r="K463" s="673">
        <v>1E-3</v>
      </c>
      <c r="L463" s="1134">
        <f t="shared" si="38"/>
        <v>50000</v>
      </c>
      <c r="M463" s="941"/>
      <c r="N463" s="430">
        <f t="shared" si="39"/>
        <v>50</v>
      </c>
      <c r="O463" s="362"/>
    </row>
    <row r="464" spans="1:17" ht="15.75" customHeight="1">
      <c r="A464" s="395">
        <f t="array" ref="A464">IF(C464&lt;&gt;0,INDEX(CodMat,MATCH(C464,Materiales,0),),)</f>
        <v>0</v>
      </c>
      <c r="B464" s="399"/>
      <c r="C464" s="1128"/>
      <c r="D464" s="940"/>
      <c r="E464" s="940"/>
      <c r="F464" s="940"/>
      <c r="G464" s="940"/>
      <c r="H464" s="940"/>
      <c r="I464" s="941"/>
      <c r="J464" s="435" t="str">
        <f t="shared" si="37"/>
        <v/>
      </c>
      <c r="K464" s="436"/>
      <c r="L464" s="1134" t="str">
        <f t="shared" si="38"/>
        <v/>
      </c>
      <c r="M464" s="941"/>
      <c r="N464" s="430" t="str">
        <f t="shared" si="39"/>
        <v/>
      </c>
      <c r="O464" s="362"/>
    </row>
    <row r="465" spans="1:15" ht="15.75" customHeight="1">
      <c r="A465" s="395">
        <f t="array" ref="A465">IF(C465&lt;&gt;0,INDEX(CodMat,MATCH(C465,Materiales,0),),)</f>
        <v>0</v>
      </c>
      <c r="B465" s="399"/>
      <c r="C465" s="1128"/>
      <c r="D465" s="940"/>
      <c r="E465" s="940"/>
      <c r="F465" s="940"/>
      <c r="G465" s="940"/>
      <c r="H465" s="940"/>
      <c r="I465" s="941"/>
      <c r="J465" s="435" t="str">
        <f t="shared" si="37"/>
        <v/>
      </c>
      <c r="K465" s="436"/>
      <c r="L465" s="1134" t="str">
        <f t="shared" si="38"/>
        <v/>
      </c>
      <c r="M465" s="941"/>
      <c r="N465" s="430" t="str">
        <f t="shared" si="39"/>
        <v/>
      </c>
      <c r="O465" s="362"/>
    </row>
    <row r="466" spans="1:15" ht="15.75" customHeight="1">
      <c r="A466" s="395">
        <f t="array" ref="A466">IF(C466&lt;&gt;0,INDEX(CodMat,MATCH(C466,Materiales,0),),)</f>
        <v>0</v>
      </c>
      <c r="B466" s="399"/>
      <c r="C466" s="1128"/>
      <c r="D466" s="940"/>
      <c r="E466" s="940"/>
      <c r="F466" s="940"/>
      <c r="G466" s="940"/>
      <c r="H466" s="940"/>
      <c r="I466" s="941"/>
      <c r="J466" s="435" t="str">
        <f t="shared" si="37"/>
        <v/>
      </c>
      <c r="K466" s="436"/>
      <c r="L466" s="1134" t="str">
        <f t="shared" si="38"/>
        <v/>
      </c>
      <c r="M466" s="941"/>
      <c r="N466" s="430" t="str">
        <f t="shared" si="39"/>
        <v/>
      </c>
      <c r="O466" s="362"/>
    </row>
    <row r="467" spans="1:15" ht="15.75" customHeight="1">
      <c r="A467" s="395">
        <f t="array" ref="A467">IF(C467&lt;&gt;0,INDEX(CodMat,MATCH(C467,Materiales,0),),)</f>
        <v>0</v>
      </c>
      <c r="B467" s="399"/>
      <c r="C467" s="1128"/>
      <c r="D467" s="940"/>
      <c r="E467" s="940"/>
      <c r="F467" s="940"/>
      <c r="G467" s="940"/>
      <c r="H467" s="940"/>
      <c r="I467" s="941"/>
      <c r="J467" s="435" t="str">
        <f t="shared" si="37"/>
        <v/>
      </c>
      <c r="K467" s="436"/>
      <c r="L467" s="1205" t="str">
        <f t="shared" si="38"/>
        <v/>
      </c>
      <c r="M467" s="1145"/>
      <c r="N467" s="430" t="str">
        <f t="shared" si="39"/>
        <v/>
      </c>
      <c r="O467" s="362"/>
    </row>
    <row r="468" spans="1:15" ht="15.75" customHeight="1">
      <c r="A468" s="395"/>
      <c r="B468" s="399"/>
      <c r="C468" s="1127" t="s">
        <v>1202</v>
      </c>
      <c r="D468" s="965"/>
      <c r="E468" s="965"/>
      <c r="F468" s="965"/>
      <c r="G468" s="965"/>
      <c r="H468" s="965"/>
      <c r="I468" s="965"/>
      <c r="J468" s="965"/>
      <c r="K468" s="965"/>
      <c r="L468" s="965"/>
      <c r="M468" s="966"/>
      <c r="N468" s="433">
        <f>+SUM(N460:N467)</f>
        <v>1889.95</v>
      </c>
      <c r="O468" s="362"/>
    </row>
    <row r="469" spans="1:15" ht="15.75" customHeight="1">
      <c r="A469" s="395"/>
      <c r="B469" s="399"/>
      <c r="C469" s="1129" t="s">
        <v>1208</v>
      </c>
      <c r="D469" s="926"/>
      <c r="E469" s="926"/>
      <c r="F469" s="926"/>
      <c r="G469" s="926"/>
      <c r="H469" s="926"/>
      <c r="I469" s="926"/>
      <c r="J469" s="926"/>
      <c r="K469" s="926"/>
      <c r="L469" s="926"/>
      <c r="M469" s="926"/>
      <c r="N469" s="927"/>
      <c r="O469" s="362"/>
    </row>
    <row r="470" spans="1:15" ht="15.75" customHeight="1">
      <c r="A470" s="395"/>
      <c r="B470" s="399"/>
      <c r="C470" s="920"/>
      <c r="D470" s="922"/>
      <c r="E470" s="922"/>
      <c r="F470" s="922"/>
      <c r="G470" s="922"/>
      <c r="H470" s="922"/>
      <c r="I470" s="922"/>
      <c r="J470" s="922"/>
      <c r="K470" s="922"/>
      <c r="L470" s="922"/>
      <c r="M470" s="922"/>
      <c r="N470" s="924"/>
      <c r="O470" s="362"/>
    </row>
    <row r="471" spans="1:15" ht="15.75" customHeight="1">
      <c r="A471" s="395"/>
      <c r="B471" s="399"/>
      <c r="C471" s="929"/>
      <c r="D471" s="936"/>
      <c r="E471" s="936"/>
      <c r="F471" s="936"/>
      <c r="G471" s="936"/>
      <c r="H471" s="936"/>
      <c r="I471" s="936"/>
      <c r="J471" s="936"/>
      <c r="K471" s="936"/>
      <c r="L471" s="936"/>
      <c r="M471" s="936"/>
      <c r="N471" s="938"/>
      <c r="O471" s="362"/>
    </row>
    <row r="472" spans="1:15" ht="15.75" customHeight="1">
      <c r="A472" s="395"/>
      <c r="B472" s="399"/>
      <c r="C472" s="1201" t="s">
        <v>1209</v>
      </c>
      <c r="D472" s="1131"/>
      <c r="E472" s="1131"/>
      <c r="F472" s="1131"/>
      <c r="G472" s="1131"/>
      <c r="H472" s="1000"/>
      <c r="I472" s="670" t="s">
        <v>1210</v>
      </c>
      <c r="J472" s="674" t="s">
        <v>1211</v>
      </c>
      <c r="K472" s="675" t="s">
        <v>2318</v>
      </c>
      <c r="L472" s="1204" t="s">
        <v>1213</v>
      </c>
      <c r="M472" s="1000"/>
      <c r="N472" s="671" t="s">
        <v>1200</v>
      </c>
      <c r="O472" s="362"/>
    </row>
    <row r="473" spans="1:15" ht="15.75" customHeight="1">
      <c r="A473" s="395">
        <f t="array" ref="A473">IF(C473&lt;&gt;0,INDEX(CodTransporte,MATCH(C473,Transporte,0),),)</f>
        <v>0</v>
      </c>
      <c r="B473" s="399"/>
      <c r="C473" s="1128"/>
      <c r="D473" s="940"/>
      <c r="E473" s="940"/>
      <c r="F473" s="940"/>
      <c r="G473" s="940"/>
      <c r="H473" s="940"/>
      <c r="I473" s="440"/>
      <c r="J473" s="441" t="str">
        <f>IF($A473&gt;0,(VLOOKUP($A473,TablaTransporte,6,FALSE)),"")</f>
        <v/>
      </c>
      <c r="K473" s="442" t="str">
        <f>IF($A473&gt;0,(VLOOKUP($A473,TablaTransporte,5,FALSE)),"")</f>
        <v/>
      </c>
      <c r="L473" s="1134" t="str">
        <f>IF($A473&gt;0,(VLOOKUP($A473,TablaTransporte,7,FALSE)),"")</f>
        <v/>
      </c>
      <c r="M473" s="941"/>
      <c r="N473" s="430" t="str">
        <f t="shared" ref="N473:N477" si="40">IF(I473&gt;0,J473*L473*I473,"")</f>
        <v/>
      </c>
      <c r="O473" s="362"/>
    </row>
    <row r="474" spans="1:15" ht="15.75" customHeight="1">
      <c r="A474" s="395">
        <f t="array" ref="A474">IF(C474&lt;&gt;0,INDEX(CodTransporte,MATCH(C474,Transporte,0),),)</f>
        <v>0</v>
      </c>
      <c r="B474" s="399"/>
      <c r="C474" s="1128"/>
      <c r="D474" s="940"/>
      <c r="E474" s="940"/>
      <c r="F474" s="940"/>
      <c r="G474" s="940"/>
      <c r="H474" s="940"/>
      <c r="I474" s="440"/>
      <c r="J474" s="441" t="str">
        <f>IF($A474&gt;0,(VLOOKUP($A474,TablaTransporte,6,FALSE)),"")</f>
        <v/>
      </c>
      <c r="K474" s="442" t="str">
        <f>IF($A474&gt;0,(VLOOKUP($A474,TablaTransporte,5,FALSE)),"")</f>
        <v/>
      </c>
      <c r="L474" s="1134" t="str">
        <f>IF($A474&gt;0,(VLOOKUP($A474,TablaTransporte,7,FALSE)),"")</f>
        <v/>
      </c>
      <c r="M474" s="941"/>
      <c r="N474" s="430" t="str">
        <f t="shared" si="40"/>
        <v/>
      </c>
      <c r="O474" s="362"/>
    </row>
    <row r="475" spans="1:15" ht="15.75" customHeight="1">
      <c r="A475" s="395">
        <f t="array" ref="A475">IF(C475&lt;&gt;0,INDEX(CodTransporte,MATCH(C475,Transporte,0),),)</f>
        <v>0</v>
      </c>
      <c r="B475" s="399"/>
      <c r="C475" s="1128"/>
      <c r="D475" s="940"/>
      <c r="E475" s="940"/>
      <c r="F475" s="940"/>
      <c r="G475" s="940"/>
      <c r="H475" s="940"/>
      <c r="I475" s="440"/>
      <c r="J475" s="441" t="str">
        <f>IF($A475&gt;0,(VLOOKUP($A475,TablaTransporte,6,FALSE)),"")</f>
        <v/>
      </c>
      <c r="K475" s="442" t="str">
        <f>IF($A475&gt;0,(VLOOKUP($A475,TablaTransporte,5,FALSE)),"")</f>
        <v/>
      </c>
      <c r="L475" s="1134" t="str">
        <f>IF($A475&gt;0,(VLOOKUP($A475,TablaTransporte,7,FALSE)),"")</f>
        <v/>
      </c>
      <c r="M475" s="941"/>
      <c r="N475" s="430" t="str">
        <f t="shared" si="40"/>
        <v/>
      </c>
      <c r="O475" s="362"/>
    </row>
    <row r="476" spans="1:15" ht="15.75" customHeight="1">
      <c r="A476" s="395">
        <f t="array" ref="A476">IF(C476&lt;&gt;0,INDEX(CodTransporte,MATCH(C476,Transporte,0),),)</f>
        <v>0</v>
      </c>
      <c r="B476" s="399"/>
      <c r="C476" s="1128"/>
      <c r="D476" s="940"/>
      <c r="E476" s="940"/>
      <c r="F476" s="940"/>
      <c r="G476" s="940"/>
      <c r="H476" s="940"/>
      <c r="I476" s="440"/>
      <c r="J476" s="441" t="str">
        <f>IF($A476&gt;0,(VLOOKUP($A476,TablaTransporte,6,FALSE)),"")</f>
        <v/>
      </c>
      <c r="K476" s="442" t="str">
        <f>IF($A476&gt;0,(VLOOKUP($A476,TablaTransporte,5,FALSE)),"")</f>
        <v/>
      </c>
      <c r="L476" s="1134" t="str">
        <f>IF($A476&gt;0,(VLOOKUP($A476,TablaTransporte,7,FALSE)),"")</f>
        <v/>
      </c>
      <c r="M476" s="941"/>
      <c r="N476" s="430" t="str">
        <f t="shared" si="40"/>
        <v/>
      </c>
      <c r="O476" s="362"/>
    </row>
    <row r="477" spans="1:15" ht="15.75" customHeight="1">
      <c r="A477" s="395">
        <f t="array" ref="A477">IF(C477&lt;&gt;0,INDEX(CodTransporte,MATCH(C477,Transporte,0),),)</f>
        <v>0</v>
      </c>
      <c r="B477" s="399"/>
      <c r="C477" s="1128"/>
      <c r="D477" s="940"/>
      <c r="E477" s="940"/>
      <c r="F477" s="940"/>
      <c r="G477" s="940"/>
      <c r="H477" s="940"/>
      <c r="I477" s="440"/>
      <c r="J477" s="441" t="str">
        <f>IF($A477&gt;0,(VLOOKUP($A477,TablaTransporte,6,FALSE)),"")</f>
        <v/>
      </c>
      <c r="K477" s="442" t="str">
        <f>IF($A477&gt;0,(VLOOKUP($A477,TablaTransporte,5,FALSE)),"")</f>
        <v/>
      </c>
      <c r="L477" s="1205" t="str">
        <f>IF($A477&gt;0,(VLOOKUP($A477,TablaTransporte,7,FALSE)),"")</f>
        <v/>
      </c>
      <c r="M477" s="1145"/>
      <c r="N477" s="430" t="str">
        <f t="shared" si="40"/>
        <v/>
      </c>
      <c r="O477" s="362"/>
    </row>
    <row r="478" spans="1:15" ht="15.75" customHeight="1">
      <c r="A478" s="395"/>
      <c r="B478" s="399"/>
      <c r="C478" s="1127" t="s">
        <v>1202</v>
      </c>
      <c r="D478" s="965"/>
      <c r="E478" s="965"/>
      <c r="F478" s="965"/>
      <c r="G478" s="965"/>
      <c r="H478" s="965"/>
      <c r="I478" s="965"/>
      <c r="J478" s="965"/>
      <c r="K478" s="965"/>
      <c r="L478" s="965"/>
      <c r="M478" s="966"/>
      <c r="N478" s="433">
        <f>+SUM(N473:N477)</f>
        <v>0</v>
      </c>
      <c r="O478" s="362"/>
    </row>
    <row r="479" spans="1:15" ht="15.75" customHeight="1">
      <c r="A479" s="395"/>
      <c r="B479" s="399"/>
      <c r="C479" s="1129" t="s">
        <v>1214</v>
      </c>
      <c r="D479" s="926"/>
      <c r="E479" s="926"/>
      <c r="F479" s="926"/>
      <c r="G479" s="926"/>
      <c r="H479" s="926"/>
      <c r="I479" s="926"/>
      <c r="J479" s="926"/>
      <c r="K479" s="926"/>
      <c r="L479" s="926"/>
      <c r="M479" s="926"/>
      <c r="N479" s="927"/>
      <c r="O479" s="362"/>
    </row>
    <row r="480" spans="1:15" ht="15.75" customHeight="1">
      <c r="A480" s="395"/>
      <c r="B480" s="399"/>
      <c r="C480" s="920"/>
      <c r="D480" s="922"/>
      <c r="E480" s="922"/>
      <c r="F480" s="922"/>
      <c r="G480" s="922"/>
      <c r="H480" s="922"/>
      <c r="I480" s="922"/>
      <c r="J480" s="922"/>
      <c r="K480" s="922"/>
      <c r="L480" s="922"/>
      <c r="M480" s="922"/>
      <c r="N480" s="924"/>
      <c r="O480" s="362"/>
    </row>
    <row r="481" spans="1:18" ht="15.75" customHeight="1">
      <c r="A481" s="395"/>
      <c r="B481" s="399"/>
      <c r="C481" s="929"/>
      <c r="D481" s="936"/>
      <c r="E481" s="936"/>
      <c r="F481" s="936"/>
      <c r="G481" s="936"/>
      <c r="H481" s="936"/>
      <c r="I481" s="936"/>
      <c r="J481" s="936"/>
      <c r="K481" s="936"/>
      <c r="L481" s="936"/>
      <c r="M481" s="936"/>
      <c r="N481" s="938"/>
      <c r="O481" s="362"/>
    </row>
    <row r="482" spans="1:18" ht="15.75" customHeight="1">
      <c r="A482" s="395"/>
      <c r="B482" s="399"/>
      <c r="C482" s="1201" t="s">
        <v>1215</v>
      </c>
      <c r="D482" s="1131"/>
      <c r="E482" s="1131"/>
      <c r="F482" s="1131"/>
      <c r="G482" s="1131"/>
      <c r="H482" s="1000"/>
      <c r="I482" s="670" t="s">
        <v>1216</v>
      </c>
      <c r="J482" s="676" t="s">
        <v>1217</v>
      </c>
      <c r="K482" s="677" t="s">
        <v>1218</v>
      </c>
      <c r="L482" s="1206" t="s">
        <v>1199</v>
      </c>
      <c r="M482" s="1000"/>
      <c r="N482" s="678" t="s">
        <v>1200</v>
      </c>
      <c r="O482" s="362"/>
    </row>
    <row r="483" spans="1:18" ht="15.75" customHeight="1">
      <c r="A483" s="395" t="str">
        <f t="array" ref="A483">IF(C483&lt;&gt;0,INDEX(CodMO,MATCH(C483,MO,0),),)</f>
        <v>M.O-05</v>
      </c>
      <c r="B483" s="399"/>
      <c r="C483" s="1128" t="s">
        <v>139</v>
      </c>
      <c r="D483" s="940"/>
      <c r="E483" s="940"/>
      <c r="F483" s="940"/>
      <c r="G483" s="940"/>
      <c r="H483" s="940"/>
      <c r="I483" s="447">
        <f>IF($A483&gt;0,(VLOOKUP($A483,TablaMO,8,FALSE)),"")</f>
        <v>125030.16666666667</v>
      </c>
      <c r="J483" s="448">
        <f>IF($A483&gt;0,(VLOOKUP($A483,TablaMO,10,FALSE)),"")</f>
        <v>0.67071666666666663</v>
      </c>
      <c r="K483" s="447">
        <f>IF($A483&gt;0,(VLOOKUP($A483,TablaMO,11,FALSE)),"")</f>
        <v>208890</v>
      </c>
      <c r="L483" s="1146">
        <v>56.081313476820284</v>
      </c>
      <c r="M483" s="941"/>
      <c r="N483" s="430">
        <f t="shared" ref="N483:N487" si="41">IF(L483&gt;0,K483/L483,"")</f>
        <v>3724.7701070043431</v>
      </c>
      <c r="O483" s="362"/>
    </row>
    <row r="484" spans="1:18" ht="15.75" customHeight="1">
      <c r="A484" s="395" t="str">
        <f t="array" ref="A484">IF(C484&lt;&gt;0,INDEX(CodMO,MATCH(C484,MO,0),),)</f>
        <v>M.O-01</v>
      </c>
      <c r="B484" s="399"/>
      <c r="C484" s="1128" t="s">
        <v>130</v>
      </c>
      <c r="D484" s="940"/>
      <c r="E484" s="940"/>
      <c r="F484" s="940"/>
      <c r="G484" s="940"/>
      <c r="H484" s="940"/>
      <c r="I484" s="447">
        <f>IF($A484&gt;0,(VLOOKUP($A484,TablaMO,8,FALSE)),"")</f>
        <v>72503.016666666677</v>
      </c>
      <c r="J484" s="448">
        <f>IF($A484&gt;0,(VLOOKUP($A484,TablaMO,10,FALSE)),"")</f>
        <v>0.67071666666666663</v>
      </c>
      <c r="K484" s="447">
        <f>IF($A484&gt;0,(VLOOKUP($A484,TablaMO,11,FALSE)),"")</f>
        <v>121132</v>
      </c>
      <c r="L484" s="1146">
        <f>L483</f>
        <v>56.081313476820284</v>
      </c>
      <c r="M484" s="941"/>
      <c r="N484" s="430">
        <f t="shared" si="41"/>
        <v>2159.9351457784005</v>
      </c>
      <c r="O484" s="362"/>
    </row>
    <row r="485" spans="1:18" ht="15.75" customHeight="1">
      <c r="A485" s="395">
        <f t="array" ref="A485">IF(C485&lt;&gt;0,INDEX(CodMO,MATCH(C485,MO,0),),)</f>
        <v>0</v>
      </c>
      <c r="B485" s="399"/>
      <c r="C485" s="1128"/>
      <c r="D485" s="940"/>
      <c r="E485" s="940"/>
      <c r="F485" s="940"/>
      <c r="G485" s="940"/>
      <c r="H485" s="940"/>
      <c r="I485" s="447" t="str">
        <f>IF($A485&gt;0,(VLOOKUP($A485,TablaMO,8,FALSE)),"")</f>
        <v/>
      </c>
      <c r="J485" s="448" t="str">
        <f>IF($A485&gt;0,(VLOOKUP($A485,TablaMO,10,FALSE)),"")</f>
        <v/>
      </c>
      <c r="K485" s="447" t="str">
        <f>IF($A485&gt;0,(VLOOKUP($A485,TablaMO,11,FALSE)),"")</f>
        <v/>
      </c>
      <c r="L485" s="1146"/>
      <c r="M485" s="941"/>
      <c r="N485" s="430" t="str">
        <f t="shared" si="41"/>
        <v/>
      </c>
      <c r="O485" s="362"/>
    </row>
    <row r="486" spans="1:18" ht="15.75" customHeight="1">
      <c r="A486" s="395">
        <f t="array" ref="A486">IF(C486&lt;&gt;0,INDEX(CodMO,MATCH(C486,MO,0),),)</f>
        <v>0</v>
      </c>
      <c r="B486" s="399"/>
      <c r="C486" s="1128"/>
      <c r="D486" s="940"/>
      <c r="E486" s="940"/>
      <c r="F486" s="940"/>
      <c r="G486" s="940"/>
      <c r="H486" s="940"/>
      <c r="I486" s="447" t="str">
        <f>IF($A486&gt;0,(VLOOKUP($A486,TablaMO,8,FALSE)),"")</f>
        <v/>
      </c>
      <c r="J486" s="448" t="str">
        <f>IF($A486&gt;0,(VLOOKUP($A486,TablaMO,10,FALSE)),"")</f>
        <v/>
      </c>
      <c r="K486" s="447" t="str">
        <f>IF($A486&gt;0,(VLOOKUP($A486,TablaMO,11,FALSE)),"")</f>
        <v/>
      </c>
      <c r="L486" s="1146"/>
      <c r="M486" s="941"/>
      <c r="N486" s="430" t="str">
        <f t="shared" si="41"/>
        <v/>
      </c>
      <c r="O486" s="362"/>
    </row>
    <row r="487" spans="1:18" ht="15.75" customHeight="1">
      <c r="A487" s="395">
        <f t="array" ref="A487">IF(C487&lt;&gt;0,INDEX(CodMO,MATCH(C487,MO,0),),)</f>
        <v>0</v>
      </c>
      <c r="B487" s="399"/>
      <c r="C487" s="1128"/>
      <c r="D487" s="940"/>
      <c r="E487" s="940"/>
      <c r="F487" s="940"/>
      <c r="G487" s="940"/>
      <c r="H487" s="940"/>
      <c r="I487" s="447" t="str">
        <f>IF($A487&gt;0,(VLOOKUP($A487,TablaMO,8,FALSE)),"")</f>
        <v/>
      </c>
      <c r="J487" s="448" t="str">
        <f>IF($A487&gt;0,(VLOOKUP($A487,TablaMO,10,FALSE)),"")</f>
        <v/>
      </c>
      <c r="K487" s="447" t="str">
        <f>IF($A487&gt;0,(VLOOKUP($A487,TablaMO,11,FALSE)),"")</f>
        <v/>
      </c>
      <c r="L487" s="1146"/>
      <c r="M487" s="941"/>
      <c r="N487" s="430" t="str">
        <f t="shared" si="41"/>
        <v/>
      </c>
      <c r="O487" s="362"/>
    </row>
    <row r="488" spans="1:18" ht="15.75" customHeight="1">
      <c r="A488" s="395"/>
      <c r="B488" s="399"/>
      <c r="C488" s="1127" t="s">
        <v>1202</v>
      </c>
      <c r="D488" s="965"/>
      <c r="E488" s="965"/>
      <c r="F488" s="965"/>
      <c r="G488" s="965"/>
      <c r="H488" s="965"/>
      <c r="I488" s="965"/>
      <c r="J488" s="965"/>
      <c r="K488" s="965"/>
      <c r="L488" s="965"/>
      <c r="M488" s="966"/>
      <c r="N488" s="433">
        <f>+SUM(N483:N487)</f>
        <v>5884.7052527827436</v>
      </c>
      <c r="O488" s="362"/>
    </row>
    <row r="489" spans="1:18" ht="15.75" customHeight="1">
      <c r="B489" s="679"/>
      <c r="O489" s="362"/>
    </row>
    <row r="490" spans="1:18" ht="15.75" customHeight="1">
      <c r="B490" s="679"/>
      <c r="C490" s="1198" t="s">
        <v>1219</v>
      </c>
      <c r="D490" s="965"/>
      <c r="E490" s="965"/>
      <c r="F490" s="965"/>
      <c r="G490" s="965"/>
      <c r="H490" s="965"/>
      <c r="I490" s="965"/>
      <c r="J490" s="965"/>
      <c r="K490" s="965"/>
      <c r="L490" s="965"/>
      <c r="M490" s="966"/>
      <c r="N490" s="680">
        <f>ROUND(SUM(N488,N478,N468,N455),0)</f>
        <v>33746</v>
      </c>
      <c r="O490" s="362"/>
      <c r="Q490" s="681">
        <f>VLOOKUP(C444,PROPUESTASASERCO,8,FALSE)</f>
        <v>33746</v>
      </c>
      <c r="R490" s="682">
        <f>Q490-N490</f>
        <v>0</v>
      </c>
    </row>
    <row r="491" spans="1:18" ht="15.75" customHeight="1">
      <c r="B491" s="679"/>
      <c r="C491" s="1129" t="s">
        <v>1220</v>
      </c>
      <c r="D491" s="926"/>
      <c r="E491" s="926"/>
      <c r="F491" s="926"/>
      <c r="G491" s="926"/>
      <c r="H491" s="926"/>
      <c r="I491" s="926"/>
      <c r="J491" s="926"/>
      <c r="K491" s="926"/>
      <c r="L491" s="926"/>
      <c r="M491" s="926"/>
      <c r="N491" s="927"/>
      <c r="O491" s="362"/>
    </row>
    <row r="492" spans="1:18" ht="15.75" customHeight="1">
      <c r="B492" s="679"/>
      <c r="C492" s="920"/>
      <c r="D492" s="922"/>
      <c r="E492" s="922"/>
      <c r="F492" s="922"/>
      <c r="G492" s="922"/>
      <c r="H492" s="922"/>
      <c r="I492" s="922"/>
      <c r="J492" s="922"/>
      <c r="K492" s="922"/>
      <c r="L492" s="922"/>
      <c r="M492" s="922"/>
      <c r="N492" s="924"/>
      <c r="O492" s="362"/>
    </row>
    <row r="493" spans="1:18" ht="15.75" customHeight="1">
      <c r="B493" s="679"/>
      <c r="C493" s="929"/>
      <c r="D493" s="936"/>
      <c r="E493" s="936"/>
      <c r="F493" s="936"/>
      <c r="G493" s="936"/>
      <c r="H493" s="936"/>
      <c r="I493" s="936"/>
      <c r="J493" s="936"/>
      <c r="K493" s="936"/>
      <c r="L493" s="936"/>
      <c r="M493" s="936"/>
      <c r="N493" s="938"/>
      <c r="O493" s="362"/>
    </row>
    <row r="494" spans="1:18" ht="15.75" customHeight="1">
      <c r="B494" s="679"/>
      <c r="C494" s="1201" t="s">
        <v>1221</v>
      </c>
      <c r="D494" s="1131"/>
      <c r="E494" s="1131"/>
      <c r="F494" s="1131"/>
      <c r="G494" s="1131"/>
      <c r="H494" s="1132"/>
      <c r="I494" s="674"/>
      <c r="J494" s="674"/>
      <c r="K494" s="674"/>
      <c r="L494" s="1206" t="s">
        <v>1222</v>
      </c>
      <c r="M494" s="1000"/>
      <c r="N494" s="678" t="s">
        <v>1223</v>
      </c>
      <c r="O494" s="362"/>
    </row>
    <row r="495" spans="1:18" ht="15.75" customHeight="1">
      <c r="B495" s="679"/>
      <c r="C495" s="1128" t="s">
        <v>19</v>
      </c>
      <c r="D495" s="940"/>
      <c r="E495" s="940"/>
      <c r="F495" s="940"/>
      <c r="G495" s="940"/>
      <c r="H495" s="940"/>
      <c r="I495" s="452"/>
      <c r="J495" s="452"/>
      <c r="K495" s="452"/>
      <c r="L495" s="1148">
        <f>+Datos!$E$18</f>
        <v>0.25</v>
      </c>
      <c r="M495" s="941"/>
      <c r="N495" s="430">
        <f>+L495*N490</f>
        <v>8436.5</v>
      </c>
      <c r="O495" s="362"/>
    </row>
    <row r="496" spans="1:18" ht="15.75" customHeight="1">
      <c r="B496" s="679"/>
      <c r="C496" s="454" t="s">
        <v>20</v>
      </c>
      <c r="D496" s="455"/>
      <c r="E496" s="455"/>
      <c r="F496" s="455"/>
      <c r="G496" s="455"/>
      <c r="H496" s="455"/>
      <c r="I496" s="452"/>
      <c r="J496" s="452"/>
      <c r="K496" s="452"/>
      <c r="L496" s="1148">
        <f>+Datos!$E$19</f>
        <v>0.01</v>
      </c>
      <c r="M496" s="941"/>
      <c r="N496" s="430">
        <f>+L496*N490</f>
        <v>337.46</v>
      </c>
      <c r="O496" s="362"/>
    </row>
    <row r="497" spans="1:15" ht="15.75" customHeight="1">
      <c r="B497" s="679"/>
      <c r="C497" s="456" t="s">
        <v>21</v>
      </c>
      <c r="D497" s="457"/>
      <c r="E497" s="457"/>
      <c r="F497" s="457"/>
      <c r="G497" s="457"/>
      <c r="H497" s="457"/>
      <c r="I497" s="458"/>
      <c r="J497" s="458"/>
      <c r="K497" s="458"/>
      <c r="L497" s="1148">
        <f>+Datos!$E$20</f>
        <v>0.05</v>
      </c>
      <c r="M497" s="941"/>
      <c r="N497" s="430">
        <f>+L497*N490</f>
        <v>1687.3000000000002</v>
      </c>
      <c r="O497" s="362"/>
    </row>
    <row r="498" spans="1:15" ht="15.75" customHeight="1">
      <c r="B498" s="679"/>
      <c r="C498" s="1127" t="s">
        <v>1202</v>
      </c>
      <c r="D498" s="965"/>
      <c r="E498" s="965"/>
      <c r="F498" s="965"/>
      <c r="G498" s="965"/>
      <c r="H498" s="965"/>
      <c r="I498" s="965"/>
      <c r="J498" s="965"/>
      <c r="K498" s="965"/>
      <c r="L498" s="965"/>
      <c r="M498" s="966"/>
      <c r="N498" s="433">
        <f>+SUM(N495:N497)</f>
        <v>10461.259999999998</v>
      </c>
      <c r="O498" s="362"/>
    </row>
    <row r="499" spans="1:15" ht="15.75" customHeight="1">
      <c r="B499" s="679"/>
      <c r="C499" s="418"/>
      <c r="D499" s="39"/>
      <c r="E499" s="39"/>
      <c r="F499" s="39"/>
      <c r="G499" s="39"/>
      <c r="H499" s="39"/>
      <c r="I499" s="39"/>
      <c r="J499" s="39"/>
      <c r="K499" s="39"/>
      <c r="L499" s="39"/>
      <c r="M499" s="39"/>
      <c r="N499" s="40"/>
      <c r="O499" s="362"/>
    </row>
    <row r="500" spans="1:15" ht="15.75" customHeight="1">
      <c r="B500" s="679"/>
      <c r="C500" s="1198" t="s">
        <v>1224</v>
      </c>
      <c r="D500" s="965"/>
      <c r="E500" s="965"/>
      <c r="F500" s="965"/>
      <c r="G500" s="965"/>
      <c r="H500" s="965"/>
      <c r="I500" s="965"/>
      <c r="J500" s="965"/>
      <c r="K500" s="965"/>
      <c r="L500" s="965"/>
      <c r="M500" s="966"/>
      <c r="N500" s="683">
        <f>+ROUND(SUM(N498,N490),0)</f>
        <v>44207</v>
      </c>
      <c r="O500" s="362"/>
    </row>
    <row r="501" spans="1:15" ht="15.75" customHeight="1">
      <c r="B501" s="679"/>
      <c r="C501" s="418"/>
      <c r="D501" s="39" t="s">
        <v>1225</v>
      </c>
      <c r="E501" s="39"/>
      <c r="F501" s="39"/>
      <c r="G501" s="184"/>
      <c r="H501" s="184"/>
      <c r="I501" s="184"/>
      <c r="J501" s="39" t="s">
        <v>1225</v>
      </c>
      <c r="K501" s="39"/>
      <c r="L501" s="39"/>
      <c r="M501" s="39"/>
      <c r="N501" s="40"/>
      <c r="O501" s="362"/>
    </row>
    <row r="502" spans="1:15" ht="15.75" customHeight="1">
      <c r="B502" s="679"/>
      <c r="C502" s="418"/>
      <c r="D502" s="39" t="s">
        <v>1226</v>
      </c>
      <c r="E502" s="39"/>
      <c r="F502" s="39"/>
      <c r="G502" s="184"/>
      <c r="H502" s="184"/>
      <c r="I502" s="184"/>
      <c r="J502" s="39" t="s">
        <v>1227</v>
      </c>
      <c r="K502" s="39"/>
      <c r="L502" s="39"/>
      <c r="M502" s="39"/>
      <c r="N502" s="40"/>
      <c r="O502" s="362"/>
    </row>
    <row r="503" spans="1:15" ht="15.75" customHeight="1">
      <c r="B503" s="679"/>
      <c r="C503" s="404"/>
      <c r="D503" s="39" t="s">
        <v>1228</v>
      </c>
      <c r="E503" s="42"/>
      <c r="F503" s="42"/>
      <c r="G503" s="184"/>
      <c r="H503" s="184"/>
      <c r="I503" s="184"/>
      <c r="J503" s="39" t="s">
        <v>1228</v>
      </c>
      <c r="K503" s="42"/>
      <c r="L503" s="42"/>
      <c r="M503" s="42"/>
      <c r="N503" s="43"/>
      <c r="O503" s="362"/>
    </row>
    <row r="504" spans="1:15" ht="15.75" customHeight="1">
      <c r="B504" s="679"/>
      <c r="C504" s="418"/>
      <c r="D504" s="39"/>
      <c r="E504" s="39"/>
      <c r="F504" s="39"/>
      <c r="G504" s="39" t="s">
        <v>1229</v>
      </c>
      <c r="H504" s="39"/>
      <c r="I504" s="39"/>
      <c r="J504" s="39"/>
      <c r="K504" s="39"/>
      <c r="L504" s="39"/>
      <c r="M504" s="39"/>
      <c r="N504" s="40"/>
      <c r="O504" s="362"/>
    </row>
    <row r="505" spans="1:15" ht="15.75" customHeight="1">
      <c r="B505" s="679"/>
      <c r="C505" s="466"/>
      <c r="D505" s="467"/>
      <c r="E505" s="467"/>
      <c r="F505" s="39"/>
      <c r="G505" s="39"/>
      <c r="H505" s="39"/>
      <c r="I505" s="39"/>
      <c r="J505" s="1149"/>
      <c r="K505" s="922"/>
      <c r="L505" s="922"/>
      <c r="M505" s="922"/>
      <c r="N505" s="924"/>
      <c r="O505" s="362"/>
    </row>
    <row r="506" spans="1:15" ht="15.75" customHeight="1">
      <c r="B506" s="679"/>
      <c r="C506" s="1150"/>
      <c r="D506" s="936"/>
      <c r="E506" s="936"/>
      <c r="F506" s="416"/>
      <c r="G506" s="416"/>
      <c r="H506" s="416"/>
      <c r="I506" s="416"/>
      <c r="J506" s="936"/>
      <c r="K506" s="936"/>
      <c r="L506" s="936"/>
      <c r="M506" s="936"/>
      <c r="N506" s="938"/>
      <c r="O506" s="362"/>
    </row>
    <row r="507" spans="1:15" ht="15.75" customHeight="1">
      <c r="B507" s="684"/>
      <c r="C507" s="685"/>
      <c r="D507" s="685"/>
      <c r="E507" s="685"/>
      <c r="F507" s="685"/>
      <c r="G507" s="685"/>
      <c r="H507" s="685"/>
      <c r="I507" s="685"/>
      <c r="J507" s="685"/>
      <c r="K507" s="685"/>
      <c r="L507" s="685"/>
      <c r="M507" s="685"/>
      <c r="N507" s="685"/>
      <c r="O507" s="686"/>
    </row>
    <row r="508" spans="1:15" ht="15.75" customHeight="1"/>
    <row r="509" spans="1:15" ht="15.75" customHeight="1"/>
    <row r="510" spans="1:15" ht="15.75" customHeight="1"/>
    <row r="511" spans="1:15" ht="15.75" customHeight="1"/>
    <row r="512" spans="1:15" ht="15.75" customHeight="1">
      <c r="A512" s="395" t="s">
        <v>941</v>
      </c>
      <c r="B512" s="184"/>
      <c r="C512" s="184"/>
      <c r="D512" s="184"/>
      <c r="E512" s="184"/>
      <c r="F512" s="184"/>
      <c r="G512" s="184"/>
      <c r="H512" s="184"/>
      <c r="I512" s="184"/>
      <c r="J512" s="184"/>
      <c r="K512" s="184"/>
      <c r="L512" s="184"/>
      <c r="M512" s="184"/>
      <c r="N512" s="184"/>
    </row>
    <row r="513" spans="1:15" ht="15.75" customHeight="1">
      <c r="A513" s="395"/>
      <c r="B513" s="396"/>
      <c r="C513" s="397"/>
      <c r="D513" s="397"/>
      <c r="E513" s="397"/>
      <c r="F513" s="397"/>
      <c r="G513" s="397"/>
      <c r="H513" s="397"/>
      <c r="I513" s="397"/>
      <c r="J513" s="397"/>
      <c r="K513" s="397"/>
      <c r="L513" s="397"/>
      <c r="M513" s="397"/>
      <c r="N513" s="397"/>
      <c r="O513" s="667"/>
    </row>
    <row r="514" spans="1:15" ht="15.75" customHeight="1">
      <c r="A514" s="395"/>
      <c r="B514" s="399"/>
      <c r="C514" s="1124"/>
      <c r="D514" s="927"/>
      <c r="E514" s="1207" t="str">
        <f>Datos!$C$9</f>
        <v>CONSEJO SUPERIOR  DE  JUDICATURA– DIRECCIÓN  EJECUTIVA  SECCIONAL  DE ADMINISTRACIÓN JUDICIAL DE BUCARAMANGA</v>
      </c>
      <c r="F514" s="926"/>
      <c r="G514" s="926"/>
      <c r="H514" s="926"/>
      <c r="I514" s="926"/>
      <c r="J514" s="926"/>
      <c r="K514" s="927"/>
      <c r="L514" s="925" t="s">
        <v>1</v>
      </c>
      <c r="M514" s="931"/>
      <c r="N514" s="933">
        <v>1</v>
      </c>
      <c r="O514" s="362"/>
    </row>
    <row r="515" spans="1:15" ht="15.75" customHeight="1">
      <c r="A515" s="395"/>
      <c r="B515" s="399"/>
      <c r="C515" s="920"/>
      <c r="D515" s="924"/>
      <c r="E515" s="920"/>
      <c r="F515" s="922"/>
      <c r="G515" s="922"/>
      <c r="H515" s="922"/>
      <c r="I515" s="922"/>
      <c r="J515" s="922"/>
      <c r="K515" s="924"/>
      <c r="L515" s="920"/>
      <c r="M515" s="932"/>
      <c r="N515" s="934"/>
      <c r="O515" s="362"/>
    </row>
    <row r="516" spans="1:15" ht="15.75" customHeight="1">
      <c r="A516" s="395"/>
      <c r="B516" s="399"/>
      <c r="C516" s="920"/>
      <c r="D516" s="924"/>
      <c r="E516" s="919" t="str">
        <f>Datos!$C$13</f>
        <v xml:space="preserve">BGA - 030 - 2026 </v>
      </c>
      <c r="F516" s="922"/>
      <c r="G516" s="922"/>
      <c r="H516" s="922"/>
      <c r="I516" s="922"/>
      <c r="J516" s="922"/>
      <c r="K516" s="922"/>
      <c r="L516" s="925" t="s">
        <v>29</v>
      </c>
      <c r="M516" s="926"/>
      <c r="N516" s="927"/>
      <c r="O516" s="362"/>
    </row>
    <row r="517" spans="1:15" ht="15.75" customHeight="1">
      <c r="A517" s="395"/>
      <c r="B517" s="399"/>
      <c r="C517" s="920"/>
      <c r="D517" s="924"/>
      <c r="E51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17" s="922"/>
      <c r="G517" s="922"/>
      <c r="H517" s="922"/>
      <c r="I517" s="922"/>
      <c r="J517" s="922"/>
      <c r="K517" s="924"/>
      <c r="L517" s="919">
        <v>1</v>
      </c>
      <c r="M517" s="921" t="s">
        <v>30</v>
      </c>
      <c r="N517" s="923">
        <v>1</v>
      </c>
      <c r="O517" s="362"/>
    </row>
    <row r="518" spans="1:15" ht="15.75" customHeight="1">
      <c r="A518" s="395"/>
      <c r="B518" s="399"/>
      <c r="C518" s="920"/>
      <c r="D518" s="924"/>
      <c r="E518" s="920"/>
      <c r="F518" s="922"/>
      <c r="G518" s="922"/>
      <c r="H518" s="922"/>
      <c r="I518" s="922"/>
      <c r="J518" s="922"/>
      <c r="K518" s="924"/>
      <c r="L518" s="920"/>
      <c r="M518" s="922"/>
      <c r="N518" s="924"/>
      <c r="O518" s="362"/>
    </row>
    <row r="519" spans="1:15" ht="15.75" customHeight="1">
      <c r="A519" s="395"/>
      <c r="B519" s="399"/>
      <c r="C519" s="920"/>
      <c r="D519" s="924"/>
      <c r="E519" s="920"/>
      <c r="F519" s="922"/>
      <c r="G519" s="922"/>
      <c r="H519" s="922"/>
      <c r="I519" s="922"/>
      <c r="J519" s="922"/>
      <c r="K519" s="924"/>
      <c r="L519" s="925" t="s">
        <v>2</v>
      </c>
      <c r="M519" s="926"/>
      <c r="N519" s="927"/>
      <c r="O519" s="362"/>
    </row>
    <row r="520" spans="1:15" ht="15.75" customHeight="1">
      <c r="A520" s="395"/>
      <c r="B520" s="399"/>
      <c r="C520" s="920"/>
      <c r="D520" s="924"/>
      <c r="E520" s="407"/>
      <c r="F520" s="216"/>
      <c r="G520" s="216"/>
      <c r="H520" s="216"/>
      <c r="I520" s="216"/>
      <c r="J520" s="216"/>
      <c r="K520" s="216"/>
      <c r="L520" s="408" t="s">
        <v>3</v>
      </c>
      <c r="M520" s="409" t="s">
        <v>4</v>
      </c>
      <c r="N520" s="410" t="s">
        <v>5</v>
      </c>
      <c r="O520" s="362"/>
    </row>
    <row r="521" spans="1:15" ht="15.75" customHeight="1">
      <c r="A521" s="395"/>
      <c r="B521" s="399"/>
      <c r="C521" s="920"/>
      <c r="D521" s="924"/>
      <c r="E521" s="1125" t="s">
        <v>1186</v>
      </c>
      <c r="F521" s="945"/>
      <c r="G521" s="945"/>
      <c r="H521" s="945"/>
      <c r="I521" s="945"/>
      <c r="J521" s="945"/>
      <c r="K521" s="945"/>
      <c r="L521" s="928">
        <f>Datos!$C$7</f>
        <v>19</v>
      </c>
      <c r="M521" s="935">
        <f>Datos!$D$7</f>
        <v>6</v>
      </c>
      <c r="N521" s="937">
        <f>Datos!$E$7</f>
        <v>2026</v>
      </c>
      <c r="O521" s="362"/>
    </row>
    <row r="522" spans="1:15" ht="15.75" customHeight="1">
      <c r="A522" s="395"/>
      <c r="B522" s="399"/>
      <c r="C522" s="929"/>
      <c r="D522" s="938"/>
      <c r="E522" s="929"/>
      <c r="F522" s="936"/>
      <c r="G522" s="936"/>
      <c r="H522" s="936"/>
      <c r="I522" s="936"/>
      <c r="J522" s="936"/>
      <c r="K522" s="936"/>
      <c r="L522" s="929"/>
      <c r="M522" s="936"/>
      <c r="N522" s="938"/>
      <c r="O522" s="362"/>
    </row>
    <row r="523" spans="1:15" ht="15.75" customHeight="1">
      <c r="A523" s="395"/>
      <c r="B523" s="399"/>
      <c r="C523" s="404"/>
      <c r="D523" s="38"/>
      <c r="E523" s="38"/>
      <c r="F523" s="38"/>
      <c r="G523" s="38"/>
      <c r="H523" s="38"/>
      <c r="I523" s="38"/>
      <c r="J523" s="38"/>
      <c r="K523" s="38"/>
      <c r="L523" s="39"/>
      <c r="M523" s="39"/>
      <c r="N523" s="40"/>
      <c r="O523" s="362"/>
    </row>
    <row r="524" spans="1:15" ht="15.75" customHeight="1">
      <c r="A524" s="395"/>
      <c r="B524" s="399"/>
      <c r="C524" s="412" t="s">
        <v>1187</v>
      </c>
      <c r="D524" s="1199" t="str">
        <f>VLOOKUP(C529,ListaAct,2,0)</f>
        <v>OBRA CIVIL</v>
      </c>
      <c r="E524" s="922"/>
      <c r="F524" s="922"/>
      <c r="G524" s="922"/>
      <c r="H524" s="922"/>
      <c r="I524" s="922"/>
      <c r="J524" s="922"/>
      <c r="K524" s="922"/>
      <c r="L524" s="922"/>
      <c r="M524" s="1"/>
      <c r="N524" s="413"/>
      <c r="O524" s="362"/>
    </row>
    <row r="525" spans="1:15" ht="15.75" customHeight="1">
      <c r="A525" s="395"/>
      <c r="B525" s="399"/>
      <c r="C525" s="412" t="s">
        <v>1189</v>
      </c>
      <c r="D525" s="1199" t="str">
        <f>VLOOKUP(C529,ListaAct,3,0)</f>
        <v>DEMOLICIONES, DESCAPOTES Y RETIROS</v>
      </c>
      <c r="E525" s="922"/>
      <c r="F525" s="922"/>
      <c r="G525" s="922"/>
      <c r="H525" s="922"/>
      <c r="I525" s="922"/>
      <c r="J525" s="922"/>
      <c r="K525" s="922"/>
      <c r="L525" s="922"/>
      <c r="M525" s="1"/>
      <c r="N525" s="413"/>
      <c r="O525" s="362"/>
    </row>
    <row r="526" spans="1:15" ht="15.75" customHeight="1">
      <c r="A526" s="395"/>
      <c r="B526" s="399"/>
      <c r="C526" s="925" t="s">
        <v>1191</v>
      </c>
      <c r="D526" s="926"/>
      <c r="E526" s="926"/>
      <c r="F526" s="926"/>
      <c r="G526" s="926"/>
      <c r="H526" s="926"/>
      <c r="I526" s="926"/>
      <c r="J526" s="926"/>
      <c r="K526" s="926"/>
      <c r="L526" s="926"/>
      <c r="M526" s="926"/>
      <c r="N526" s="927"/>
      <c r="O526" s="362"/>
    </row>
    <row r="527" spans="1:15" ht="15.75" customHeight="1">
      <c r="A527" s="395"/>
      <c r="B527" s="399"/>
      <c r="C527" s="418"/>
      <c r="D527" s="39"/>
      <c r="E527" s="39"/>
      <c r="F527" s="39"/>
      <c r="G527" s="39"/>
      <c r="H527" s="39"/>
      <c r="I527" s="39"/>
      <c r="J527" s="39"/>
      <c r="K527" s="39"/>
      <c r="L527" s="39"/>
      <c r="M527" s="39"/>
      <c r="N527" s="40"/>
      <c r="O527" s="362"/>
    </row>
    <row r="528" spans="1:15" ht="15.75" customHeight="1">
      <c r="A528" s="395"/>
      <c r="B528" s="399"/>
      <c r="C528" s="668" t="s">
        <v>965</v>
      </c>
      <c r="D528" s="1200" t="s">
        <v>17</v>
      </c>
      <c r="E528" s="1131"/>
      <c r="F528" s="1131"/>
      <c r="G528" s="1131"/>
      <c r="H528" s="1131"/>
      <c r="I528" s="1131"/>
      <c r="J528" s="1131"/>
      <c r="K528" s="1137"/>
      <c r="L528" s="1201" t="s">
        <v>1192</v>
      </c>
      <c r="M528" s="1137"/>
      <c r="N528" s="668" t="s">
        <v>950</v>
      </c>
      <c r="O528" s="362"/>
    </row>
    <row r="529" spans="1:15" ht="15.75" customHeight="1">
      <c r="A529" s="395"/>
      <c r="B529" s="421"/>
      <c r="C529" s="669" t="s">
        <v>998</v>
      </c>
      <c r="D529" s="1202" t="str">
        <f>IF($C529&gt;0,(VLOOKUP($C529,ListaAct,4,FALSE)),"")</f>
        <v xml:space="preserve"> Desmonte de voladizo fachadas sur . Conservar teja de arcilla en lugar seguro para su reutilización </v>
      </c>
      <c r="E529" s="979"/>
      <c r="F529" s="979"/>
      <c r="G529" s="979"/>
      <c r="H529" s="979"/>
      <c r="I529" s="979"/>
      <c r="J529" s="979"/>
      <c r="K529" s="980"/>
      <c r="L529" s="1203" t="str">
        <f>IF($C529&gt;0,(VLOOKUP($C529,ListaAct,5,FALSE)),"")</f>
        <v>ml</v>
      </c>
      <c r="M529" s="980"/>
      <c r="N529" s="423">
        <f>IF($C529&gt;0,(VLOOKUP($C529,ListaAct,6,FALSE)),"")</f>
        <v>11.66</v>
      </c>
      <c r="O529" s="362"/>
    </row>
    <row r="530" spans="1:15" ht="15.75" customHeight="1">
      <c r="A530" s="395"/>
      <c r="B530" s="399"/>
      <c r="C530" s="1129" t="s">
        <v>1195</v>
      </c>
      <c r="D530" s="926"/>
      <c r="E530" s="926"/>
      <c r="F530" s="926"/>
      <c r="G530" s="926"/>
      <c r="H530" s="926"/>
      <c r="I530" s="926"/>
      <c r="J530" s="926"/>
      <c r="K530" s="926"/>
      <c r="L530" s="926"/>
      <c r="M530" s="926"/>
      <c r="N530" s="927"/>
      <c r="O530" s="362"/>
    </row>
    <row r="531" spans="1:15" ht="15.75" customHeight="1">
      <c r="A531" s="395"/>
      <c r="B531" s="399"/>
      <c r="C531" s="920"/>
      <c r="D531" s="922"/>
      <c r="E531" s="922"/>
      <c r="F531" s="922"/>
      <c r="G531" s="922"/>
      <c r="H531" s="922"/>
      <c r="I531" s="922"/>
      <c r="J531" s="922"/>
      <c r="K531" s="922"/>
      <c r="L531" s="922"/>
      <c r="M531" s="922"/>
      <c r="N531" s="924"/>
      <c r="O531" s="362"/>
    </row>
    <row r="532" spans="1:15" ht="15.75" customHeight="1">
      <c r="A532" s="395"/>
      <c r="B532" s="399"/>
      <c r="C532" s="929"/>
      <c r="D532" s="936"/>
      <c r="E532" s="936"/>
      <c r="F532" s="936"/>
      <c r="G532" s="936"/>
      <c r="H532" s="936"/>
      <c r="I532" s="936"/>
      <c r="J532" s="936"/>
      <c r="K532" s="936"/>
      <c r="L532" s="936"/>
      <c r="M532" s="936"/>
      <c r="N532" s="938"/>
      <c r="O532" s="362"/>
    </row>
    <row r="533" spans="1:15" ht="15.75" customHeight="1">
      <c r="A533" s="395"/>
      <c r="B533" s="399"/>
      <c r="C533" s="1201" t="s">
        <v>17</v>
      </c>
      <c r="D533" s="1131"/>
      <c r="E533" s="1131"/>
      <c r="F533" s="1000"/>
      <c r="G533" s="1204" t="s">
        <v>1196</v>
      </c>
      <c r="H533" s="1000"/>
      <c r="I533" s="1204" t="s">
        <v>1197</v>
      </c>
      <c r="J533" s="1000"/>
      <c r="K533" s="670" t="s">
        <v>1213</v>
      </c>
      <c r="L533" s="1204" t="s">
        <v>1199</v>
      </c>
      <c r="M533" s="1000"/>
      <c r="N533" s="671" t="s">
        <v>1200</v>
      </c>
      <c r="O533" s="362"/>
    </row>
    <row r="534" spans="1:15" ht="15.75" customHeight="1">
      <c r="A534" s="395"/>
      <c r="B534" s="399"/>
      <c r="C534" s="1128" t="s">
        <v>1201</v>
      </c>
      <c r="D534" s="940"/>
      <c r="E534" s="940"/>
      <c r="F534" s="941"/>
      <c r="G534" s="1142"/>
      <c r="H534" s="941"/>
      <c r="I534" s="1142"/>
      <c r="J534" s="941"/>
      <c r="K534" s="429"/>
      <c r="L534" s="1143">
        <v>0.05</v>
      </c>
      <c r="M534" s="941"/>
      <c r="N534" s="430">
        <f>+L534*N573</f>
        <v>1657.4903413503664</v>
      </c>
      <c r="O534" s="362"/>
    </row>
    <row r="535" spans="1:15" ht="15.75" customHeight="1">
      <c r="A535" s="395" t="str">
        <f t="array" ref="A535">IF(C535&lt;&gt;0,INDEX(CodEquipos,MATCH(C535,Equipos,0),),)</f>
        <v>EQ-17</v>
      </c>
      <c r="B535" s="399"/>
      <c r="C535" s="1128" t="s">
        <v>2500</v>
      </c>
      <c r="D535" s="940"/>
      <c r="E535" s="940"/>
      <c r="F535" s="941"/>
      <c r="G535" s="1142"/>
      <c r="H535" s="941"/>
      <c r="I535" s="1142"/>
      <c r="J535" s="941"/>
      <c r="K535" s="432">
        <f>IF($A535&gt;0,(VLOOKUP($A535,TablaEquipos,7,FALSE)),"")</f>
        <v>195499.99999999997</v>
      </c>
      <c r="L535" s="1146">
        <v>0.05</v>
      </c>
      <c r="M535" s="941"/>
      <c r="N535" s="430">
        <f>IF(L535&gt;0,K535*L535,"")</f>
        <v>9774.9999999999982</v>
      </c>
      <c r="O535" s="362"/>
    </row>
    <row r="536" spans="1:15" ht="15.75" customHeight="1">
      <c r="A536" s="395">
        <f t="array" ref="A536">IF(C536&lt;&gt;0,INDEX(CodEquipos,MATCH(C536,Equipos,0),),)</f>
        <v>0</v>
      </c>
      <c r="B536" s="399"/>
      <c r="C536" s="1128"/>
      <c r="D536" s="940"/>
      <c r="E536" s="940"/>
      <c r="F536" s="941"/>
      <c r="G536" s="1142"/>
      <c r="H536" s="941"/>
      <c r="I536" s="1142"/>
      <c r="J536" s="941"/>
      <c r="K536" s="432" t="str">
        <f>IF($A536&gt;0,(VLOOKUP($A536,TablaEquipos,7,FALSE)),"")</f>
        <v/>
      </c>
      <c r="L536" s="1141"/>
      <c r="M536" s="941"/>
      <c r="N536" s="430" t="str">
        <f t="shared" ref="N536" si="42">IF(L536&gt;0,K536/L536,"")</f>
        <v/>
      </c>
      <c r="O536" s="362"/>
    </row>
    <row r="537" spans="1:15" ht="15.75" customHeight="1">
      <c r="A537" s="395">
        <f t="array" ref="A537">IF(C537&lt;&gt;0,INDEX(CodEquipos,MATCH(C537,Equipos,0),),)</f>
        <v>0</v>
      </c>
      <c r="B537" s="399"/>
      <c r="C537" s="1128"/>
      <c r="D537" s="940"/>
      <c r="E537" s="940"/>
      <c r="F537" s="941"/>
      <c r="G537" s="1142"/>
      <c r="H537" s="941"/>
      <c r="I537" s="1142"/>
      <c r="J537" s="941"/>
      <c r="K537" s="432"/>
      <c r="L537" s="1141"/>
      <c r="M537" s="941"/>
      <c r="N537" s="430"/>
      <c r="O537" s="362"/>
    </row>
    <row r="538" spans="1:15" ht="15.75" customHeight="1">
      <c r="A538" s="395">
        <f t="array" ref="A538">IF(C538&lt;&gt;0,INDEX(CodEquipos,MATCH(C538,Equipos,0),),)</f>
        <v>0</v>
      </c>
      <c r="B538" s="399"/>
      <c r="C538" s="1128"/>
      <c r="D538" s="940"/>
      <c r="E538" s="940"/>
      <c r="F538" s="941"/>
      <c r="G538" s="1142"/>
      <c r="H538" s="941"/>
      <c r="I538" s="1142"/>
      <c r="J538" s="941"/>
      <c r="K538" s="432" t="str">
        <f>IF($A538&gt;0,(VLOOKUP($A538,TablaEquipos,7,FALSE)),"")</f>
        <v/>
      </c>
      <c r="L538" s="1141"/>
      <c r="M538" s="941"/>
      <c r="N538" s="430" t="str">
        <f t="shared" ref="N538:N539" si="43">IF(L538&gt;0,K538/L538,"")</f>
        <v/>
      </c>
      <c r="O538" s="362"/>
    </row>
    <row r="539" spans="1:15" ht="15.75" customHeight="1">
      <c r="A539" s="395">
        <f t="array" ref="A539">IF(C539&lt;&gt;0,INDEX(CodEquipos,MATCH(C539,Equipos,0),),)</f>
        <v>0</v>
      </c>
      <c r="B539" s="399"/>
      <c r="C539" s="1128"/>
      <c r="D539" s="940"/>
      <c r="E539" s="940"/>
      <c r="F539" s="941"/>
      <c r="G539" s="1144"/>
      <c r="H539" s="1145"/>
      <c r="I539" s="1144"/>
      <c r="J539" s="1145"/>
      <c r="K539" s="432" t="str">
        <f>IF($A539&gt;0,(VLOOKUP($A539,TablaEquipos,7,FALSE)),"")</f>
        <v/>
      </c>
      <c r="L539" s="1208"/>
      <c r="M539" s="1145"/>
      <c r="N539" s="430" t="str">
        <f t="shared" si="43"/>
        <v/>
      </c>
      <c r="O539" s="362"/>
    </row>
    <row r="540" spans="1:15" ht="15.75" customHeight="1">
      <c r="A540" s="395"/>
      <c r="B540" s="399"/>
      <c r="C540" s="1127" t="s">
        <v>1202</v>
      </c>
      <c r="D540" s="965"/>
      <c r="E540" s="965"/>
      <c r="F540" s="965"/>
      <c r="G540" s="965"/>
      <c r="H540" s="965"/>
      <c r="I540" s="965"/>
      <c r="J540" s="965"/>
      <c r="K540" s="965"/>
      <c r="L540" s="965"/>
      <c r="M540" s="966"/>
      <c r="N540" s="433">
        <f>+SUM(N534:N539)</f>
        <v>11432.490341350365</v>
      </c>
      <c r="O540" s="362"/>
    </row>
    <row r="541" spans="1:15" ht="15.75" customHeight="1">
      <c r="A541" s="395"/>
      <c r="B541" s="399"/>
      <c r="C541" s="1129" t="s">
        <v>1203</v>
      </c>
      <c r="D541" s="926"/>
      <c r="E541" s="926"/>
      <c r="F541" s="926"/>
      <c r="G541" s="926"/>
      <c r="H541" s="926"/>
      <c r="I541" s="926"/>
      <c r="J541" s="926"/>
      <c r="K541" s="926"/>
      <c r="L541" s="926"/>
      <c r="M541" s="926"/>
      <c r="N541" s="927"/>
      <c r="O541" s="362"/>
    </row>
    <row r="542" spans="1:15" ht="15.75" customHeight="1">
      <c r="A542" s="395"/>
      <c r="B542" s="399"/>
      <c r="C542" s="920"/>
      <c r="D542" s="922"/>
      <c r="E542" s="922"/>
      <c r="F542" s="922"/>
      <c r="G542" s="922"/>
      <c r="H542" s="922"/>
      <c r="I542" s="922"/>
      <c r="J542" s="922"/>
      <c r="K542" s="922"/>
      <c r="L542" s="922"/>
      <c r="M542" s="922"/>
      <c r="N542" s="924"/>
      <c r="O542" s="362"/>
    </row>
    <row r="543" spans="1:15" ht="15.75" customHeight="1">
      <c r="A543" s="395"/>
      <c r="B543" s="399"/>
      <c r="C543" s="929"/>
      <c r="D543" s="936"/>
      <c r="E543" s="936"/>
      <c r="F543" s="936"/>
      <c r="G543" s="936"/>
      <c r="H543" s="936"/>
      <c r="I543" s="936"/>
      <c r="J543" s="936"/>
      <c r="K543" s="936"/>
      <c r="L543" s="936"/>
      <c r="M543" s="936"/>
      <c r="N543" s="938"/>
      <c r="O543" s="362"/>
    </row>
    <row r="544" spans="1:15" ht="15.75" customHeight="1">
      <c r="A544" s="395"/>
      <c r="B544" s="399"/>
      <c r="C544" s="1201" t="s">
        <v>17</v>
      </c>
      <c r="D544" s="1131"/>
      <c r="E544" s="1131"/>
      <c r="F544" s="1131"/>
      <c r="G544" s="1131"/>
      <c r="H544" s="1131"/>
      <c r="I544" s="1000"/>
      <c r="J544" s="672" t="s">
        <v>1192</v>
      </c>
      <c r="K544" s="670" t="s">
        <v>950</v>
      </c>
      <c r="L544" s="1204" t="s">
        <v>1204</v>
      </c>
      <c r="M544" s="1000"/>
      <c r="N544" s="671" t="s">
        <v>1200</v>
      </c>
      <c r="O544" s="362"/>
    </row>
    <row r="545" spans="1:17" ht="15.75" customHeight="1">
      <c r="A545" s="395">
        <f t="array" ref="A545">IF(C545&lt;&gt;0,INDEX(CodMat,MATCH(C545,Materiales,0),),)</f>
        <v>0</v>
      </c>
      <c r="B545" s="399"/>
      <c r="C545" s="1128"/>
      <c r="D545" s="940"/>
      <c r="E545" s="940"/>
      <c r="F545" s="940"/>
      <c r="G545" s="940"/>
      <c r="H545" s="940"/>
      <c r="I545" s="941"/>
      <c r="J545" s="435" t="str">
        <f t="shared" ref="J545:J552" si="44">IF($A545&gt;0,(VLOOKUP($A545,TablaInsumos,5,FALSE)),"")</f>
        <v/>
      </c>
      <c r="K545" s="673"/>
      <c r="L545" s="1134" t="str">
        <f t="shared" ref="L545:L552" si="45">IF($A545&gt;0,(VLOOKUP($A545,TablaInsumos,7,FALSE)),"")</f>
        <v/>
      </c>
      <c r="M545" s="941"/>
      <c r="N545" s="430" t="str">
        <f t="shared" ref="N545:N552" si="46">IF(K545&gt;0,L545*K545,"")</f>
        <v/>
      </c>
      <c r="O545" s="362"/>
    </row>
    <row r="546" spans="1:17" ht="15.75" customHeight="1">
      <c r="A546" s="395">
        <f t="array" ref="A546">IF(C546&lt;&gt;0,INDEX(CodMat,MATCH(C546,Materiales,0),),)</f>
        <v>0</v>
      </c>
      <c r="B546" s="399"/>
      <c r="C546" s="1128"/>
      <c r="D546" s="940"/>
      <c r="E546" s="940"/>
      <c r="F546" s="940"/>
      <c r="G546" s="940"/>
      <c r="H546" s="940"/>
      <c r="I546" s="941"/>
      <c r="J546" s="435" t="str">
        <f t="shared" si="44"/>
        <v/>
      </c>
      <c r="K546" s="673"/>
      <c r="L546" s="1134" t="str">
        <f t="shared" si="45"/>
        <v/>
      </c>
      <c r="M546" s="941"/>
      <c r="N546" s="430" t="str">
        <f t="shared" si="46"/>
        <v/>
      </c>
      <c r="O546" s="362"/>
    </row>
    <row r="547" spans="1:17" ht="15.75" customHeight="1">
      <c r="A547" s="395">
        <f t="array" ref="A547">IF(C547&lt;&gt;0,INDEX(CodMat,MATCH(C547,Materiales,0),),)</f>
        <v>0</v>
      </c>
      <c r="B547" s="399"/>
      <c r="C547" s="1128"/>
      <c r="D547" s="940"/>
      <c r="E547" s="940"/>
      <c r="F547" s="940"/>
      <c r="G547" s="940"/>
      <c r="H547" s="940"/>
      <c r="I547" s="941"/>
      <c r="J547" s="435" t="str">
        <f t="shared" si="44"/>
        <v/>
      </c>
      <c r="K547" s="673"/>
      <c r="L547" s="1134" t="str">
        <f t="shared" si="45"/>
        <v/>
      </c>
      <c r="M547" s="941"/>
      <c r="N547" s="430" t="str">
        <f t="shared" si="46"/>
        <v/>
      </c>
      <c r="O547" s="362"/>
      <c r="Q547" s="687" t="e">
        <f>50/L547</f>
        <v>#VALUE!</v>
      </c>
    </row>
    <row r="548" spans="1:17" ht="15.75" customHeight="1">
      <c r="A548" s="395">
        <f t="array" ref="A548">IF(C548&lt;&gt;0,INDEX(CodMat,MATCH(C548,Materiales,0),),)</f>
        <v>0</v>
      </c>
      <c r="B548" s="399"/>
      <c r="C548" s="1128"/>
      <c r="D548" s="940"/>
      <c r="E548" s="940"/>
      <c r="F548" s="940"/>
      <c r="G548" s="940"/>
      <c r="H548" s="940"/>
      <c r="I548" s="941"/>
      <c r="J548" s="435" t="str">
        <f t="shared" si="44"/>
        <v/>
      </c>
      <c r="K548" s="673"/>
      <c r="L548" s="1134" t="str">
        <f t="shared" si="45"/>
        <v/>
      </c>
      <c r="M548" s="941"/>
      <c r="N548" s="430" t="str">
        <f t="shared" si="46"/>
        <v/>
      </c>
      <c r="O548" s="362"/>
    </row>
    <row r="549" spans="1:17" ht="15.75" customHeight="1">
      <c r="A549" s="395">
        <f t="array" ref="A549">IF(C549&lt;&gt;0,INDEX(CodMat,MATCH(C549,Materiales,0),),)</f>
        <v>0</v>
      </c>
      <c r="B549" s="399"/>
      <c r="C549" s="1128"/>
      <c r="D549" s="940"/>
      <c r="E549" s="940"/>
      <c r="F549" s="940"/>
      <c r="G549" s="940"/>
      <c r="H549" s="940"/>
      <c r="I549" s="941"/>
      <c r="J549" s="435" t="str">
        <f t="shared" si="44"/>
        <v/>
      </c>
      <c r="K549" s="436"/>
      <c r="L549" s="1134" t="str">
        <f t="shared" si="45"/>
        <v/>
      </c>
      <c r="M549" s="941"/>
      <c r="N549" s="430" t="str">
        <f t="shared" si="46"/>
        <v/>
      </c>
      <c r="O549" s="362"/>
    </row>
    <row r="550" spans="1:17" ht="15.75" customHeight="1">
      <c r="A550" s="395">
        <f t="array" ref="A550">IF(C550&lt;&gt;0,INDEX(CodMat,MATCH(C550,Materiales,0),),)</f>
        <v>0</v>
      </c>
      <c r="B550" s="399"/>
      <c r="C550" s="1128"/>
      <c r="D550" s="940"/>
      <c r="E550" s="940"/>
      <c r="F550" s="940"/>
      <c r="G550" s="940"/>
      <c r="H550" s="940"/>
      <c r="I550" s="941"/>
      <c r="J550" s="435" t="str">
        <f t="shared" si="44"/>
        <v/>
      </c>
      <c r="K550" s="436"/>
      <c r="L550" s="1134" t="str">
        <f t="shared" si="45"/>
        <v/>
      </c>
      <c r="M550" s="941"/>
      <c r="N550" s="430" t="str">
        <f t="shared" si="46"/>
        <v/>
      </c>
      <c r="O550" s="362"/>
    </row>
    <row r="551" spans="1:17" ht="15.75" customHeight="1">
      <c r="A551" s="395">
        <f t="array" ref="A551">IF(C551&lt;&gt;0,INDEX(CodMat,MATCH(C551,Materiales,0),),)</f>
        <v>0</v>
      </c>
      <c r="B551" s="399"/>
      <c r="C551" s="1128"/>
      <c r="D551" s="940"/>
      <c r="E551" s="940"/>
      <c r="F551" s="940"/>
      <c r="G551" s="940"/>
      <c r="H551" s="940"/>
      <c r="I551" s="941"/>
      <c r="J551" s="435" t="str">
        <f t="shared" si="44"/>
        <v/>
      </c>
      <c r="K551" s="436"/>
      <c r="L551" s="1134" t="str">
        <f t="shared" si="45"/>
        <v/>
      </c>
      <c r="M551" s="941"/>
      <c r="N551" s="430" t="str">
        <f t="shared" si="46"/>
        <v/>
      </c>
      <c r="O551" s="362"/>
    </row>
    <row r="552" spans="1:17" ht="15.75" customHeight="1">
      <c r="A552" s="395">
        <f t="array" ref="A552">IF(C552&lt;&gt;0,INDEX(CodMat,MATCH(C552,Materiales,0),),)</f>
        <v>0</v>
      </c>
      <c r="B552" s="399"/>
      <c r="C552" s="1128"/>
      <c r="D552" s="940"/>
      <c r="E552" s="940"/>
      <c r="F552" s="940"/>
      <c r="G552" s="940"/>
      <c r="H552" s="940"/>
      <c r="I552" s="941"/>
      <c r="J552" s="435" t="str">
        <f t="shared" si="44"/>
        <v/>
      </c>
      <c r="K552" s="436"/>
      <c r="L552" s="1205" t="str">
        <f t="shared" si="45"/>
        <v/>
      </c>
      <c r="M552" s="1145"/>
      <c r="N552" s="430" t="str">
        <f t="shared" si="46"/>
        <v/>
      </c>
      <c r="O552" s="362"/>
    </row>
    <row r="553" spans="1:17" ht="15.75" customHeight="1">
      <c r="A553" s="395"/>
      <c r="B553" s="399"/>
      <c r="C553" s="1127" t="s">
        <v>1202</v>
      </c>
      <c r="D553" s="965"/>
      <c r="E553" s="965"/>
      <c r="F553" s="965"/>
      <c r="G553" s="965"/>
      <c r="H553" s="965"/>
      <c r="I553" s="965"/>
      <c r="J553" s="965"/>
      <c r="K553" s="965"/>
      <c r="L553" s="965"/>
      <c r="M553" s="966"/>
      <c r="N553" s="433">
        <f>+SUM(N545:N552)</f>
        <v>0</v>
      </c>
      <c r="O553" s="362"/>
    </row>
    <row r="554" spans="1:17" ht="15.75" customHeight="1">
      <c r="A554" s="395"/>
      <c r="B554" s="399"/>
      <c r="C554" s="1129" t="s">
        <v>1208</v>
      </c>
      <c r="D554" s="926"/>
      <c r="E554" s="926"/>
      <c r="F554" s="926"/>
      <c r="G554" s="926"/>
      <c r="H554" s="926"/>
      <c r="I554" s="926"/>
      <c r="J554" s="926"/>
      <c r="K554" s="926"/>
      <c r="L554" s="926"/>
      <c r="M554" s="926"/>
      <c r="N554" s="927"/>
      <c r="O554" s="362"/>
    </row>
    <row r="555" spans="1:17" ht="15.75" customHeight="1">
      <c r="A555" s="395"/>
      <c r="B555" s="399"/>
      <c r="C555" s="920"/>
      <c r="D555" s="922"/>
      <c r="E555" s="922"/>
      <c r="F555" s="922"/>
      <c r="G555" s="922"/>
      <c r="H555" s="922"/>
      <c r="I555" s="922"/>
      <c r="J555" s="922"/>
      <c r="K555" s="922"/>
      <c r="L555" s="922"/>
      <c r="M555" s="922"/>
      <c r="N555" s="924"/>
      <c r="O555" s="362"/>
    </row>
    <row r="556" spans="1:17" ht="15.75" customHeight="1">
      <c r="A556" s="395"/>
      <c r="B556" s="399"/>
      <c r="C556" s="929"/>
      <c r="D556" s="936"/>
      <c r="E556" s="936"/>
      <c r="F556" s="936"/>
      <c r="G556" s="936"/>
      <c r="H556" s="936"/>
      <c r="I556" s="936"/>
      <c r="J556" s="936"/>
      <c r="K556" s="936"/>
      <c r="L556" s="936"/>
      <c r="M556" s="936"/>
      <c r="N556" s="938"/>
      <c r="O556" s="362"/>
    </row>
    <row r="557" spans="1:17" ht="15.75" customHeight="1">
      <c r="A557" s="395"/>
      <c r="B557" s="399"/>
      <c r="C557" s="1201" t="s">
        <v>1209</v>
      </c>
      <c r="D557" s="1131"/>
      <c r="E557" s="1131"/>
      <c r="F557" s="1131"/>
      <c r="G557" s="1131"/>
      <c r="H557" s="1000"/>
      <c r="I557" s="670" t="s">
        <v>1210</v>
      </c>
      <c r="J557" s="674" t="s">
        <v>1211</v>
      </c>
      <c r="K557" s="675" t="s">
        <v>2318</v>
      </c>
      <c r="L557" s="1204" t="s">
        <v>1213</v>
      </c>
      <c r="M557" s="1000"/>
      <c r="N557" s="671" t="s">
        <v>1200</v>
      </c>
      <c r="O557" s="362"/>
    </row>
    <row r="558" spans="1:17" ht="15.75" customHeight="1">
      <c r="A558" s="395">
        <f t="array" ref="A558">IF(C558&lt;&gt;0,INDEX(CodTransporte,MATCH(C558,Transporte,0),),)</f>
        <v>0</v>
      </c>
      <c r="B558" s="399"/>
      <c r="C558" s="1128"/>
      <c r="D558" s="940"/>
      <c r="E558" s="940"/>
      <c r="F558" s="940"/>
      <c r="G558" s="940"/>
      <c r="H558" s="940"/>
      <c r="I558" s="440"/>
      <c r="J558" s="441" t="str">
        <f>IF($A558&gt;0,(VLOOKUP($A558,TablaTransporte,6,FALSE)),"")</f>
        <v/>
      </c>
      <c r="K558" s="442" t="str">
        <f>IF($A558&gt;0,(VLOOKUP($A558,TablaTransporte,5,FALSE)),"")</f>
        <v/>
      </c>
      <c r="L558" s="1134" t="str">
        <f>IF($A558&gt;0,(VLOOKUP($A558,TablaTransporte,7,FALSE)),"")</f>
        <v/>
      </c>
      <c r="M558" s="941"/>
      <c r="N558" s="430" t="str">
        <f t="shared" ref="N558:N562" si="47">IF(I558&gt;0,J558*L558*I558,"")</f>
        <v/>
      </c>
      <c r="O558" s="362"/>
    </row>
    <row r="559" spans="1:17" ht="15.75" customHeight="1">
      <c r="A559" s="395">
        <f t="array" ref="A559">IF(C559&lt;&gt;0,INDEX(CodTransporte,MATCH(C559,Transporte,0),),)</f>
        <v>0</v>
      </c>
      <c r="B559" s="399"/>
      <c r="C559" s="1128"/>
      <c r="D559" s="940"/>
      <c r="E559" s="940"/>
      <c r="F559" s="940"/>
      <c r="G559" s="940"/>
      <c r="H559" s="940"/>
      <c r="I559" s="440"/>
      <c r="J559" s="441" t="str">
        <f>IF($A559&gt;0,(VLOOKUP($A559,TablaTransporte,6,FALSE)),"")</f>
        <v/>
      </c>
      <c r="K559" s="442" t="str">
        <f>IF($A559&gt;0,(VLOOKUP($A559,TablaTransporte,5,FALSE)),"")</f>
        <v/>
      </c>
      <c r="L559" s="1134" t="str">
        <f>IF($A559&gt;0,(VLOOKUP($A559,TablaTransporte,7,FALSE)),"")</f>
        <v/>
      </c>
      <c r="M559" s="941"/>
      <c r="N559" s="430" t="str">
        <f t="shared" si="47"/>
        <v/>
      </c>
      <c r="O559" s="362"/>
    </row>
    <row r="560" spans="1:17" ht="15.75" customHeight="1">
      <c r="A560" s="395">
        <f t="array" ref="A560">IF(C560&lt;&gt;0,INDEX(CodTransporte,MATCH(C560,Transporte,0),),)</f>
        <v>0</v>
      </c>
      <c r="B560" s="399"/>
      <c r="C560" s="1128"/>
      <c r="D560" s="940"/>
      <c r="E560" s="940"/>
      <c r="F560" s="940"/>
      <c r="G560" s="940"/>
      <c r="H560" s="940"/>
      <c r="I560" s="440"/>
      <c r="J560" s="441" t="str">
        <f>IF($A560&gt;0,(VLOOKUP($A560,TablaTransporte,6,FALSE)),"")</f>
        <v/>
      </c>
      <c r="K560" s="442" t="str">
        <f>IF($A560&gt;0,(VLOOKUP($A560,TablaTransporte,5,FALSE)),"")</f>
        <v/>
      </c>
      <c r="L560" s="1134" t="str">
        <f>IF($A560&gt;0,(VLOOKUP($A560,TablaTransporte,7,FALSE)),"")</f>
        <v/>
      </c>
      <c r="M560" s="941"/>
      <c r="N560" s="430" t="str">
        <f t="shared" si="47"/>
        <v/>
      </c>
      <c r="O560" s="362"/>
    </row>
    <row r="561" spans="1:18" ht="15.75" customHeight="1">
      <c r="A561" s="395">
        <f t="array" ref="A561">IF(C561&lt;&gt;0,INDEX(CodTransporte,MATCH(C561,Transporte,0),),)</f>
        <v>0</v>
      </c>
      <c r="B561" s="399"/>
      <c r="C561" s="1128"/>
      <c r="D561" s="940"/>
      <c r="E561" s="940"/>
      <c r="F561" s="940"/>
      <c r="G561" s="940"/>
      <c r="H561" s="940"/>
      <c r="I561" s="440"/>
      <c r="J561" s="441" t="str">
        <f>IF($A561&gt;0,(VLOOKUP($A561,TablaTransporte,6,FALSE)),"")</f>
        <v/>
      </c>
      <c r="K561" s="442" t="str">
        <f>IF($A561&gt;0,(VLOOKUP($A561,TablaTransporte,5,FALSE)),"")</f>
        <v/>
      </c>
      <c r="L561" s="1134" t="str">
        <f>IF($A561&gt;0,(VLOOKUP($A561,TablaTransporte,7,FALSE)),"")</f>
        <v/>
      </c>
      <c r="M561" s="941"/>
      <c r="N561" s="430" t="str">
        <f t="shared" si="47"/>
        <v/>
      </c>
      <c r="O561" s="362"/>
    </row>
    <row r="562" spans="1:18" ht="15.75" customHeight="1">
      <c r="A562" s="395">
        <f t="array" ref="A562">IF(C562&lt;&gt;0,INDEX(CodTransporte,MATCH(C562,Transporte,0),),)</f>
        <v>0</v>
      </c>
      <c r="B562" s="399"/>
      <c r="C562" s="1128"/>
      <c r="D562" s="940"/>
      <c r="E562" s="940"/>
      <c r="F562" s="940"/>
      <c r="G562" s="940"/>
      <c r="H562" s="940"/>
      <c r="I562" s="440"/>
      <c r="J562" s="441" t="str">
        <f>IF($A562&gt;0,(VLOOKUP($A562,TablaTransporte,6,FALSE)),"")</f>
        <v/>
      </c>
      <c r="K562" s="442" t="str">
        <f>IF($A562&gt;0,(VLOOKUP($A562,TablaTransporte,5,FALSE)),"")</f>
        <v/>
      </c>
      <c r="L562" s="1205" t="str">
        <f>IF($A562&gt;0,(VLOOKUP($A562,TablaTransporte,7,FALSE)),"")</f>
        <v/>
      </c>
      <c r="M562" s="1145"/>
      <c r="N562" s="430" t="str">
        <f t="shared" si="47"/>
        <v/>
      </c>
      <c r="O562" s="362"/>
    </row>
    <row r="563" spans="1:18" ht="15.75" customHeight="1">
      <c r="A563" s="395"/>
      <c r="B563" s="399"/>
      <c r="C563" s="1127" t="s">
        <v>1202</v>
      </c>
      <c r="D563" s="965"/>
      <c r="E563" s="965"/>
      <c r="F563" s="965"/>
      <c r="G563" s="965"/>
      <c r="H563" s="965"/>
      <c r="I563" s="965"/>
      <c r="J563" s="965"/>
      <c r="K563" s="965"/>
      <c r="L563" s="965"/>
      <c r="M563" s="966"/>
      <c r="N563" s="433">
        <f>+SUM(N558:N562)</f>
        <v>0</v>
      </c>
      <c r="O563" s="362"/>
    </row>
    <row r="564" spans="1:18" ht="15.75" customHeight="1">
      <c r="A564" s="395"/>
      <c r="B564" s="399"/>
      <c r="C564" s="1129" t="s">
        <v>1214</v>
      </c>
      <c r="D564" s="926"/>
      <c r="E564" s="926"/>
      <c r="F564" s="926"/>
      <c r="G564" s="926"/>
      <c r="H564" s="926"/>
      <c r="I564" s="926"/>
      <c r="J564" s="926"/>
      <c r="K564" s="926"/>
      <c r="L564" s="926"/>
      <c r="M564" s="926"/>
      <c r="N564" s="927"/>
      <c r="O564" s="362"/>
    </row>
    <row r="565" spans="1:18" ht="15.75" customHeight="1">
      <c r="A565" s="395"/>
      <c r="B565" s="399"/>
      <c r="C565" s="920"/>
      <c r="D565" s="922"/>
      <c r="E565" s="922"/>
      <c r="F565" s="922"/>
      <c r="G565" s="922"/>
      <c r="H565" s="922"/>
      <c r="I565" s="922"/>
      <c r="J565" s="922"/>
      <c r="K565" s="922"/>
      <c r="L565" s="922"/>
      <c r="M565" s="922"/>
      <c r="N565" s="924"/>
      <c r="O565" s="362"/>
    </row>
    <row r="566" spans="1:18" ht="15.75" customHeight="1">
      <c r="A566" s="395"/>
      <c r="B566" s="399"/>
      <c r="C566" s="929"/>
      <c r="D566" s="936"/>
      <c r="E566" s="936"/>
      <c r="F566" s="936"/>
      <c r="G566" s="936"/>
      <c r="H566" s="936"/>
      <c r="I566" s="936"/>
      <c r="J566" s="936"/>
      <c r="K566" s="936"/>
      <c r="L566" s="936"/>
      <c r="M566" s="936"/>
      <c r="N566" s="938"/>
      <c r="O566" s="362"/>
    </row>
    <row r="567" spans="1:18" ht="15.75" customHeight="1">
      <c r="A567" s="395"/>
      <c r="B567" s="399"/>
      <c r="C567" s="1201" t="s">
        <v>1215</v>
      </c>
      <c r="D567" s="1131"/>
      <c r="E567" s="1131"/>
      <c r="F567" s="1131"/>
      <c r="G567" s="1131"/>
      <c r="H567" s="1000"/>
      <c r="I567" s="670" t="s">
        <v>1216</v>
      </c>
      <c r="J567" s="676" t="s">
        <v>1217</v>
      </c>
      <c r="K567" s="677" t="s">
        <v>1218</v>
      </c>
      <c r="L567" s="1206" t="s">
        <v>1199</v>
      </c>
      <c r="M567" s="1000"/>
      <c r="N567" s="678" t="s">
        <v>1200</v>
      </c>
      <c r="O567" s="362"/>
    </row>
    <row r="568" spans="1:18" ht="15.75" customHeight="1">
      <c r="A568" s="395" t="str">
        <f t="array" ref="A568">IF(C568&lt;&gt;0,INDEX(CodMO,MATCH(C568,MO,0),),)</f>
        <v>M.O-05</v>
      </c>
      <c r="B568" s="399"/>
      <c r="C568" s="1128" t="s">
        <v>139</v>
      </c>
      <c r="D568" s="940"/>
      <c r="E568" s="940"/>
      <c r="F568" s="940"/>
      <c r="G568" s="940"/>
      <c r="H568" s="940"/>
      <c r="I568" s="447">
        <f>IF($A568&gt;0,(VLOOKUP($A568,TablaMO,8,FALSE)),"")</f>
        <v>125030.16666666667</v>
      </c>
      <c r="J568" s="448">
        <f>IF($A568&gt;0,(VLOOKUP($A568,TablaMO,10,FALSE)),"")</f>
        <v>0.67071666666666663</v>
      </c>
      <c r="K568" s="447">
        <f>IF($A568&gt;0,(VLOOKUP($A568,TablaMO,11,FALSE)),"")</f>
        <v>208890</v>
      </c>
      <c r="L568" s="1146">
        <v>9.9554727942224179</v>
      </c>
      <c r="M568" s="941"/>
      <c r="N568" s="430">
        <f t="shared" ref="N568:N572" si="48">IF(L568&gt;0,K568/L568,"")</f>
        <v>20982.428892902775</v>
      </c>
      <c r="O568" s="362"/>
    </row>
    <row r="569" spans="1:18" ht="15.75" customHeight="1">
      <c r="A569" s="395" t="str">
        <f t="array" ref="A569">IF(C569&lt;&gt;0,INDEX(CodMO,MATCH(C569,MO,0),),)</f>
        <v>M.O-01</v>
      </c>
      <c r="B569" s="399"/>
      <c r="C569" s="1128" t="s">
        <v>130</v>
      </c>
      <c r="D569" s="940"/>
      <c r="E569" s="940"/>
      <c r="F569" s="940"/>
      <c r="G569" s="940"/>
      <c r="H569" s="940"/>
      <c r="I569" s="447">
        <f>IF($A569&gt;0,(VLOOKUP($A569,TablaMO,8,FALSE)),"")</f>
        <v>72503.016666666677</v>
      </c>
      <c r="J569" s="448">
        <f>IF($A569&gt;0,(VLOOKUP($A569,TablaMO,10,FALSE)),"")</f>
        <v>0.67071666666666663</v>
      </c>
      <c r="K569" s="447">
        <f>IF($A569&gt;0,(VLOOKUP($A569,TablaMO,11,FALSE)),"")</f>
        <v>121132</v>
      </c>
      <c r="L569" s="1146">
        <f>L568</f>
        <v>9.9554727942224179</v>
      </c>
      <c r="M569" s="941"/>
      <c r="N569" s="430">
        <f t="shared" si="48"/>
        <v>12167.377934104548</v>
      </c>
      <c r="O569" s="362"/>
    </row>
    <row r="570" spans="1:18" ht="15.75" customHeight="1">
      <c r="A570" s="395">
        <f t="array" ref="A570">IF(C570&lt;&gt;0,INDEX(CodMO,MATCH(C570,MO,0),),)</f>
        <v>0</v>
      </c>
      <c r="B570" s="399"/>
      <c r="C570" s="1128"/>
      <c r="D570" s="940"/>
      <c r="E570" s="940"/>
      <c r="F570" s="940"/>
      <c r="G570" s="940"/>
      <c r="H570" s="940"/>
      <c r="I570" s="447" t="str">
        <f>IF($A570&gt;0,(VLOOKUP($A570,TablaMO,8,FALSE)),"")</f>
        <v/>
      </c>
      <c r="J570" s="448" t="str">
        <f>IF($A570&gt;0,(VLOOKUP($A570,TablaMO,10,FALSE)),"")</f>
        <v/>
      </c>
      <c r="K570" s="447" t="str">
        <f>IF($A570&gt;0,(VLOOKUP($A570,TablaMO,11,FALSE)),"")</f>
        <v/>
      </c>
      <c r="L570" s="1146"/>
      <c r="M570" s="941"/>
      <c r="N570" s="430" t="str">
        <f t="shared" si="48"/>
        <v/>
      </c>
      <c r="O570" s="362"/>
    </row>
    <row r="571" spans="1:18" ht="15.75" customHeight="1">
      <c r="A571" s="395">
        <f t="array" ref="A571">IF(C571&lt;&gt;0,INDEX(CodMO,MATCH(C571,MO,0),),)</f>
        <v>0</v>
      </c>
      <c r="B571" s="399"/>
      <c r="C571" s="1128"/>
      <c r="D571" s="940"/>
      <c r="E571" s="940"/>
      <c r="F571" s="940"/>
      <c r="G571" s="940"/>
      <c r="H571" s="940"/>
      <c r="I571" s="447" t="str">
        <f>IF($A571&gt;0,(VLOOKUP($A571,TablaMO,8,FALSE)),"")</f>
        <v/>
      </c>
      <c r="J571" s="448" t="str">
        <f>IF($A571&gt;0,(VLOOKUP($A571,TablaMO,10,FALSE)),"")</f>
        <v/>
      </c>
      <c r="K571" s="447" t="str">
        <f>IF($A571&gt;0,(VLOOKUP($A571,TablaMO,11,FALSE)),"")</f>
        <v/>
      </c>
      <c r="L571" s="1146"/>
      <c r="M571" s="941"/>
      <c r="N571" s="430" t="str">
        <f t="shared" si="48"/>
        <v/>
      </c>
      <c r="O571" s="362"/>
    </row>
    <row r="572" spans="1:18" ht="15.75" customHeight="1">
      <c r="A572" s="395">
        <f t="array" ref="A572">IF(C572&lt;&gt;0,INDEX(CodMO,MATCH(C572,MO,0),),)</f>
        <v>0</v>
      </c>
      <c r="B572" s="399"/>
      <c r="C572" s="1128"/>
      <c r="D572" s="940"/>
      <c r="E572" s="940"/>
      <c r="F572" s="940"/>
      <c r="G572" s="940"/>
      <c r="H572" s="940"/>
      <c r="I572" s="447" t="str">
        <f>IF($A572&gt;0,(VLOOKUP($A572,TablaMO,8,FALSE)),"")</f>
        <v/>
      </c>
      <c r="J572" s="448" t="str">
        <f>IF($A572&gt;0,(VLOOKUP($A572,TablaMO,10,FALSE)),"")</f>
        <v/>
      </c>
      <c r="K572" s="447" t="str">
        <f>IF($A572&gt;0,(VLOOKUP($A572,TablaMO,11,FALSE)),"")</f>
        <v/>
      </c>
      <c r="L572" s="1146"/>
      <c r="M572" s="941"/>
      <c r="N572" s="430" t="str">
        <f t="shared" si="48"/>
        <v/>
      </c>
      <c r="O572" s="362"/>
    </row>
    <row r="573" spans="1:18" ht="15.75" customHeight="1">
      <c r="A573" s="395"/>
      <c r="B573" s="399"/>
      <c r="C573" s="1127" t="s">
        <v>1202</v>
      </c>
      <c r="D573" s="965"/>
      <c r="E573" s="965"/>
      <c r="F573" s="965"/>
      <c r="G573" s="965"/>
      <c r="H573" s="965"/>
      <c r="I573" s="965"/>
      <c r="J573" s="965"/>
      <c r="K573" s="965"/>
      <c r="L573" s="965"/>
      <c r="M573" s="966"/>
      <c r="N573" s="433">
        <f>+SUM(N568:N572)</f>
        <v>33149.806827007327</v>
      </c>
      <c r="O573" s="362"/>
    </row>
    <row r="574" spans="1:18" ht="15.75" customHeight="1">
      <c r="B574" s="679"/>
      <c r="O574" s="362"/>
    </row>
    <row r="575" spans="1:18" ht="15.75" customHeight="1">
      <c r="B575" s="679"/>
      <c r="C575" s="1198" t="s">
        <v>1219</v>
      </c>
      <c r="D575" s="965"/>
      <c r="E575" s="965"/>
      <c r="F575" s="965"/>
      <c r="G575" s="965"/>
      <c r="H575" s="965"/>
      <c r="I575" s="965"/>
      <c r="J575" s="965"/>
      <c r="K575" s="965"/>
      <c r="L575" s="965"/>
      <c r="M575" s="966"/>
      <c r="N575" s="680">
        <f>ROUND(SUM(N573,N563,N553,N540),0)</f>
        <v>44582</v>
      </c>
      <c r="O575" s="362"/>
      <c r="Q575" s="681">
        <f>VLOOKUP(C529,PROPUESTASASERCO,8,FALSE)</f>
        <v>44582</v>
      </c>
      <c r="R575" s="682">
        <f>Q575-N575</f>
        <v>0</v>
      </c>
    </row>
    <row r="576" spans="1:18" ht="15.75" customHeight="1">
      <c r="B576" s="679"/>
      <c r="C576" s="1129" t="s">
        <v>1220</v>
      </c>
      <c r="D576" s="926"/>
      <c r="E576" s="926"/>
      <c r="F576" s="926"/>
      <c r="G576" s="926"/>
      <c r="H576" s="926"/>
      <c r="I576" s="926"/>
      <c r="J576" s="926"/>
      <c r="K576" s="926"/>
      <c r="L576" s="926"/>
      <c r="M576" s="926"/>
      <c r="N576" s="927"/>
      <c r="O576" s="362"/>
    </row>
    <row r="577" spans="2:15" ht="15.75" customHeight="1">
      <c r="B577" s="679"/>
      <c r="C577" s="920"/>
      <c r="D577" s="922"/>
      <c r="E577" s="922"/>
      <c r="F577" s="922"/>
      <c r="G577" s="922"/>
      <c r="H577" s="922"/>
      <c r="I577" s="922"/>
      <c r="J577" s="922"/>
      <c r="K577" s="922"/>
      <c r="L577" s="922"/>
      <c r="M577" s="922"/>
      <c r="N577" s="924"/>
      <c r="O577" s="362"/>
    </row>
    <row r="578" spans="2:15" ht="15.75" customHeight="1">
      <c r="B578" s="679"/>
      <c r="C578" s="929"/>
      <c r="D578" s="936"/>
      <c r="E578" s="936"/>
      <c r="F578" s="936"/>
      <c r="G578" s="936"/>
      <c r="H578" s="936"/>
      <c r="I578" s="936"/>
      <c r="J578" s="936"/>
      <c r="K578" s="936"/>
      <c r="L578" s="936"/>
      <c r="M578" s="936"/>
      <c r="N578" s="938"/>
      <c r="O578" s="362"/>
    </row>
    <row r="579" spans="2:15" ht="15.75" customHeight="1">
      <c r="B579" s="679"/>
      <c r="C579" s="1201" t="s">
        <v>1221</v>
      </c>
      <c r="D579" s="1131"/>
      <c r="E579" s="1131"/>
      <c r="F579" s="1131"/>
      <c r="G579" s="1131"/>
      <c r="H579" s="1132"/>
      <c r="I579" s="674"/>
      <c r="J579" s="674"/>
      <c r="K579" s="674"/>
      <c r="L579" s="1206" t="s">
        <v>1222</v>
      </c>
      <c r="M579" s="1000"/>
      <c r="N579" s="678" t="s">
        <v>1223</v>
      </c>
      <c r="O579" s="362"/>
    </row>
    <row r="580" spans="2:15" ht="15.75" customHeight="1">
      <c r="B580" s="679"/>
      <c r="C580" s="1128" t="s">
        <v>19</v>
      </c>
      <c r="D580" s="940"/>
      <c r="E580" s="940"/>
      <c r="F580" s="940"/>
      <c r="G580" s="940"/>
      <c r="H580" s="940"/>
      <c r="I580" s="452"/>
      <c r="J580" s="452"/>
      <c r="K580" s="452"/>
      <c r="L580" s="1148">
        <f>+Datos!$E$18</f>
        <v>0.25</v>
      </c>
      <c r="M580" s="941"/>
      <c r="N580" s="430">
        <f>+L580*N575</f>
        <v>11145.5</v>
      </c>
      <c r="O580" s="362"/>
    </row>
    <row r="581" spans="2:15" ht="15.75" customHeight="1">
      <c r="B581" s="679"/>
      <c r="C581" s="454" t="s">
        <v>20</v>
      </c>
      <c r="D581" s="455"/>
      <c r="E581" s="455"/>
      <c r="F581" s="455"/>
      <c r="G581" s="455"/>
      <c r="H581" s="455"/>
      <c r="I581" s="452"/>
      <c r="J581" s="452"/>
      <c r="K581" s="452"/>
      <c r="L581" s="1148">
        <f>+Datos!$E$19</f>
        <v>0.01</v>
      </c>
      <c r="M581" s="941"/>
      <c r="N581" s="430">
        <f>+L581*N575</f>
        <v>445.82</v>
      </c>
      <c r="O581" s="362"/>
    </row>
    <row r="582" spans="2:15" ht="15.75" customHeight="1">
      <c r="B582" s="679"/>
      <c r="C582" s="456" t="s">
        <v>21</v>
      </c>
      <c r="D582" s="457"/>
      <c r="E582" s="457"/>
      <c r="F582" s="457"/>
      <c r="G582" s="457"/>
      <c r="H582" s="457"/>
      <c r="I582" s="458"/>
      <c r="J582" s="458"/>
      <c r="K582" s="458"/>
      <c r="L582" s="1148">
        <f>+Datos!$E$20</f>
        <v>0.05</v>
      </c>
      <c r="M582" s="941"/>
      <c r="N582" s="430">
        <f>+L582*N575</f>
        <v>2229.1</v>
      </c>
      <c r="O582" s="362"/>
    </row>
    <row r="583" spans="2:15" ht="15.75" customHeight="1">
      <c r="B583" s="679"/>
      <c r="C583" s="1127" t="s">
        <v>1202</v>
      </c>
      <c r="D583" s="965"/>
      <c r="E583" s="965"/>
      <c r="F583" s="965"/>
      <c r="G583" s="965"/>
      <c r="H583" s="965"/>
      <c r="I583" s="965"/>
      <c r="J583" s="965"/>
      <c r="K583" s="965"/>
      <c r="L583" s="965"/>
      <c r="M583" s="966"/>
      <c r="N583" s="433">
        <f>+SUM(N580:N582)</f>
        <v>13820.42</v>
      </c>
      <c r="O583" s="362"/>
    </row>
    <row r="584" spans="2:15" ht="15.75" customHeight="1">
      <c r="B584" s="679"/>
      <c r="C584" s="418"/>
      <c r="D584" s="39"/>
      <c r="E584" s="39"/>
      <c r="F584" s="39"/>
      <c r="G584" s="39"/>
      <c r="H584" s="39"/>
      <c r="I584" s="39"/>
      <c r="J584" s="39"/>
      <c r="K584" s="39"/>
      <c r="L584" s="39"/>
      <c r="M584" s="39"/>
      <c r="N584" s="40"/>
      <c r="O584" s="362"/>
    </row>
    <row r="585" spans="2:15" ht="15.75" customHeight="1">
      <c r="B585" s="679"/>
      <c r="C585" s="1198" t="s">
        <v>1224</v>
      </c>
      <c r="D585" s="965"/>
      <c r="E585" s="965"/>
      <c r="F585" s="965"/>
      <c r="G585" s="965"/>
      <c r="H585" s="965"/>
      <c r="I585" s="965"/>
      <c r="J585" s="965"/>
      <c r="K585" s="965"/>
      <c r="L585" s="965"/>
      <c r="M585" s="966"/>
      <c r="N585" s="683">
        <f>+ROUND(SUM(N583,N575),0)</f>
        <v>58402</v>
      </c>
      <c r="O585" s="362"/>
    </row>
    <row r="586" spans="2:15" ht="15.75" customHeight="1">
      <c r="B586" s="679"/>
      <c r="C586" s="418"/>
      <c r="D586" s="39" t="s">
        <v>1225</v>
      </c>
      <c r="E586" s="39"/>
      <c r="F586" s="39"/>
      <c r="G586" s="184"/>
      <c r="H586" s="184"/>
      <c r="I586" s="184"/>
      <c r="J586" s="39" t="s">
        <v>1225</v>
      </c>
      <c r="K586" s="39"/>
      <c r="L586" s="39"/>
      <c r="M586" s="39"/>
      <c r="N586" s="40"/>
      <c r="O586" s="362"/>
    </row>
    <row r="587" spans="2:15" ht="15.75" customHeight="1">
      <c r="B587" s="679"/>
      <c r="C587" s="418"/>
      <c r="D587" s="39" t="s">
        <v>1226</v>
      </c>
      <c r="E587" s="39"/>
      <c r="F587" s="39"/>
      <c r="G587" s="184"/>
      <c r="H587" s="184"/>
      <c r="I587" s="184"/>
      <c r="J587" s="39" t="s">
        <v>1227</v>
      </c>
      <c r="K587" s="39"/>
      <c r="L587" s="39"/>
      <c r="M587" s="39"/>
      <c r="N587" s="40"/>
      <c r="O587" s="362"/>
    </row>
    <row r="588" spans="2:15" ht="15.75" customHeight="1">
      <c r="B588" s="679"/>
      <c r="C588" s="404"/>
      <c r="D588" s="39" t="s">
        <v>1228</v>
      </c>
      <c r="E588" s="42"/>
      <c r="F588" s="42"/>
      <c r="G588" s="184"/>
      <c r="H588" s="184"/>
      <c r="I588" s="184"/>
      <c r="J588" s="39" t="s">
        <v>1228</v>
      </c>
      <c r="K588" s="42"/>
      <c r="L588" s="42"/>
      <c r="M588" s="42"/>
      <c r="N588" s="43"/>
      <c r="O588" s="362"/>
    </row>
    <row r="589" spans="2:15" ht="15.75" customHeight="1">
      <c r="B589" s="679"/>
      <c r="C589" s="418"/>
      <c r="D589" s="39"/>
      <c r="E589" s="39"/>
      <c r="F589" s="39"/>
      <c r="G589" s="39" t="s">
        <v>1229</v>
      </c>
      <c r="H589" s="39"/>
      <c r="I589" s="39"/>
      <c r="J589" s="39"/>
      <c r="K589" s="39"/>
      <c r="L589" s="39"/>
      <c r="M589" s="39"/>
      <c r="N589" s="40"/>
      <c r="O589" s="362"/>
    </row>
    <row r="590" spans="2:15" ht="15.75" customHeight="1">
      <c r="B590" s="679"/>
      <c r="C590" s="466"/>
      <c r="D590" s="467"/>
      <c r="E590" s="467"/>
      <c r="F590" s="39"/>
      <c r="G590" s="39"/>
      <c r="H590" s="39"/>
      <c r="I590" s="39"/>
      <c r="J590" s="1149"/>
      <c r="K590" s="922"/>
      <c r="L590" s="922"/>
      <c r="M590" s="922"/>
      <c r="N590" s="924"/>
      <c r="O590" s="362"/>
    </row>
    <row r="591" spans="2:15" ht="15.75" customHeight="1">
      <c r="B591" s="679"/>
      <c r="C591" s="1150"/>
      <c r="D591" s="936"/>
      <c r="E591" s="936"/>
      <c r="F591" s="416"/>
      <c r="G591" s="416"/>
      <c r="H591" s="416"/>
      <c r="I591" s="416"/>
      <c r="J591" s="936"/>
      <c r="K591" s="936"/>
      <c r="L591" s="936"/>
      <c r="M591" s="936"/>
      <c r="N591" s="938"/>
      <c r="O591" s="362"/>
    </row>
    <row r="592" spans="2:15" ht="15.75" customHeight="1">
      <c r="B592" s="684"/>
      <c r="C592" s="685"/>
      <c r="D592" s="685"/>
      <c r="E592" s="685"/>
      <c r="F592" s="685"/>
      <c r="G592" s="685"/>
      <c r="H592" s="685"/>
      <c r="I592" s="685"/>
      <c r="J592" s="685"/>
      <c r="K592" s="685"/>
      <c r="L592" s="685"/>
      <c r="M592" s="685"/>
      <c r="N592" s="685"/>
      <c r="O592" s="686"/>
    </row>
    <row r="593" spans="1:15" ht="15.75" customHeight="1"/>
    <row r="594" spans="1:15" ht="15.75" customHeight="1"/>
    <row r="595" spans="1:15" ht="15.75" customHeight="1"/>
    <row r="596" spans="1:15" ht="15.75" customHeight="1"/>
    <row r="597" spans="1:15" ht="15.75" customHeight="1">
      <c r="A597" s="395" t="s">
        <v>941</v>
      </c>
      <c r="B597" s="184"/>
      <c r="C597" s="184"/>
      <c r="D597" s="184"/>
      <c r="E597" s="184"/>
      <c r="F597" s="184"/>
      <c r="G597" s="184"/>
      <c r="H597" s="184"/>
      <c r="I597" s="184"/>
      <c r="J597" s="184"/>
      <c r="K597" s="184"/>
      <c r="L597" s="184"/>
      <c r="M597" s="184"/>
      <c r="N597" s="184"/>
    </row>
    <row r="598" spans="1:15" ht="15.75" customHeight="1">
      <c r="A598" s="395"/>
      <c r="B598" s="396"/>
      <c r="C598" s="397"/>
      <c r="D598" s="397"/>
      <c r="E598" s="397"/>
      <c r="F598" s="397"/>
      <c r="G598" s="397"/>
      <c r="H598" s="397"/>
      <c r="I598" s="397"/>
      <c r="J598" s="397"/>
      <c r="K598" s="397"/>
      <c r="L598" s="397"/>
      <c r="M598" s="397"/>
      <c r="N598" s="397"/>
      <c r="O598" s="667"/>
    </row>
    <row r="599" spans="1:15" ht="15.75" customHeight="1">
      <c r="A599" s="395"/>
      <c r="B599" s="399"/>
      <c r="C599" s="1124"/>
      <c r="D599" s="927"/>
      <c r="E599" s="1207" t="str">
        <f>Datos!$C$9</f>
        <v>CONSEJO SUPERIOR  DE  JUDICATURA– DIRECCIÓN  EJECUTIVA  SECCIONAL  DE ADMINISTRACIÓN JUDICIAL DE BUCARAMANGA</v>
      </c>
      <c r="F599" s="926"/>
      <c r="G599" s="926"/>
      <c r="H599" s="926"/>
      <c r="I599" s="926"/>
      <c r="J599" s="926"/>
      <c r="K599" s="927"/>
      <c r="L599" s="925" t="s">
        <v>1</v>
      </c>
      <c r="M599" s="931"/>
      <c r="N599" s="933">
        <v>1</v>
      </c>
      <c r="O599" s="362"/>
    </row>
    <row r="600" spans="1:15" ht="15.75" customHeight="1">
      <c r="A600" s="395"/>
      <c r="B600" s="399"/>
      <c r="C600" s="920"/>
      <c r="D600" s="924"/>
      <c r="E600" s="920"/>
      <c r="F600" s="922"/>
      <c r="G600" s="922"/>
      <c r="H600" s="922"/>
      <c r="I600" s="922"/>
      <c r="J600" s="922"/>
      <c r="K600" s="924"/>
      <c r="L600" s="920"/>
      <c r="M600" s="932"/>
      <c r="N600" s="934"/>
      <c r="O600" s="362"/>
    </row>
    <row r="601" spans="1:15" ht="15.75" customHeight="1">
      <c r="A601" s="395"/>
      <c r="B601" s="399"/>
      <c r="C601" s="920"/>
      <c r="D601" s="924"/>
      <c r="E601" s="919" t="str">
        <f>Datos!$C$13</f>
        <v xml:space="preserve">BGA - 030 - 2026 </v>
      </c>
      <c r="F601" s="922"/>
      <c r="G601" s="922"/>
      <c r="H601" s="922"/>
      <c r="I601" s="922"/>
      <c r="J601" s="922"/>
      <c r="K601" s="922"/>
      <c r="L601" s="925" t="s">
        <v>29</v>
      </c>
      <c r="M601" s="926"/>
      <c r="N601" s="927"/>
      <c r="O601" s="362"/>
    </row>
    <row r="602" spans="1:15" ht="15.75" customHeight="1">
      <c r="A602" s="395"/>
      <c r="B602" s="399"/>
      <c r="C602" s="920"/>
      <c r="D602" s="924"/>
      <c r="E60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602" s="922"/>
      <c r="G602" s="922"/>
      <c r="H602" s="922"/>
      <c r="I602" s="922"/>
      <c r="J602" s="922"/>
      <c r="K602" s="924"/>
      <c r="L602" s="919">
        <v>1</v>
      </c>
      <c r="M602" s="921" t="s">
        <v>30</v>
      </c>
      <c r="N602" s="923">
        <v>1</v>
      </c>
      <c r="O602" s="362"/>
    </row>
    <row r="603" spans="1:15" ht="15.75" customHeight="1">
      <c r="A603" s="395"/>
      <c r="B603" s="399"/>
      <c r="C603" s="920"/>
      <c r="D603" s="924"/>
      <c r="E603" s="920"/>
      <c r="F603" s="922"/>
      <c r="G603" s="922"/>
      <c r="H603" s="922"/>
      <c r="I603" s="922"/>
      <c r="J603" s="922"/>
      <c r="K603" s="924"/>
      <c r="L603" s="920"/>
      <c r="M603" s="922"/>
      <c r="N603" s="924"/>
      <c r="O603" s="362"/>
    </row>
    <row r="604" spans="1:15" ht="15.75" customHeight="1">
      <c r="A604" s="395"/>
      <c r="B604" s="399"/>
      <c r="C604" s="920"/>
      <c r="D604" s="924"/>
      <c r="E604" s="920"/>
      <c r="F604" s="922"/>
      <c r="G604" s="922"/>
      <c r="H604" s="922"/>
      <c r="I604" s="922"/>
      <c r="J604" s="922"/>
      <c r="K604" s="924"/>
      <c r="L604" s="925" t="s">
        <v>2</v>
      </c>
      <c r="M604" s="926"/>
      <c r="N604" s="927"/>
      <c r="O604" s="362"/>
    </row>
    <row r="605" spans="1:15" ht="15.75" customHeight="1">
      <c r="A605" s="395"/>
      <c r="B605" s="399"/>
      <c r="C605" s="920"/>
      <c r="D605" s="924"/>
      <c r="E605" s="407"/>
      <c r="F605" s="216"/>
      <c r="G605" s="216"/>
      <c r="H605" s="216"/>
      <c r="I605" s="216"/>
      <c r="J605" s="216"/>
      <c r="K605" s="216"/>
      <c r="L605" s="408" t="s">
        <v>3</v>
      </c>
      <c r="M605" s="409" t="s">
        <v>4</v>
      </c>
      <c r="N605" s="410" t="s">
        <v>5</v>
      </c>
      <c r="O605" s="362"/>
    </row>
    <row r="606" spans="1:15" ht="15.75" customHeight="1">
      <c r="A606" s="395"/>
      <c r="B606" s="399"/>
      <c r="C606" s="920"/>
      <c r="D606" s="924"/>
      <c r="E606" s="1125" t="s">
        <v>1186</v>
      </c>
      <c r="F606" s="945"/>
      <c r="G606" s="945"/>
      <c r="H606" s="945"/>
      <c r="I606" s="945"/>
      <c r="J606" s="945"/>
      <c r="K606" s="945"/>
      <c r="L606" s="928">
        <f>Datos!$C$7</f>
        <v>19</v>
      </c>
      <c r="M606" s="935">
        <f>Datos!$D$7</f>
        <v>6</v>
      </c>
      <c r="N606" s="937">
        <f>Datos!$E$7</f>
        <v>2026</v>
      </c>
      <c r="O606" s="362"/>
    </row>
    <row r="607" spans="1:15" ht="15.75" customHeight="1">
      <c r="A607" s="395"/>
      <c r="B607" s="399"/>
      <c r="C607" s="929"/>
      <c r="D607" s="938"/>
      <c r="E607" s="929"/>
      <c r="F607" s="936"/>
      <c r="G607" s="936"/>
      <c r="H607" s="936"/>
      <c r="I607" s="936"/>
      <c r="J607" s="936"/>
      <c r="K607" s="936"/>
      <c r="L607" s="929"/>
      <c r="M607" s="936"/>
      <c r="N607" s="938"/>
      <c r="O607" s="362"/>
    </row>
    <row r="608" spans="1:15" ht="15.75" customHeight="1">
      <c r="A608" s="395"/>
      <c r="B608" s="399"/>
      <c r="C608" s="404"/>
      <c r="D608" s="38"/>
      <c r="E608" s="38"/>
      <c r="F608" s="38"/>
      <c r="G608" s="38"/>
      <c r="H608" s="38"/>
      <c r="I608" s="38"/>
      <c r="J608" s="38"/>
      <c r="K608" s="38"/>
      <c r="L608" s="39"/>
      <c r="M608" s="39"/>
      <c r="N608" s="40"/>
      <c r="O608" s="362"/>
    </row>
    <row r="609" spans="1:15" ht="15.75" customHeight="1">
      <c r="A609" s="395"/>
      <c r="B609" s="399"/>
      <c r="C609" s="412" t="s">
        <v>1187</v>
      </c>
      <c r="D609" s="1199" t="str">
        <f>VLOOKUP(C614,ListaAct,2,0)</f>
        <v>OBRA CIVIL</v>
      </c>
      <c r="E609" s="922"/>
      <c r="F609" s="922"/>
      <c r="G609" s="922"/>
      <c r="H609" s="922"/>
      <c r="I609" s="922"/>
      <c r="J609" s="922"/>
      <c r="K609" s="922"/>
      <c r="L609" s="922"/>
      <c r="M609" s="1"/>
      <c r="N609" s="413"/>
      <c r="O609" s="362"/>
    </row>
    <row r="610" spans="1:15" ht="15.75" customHeight="1">
      <c r="A610" s="395"/>
      <c r="B610" s="399"/>
      <c r="C610" s="412" t="s">
        <v>1189</v>
      </c>
      <c r="D610" s="1199" t="str">
        <f>VLOOKUP(C614,ListaAct,3,0)</f>
        <v>DEMOLICIONES, DESCAPOTES Y RETIROS</v>
      </c>
      <c r="E610" s="922"/>
      <c r="F610" s="922"/>
      <c r="G610" s="922"/>
      <c r="H610" s="922"/>
      <c r="I610" s="922"/>
      <c r="J610" s="922"/>
      <c r="K610" s="922"/>
      <c r="L610" s="922"/>
      <c r="M610" s="1"/>
      <c r="N610" s="413"/>
      <c r="O610" s="362"/>
    </row>
    <row r="611" spans="1:15" ht="15.75" customHeight="1">
      <c r="A611" s="395"/>
      <c r="B611" s="399"/>
      <c r="C611" s="925" t="s">
        <v>1191</v>
      </c>
      <c r="D611" s="926"/>
      <c r="E611" s="926"/>
      <c r="F611" s="926"/>
      <c r="G611" s="926"/>
      <c r="H611" s="926"/>
      <c r="I611" s="926"/>
      <c r="J611" s="926"/>
      <c r="K611" s="926"/>
      <c r="L611" s="926"/>
      <c r="M611" s="926"/>
      <c r="N611" s="927"/>
      <c r="O611" s="362"/>
    </row>
    <row r="612" spans="1:15" ht="15.75" customHeight="1">
      <c r="A612" s="395"/>
      <c r="B612" s="399"/>
      <c r="C612" s="418"/>
      <c r="D612" s="39"/>
      <c r="E612" s="39"/>
      <c r="F612" s="39"/>
      <c r="G612" s="39"/>
      <c r="H612" s="39"/>
      <c r="I612" s="39"/>
      <c r="J612" s="39"/>
      <c r="K612" s="39"/>
      <c r="L612" s="39"/>
      <c r="M612" s="39"/>
      <c r="N612" s="40"/>
      <c r="O612" s="362"/>
    </row>
    <row r="613" spans="1:15" ht="15.75" customHeight="1">
      <c r="A613" s="395"/>
      <c r="B613" s="399"/>
      <c r="C613" s="668" t="s">
        <v>965</v>
      </c>
      <c r="D613" s="1200" t="s">
        <v>17</v>
      </c>
      <c r="E613" s="1131"/>
      <c r="F613" s="1131"/>
      <c r="G613" s="1131"/>
      <c r="H613" s="1131"/>
      <c r="I613" s="1131"/>
      <c r="J613" s="1131"/>
      <c r="K613" s="1137"/>
      <c r="L613" s="1201" t="s">
        <v>1192</v>
      </c>
      <c r="M613" s="1137"/>
      <c r="N613" s="668" t="s">
        <v>950</v>
      </c>
      <c r="O613" s="362"/>
    </row>
    <row r="614" spans="1:15" ht="15.75" customHeight="1">
      <c r="A614" s="395"/>
      <c r="B614" s="421"/>
      <c r="C614" s="669" t="s">
        <v>1001</v>
      </c>
      <c r="D614" s="1202" t="str">
        <f>IF($C614&gt;0,(VLOOKUP($C614,ListaAct,4,FALSE)),"")</f>
        <v xml:space="preserve"> Regata sobre muro desnudo tipo cajuela de 30 mm conservando los bordes y vertices, incluye superficie en lechada de cal apagada. </v>
      </c>
      <c r="E614" s="979"/>
      <c r="F614" s="979"/>
      <c r="G614" s="979"/>
      <c r="H614" s="979"/>
      <c r="I614" s="979"/>
      <c r="J614" s="979"/>
      <c r="K614" s="980"/>
      <c r="L614" s="1203" t="str">
        <f>IF($C614&gt;0,(VLOOKUP($C614,ListaAct,5,FALSE)),"")</f>
        <v>ml</v>
      </c>
      <c r="M614" s="980"/>
      <c r="N614" s="423">
        <f>IF($C614&gt;0,(VLOOKUP($C614,ListaAct,6,FALSE)),"")</f>
        <v>247.9</v>
      </c>
      <c r="O614" s="362"/>
    </row>
    <row r="615" spans="1:15" ht="15.75" customHeight="1">
      <c r="A615" s="395"/>
      <c r="B615" s="399"/>
      <c r="C615" s="1129" t="s">
        <v>1195</v>
      </c>
      <c r="D615" s="926"/>
      <c r="E615" s="926"/>
      <c r="F615" s="926"/>
      <c r="G615" s="926"/>
      <c r="H615" s="926"/>
      <c r="I615" s="926"/>
      <c r="J615" s="926"/>
      <c r="K615" s="926"/>
      <c r="L615" s="926"/>
      <c r="M615" s="926"/>
      <c r="N615" s="927"/>
      <c r="O615" s="362"/>
    </row>
    <row r="616" spans="1:15" ht="15.75" customHeight="1">
      <c r="A616" s="395"/>
      <c r="B616" s="399"/>
      <c r="C616" s="920"/>
      <c r="D616" s="922"/>
      <c r="E616" s="922"/>
      <c r="F616" s="922"/>
      <c r="G616" s="922"/>
      <c r="H616" s="922"/>
      <c r="I616" s="922"/>
      <c r="J616" s="922"/>
      <c r="K616" s="922"/>
      <c r="L616" s="922"/>
      <c r="M616" s="922"/>
      <c r="N616" s="924"/>
      <c r="O616" s="362"/>
    </row>
    <row r="617" spans="1:15" ht="15.75" customHeight="1">
      <c r="A617" s="395"/>
      <c r="B617" s="399"/>
      <c r="C617" s="929"/>
      <c r="D617" s="936"/>
      <c r="E617" s="936"/>
      <c r="F617" s="936"/>
      <c r="G617" s="936"/>
      <c r="H617" s="936"/>
      <c r="I617" s="936"/>
      <c r="J617" s="936"/>
      <c r="K617" s="936"/>
      <c r="L617" s="936"/>
      <c r="M617" s="936"/>
      <c r="N617" s="938"/>
      <c r="O617" s="362"/>
    </row>
    <row r="618" spans="1:15" ht="15.75" customHeight="1">
      <c r="A618" s="395"/>
      <c r="B618" s="399"/>
      <c r="C618" s="1201" t="s">
        <v>17</v>
      </c>
      <c r="D618" s="1131"/>
      <c r="E618" s="1131"/>
      <c r="F618" s="1000"/>
      <c r="G618" s="1204" t="s">
        <v>1196</v>
      </c>
      <c r="H618" s="1000"/>
      <c r="I618" s="1204" t="s">
        <v>1197</v>
      </c>
      <c r="J618" s="1000"/>
      <c r="K618" s="670" t="s">
        <v>1213</v>
      </c>
      <c r="L618" s="1204" t="s">
        <v>1199</v>
      </c>
      <c r="M618" s="1000"/>
      <c r="N618" s="671" t="s">
        <v>1200</v>
      </c>
      <c r="O618" s="362"/>
    </row>
    <row r="619" spans="1:15" ht="15.75" customHeight="1">
      <c r="A619" s="395"/>
      <c r="B619" s="399"/>
      <c r="C619" s="1128" t="s">
        <v>1201</v>
      </c>
      <c r="D619" s="940"/>
      <c r="E619" s="940"/>
      <c r="F619" s="941"/>
      <c r="G619" s="1142"/>
      <c r="H619" s="941"/>
      <c r="I619" s="1142"/>
      <c r="J619" s="941"/>
      <c r="K619" s="429"/>
      <c r="L619" s="1143">
        <v>0.05</v>
      </c>
      <c r="M619" s="941"/>
      <c r="N619" s="430">
        <f>+L619*N658</f>
        <v>520.71273083166238</v>
      </c>
      <c r="O619" s="362"/>
    </row>
    <row r="620" spans="1:15" ht="15.75" customHeight="1">
      <c r="A620" s="395" t="str">
        <f t="array" ref="A620">IF(C620&lt;&gt;0,INDEX(CodEquipos,MATCH(C620,Equipos,0),),)</f>
        <v>EQ-20</v>
      </c>
      <c r="B620" s="399"/>
      <c r="C620" s="1128" t="s">
        <v>2501</v>
      </c>
      <c r="D620" s="940"/>
      <c r="E620" s="940"/>
      <c r="F620" s="941"/>
      <c r="G620" s="1142"/>
      <c r="H620" s="941"/>
      <c r="I620" s="1142"/>
      <c r="J620" s="941"/>
      <c r="K620" s="432">
        <f>IF($A620&gt;0,(VLOOKUP($A620,TablaEquipos,7,FALSE)),"")</f>
        <v>69000</v>
      </c>
      <c r="L620" s="1146">
        <v>0.01</v>
      </c>
      <c r="M620" s="941"/>
      <c r="N620" s="430">
        <f>IF(L620&gt;0,K620*L620,"")</f>
        <v>690</v>
      </c>
      <c r="O620" s="362"/>
    </row>
    <row r="621" spans="1:15" ht="15.75" customHeight="1">
      <c r="A621" s="395">
        <f t="array" ref="A621">IF(C621&lt;&gt;0,INDEX(CodEquipos,MATCH(C621,Equipos,0),),)</f>
        <v>0</v>
      </c>
      <c r="B621" s="399"/>
      <c r="C621" s="1128"/>
      <c r="D621" s="940"/>
      <c r="E621" s="940"/>
      <c r="F621" s="941"/>
      <c r="G621" s="1142"/>
      <c r="H621" s="941"/>
      <c r="I621" s="1142"/>
      <c r="J621" s="941"/>
      <c r="K621" s="432" t="str">
        <f>IF($A621&gt;0,(VLOOKUP($A621,TablaEquipos,7,FALSE)),"")</f>
        <v/>
      </c>
      <c r="L621" s="1141"/>
      <c r="M621" s="941"/>
      <c r="N621" s="430" t="str">
        <f t="shared" ref="N621" si="49">IF(L621&gt;0,K621/L621,"")</f>
        <v/>
      </c>
      <c r="O621" s="362"/>
    </row>
    <row r="622" spans="1:15" ht="15.75" customHeight="1">
      <c r="A622" s="395">
        <f t="array" ref="A622">IF(C622&lt;&gt;0,INDEX(CodEquipos,MATCH(C622,Equipos,0),),)</f>
        <v>0</v>
      </c>
      <c r="B622" s="399"/>
      <c r="C622" s="1128"/>
      <c r="D622" s="940"/>
      <c r="E622" s="940"/>
      <c r="F622" s="941"/>
      <c r="G622" s="1142"/>
      <c r="H622" s="941"/>
      <c r="I622" s="1142"/>
      <c r="J622" s="941"/>
      <c r="K622" s="432"/>
      <c r="L622" s="1141"/>
      <c r="M622" s="941"/>
      <c r="N622" s="430"/>
      <c r="O622" s="362"/>
    </row>
    <row r="623" spans="1:15" ht="15.75" customHeight="1">
      <c r="A623" s="395">
        <f t="array" ref="A623">IF(C623&lt;&gt;0,INDEX(CodEquipos,MATCH(C623,Equipos,0),),)</f>
        <v>0</v>
      </c>
      <c r="B623" s="399"/>
      <c r="C623" s="1128"/>
      <c r="D623" s="940"/>
      <c r="E623" s="940"/>
      <c r="F623" s="941"/>
      <c r="G623" s="1142"/>
      <c r="H623" s="941"/>
      <c r="I623" s="1142"/>
      <c r="J623" s="941"/>
      <c r="K623" s="432" t="str">
        <f>IF($A623&gt;0,(VLOOKUP($A623,TablaEquipos,7,FALSE)),"")</f>
        <v/>
      </c>
      <c r="L623" s="1141"/>
      <c r="M623" s="941"/>
      <c r="N623" s="430" t="str">
        <f t="shared" ref="N623:N624" si="50">IF(L623&gt;0,K623/L623,"")</f>
        <v/>
      </c>
      <c r="O623" s="362"/>
    </row>
    <row r="624" spans="1:15" ht="15.75" customHeight="1">
      <c r="A624" s="395">
        <f t="array" ref="A624">IF(C624&lt;&gt;0,INDEX(CodEquipos,MATCH(C624,Equipos,0),),)</f>
        <v>0</v>
      </c>
      <c r="B624" s="399"/>
      <c r="C624" s="1128"/>
      <c r="D624" s="940"/>
      <c r="E624" s="940"/>
      <c r="F624" s="941"/>
      <c r="G624" s="1144"/>
      <c r="H624" s="1145"/>
      <c r="I624" s="1144"/>
      <c r="J624" s="1145"/>
      <c r="K624" s="432" t="str">
        <f>IF($A624&gt;0,(VLOOKUP($A624,TablaEquipos,7,FALSE)),"")</f>
        <v/>
      </c>
      <c r="L624" s="1208"/>
      <c r="M624" s="1145"/>
      <c r="N624" s="430" t="str">
        <f t="shared" si="50"/>
        <v/>
      </c>
      <c r="O624" s="362"/>
    </row>
    <row r="625" spans="1:17" ht="15.75" customHeight="1">
      <c r="A625" s="395"/>
      <c r="B625" s="399"/>
      <c r="C625" s="1127" t="s">
        <v>1202</v>
      </c>
      <c r="D625" s="965"/>
      <c r="E625" s="965"/>
      <c r="F625" s="965"/>
      <c r="G625" s="965"/>
      <c r="H625" s="965"/>
      <c r="I625" s="965"/>
      <c r="J625" s="965"/>
      <c r="K625" s="965"/>
      <c r="L625" s="965"/>
      <c r="M625" s="966"/>
      <c r="N625" s="433">
        <f>+SUM(N619:N624)</f>
        <v>1210.7127308316624</v>
      </c>
      <c r="O625" s="362"/>
    </row>
    <row r="626" spans="1:17" ht="15.75" customHeight="1">
      <c r="A626" s="395"/>
      <c r="B626" s="399"/>
      <c r="C626" s="1129" t="s">
        <v>1203</v>
      </c>
      <c r="D626" s="926"/>
      <c r="E626" s="926"/>
      <c r="F626" s="926"/>
      <c r="G626" s="926"/>
      <c r="H626" s="926"/>
      <c r="I626" s="926"/>
      <c r="J626" s="926"/>
      <c r="K626" s="926"/>
      <c r="L626" s="926"/>
      <c r="M626" s="926"/>
      <c r="N626" s="927"/>
      <c r="O626" s="362"/>
    </row>
    <row r="627" spans="1:17" ht="15.75" customHeight="1">
      <c r="A627" s="395"/>
      <c r="B627" s="399"/>
      <c r="C627" s="920"/>
      <c r="D627" s="922"/>
      <c r="E627" s="922"/>
      <c r="F627" s="922"/>
      <c r="G627" s="922"/>
      <c r="H627" s="922"/>
      <c r="I627" s="922"/>
      <c r="J627" s="922"/>
      <c r="K627" s="922"/>
      <c r="L627" s="922"/>
      <c r="M627" s="922"/>
      <c r="N627" s="924"/>
      <c r="O627" s="362"/>
    </row>
    <row r="628" spans="1:17" ht="15.75" customHeight="1">
      <c r="A628" s="395"/>
      <c r="B628" s="399"/>
      <c r="C628" s="929"/>
      <c r="D628" s="936"/>
      <c r="E628" s="936"/>
      <c r="F628" s="936"/>
      <c r="G628" s="936"/>
      <c r="H628" s="936"/>
      <c r="I628" s="936"/>
      <c r="J628" s="936"/>
      <c r="K628" s="936"/>
      <c r="L628" s="936"/>
      <c r="M628" s="936"/>
      <c r="N628" s="938"/>
      <c r="O628" s="362"/>
    </row>
    <row r="629" spans="1:17" ht="15.75" customHeight="1">
      <c r="A629" s="395"/>
      <c r="B629" s="399"/>
      <c r="C629" s="1201" t="s">
        <v>17</v>
      </c>
      <c r="D629" s="1131"/>
      <c r="E629" s="1131"/>
      <c r="F629" s="1131"/>
      <c r="G629" s="1131"/>
      <c r="H629" s="1131"/>
      <c r="I629" s="1000"/>
      <c r="J629" s="672" t="s">
        <v>1192</v>
      </c>
      <c r="K629" s="670" t="s">
        <v>950</v>
      </c>
      <c r="L629" s="1204" t="s">
        <v>1204</v>
      </c>
      <c r="M629" s="1000"/>
      <c r="N629" s="671" t="s">
        <v>1200</v>
      </c>
      <c r="O629" s="362"/>
    </row>
    <row r="630" spans="1:17" ht="15.75" customHeight="1">
      <c r="A630" s="395" t="str">
        <f t="array" ref="A630">IF(C630&lt;&gt;0,INDEX(CodMat,MATCH(C630,Materiales,0),),)</f>
        <v>MAT_CON-01</v>
      </c>
      <c r="B630" s="399"/>
      <c r="C630" s="1128" t="s">
        <v>2502</v>
      </c>
      <c r="D630" s="940"/>
      <c r="E630" s="940"/>
      <c r="F630" s="940"/>
      <c r="G630" s="940"/>
      <c r="H630" s="940"/>
      <c r="I630" s="941"/>
      <c r="J630" s="435" t="str">
        <f t="shared" ref="J630:J637" si="51">IF($A630&gt;0,(VLOOKUP($A630,TablaInsumos,5,FALSE)),"")</f>
        <v xml:space="preserve">UND </v>
      </c>
      <c r="K630" s="673">
        <v>0.05</v>
      </c>
      <c r="L630" s="1134">
        <f t="shared" ref="L630:L637" si="52">IF($A630&gt;0,(VLOOKUP($A630,TablaInsumos,7,FALSE)),"")</f>
        <v>5500</v>
      </c>
      <c r="M630" s="941"/>
      <c r="N630" s="430">
        <f t="shared" ref="N630:N637" si="53">IF(K630&gt;0,L630*K630,"")</f>
        <v>275</v>
      </c>
      <c r="O630" s="362"/>
    </row>
    <row r="631" spans="1:17" ht="15.75" customHeight="1">
      <c r="A631" s="395" t="str">
        <f t="array" ref="A631">IF(C631&lt;&gt;0,INDEX(CodMat,MATCH(C631,Materiales,0),),)</f>
        <v>MAT_C-54</v>
      </c>
      <c r="B631" s="399"/>
      <c r="C631" s="1128" t="s">
        <v>2503</v>
      </c>
      <c r="D631" s="940"/>
      <c r="E631" s="940"/>
      <c r="F631" s="940"/>
      <c r="G631" s="940"/>
      <c r="H631" s="940"/>
      <c r="I631" s="941"/>
      <c r="J631" s="435" t="str">
        <f t="shared" si="51"/>
        <v>KG</v>
      </c>
      <c r="K631" s="673">
        <v>1.7</v>
      </c>
      <c r="L631" s="1134">
        <f t="shared" si="52"/>
        <v>4485</v>
      </c>
      <c r="M631" s="941"/>
      <c r="N631" s="430">
        <f t="shared" si="53"/>
        <v>7624.5</v>
      </c>
      <c r="O631" s="362"/>
      <c r="Q631" s="688"/>
    </row>
    <row r="632" spans="1:17" ht="15.75" customHeight="1">
      <c r="A632" s="395">
        <f t="array" ref="A632">IF(C632&lt;&gt;0,INDEX(CodMat,MATCH(C632,Materiales,0),),)</f>
        <v>0</v>
      </c>
      <c r="B632" s="399"/>
      <c r="C632" s="1128"/>
      <c r="D632" s="940"/>
      <c r="E632" s="940"/>
      <c r="F632" s="940"/>
      <c r="G632" s="940"/>
      <c r="H632" s="940"/>
      <c r="I632" s="941"/>
      <c r="J632" s="435" t="str">
        <f t="shared" si="51"/>
        <v/>
      </c>
      <c r="K632" s="673"/>
      <c r="L632" s="1134" t="str">
        <f t="shared" si="52"/>
        <v/>
      </c>
      <c r="M632" s="941"/>
      <c r="N632" s="430" t="str">
        <f t="shared" si="53"/>
        <v/>
      </c>
      <c r="O632" s="362"/>
      <c r="Q632" s="687"/>
    </row>
    <row r="633" spans="1:17" ht="15.75" customHeight="1">
      <c r="A633" s="395">
        <f t="array" ref="A633">IF(C633&lt;&gt;0,INDEX(CodMat,MATCH(C633,Materiales,0),),)</f>
        <v>0</v>
      </c>
      <c r="B633" s="399"/>
      <c r="C633" s="1128"/>
      <c r="D633" s="940"/>
      <c r="E633" s="940"/>
      <c r="F633" s="940"/>
      <c r="G633" s="940"/>
      <c r="H633" s="940"/>
      <c r="I633" s="941"/>
      <c r="J633" s="435" t="str">
        <f t="shared" si="51"/>
        <v/>
      </c>
      <c r="K633" s="673"/>
      <c r="L633" s="1134" t="str">
        <f t="shared" si="52"/>
        <v/>
      </c>
      <c r="M633" s="941"/>
      <c r="N633" s="430" t="str">
        <f t="shared" si="53"/>
        <v/>
      </c>
      <c r="O633" s="362"/>
    </row>
    <row r="634" spans="1:17" ht="15.75" customHeight="1">
      <c r="A634" s="395">
        <f t="array" ref="A634">IF(C634&lt;&gt;0,INDEX(CodMat,MATCH(C634,Materiales,0),),)</f>
        <v>0</v>
      </c>
      <c r="B634" s="399"/>
      <c r="C634" s="1128"/>
      <c r="D634" s="940"/>
      <c r="E634" s="940"/>
      <c r="F634" s="940"/>
      <c r="G634" s="940"/>
      <c r="H634" s="940"/>
      <c r="I634" s="941"/>
      <c r="J634" s="435" t="str">
        <f t="shared" si="51"/>
        <v/>
      </c>
      <c r="K634" s="436"/>
      <c r="L634" s="1134" t="str">
        <f t="shared" si="52"/>
        <v/>
      </c>
      <c r="M634" s="941"/>
      <c r="N634" s="430" t="str">
        <f t="shared" si="53"/>
        <v/>
      </c>
      <c r="O634" s="362"/>
    </row>
    <row r="635" spans="1:17" ht="15.75" customHeight="1">
      <c r="A635" s="395">
        <f t="array" ref="A635">IF(C635&lt;&gt;0,INDEX(CodMat,MATCH(C635,Materiales,0),),)</f>
        <v>0</v>
      </c>
      <c r="B635" s="399"/>
      <c r="C635" s="1128"/>
      <c r="D635" s="940"/>
      <c r="E635" s="940"/>
      <c r="F635" s="940"/>
      <c r="G635" s="940"/>
      <c r="H635" s="940"/>
      <c r="I635" s="941"/>
      <c r="J635" s="435" t="str">
        <f t="shared" si="51"/>
        <v/>
      </c>
      <c r="K635" s="436"/>
      <c r="L635" s="1134" t="str">
        <f t="shared" si="52"/>
        <v/>
      </c>
      <c r="M635" s="941"/>
      <c r="N635" s="430" t="str">
        <f t="shared" si="53"/>
        <v/>
      </c>
      <c r="O635" s="362"/>
    </row>
    <row r="636" spans="1:17" ht="15.75" customHeight="1">
      <c r="A636" s="395">
        <f t="array" ref="A636">IF(C636&lt;&gt;0,INDEX(CodMat,MATCH(C636,Materiales,0),),)</f>
        <v>0</v>
      </c>
      <c r="B636" s="399"/>
      <c r="C636" s="1128"/>
      <c r="D636" s="940"/>
      <c r="E636" s="940"/>
      <c r="F636" s="940"/>
      <c r="G636" s="940"/>
      <c r="H636" s="940"/>
      <c r="I636" s="941"/>
      <c r="J636" s="435" t="str">
        <f t="shared" si="51"/>
        <v/>
      </c>
      <c r="K636" s="436"/>
      <c r="L636" s="1134" t="str">
        <f t="shared" si="52"/>
        <v/>
      </c>
      <c r="M636" s="941"/>
      <c r="N636" s="430" t="str">
        <f t="shared" si="53"/>
        <v/>
      </c>
      <c r="O636" s="362"/>
    </row>
    <row r="637" spans="1:17" ht="15.75" customHeight="1">
      <c r="A637" s="395">
        <f t="array" ref="A637">IF(C637&lt;&gt;0,INDEX(CodMat,MATCH(C637,Materiales,0),),)</f>
        <v>0</v>
      </c>
      <c r="B637" s="399"/>
      <c r="C637" s="1128"/>
      <c r="D637" s="940"/>
      <c r="E637" s="940"/>
      <c r="F637" s="940"/>
      <c r="G637" s="940"/>
      <c r="H637" s="940"/>
      <c r="I637" s="941"/>
      <c r="J637" s="435" t="str">
        <f t="shared" si="51"/>
        <v/>
      </c>
      <c r="K637" s="436"/>
      <c r="L637" s="1205" t="str">
        <f t="shared" si="52"/>
        <v/>
      </c>
      <c r="M637" s="1145"/>
      <c r="N637" s="430" t="str">
        <f t="shared" si="53"/>
        <v/>
      </c>
      <c r="O637" s="362"/>
    </row>
    <row r="638" spans="1:17" ht="15.75" customHeight="1">
      <c r="A638" s="395"/>
      <c r="B638" s="399"/>
      <c r="C638" s="1127" t="s">
        <v>1202</v>
      </c>
      <c r="D638" s="965"/>
      <c r="E638" s="965"/>
      <c r="F638" s="965"/>
      <c r="G638" s="965"/>
      <c r="H638" s="965"/>
      <c r="I638" s="965"/>
      <c r="J638" s="965"/>
      <c r="K638" s="965"/>
      <c r="L638" s="965"/>
      <c r="M638" s="966"/>
      <c r="N638" s="433">
        <f>+SUM(N630:N637)</f>
        <v>7899.5</v>
      </c>
      <c r="O638" s="362"/>
    </row>
    <row r="639" spans="1:17" ht="15.75" customHeight="1">
      <c r="A639" s="395"/>
      <c r="B639" s="399"/>
      <c r="C639" s="1129" t="s">
        <v>1208</v>
      </c>
      <c r="D639" s="926"/>
      <c r="E639" s="926"/>
      <c r="F639" s="926"/>
      <c r="G639" s="926"/>
      <c r="H639" s="926"/>
      <c r="I639" s="926"/>
      <c r="J639" s="926"/>
      <c r="K639" s="926"/>
      <c r="L639" s="926"/>
      <c r="M639" s="926"/>
      <c r="N639" s="927"/>
      <c r="O639" s="362"/>
    </row>
    <row r="640" spans="1:17" ht="15.75" customHeight="1">
      <c r="A640" s="395"/>
      <c r="B640" s="399"/>
      <c r="C640" s="920"/>
      <c r="D640" s="922"/>
      <c r="E640" s="922"/>
      <c r="F640" s="922"/>
      <c r="G640" s="922"/>
      <c r="H640" s="922"/>
      <c r="I640" s="922"/>
      <c r="J640" s="922"/>
      <c r="K640" s="922"/>
      <c r="L640" s="922"/>
      <c r="M640" s="922"/>
      <c r="N640" s="924"/>
      <c r="O640" s="362"/>
    </row>
    <row r="641" spans="1:15" ht="15.75" customHeight="1">
      <c r="A641" s="395"/>
      <c r="B641" s="399"/>
      <c r="C641" s="929"/>
      <c r="D641" s="936"/>
      <c r="E641" s="936"/>
      <c r="F641" s="936"/>
      <c r="G641" s="936"/>
      <c r="H641" s="936"/>
      <c r="I641" s="936"/>
      <c r="J641" s="936"/>
      <c r="K641" s="936"/>
      <c r="L641" s="936"/>
      <c r="M641" s="936"/>
      <c r="N641" s="938"/>
      <c r="O641" s="362"/>
    </row>
    <row r="642" spans="1:15" ht="15.75" customHeight="1">
      <c r="A642" s="395"/>
      <c r="B642" s="399"/>
      <c r="C642" s="1201" t="s">
        <v>1209</v>
      </c>
      <c r="D642" s="1131"/>
      <c r="E642" s="1131"/>
      <c r="F642" s="1131"/>
      <c r="G642" s="1131"/>
      <c r="H642" s="1000"/>
      <c r="I642" s="670" t="s">
        <v>1210</v>
      </c>
      <c r="J642" s="674" t="s">
        <v>1211</v>
      </c>
      <c r="K642" s="675" t="s">
        <v>2318</v>
      </c>
      <c r="L642" s="1204" t="s">
        <v>1213</v>
      </c>
      <c r="M642" s="1000"/>
      <c r="N642" s="671" t="s">
        <v>1200</v>
      </c>
      <c r="O642" s="362"/>
    </row>
    <row r="643" spans="1:15" ht="15.75" customHeight="1">
      <c r="A643" s="395">
        <f t="array" ref="A643">IF(C643&lt;&gt;0,INDEX(CodTransporte,MATCH(C643,Transporte,0),),)</f>
        <v>0</v>
      </c>
      <c r="B643" s="399"/>
      <c r="C643" s="1128"/>
      <c r="D643" s="940"/>
      <c r="E643" s="940"/>
      <c r="F643" s="940"/>
      <c r="G643" s="940"/>
      <c r="H643" s="940"/>
      <c r="I643" s="440"/>
      <c r="J643" s="441" t="str">
        <f>IF($A643&gt;0,(VLOOKUP($A643,TablaTransporte,6,FALSE)),"")</f>
        <v/>
      </c>
      <c r="K643" s="442" t="str">
        <f>IF($A643&gt;0,(VLOOKUP($A643,TablaTransporte,5,FALSE)),"")</f>
        <v/>
      </c>
      <c r="L643" s="1134" t="str">
        <f>IF($A643&gt;0,(VLOOKUP($A643,TablaTransporte,7,FALSE)),"")</f>
        <v/>
      </c>
      <c r="M643" s="941"/>
      <c r="N643" s="430" t="str">
        <f t="shared" ref="N643:N647" si="54">IF(I643&gt;0,J643*L643*I643,"")</f>
        <v/>
      </c>
      <c r="O643" s="362"/>
    </row>
    <row r="644" spans="1:15" ht="15.75" customHeight="1">
      <c r="A644" s="395">
        <f t="array" ref="A644">IF(C644&lt;&gt;0,INDEX(CodTransporte,MATCH(C644,Transporte,0),),)</f>
        <v>0</v>
      </c>
      <c r="B644" s="399"/>
      <c r="C644" s="1128"/>
      <c r="D644" s="940"/>
      <c r="E644" s="940"/>
      <c r="F644" s="940"/>
      <c r="G644" s="940"/>
      <c r="H644" s="940"/>
      <c r="I644" s="440"/>
      <c r="J644" s="441" t="str">
        <f>IF($A644&gt;0,(VLOOKUP($A644,TablaTransporte,6,FALSE)),"")</f>
        <v/>
      </c>
      <c r="K644" s="442" t="str">
        <f>IF($A644&gt;0,(VLOOKUP($A644,TablaTransporte,5,FALSE)),"")</f>
        <v/>
      </c>
      <c r="L644" s="1134" t="str">
        <f>IF($A644&gt;0,(VLOOKUP($A644,TablaTransporte,7,FALSE)),"")</f>
        <v/>
      </c>
      <c r="M644" s="941"/>
      <c r="N644" s="430" t="str">
        <f t="shared" si="54"/>
        <v/>
      </c>
      <c r="O644" s="362"/>
    </row>
    <row r="645" spans="1:15" ht="15.75" customHeight="1">
      <c r="A645" s="395">
        <f t="array" ref="A645">IF(C645&lt;&gt;0,INDEX(CodTransporte,MATCH(C645,Transporte,0),),)</f>
        <v>0</v>
      </c>
      <c r="B645" s="399"/>
      <c r="C645" s="1128"/>
      <c r="D645" s="940"/>
      <c r="E645" s="940"/>
      <c r="F645" s="940"/>
      <c r="G645" s="940"/>
      <c r="H645" s="940"/>
      <c r="I645" s="440"/>
      <c r="J645" s="441" t="str">
        <f>IF($A645&gt;0,(VLOOKUP($A645,TablaTransporte,6,FALSE)),"")</f>
        <v/>
      </c>
      <c r="K645" s="442" t="str">
        <f>IF($A645&gt;0,(VLOOKUP($A645,TablaTransporte,5,FALSE)),"")</f>
        <v/>
      </c>
      <c r="L645" s="1134" t="str">
        <f>IF($A645&gt;0,(VLOOKUP($A645,TablaTransporte,7,FALSE)),"")</f>
        <v/>
      </c>
      <c r="M645" s="941"/>
      <c r="N645" s="430" t="str">
        <f t="shared" si="54"/>
        <v/>
      </c>
      <c r="O645" s="362"/>
    </row>
    <row r="646" spans="1:15" ht="15.75" customHeight="1">
      <c r="A646" s="395">
        <f t="array" ref="A646">IF(C646&lt;&gt;0,INDEX(CodTransporte,MATCH(C646,Transporte,0),),)</f>
        <v>0</v>
      </c>
      <c r="B646" s="399"/>
      <c r="C646" s="1128"/>
      <c r="D646" s="940"/>
      <c r="E646" s="940"/>
      <c r="F646" s="940"/>
      <c r="G646" s="940"/>
      <c r="H646" s="940"/>
      <c r="I646" s="440"/>
      <c r="J646" s="441" t="str">
        <f>IF($A646&gt;0,(VLOOKUP($A646,TablaTransporte,6,FALSE)),"")</f>
        <v/>
      </c>
      <c r="K646" s="442" t="str">
        <f>IF($A646&gt;0,(VLOOKUP($A646,TablaTransporte,5,FALSE)),"")</f>
        <v/>
      </c>
      <c r="L646" s="1134" t="str">
        <f>IF($A646&gt;0,(VLOOKUP($A646,TablaTransporte,7,FALSE)),"")</f>
        <v/>
      </c>
      <c r="M646" s="941"/>
      <c r="N646" s="430" t="str">
        <f t="shared" si="54"/>
        <v/>
      </c>
      <c r="O646" s="362"/>
    </row>
    <row r="647" spans="1:15" ht="15.75" customHeight="1">
      <c r="A647" s="395">
        <f t="array" ref="A647">IF(C647&lt;&gt;0,INDEX(CodTransporte,MATCH(C647,Transporte,0),),)</f>
        <v>0</v>
      </c>
      <c r="B647" s="399"/>
      <c r="C647" s="1128"/>
      <c r="D647" s="940"/>
      <c r="E647" s="940"/>
      <c r="F647" s="940"/>
      <c r="G647" s="940"/>
      <c r="H647" s="940"/>
      <c r="I647" s="440"/>
      <c r="J647" s="441" t="str">
        <f>IF($A647&gt;0,(VLOOKUP($A647,TablaTransporte,6,FALSE)),"")</f>
        <v/>
      </c>
      <c r="K647" s="442" t="str">
        <f>IF($A647&gt;0,(VLOOKUP($A647,TablaTransporte,5,FALSE)),"")</f>
        <v/>
      </c>
      <c r="L647" s="1205" t="str">
        <f>IF($A647&gt;0,(VLOOKUP($A647,TablaTransporte,7,FALSE)),"")</f>
        <v/>
      </c>
      <c r="M647" s="1145"/>
      <c r="N647" s="430" t="str">
        <f t="shared" si="54"/>
        <v/>
      </c>
      <c r="O647" s="362"/>
    </row>
    <row r="648" spans="1:15" ht="15.75" customHeight="1">
      <c r="A648" s="395"/>
      <c r="B648" s="399"/>
      <c r="C648" s="1127" t="s">
        <v>1202</v>
      </c>
      <c r="D648" s="965"/>
      <c r="E648" s="965"/>
      <c r="F648" s="965"/>
      <c r="G648" s="965"/>
      <c r="H648" s="965"/>
      <c r="I648" s="965"/>
      <c r="J648" s="965"/>
      <c r="K648" s="965"/>
      <c r="L648" s="965"/>
      <c r="M648" s="966"/>
      <c r="N648" s="433">
        <f>+SUM(N643:N647)</f>
        <v>0</v>
      </c>
      <c r="O648" s="362"/>
    </row>
    <row r="649" spans="1:15" ht="15.75" customHeight="1">
      <c r="A649" s="395"/>
      <c r="B649" s="399"/>
      <c r="C649" s="1129" t="s">
        <v>1214</v>
      </c>
      <c r="D649" s="926"/>
      <c r="E649" s="926"/>
      <c r="F649" s="926"/>
      <c r="G649" s="926"/>
      <c r="H649" s="926"/>
      <c r="I649" s="926"/>
      <c r="J649" s="926"/>
      <c r="K649" s="926"/>
      <c r="L649" s="926"/>
      <c r="M649" s="926"/>
      <c r="N649" s="927"/>
      <c r="O649" s="362"/>
    </row>
    <row r="650" spans="1:15" ht="15.75" customHeight="1">
      <c r="A650" s="395"/>
      <c r="B650" s="399"/>
      <c r="C650" s="920"/>
      <c r="D650" s="922"/>
      <c r="E650" s="922"/>
      <c r="F650" s="922"/>
      <c r="G650" s="922"/>
      <c r="H650" s="922"/>
      <c r="I650" s="922"/>
      <c r="J650" s="922"/>
      <c r="K650" s="922"/>
      <c r="L650" s="922"/>
      <c r="M650" s="922"/>
      <c r="N650" s="924"/>
      <c r="O650" s="362"/>
    </row>
    <row r="651" spans="1:15" ht="15.75" customHeight="1">
      <c r="A651" s="395"/>
      <c r="B651" s="399"/>
      <c r="C651" s="929"/>
      <c r="D651" s="936"/>
      <c r="E651" s="936"/>
      <c r="F651" s="936"/>
      <c r="G651" s="936"/>
      <c r="H651" s="936"/>
      <c r="I651" s="936"/>
      <c r="J651" s="936"/>
      <c r="K651" s="936"/>
      <c r="L651" s="936"/>
      <c r="M651" s="936"/>
      <c r="N651" s="938"/>
      <c r="O651" s="362"/>
    </row>
    <row r="652" spans="1:15" ht="15.75" customHeight="1">
      <c r="A652" s="395"/>
      <c r="B652" s="399"/>
      <c r="C652" s="1201" t="s">
        <v>1215</v>
      </c>
      <c r="D652" s="1131"/>
      <c r="E652" s="1131"/>
      <c r="F652" s="1131"/>
      <c r="G652" s="1131"/>
      <c r="H652" s="1000"/>
      <c r="I652" s="670" t="s">
        <v>1216</v>
      </c>
      <c r="J652" s="676" t="s">
        <v>1217</v>
      </c>
      <c r="K652" s="677" t="s">
        <v>1218</v>
      </c>
      <c r="L652" s="1206" t="s">
        <v>1199</v>
      </c>
      <c r="M652" s="1000"/>
      <c r="N652" s="678" t="s">
        <v>1200</v>
      </c>
      <c r="O652" s="362"/>
    </row>
    <row r="653" spans="1:15" ht="15.75" customHeight="1">
      <c r="A653" s="395" t="str">
        <f t="array" ref="A653">IF(C653&lt;&gt;0,INDEX(CodMO,MATCH(C653,MO,0),),)</f>
        <v>M.O-05</v>
      </c>
      <c r="B653" s="399"/>
      <c r="C653" s="1128" t="s">
        <v>139</v>
      </c>
      <c r="D653" s="940"/>
      <c r="E653" s="940"/>
      <c r="F653" s="940"/>
      <c r="G653" s="940"/>
      <c r="H653" s="940"/>
      <c r="I653" s="447">
        <f>IF($A653&gt;0,(VLOOKUP($A653,TablaMO,8,FALSE)),"")</f>
        <v>125030.16666666667</v>
      </c>
      <c r="J653" s="448">
        <f>IF($A653&gt;0,(VLOOKUP($A653,TablaMO,10,FALSE)),"")</f>
        <v>0.67071666666666663</v>
      </c>
      <c r="K653" s="447">
        <f>IF($A653&gt;0,(VLOOKUP($A653,TablaMO,11,FALSE)),"")</f>
        <v>208890</v>
      </c>
      <c r="L653" s="1146">
        <v>31.68944990771606</v>
      </c>
      <c r="M653" s="941"/>
      <c r="N653" s="430">
        <f t="shared" ref="N653:N657" si="55">IF(L653&gt;0,K653/L653,"")</f>
        <v>6591.7837200808399</v>
      </c>
      <c r="O653" s="362"/>
    </row>
    <row r="654" spans="1:15" ht="15.75" customHeight="1">
      <c r="A654" s="395" t="str">
        <f t="array" ref="A654">IF(C654&lt;&gt;0,INDEX(CodMO,MATCH(C654,MO,0),),)</f>
        <v>M.O-01</v>
      </c>
      <c r="B654" s="399"/>
      <c r="C654" s="1128" t="s">
        <v>130</v>
      </c>
      <c r="D654" s="940"/>
      <c r="E654" s="940"/>
      <c r="F654" s="940"/>
      <c r="G654" s="940"/>
      <c r="H654" s="940"/>
      <c r="I654" s="447">
        <f>IF($A654&gt;0,(VLOOKUP($A654,TablaMO,8,FALSE)),"")</f>
        <v>72503.016666666677</v>
      </c>
      <c r="J654" s="448">
        <f>IF($A654&gt;0,(VLOOKUP($A654,TablaMO,10,FALSE)),"")</f>
        <v>0.67071666666666663</v>
      </c>
      <c r="K654" s="447">
        <f>IF($A654&gt;0,(VLOOKUP($A654,TablaMO,11,FALSE)),"")</f>
        <v>121132</v>
      </c>
      <c r="L654" s="1146">
        <f>L653</f>
        <v>31.68944990771606</v>
      </c>
      <c r="M654" s="941"/>
      <c r="N654" s="430">
        <f t="shared" si="55"/>
        <v>3822.4708965524069</v>
      </c>
      <c r="O654" s="362"/>
    </row>
    <row r="655" spans="1:15" ht="15.75" customHeight="1">
      <c r="A655" s="395">
        <f t="array" ref="A655">IF(C655&lt;&gt;0,INDEX(CodMO,MATCH(C655,MO,0),),)</f>
        <v>0</v>
      </c>
      <c r="B655" s="399"/>
      <c r="C655" s="1128"/>
      <c r="D655" s="940"/>
      <c r="E655" s="940"/>
      <c r="F655" s="940"/>
      <c r="G655" s="940"/>
      <c r="H655" s="940"/>
      <c r="I655" s="447" t="str">
        <f>IF($A655&gt;0,(VLOOKUP($A655,TablaMO,8,FALSE)),"")</f>
        <v/>
      </c>
      <c r="J655" s="448" t="str">
        <f>IF($A655&gt;0,(VLOOKUP($A655,TablaMO,10,FALSE)),"")</f>
        <v/>
      </c>
      <c r="K655" s="447" t="str">
        <f>IF($A655&gt;0,(VLOOKUP($A655,TablaMO,11,FALSE)),"")</f>
        <v/>
      </c>
      <c r="L655" s="1146"/>
      <c r="M655" s="941"/>
      <c r="N655" s="430" t="str">
        <f t="shared" si="55"/>
        <v/>
      </c>
      <c r="O655" s="362"/>
    </row>
    <row r="656" spans="1:15" ht="15.75" customHeight="1">
      <c r="A656" s="395">
        <f t="array" ref="A656">IF(C656&lt;&gt;0,INDEX(CodMO,MATCH(C656,MO,0),),)</f>
        <v>0</v>
      </c>
      <c r="B656" s="399"/>
      <c r="C656" s="1128"/>
      <c r="D656" s="940"/>
      <c r="E656" s="940"/>
      <c r="F656" s="940"/>
      <c r="G656" s="940"/>
      <c r="H656" s="940"/>
      <c r="I656" s="447" t="str">
        <f>IF($A656&gt;0,(VLOOKUP($A656,TablaMO,8,FALSE)),"")</f>
        <v/>
      </c>
      <c r="J656" s="448" t="str">
        <f>IF($A656&gt;0,(VLOOKUP($A656,TablaMO,10,FALSE)),"")</f>
        <v/>
      </c>
      <c r="K656" s="447" t="str">
        <f>IF($A656&gt;0,(VLOOKUP($A656,TablaMO,11,FALSE)),"")</f>
        <v/>
      </c>
      <c r="L656" s="1146"/>
      <c r="M656" s="941"/>
      <c r="N656" s="430" t="str">
        <f t="shared" si="55"/>
        <v/>
      </c>
      <c r="O656" s="362"/>
    </row>
    <row r="657" spans="1:18" ht="15.75" customHeight="1">
      <c r="A657" s="395">
        <f t="array" ref="A657">IF(C657&lt;&gt;0,INDEX(CodMO,MATCH(C657,MO,0),),)</f>
        <v>0</v>
      </c>
      <c r="B657" s="399"/>
      <c r="C657" s="1128"/>
      <c r="D657" s="940"/>
      <c r="E657" s="940"/>
      <c r="F657" s="940"/>
      <c r="G657" s="940"/>
      <c r="H657" s="940"/>
      <c r="I657" s="447" t="str">
        <f>IF($A657&gt;0,(VLOOKUP($A657,TablaMO,8,FALSE)),"")</f>
        <v/>
      </c>
      <c r="J657" s="448" t="str">
        <f>IF($A657&gt;0,(VLOOKUP($A657,TablaMO,10,FALSE)),"")</f>
        <v/>
      </c>
      <c r="K657" s="447" t="str">
        <f>IF($A657&gt;0,(VLOOKUP($A657,TablaMO,11,FALSE)),"")</f>
        <v/>
      </c>
      <c r="L657" s="1146"/>
      <c r="M657" s="941"/>
      <c r="N657" s="430" t="str">
        <f t="shared" si="55"/>
        <v/>
      </c>
      <c r="O657" s="362"/>
    </row>
    <row r="658" spans="1:18" ht="15.75" customHeight="1">
      <c r="A658" s="395"/>
      <c r="B658" s="399"/>
      <c r="C658" s="1127" t="s">
        <v>1202</v>
      </c>
      <c r="D658" s="965"/>
      <c r="E658" s="965"/>
      <c r="F658" s="965"/>
      <c r="G658" s="965"/>
      <c r="H658" s="965"/>
      <c r="I658" s="965"/>
      <c r="J658" s="965"/>
      <c r="K658" s="965"/>
      <c r="L658" s="965"/>
      <c r="M658" s="966"/>
      <c r="N658" s="433">
        <f>+SUM(N653:N657)</f>
        <v>10414.254616633247</v>
      </c>
      <c r="O658" s="362"/>
    </row>
    <row r="659" spans="1:18" ht="15.75" customHeight="1">
      <c r="B659" s="679"/>
      <c r="O659" s="362"/>
    </row>
    <row r="660" spans="1:18" ht="15.75" customHeight="1">
      <c r="B660" s="679"/>
      <c r="C660" s="1198" t="s">
        <v>1219</v>
      </c>
      <c r="D660" s="965"/>
      <c r="E660" s="965"/>
      <c r="F660" s="965"/>
      <c r="G660" s="965"/>
      <c r="H660" s="965"/>
      <c r="I660" s="965"/>
      <c r="J660" s="965"/>
      <c r="K660" s="965"/>
      <c r="L660" s="965"/>
      <c r="M660" s="966"/>
      <c r="N660" s="680">
        <f>ROUND(SUM(N658,N648,N638,N625),0)</f>
        <v>19524</v>
      </c>
      <c r="O660" s="362"/>
      <c r="Q660" s="681">
        <f>VLOOKUP(C614,PROPUESTASASERCO,8,FALSE)</f>
        <v>19524</v>
      </c>
      <c r="R660" s="682">
        <f>Q660-N660</f>
        <v>0</v>
      </c>
    </row>
    <row r="661" spans="1:18" ht="15.75" customHeight="1">
      <c r="B661" s="679"/>
      <c r="C661" s="1129" t="s">
        <v>1220</v>
      </c>
      <c r="D661" s="926"/>
      <c r="E661" s="926"/>
      <c r="F661" s="926"/>
      <c r="G661" s="926"/>
      <c r="H661" s="926"/>
      <c r="I661" s="926"/>
      <c r="J661" s="926"/>
      <c r="K661" s="926"/>
      <c r="L661" s="926"/>
      <c r="M661" s="926"/>
      <c r="N661" s="927"/>
      <c r="O661" s="362"/>
    </row>
    <row r="662" spans="1:18" ht="15.75" customHeight="1">
      <c r="B662" s="679"/>
      <c r="C662" s="920"/>
      <c r="D662" s="922"/>
      <c r="E662" s="922"/>
      <c r="F662" s="922"/>
      <c r="G662" s="922"/>
      <c r="H662" s="922"/>
      <c r="I662" s="922"/>
      <c r="J662" s="922"/>
      <c r="K662" s="922"/>
      <c r="L662" s="922"/>
      <c r="M662" s="922"/>
      <c r="N662" s="924"/>
      <c r="O662" s="362"/>
    </row>
    <row r="663" spans="1:18" ht="15.75" customHeight="1">
      <c r="B663" s="679"/>
      <c r="C663" s="929"/>
      <c r="D663" s="936"/>
      <c r="E663" s="936"/>
      <c r="F663" s="936"/>
      <c r="G663" s="936"/>
      <c r="H663" s="936"/>
      <c r="I663" s="936"/>
      <c r="J663" s="936"/>
      <c r="K663" s="936"/>
      <c r="L663" s="936"/>
      <c r="M663" s="936"/>
      <c r="N663" s="938"/>
      <c r="O663" s="362"/>
    </row>
    <row r="664" spans="1:18" ht="15.75" customHeight="1">
      <c r="B664" s="679"/>
      <c r="C664" s="1201" t="s">
        <v>1221</v>
      </c>
      <c r="D664" s="1131"/>
      <c r="E664" s="1131"/>
      <c r="F664" s="1131"/>
      <c r="G664" s="1131"/>
      <c r="H664" s="1132"/>
      <c r="I664" s="674"/>
      <c r="J664" s="674"/>
      <c r="K664" s="674"/>
      <c r="L664" s="1206" t="s">
        <v>1222</v>
      </c>
      <c r="M664" s="1000"/>
      <c r="N664" s="678" t="s">
        <v>1223</v>
      </c>
      <c r="O664" s="362"/>
    </row>
    <row r="665" spans="1:18" ht="15.75" customHeight="1">
      <c r="B665" s="679"/>
      <c r="C665" s="1128" t="s">
        <v>19</v>
      </c>
      <c r="D665" s="940"/>
      <c r="E665" s="940"/>
      <c r="F665" s="940"/>
      <c r="G665" s="940"/>
      <c r="H665" s="940"/>
      <c r="I665" s="452"/>
      <c r="J665" s="452"/>
      <c r="K665" s="452"/>
      <c r="L665" s="1148">
        <f>+Datos!$E$18</f>
        <v>0.25</v>
      </c>
      <c r="M665" s="941"/>
      <c r="N665" s="430">
        <f>+L665*N660</f>
        <v>4881</v>
      </c>
      <c r="O665" s="362"/>
    </row>
    <row r="666" spans="1:18" ht="15.75" customHeight="1">
      <c r="B666" s="679"/>
      <c r="C666" s="454" t="s">
        <v>20</v>
      </c>
      <c r="D666" s="455"/>
      <c r="E666" s="455"/>
      <c r="F666" s="455"/>
      <c r="G666" s="455"/>
      <c r="H666" s="455"/>
      <c r="I666" s="452"/>
      <c r="J666" s="452"/>
      <c r="K666" s="452"/>
      <c r="L666" s="1148">
        <f>+Datos!$E$19</f>
        <v>0.01</v>
      </c>
      <c r="M666" s="941"/>
      <c r="N666" s="430">
        <f>+L666*N660</f>
        <v>195.24</v>
      </c>
      <c r="O666" s="362"/>
    </row>
    <row r="667" spans="1:18" ht="15.75" customHeight="1">
      <c r="B667" s="679"/>
      <c r="C667" s="456" t="s">
        <v>21</v>
      </c>
      <c r="D667" s="457"/>
      <c r="E667" s="457"/>
      <c r="F667" s="457"/>
      <c r="G667" s="457"/>
      <c r="H667" s="457"/>
      <c r="I667" s="458"/>
      <c r="J667" s="458"/>
      <c r="K667" s="458"/>
      <c r="L667" s="1148">
        <f>+Datos!$E$20</f>
        <v>0.05</v>
      </c>
      <c r="M667" s="941"/>
      <c r="N667" s="430">
        <f>+L667*N660</f>
        <v>976.2</v>
      </c>
      <c r="O667" s="362"/>
    </row>
    <row r="668" spans="1:18" ht="15.75" customHeight="1">
      <c r="B668" s="679"/>
      <c r="C668" s="1127" t="s">
        <v>1202</v>
      </c>
      <c r="D668" s="965"/>
      <c r="E668" s="965"/>
      <c r="F668" s="965"/>
      <c r="G668" s="965"/>
      <c r="H668" s="965"/>
      <c r="I668" s="965"/>
      <c r="J668" s="965"/>
      <c r="K668" s="965"/>
      <c r="L668" s="965"/>
      <c r="M668" s="966"/>
      <c r="N668" s="433">
        <f>+SUM(N665:N667)</f>
        <v>6052.44</v>
      </c>
      <c r="O668" s="362"/>
    </row>
    <row r="669" spans="1:18" ht="15.75" customHeight="1">
      <c r="B669" s="679"/>
      <c r="C669" s="418"/>
      <c r="D669" s="39"/>
      <c r="E669" s="39"/>
      <c r="F669" s="39"/>
      <c r="G669" s="39"/>
      <c r="H669" s="39"/>
      <c r="I669" s="39"/>
      <c r="J669" s="39"/>
      <c r="K669" s="39"/>
      <c r="L669" s="39"/>
      <c r="M669" s="39"/>
      <c r="N669" s="40"/>
      <c r="O669" s="362"/>
    </row>
    <row r="670" spans="1:18" ht="15.75" customHeight="1">
      <c r="B670" s="679"/>
      <c r="C670" s="1198" t="s">
        <v>1224</v>
      </c>
      <c r="D670" s="965"/>
      <c r="E670" s="965"/>
      <c r="F670" s="965"/>
      <c r="G670" s="965"/>
      <c r="H670" s="965"/>
      <c r="I670" s="965"/>
      <c r="J670" s="965"/>
      <c r="K670" s="965"/>
      <c r="L670" s="965"/>
      <c r="M670" s="966"/>
      <c r="N670" s="683">
        <f>+ROUND(SUM(N668,N660),0)</f>
        <v>25576</v>
      </c>
      <c r="O670" s="362"/>
    </row>
    <row r="671" spans="1:18" ht="15.75" customHeight="1">
      <c r="B671" s="679"/>
      <c r="C671" s="418"/>
      <c r="D671" s="39" t="s">
        <v>1225</v>
      </c>
      <c r="E671" s="39"/>
      <c r="F671" s="39"/>
      <c r="G671" s="184"/>
      <c r="H671" s="184"/>
      <c r="I671" s="184"/>
      <c r="J671" s="39" t="s">
        <v>1225</v>
      </c>
      <c r="K671" s="39"/>
      <c r="L671" s="39"/>
      <c r="M671" s="39"/>
      <c r="N671" s="40"/>
      <c r="O671" s="362"/>
    </row>
    <row r="672" spans="1:18" ht="15.75" customHeight="1">
      <c r="B672" s="679"/>
      <c r="C672" s="418"/>
      <c r="D672" s="39" t="s">
        <v>1226</v>
      </c>
      <c r="E672" s="39"/>
      <c r="F672" s="39"/>
      <c r="G672" s="184"/>
      <c r="H672" s="184"/>
      <c r="I672" s="184"/>
      <c r="J672" s="39" t="s">
        <v>1227</v>
      </c>
      <c r="K672" s="39"/>
      <c r="L672" s="39"/>
      <c r="M672" s="39"/>
      <c r="N672" s="40"/>
      <c r="O672" s="362"/>
    </row>
    <row r="673" spans="1:15" ht="15.75" customHeight="1">
      <c r="B673" s="679"/>
      <c r="C673" s="404"/>
      <c r="D673" s="39" t="s">
        <v>1228</v>
      </c>
      <c r="E673" s="42"/>
      <c r="F673" s="42"/>
      <c r="G673" s="184"/>
      <c r="H673" s="184"/>
      <c r="I673" s="184"/>
      <c r="J673" s="39" t="s">
        <v>1228</v>
      </c>
      <c r="K673" s="42"/>
      <c r="L673" s="42"/>
      <c r="M673" s="42"/>
      <c r="N673" s="43"/>
      <c r="O673" s="362"/>
    </row>
    <row r="674" spans="1:15" ht="15.75" customHeight="1">
      <c r="B674" s="679"/>
      <c r="C674" s="418"/>
      <c r="D674" s="39"/>
      <c r="E674" s="39"/>
      <c r="F674" s="39"/>
      <c r="G674" s="39" t="s">
        <v>1229</v>
      </c>
      <c r="H674" s="39"/>
      <c r="I674" s="39"/>
      <c r="J674" s="39"/>
      <c r="K674" s="39"/>
      <c r="L674" s="39"/>
      <c r="M674" s="39"/>
      <c r="N674" s="40"/>
      <c r="O674" s="362"/>
    </row>
    <row r="675" spans="1:15" ht="15.75" customHeight="1">
      <c r="B675" s="679"/>
      <c r="C675" s="466"/>
      <c r="D675" s="467"/>
      <c r="E675" s="467"/>
      <c r="F675" s="39"/>
      <c r="G675" s="39"/>
      <c r="H675" s="39"/>
      <c r="I675" s="39"/>
      <c r="J675" s="1149"/>
      <c r="K675" s="922"/>
      <c r="L675" s="922"/>
      <c r="M675" s="922"/>
      <c r="N675" s="924"/>
      <c r="O675" s="362"/>
    </row>
    <row r="676" spans="1:15" ht="15.75" customHeight="1">
      <c r="B676" s="679"/>
      <c r="C676" s="1150"/>
      <c r="D676" s="936"/>
      <c r="E676" s="936"/>
      <c r="F676" s="416"/>
      <c r="G676" s="416"/>
      <c r="H676" s="416"/>
      <c r="I676" s="416"/>
      <c r="J676" s="936"/>
      <c r="K676" s="936"/>
      <c r="L676" s="936"/>
      <c r="M676" s="936"/>
      <c r="N676" s="938"/>
      <c r="O676" s="362"/>
    </row>
    <row r="677" spans="1:15" ht="15.75" customHeight="1">
      <c r="B677" s="684"/>
      <c r="C677" s="685"/>
      <c r="D677" s="685"/>
      <c r="E677" s="685"/>
      <c r="F677" s="685"/>
      <c r="G677" s="685"/>
      <c r="H677" s="685"/>
      <c r="I677" s="685"/>
      <c r="J677" s="685"/>
      <c r="K677" s="685"/>
      <c r="L677" s="685"/>
      <c r="M677" s="685"/>
      <c r="N677" s="685"/>
      <c r="O677" s="686"/>
    </row>
    <row r="678" spans="1:15" ht="15.75" customHeight="1"/>
    <row r="679" spans="1:15" ht="15.75" customHeight="1"/>
    <row r="680" spans="1:15" ht="15.75" customHeight="1"/>
    <row r="681" spans="1:15" ht="15.75" customHeight="1"/>
    <row r="682" spans="1:15" ht="15.75" customHeight="1">
      <c r="A682" s="395" t="s">
        <v>941</v>
      </c>
      <c r="B682" s="184"/>
      <c r="C682" s="184"/>
      <c r="D682" s="184"/>
      <c r="E682" s="184"/>
      <c r="F682" s="184"/>
      <c r="G682" s="184"/>
      <c r="H682" s="184"/>
      <c r="I682" s="184"/>
      <c r="J682" s="184"/>
      <c r="K682" s="184"/>
      <c r="L682" s="184"/>
      <c r="M682" s="184"/>
      <c r="N682" s="184"/>
    </row>
    <row r="683" spans="1:15" ht="15.75" customHeight="1">
      <c r="A683" s="395"/>
      <c r="B683" s="396"/>
      <c r="C683" s="397"/>
      <c r="D683" s="397"/>
      <c r="E683" s="397"/>
      <c r="F683" s="397"/>
      <c r="G683" s="397"/>
      <c r="H683" s="397"/>
      <c r="I683" s="397"/>
      <c r="J683" s="397"/>
      <c r="K683" s="397"/>
      <c r="L683" s="397"/>
      <c r="M683" s="397"/>
      <c r="N683" s="397"/>
      <c r="O683" s="667"/>
    </row>
    <row r="684" spans="1:15" ht="15.75" customHeight="1">
      <c r="A684" s="395"/>
      <c r="B684" s="399"/>
      <c r="C684" s="1124"/>
      <c r="D684" s="927"/>
      <c r="E684" s="1207" t="str">
        <f>Datos!$C$9</f>
        <v>CONSEJO SUPERIOR  DE  JUDICATURA– DIRECCIÓN  EJECUTIVA  SECCIONAL  DE ADMINISTRACIÓN JUDICIAL DE BUCARAMANGA</v>
      </c>
      <c r="F684" s="926"/>
      <c r="G684" s="926"/>
      <c r="H684" s="926"/>
      <c r="I684" s="926"/>
      <c r="J684" s="926"/>
      <c r="K684" s="927"/>
      <c r="L684" s="925" t="s">
        <v>1</v>
      </c>
      <c r="M684" s="931"/>
      <c r="N684" s="933">
        <v>1</v>
      </c>
      <c r="O684" s="362"/>
    </row>
    <row r="685" spans="1:15" ht="15.75" customHeight="1">
      <c r="A685" s="395"/>
      <c r="B685" s="399"/>
      <c r="C685" s="920"/>
      <c r="D685" s="924"/>
      <c r="E685" s="920"/>
      <c r="F685" s="922"/>
      <c r="G685" s="922"/>
      <c r="H685" s="922"/>
      <c r="I685" s="922"/>
      <c r="J685" s="922"/>
      <c r="K685" s="924"/>
      <c r="L685" s="920"/>
      <c r="M685" s="932"/>
      <c r="N685" s="934"/>
      <c r="O685" s="362"/>
    </row>
    <row r="686" spans="1:15" ht="15.75" customHeight="1">
      <c r="A686" s="395"/>
      <c r="B686" s="399"/>
      <c r="C686" s="920"/>
      <c r="D686" s="924"/>
      <c r="E686" s="919" t="str">
        <f>Datos!$C$13</f>
        <v xml:space="preserve">BGA - 030 - 2026 </v>
      </c>
      <c r="F686" s="922"/>
      <c r="G686" s="922"/>
      <c r="H686" s="922"/>
      <c r="I686" s="922"/>
      <c r="J686" s="922"/>
      <c r="K686" s="922"/>
      <c r="L686" s="925" t="s">
        <v>29</v>
      </c>
      <c r="M686" s="926"/>
      <c r="N686" s="927"/>
      <c r="O686" s="362"/>
    </row>
    <row r="687" spans="1:15" ht="15.75" customHeight="1">
      <c r="A687" s="395"/>
      <c r="B687" s="399"/>
      <c r="C687" s="920"/>
      <c r="D687" s="924"/>
      <c r="E68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687" s="922"/>
      <c r="G687" s="922"/>
      <c r="H687" s="922"/>
      <c r="I687" s="922"/>
      <c r="J687" s="922"/>
      <c r="K687" s="924"/>
      <c r="L687" s="919">
        <v>1</v>
      </c>
      <c r="M687" s="921" t="s">
        <v>30</v>
      </c>
      <c r="N687" s="923">
        <v>1</v>
      </c>
      <c r="O687" s="362"/>
    </row>
    <row r="688" spans="1:15" ht="15.75" customHeight="1">
      <c r="A688" s="395"/>
      <c r="B688" s="399"/>
      <c r="C688" s="920"/>
      <c r="D688" s="924"/>
      <c r="E688" s="920"/>
      <c r="F688" s="922"/>
      <c r="G688" s="922"/>
      <c r="H688" s="922"/>
      <c r="I688" s="922"/>
      <c r="J688" s="922"/>
      <c r="K688" s="924"/>
      <c r="L688" s="920"/>
      <c r="M688" s="922"/>
      <c r="N688" s="924"/>
      <c r="O688" s="362"/>
    </row>
    <row r="689" spans="1:15" ht="15.75" customHeight="1">
      <c r="A689" s="395"/>
      <c r="B689" s="399"/>
      <c r="C689" s="920"/>
      <c r="D689" s="924"/>
      <c r="E689" s="920"/>
      <c r="F689" s="922"/>
      <c r="G689" s="922"/>
      <c r="H689" s="922"/>
      <c r="I689" s="922"/>
      <c r="J689" s="922"/>
      <c r="K689" s="924"/>
      <c r="L689" s="925" t="s">
        <v>2</v>
      </c>
      <c r="M689" s="926"/>
      <c r="N689" s="927"/>
      <c r="O689" s="362"/>
    </row>
    <row r="690" spans="1:15" ht="15.75" customHeight="1">
      <c r="A690" s="395"/>
      <c r="B690" s="399"/>
      <c r="C690" s="920"/>
      <c r="D690" s="924"/>
      <c r="E690" s="407"/>
      <c r="F690" s="216"/>
      <c r="G690" s="216"/>
      <c r="H690" s="216"/>
      <c r="I690" s="216"/>
      <c r="J690" s="216"/>
      <c r="K690" s="216"/>
      <c r="L690" s="408" t="s">
        <v>3</v>
      </c>
      <c r="M690" s="409" t="s">
        <v>4</v>
      </c>
      <c r="N690" s="410" t="s">
        <v>5</v>
      </c>
      <c r="O690" s="362"/>
    </row>
    <row r="691" spans="1:15" ht="15.75" customHeight="1">
      <c r="A691" s="395"/>
      <c r="B691" s="399"/>
      <c r="C691" s="920"/>
      <c r="D691" s="924"/>
      <c r="E691" s="1125" t="s">
        <v>1186</v>
      </c>
      <c r="F691" s="945"/>
      <c r="G691" s="945"/>
      <c r="H691" s="945"/>
      <c r="I691" s="945"/>
      <c r="J691" s="945"/>
      <c r="K691" s="945"/>
      <c r="L691" s="928">
        <f>Datos!$C$7</f>
        <v>19</v>
      </c>
      <c r="M691" s="935">
        <f>Datos!$D$7</f>
        <v>6</v>
      </c>
      <c r="N691" s="937">
        <f>Datos!$E$7</f>
        <v>2026</v>
      </c>
      <c r="O691" s="362"/>
    </row>
    <row r="692" spans="1:15" ht="15.75" customHeight="1">
      <c r="A692" s="395"/>
      <c r="B692" s="399"/>
      <c r="C692" s="929"/>
      <c r="D692" s="938"/>
      <c r="E692" s="929"/>
      <c r="F692" s="936"/>
      <c r="G692" s="936"/>
      <c r="H692" s="936"/>
      <c r="I692" s="936"/>
      <c r="J692" s="936"/>
      <c r="K692" s="936"/>
      <c r="L692" s="929"/>
      <c r="M692" s="936"/>
      <c r="N692" s="938"/>
      <c r="O692" s="362"/>
    </row>
    <row r="693" spans="1:15" ht="15.75" customHeight="1">
      <c r="A693" s="395"/>
      <c r="B693" s="399"/>
      <c r="C693" s="404"/>
      <c r="D693" s="38"/>
      <c r="E693" s="38"/>
      <c r="F693" s="38"/>
      <c r="G693" s="38"/>
      <c r="H693" s="38"/>
      <c r="I693" s="38"/>
      <c r="J693" s="38"/>
      <c r="K693" s="38"/>
      <c r="L693" s="39"/>
      <c r="M693" s="39"/>
      <c r="N693" s="40"/>
      <c r="O693" s="362"/>
    </row>
    <row r="694" spans="1:15" ht="15.75" customHeight="1">
      <c r="A694" s="395"/>
      <c r="B694" s="399"/>
      <c r="C694" s="412" t="s">
        <v>1187</v>
      </c>
      <c r="D694" s="1199" t="str">
        <f>VLOOKUP(C699,ListaAct,2,0)</f>
        <v>OBRA CIVIL</v>
      </c>
      <c r="E694" s="922"/>
      <c r="F694" s="922"/>
      <c r="G694" s="922"/>
      <c r="H694" s="922"/>
      <c r="I694" s="922"/>
      <c r="J694" s="922"/>
      <c r="K694" s="922"/>
      <c r="L694" s="922"/>
      <c r="M694" s="1"/>
      <c r="N694" s="413"/>
      <c r="O694" s="362"/>
    </row>
    <row r="695" spans="1:15" ht="15.75" customHeight="1">
      <c r="A695" s="395"/>
      <c r="B695" s="399"/>
      <c r="C695" s="412" t="s">
        <v>1189</v>
      </c>
      <c r="D695" s="1199" t="str">
        <f>VLOOKUP(C699,ListaAct,3,0)</f>
        <v>DEMOLICIONES, DESCAPOTES Y RETIROS</v>
      </c>
      <c r="E695" s="922"/>
      <c r="F695" s="922"/>
      <c r="G695" s="922"/>
      <c r="H695" s="922"/>
      <c r="I695" s="922"/>
      <c r="J695" s="922"/>
      <c r="K695" s="922"/>
      <c r="L695" s="922"/>
      <c r="M695" s="1"/>
      <c r="N695" s="413"/>
      <c r="O695" s="362"/>
    </row>
    <row r="696" spans="1:15" ht="15.75" customHeight="1">
      <c r="A696" s="395"/>
      <c r="B696" s="399"/>
      <c r="C696" s="925" t="s">
        <v>1191</v>
      </c>
      <c r="D696" s="926"/>
      <c r="E696" s="926"/>
      <c r="F696" s="926"/>
      <c r="G696" s="926"/>
      <c r="H696" s="926"/>
      <c r="I696" s="926"/>
      <c r="J696" s="926"/>
      <c r="K696" s="926"/>
      <c r="L696" s="926"/>
      <c r="M696" s="926"/>
      <c r="N696" s="927"/>
      <c r="O696" s="362"/>
    </row>
    <row r="697" spans="1:15" ht="15.75" customHeight="1">
      <c r="A697" s="395"/>
      <c r="B697" s="399"/>
      <c r="C697" s="418"/>
      <c r="D697" s="39"/>
      <c r="E697" s="39"/>
      <c r="F697" s="39"/>
      <c r="G697" s="39"/>
      <c r="H697" s="39"/>
      <c r="I697" s="39"/>
      <c r="J697" s="39"/>
      <c r="K697" s="39"/>
      <c r="L697" s="39"/>
      <c r="M697" s="39"/>
      <c r="N697" s="40"/>
      <c r="O697" s="362"/>
    </row>
    <row r="698" spans="1:15" ht="15.75" customHeight="1">
      <c r="A698" s="395"/>
      <c r="B698" s="399"/>
      <c r="C698" s="668" t="s">
        <v>965</v>
      </c>
      <c r="D698" s="1200" t="s">
        <v>17</v>
      </c>
      <c r="E698" s="1131"/>
      <c r="F698" s="1131"/>
      <c r="G698" s="1131"/>
      <c r="H698" s="1131"/>
      <c r="I698" s="1131"/>
      <c r="J698" s="1131"/>
      <c r="K698" s="1137"/>
      <c r="L698" s="1201" t="s">
        <v>1192</v>
      </c>
      <c r="M698" s="1137"/>
      <c r="N698" s="668" t="s">
        <v>950</v>
      </c>
      <c r="O698" s="362"/>
    </row>
    <row r="699" spans="1:15" ht="15.75" customHeight="1">
      <c r="A699" s="395"/>
      <c r="B699" s="421"/>
      <c r="C699" s="669" t="s">
        <v>1004</v>
      </c>
      <c r="D699" s="1202" t="str">
        <f>IF($C699&gt;0,(VLOOKUP($C699,ListaAct,4,FALSE)),"")</f>
        <v xml:space="preserve"> Retiro de pintura deteriorada de puertas, ventanas y capiteles en madera ambas caras hasta dejar superficie original. </v>
      </c>
      <c r="E699" s="979"/>
      <c r="F699" s="979"/>
      <c r="G699" s="979"/>
      <c r="H699" s="979"/>
      <c r="I699" s="979"/>
      <c r="J699" s="979"/>
      <c r="K699" s="980"/>
      <c r="L699" s="1203" t="str">
        <f>IF($C699&gt;0,(VLOOKUP($C699,ListaAct,5,FALSE)),"")</f>
        <v>m2</v>
      </c>
      <c r="M699" s="980"/>
      <c r="N699" s="423">
        <f>IF($C699&gt;0,(VLOOKUP($C699,ListaAct,6,FALSE)),"")</f>
        <v>5.46</v>
      </c>
      <c r="O699" s="362"/>
    </row>
    <row r="700" spans="1:15" ht="15.75" customHeight="1">
      <c r="A700" s="395"/>
      <c r="B700" s="399"/>
      <c r="C700" s="1129" t="s">
        <v>1195</v>
      </c>
      <c r="D700" s="926"/>
      <c r="E700" s="926"/>
      <c r="F700" s="926"/>
      <c r="G700" s="926"/>
      <c r="H700" s="926"/>
      <c r="I700" s="926"/>
      <c r="J700" s="926"/>
      <c r="K700" s="926"/>
      <c r="L700" s="926"/>
      <c r="M700" s="926"/>
      <c r="N700" s="927"/>
      <c r="O700" s="362"/>
    </row>
    <row r="701" spans="1:15" ht="15.75" customHeight="1">
      <c r="A701" s="395"/>
      <c r="B701" s="399"/>
      <c r="C701" s="920"/>
      <c r="D701" s="922"/>
      <c r="E701" s="922"/>
      <c r="F701" s="922"/>
      <c r="G701" s="922"/>
      <c r="H701" s="922"/>
      <c r="I701" s="922"/>
      <c r="J701" s="922"/>
      <c r="K701" s="922"/>
      <c r="L701" s="922"/>
      <c r="M701" s="922"/>
      <c r="N701" s="924"/>
      <c r="O701" s="362"/>
    </row>
    <row r="702" spans="1:15" ht="15.75" customHeight="1">
      <c r="A702" s="395"/>
      <c r="B702" s="399"/>
      <c r="C702" s="929"/>
      <c r="D702" s="936"/>
      <c r="E702" s="936"/>
      <c r="F702" s="936"/>
      <c r="G702" s="936"/>
      <c r="H702" s="936"/>
      <c r="I702" s="936"/>
      <c r="J702" s="936"/>
      <c r="K702" s="936"/>
      <c r="L702" s="936"/>
      <c r="M702" s="936"/>
      <c r="N702" s="938"/>
      <c r="O702" s="362"/>
    </row>
    <row r="703" spans="1:15" ht="15.75" customHeight="1">
      <c r="A703" s="395"/>
      <c r="B703" s="399"/>
      <c r="C703" s="1201" t="s">
        <v>17</v>
      </c>
      <c r="D703" s="1131"/>
      <c r="E703" s="1131"/>
      <c r="F703" s="1000"/>
      <c r="G703" s="1204" t="s">
        <v>1196</v>
      </c>
      <c r="H703" s="1000"/>
      <c r="I703" s="1204" t="s">
        <v>1197</v>
      </c>
      <c r="J703" s="1000"/>
      <c r="K703" s="670" t="s">
        <v>1213</v>
      </c>
      <c r="L703" s="1204" t="s">
        <v>1199</v>
      </c>
      <c r="M703" s="1000"/>
      <c r="N703" s="671" t="s">
        <v>1200</v>
      </c>
      <c r="O703" s="362"/>
    </row>
    <row r="704" spans="1:15" ht="15.75" customHeight="1">
      <c r="A704" s="395"/>
      <c r="B704" s="399"/>
      <c r="C704" s="1128" t="s">
        <v>1201</v>
      </c>
      <c r="D704" s="940"/>
      <c r="E704" s="940"/>
      <c r="F704" s="941"/>
      <c r="G704" s="1142"/>
      <c r="H704" s="941"/>
      <c r="I704" s="1142"/>
      <c r="J704" s="941"/>
      <c r="K704" s="429"/>
      <c r="L704" s="1143">
        <v>0.05</v>
      </c>
      <c r="M704" s="941"/>
      <c r="N704" s="430">
        <f>+L704*N743</f>
        <v>569.04610671736248</v>
      </c>
      <c r="O704" s="362"/>
    </row>
    <row r="705" spans="1:17" ht="15.75" customHeight="1">
      <c r="A705" s="395" t="str">
        <f t="array" ref="A705">IF(C705&lt;&gt;0,INDEX(CodEquipos,MATCH(C705,Equipos,0),),)</f>
        <v>EQ-20</v>
      </c>
      <c r="B705" s="399"/>
      <c r="C705" s="1128" t="s">
        <v>2501</v>
      </c>
      <c r="D705" s="940"/>
      <c r="E705" s="940"/>
      <c r="F705" s="941"/>
      <c r="G705" s="1142"/>
      <c r="H705" s="941"/>
      <c r="I705" s="1142"/>
      <c r="J705" s="941"/>
      <c r="K705" s="432">
        <f>IF($A705&gt;0,(VLOOKUP($A705,TablaEquipos,7,FALSE)),"")</f>
        <v>69000</v>
      </c>
      <c r="L705" s="1146">
        <v>0.01</v>
      </c>
      <c r="M705" s="941"/>
      <c r="N705" s="430">
        <f>IF(L705&gt;0,K705*L705,"")</f>
        <v>690</v>
      </c>
      <c r="O705" s="362"/>
    </row>
    <row r="706" spans="1:17" ht="15.75" customHeight="1">
      <c r="A706" s="395">
        <f t="array" ref="A706">IF(C706&lt;&gt;0,INDEX(CodEquipos,MATCH(C706,Equipos,0),),)</f>
        <v>0</v>
      </c>
      <c r="B706" s="399"/>
      <c r="C706" s="1128"/>
      <c r="D706" s="940"/>
      <c r="E706" s="940"/>
      <c r="F706" s="941"/>
      <c r="G706" s="1142"/>
      <c r="H706" s="941"/>
      <c r="I706" s="1142"/>
      <c r="J706" s="941"/>
      <c r="K706" s="432" t="str">
        <f>IF($A706&gt;0,(VLOOKUP($A706,TablaEquipos,7,FALSE)),"")</f>
        <v/>
      </c>
      <c r="L706" s="1141"/>
      <c r="M706" s="941"/>
      <c r="N706" s="430" t="str">
        <f t="shared" ref="N706" si="56">IF(L706&gt;0,K706/L706,"")</f>
        <v/>
      </c>
      <c r="O706" s="362"/>
    </row>
    <row r="707" spans="1:17" ht="15.75" customHeight="1">
      <c r="A707" s="395">
        <f t="array" ref="A707">IF(C707&lt;&gt;0,INDEX(CodEquipos,MATCH(C707,Equipos,0),),)</f>
        <v>0</v>
      </c>
      <c r="B707" s="399"/>
      <c r="C707" s="1128"/>
      <c r="D707" s="940"/>
      <c r="E707" s="940"/>
      <c r="F707" s="941"/>
      <c r="G707" s="1142"/>
      <c r="H707" s="941"/>
      <c r="I707" s="1142"/>
      <c r="J707" s="941"/>
      <c r="K707" s="432"/>
      <c r="L707" s="1141"/>
      <c r="M707" s="941"/>
      <c r="N707" s="430"/>
      <c r="O707" s="362"/>
    </row>
    <row r="708" spans="1:17" ht="15.75" customHeight="1">
      <c r="A708" s="395">
        <f t="array" ref="A708">IF(C708&lt;&gt;0,INDEX(CodEquipos,MATCH(C708,Equipos,0),),)</f>
        <v>0</v>
      </c>
      <c r="B708" s="399"/>
      <c r="C708" s="1128"/>
      <c r="D708" s="940"/>
      <c r="E708" s="940"/>
      <c r="F708" s="941"/>
      <c r="G708" s="1142"/>
      <c r="H708" s="941"/>
      <c r="I708" s="1142"/>
      <c r="J708" s="941"/>
      <c r="K708" s="432" t="str">
        <f>IF($A708&gt;0,(VLOOKUP($A708,TablaEquipos,7,FALSE)),"")</f>
        <v/>
      </c>
      <c r="L708" s="1141"/>
      <c r="M708" s="941"/>
      <c r="N708" s="430" t="str">
        <f t="shared" ref="N708:N709" si="57">IF(L708&gt;0,K708/L708,"")</f>
        <v/>
      </c>
      <c r="O708" s="362"/>
    </row>
    <row r="709" spans="1:17" ht="15.75" customHeight="1">
      <c r="A709" s="395">
        <f t="array" ref="A709">IF(C709&lt;&gt;0,INDEX(CodEquipos,MATCH(C709,Equipos,0),),)</f>
        <v>0</v>
      </c>
      <c r="B709" s="399"/>
      <c r="C709" s="1128"/>
      <c r="D709" s="940"/>
      <c r="E709" s="940"/>
      <c r="F709" s="941"/>
      <c r="G709" s="1144"/>
      <c r="H709" s="1145"/>
      <c r="I709" s="1144"/>
      <c r="J709" s="1145"/>
      <c r="K709" s="432" t="str">
        <f>IF($A709&gt;0,(VLOOKUP($A709,TablaEquipos,7,FALSE)),"")</f>
        <v/>
      </c>
      <c r="L709" s="1208"/>
      <c r="M709" s="1145"/>
      <c r="N709" s="430" t="str">
        <f t="shared" si="57"/>
        <v/>
      </c>
      <c r="O709" s="362"/>
    </row>
    <row r="710" spans="1:17" ht="15.75" customHeight="1">
      <c r="A710" s="395"/>
      <c r="B710" s="399"/>
      <c r="C710" s="1127" t="s">
        <v>1202</v>
      </c>
      <c r="D710" s="965"/>
      <c r="E710" s="965"/>
      <c r="F710" s="965"/>
      <c r="G710" s="965"/>
      <c r="H710" s="965"/>
      <c r="I710" s="965"/>
      <c r="J710" s="965"/>
      <c r="K710" s="965"/>
      <c r="L710" s="965"/>
      <c r="M710" s="966"/>
      <c r="N710" s="433">
        <f>+SUM(N704:N709)</f>
        <v>1259.0461067173624</v>
      </c>
      <c r="O710" s="362"/>
    </row>
    <row r="711" spans="1:17" ht="15.75" customHeight="1">
      <c r="A711" s="395"/>
      <c r="B711" s="399"/>
      <c r="C711" s="1129" t="s">
        <v>1203</v>
      </c>
      <c r="D711" s="926"/>
      <c r="E711" s="926"/>
      <c r="F711" s="926"/>
      <c r="G711" s="926"/>
      <c r="H711" s="926"/>
      <c r="I711" s="926"/>
      <c r="J711" s="926"/>
      <c r="K711" s="926"/>
      <c r="L711" s="926"/>
      <c r="M711" s="926"/>
      <c r="N711" s="927"/>
      <c r="O711" s="362"/>
    </row>
    <row r="712" spans="1:17" ht="15.75" customHeight="1">
      <c r="A712" s="395"/>
      <c r="B712" s="399"/>
      <c r="C712" s="920"/>
      <c r="D712" s="922"/>
      <c r="E712" s="922"/>
      <c r="F712" s="922"/>
      <c r="G712" s="922"/>
      <c r="H712" s="922"/>
      <c r="I712" s="922"/>
      <c r="J712" s="922"/>
      <c r="K712" s="922"/>
      <c r="L712" s="922"/>
      <c r="M712" s="922"/>
      <c r="N712" s="924"/>
      <c r="O712" s="362"/>
    </row>
    <row r="713" spans="1:17" ht="15.75" customHeight="1">
      <c r="A713" s="395"/>
      <c r="B713" s="399"/>
      <c r="C713" s="929"/>
      <c r="D713" s="936"/>
      <c r="E713" s="936"/>
      <c r="F713" s="936"/>
      <c r="G713" s="936"/>
      <c r="H713" s="936"/>
      <c r="I713" s="936"/>
      <c r="J713" s="936"/>
      <c r="K713" s="936"/>
      <c r="L713" s="936"/>
      <c r="M713" s="936"/>
      <c r="N713" s="938"/>
      <c r="O713" s="362"/>
    </row>
    <row r="714" spans="1:17" ht="15.75" customHeight="1">
      <c r="A714" s="395"/>
      <c r="B714" s="399"/>
      <c r="C714" s="1201" t="s">
        <v>17</v>
      </c>
      <c r="D714" s="1131"/>
      <c r="E714" s="1131"/>
      <c r="F714" s="1131"/>
      <c r="G714" s="1131"/>
      <c r="H714" s="1131"/>
      <c r="I714" s="1000"/>
      <c r="J714" s="672" t="s">
        <v>1192</v>
      </c>
      <c r="K714" s="670" t="s">
        <v>950</v>
      </c>
      <c r="L714" s="1204" t="s">
        <v>1204</v>
      </c>
      <c r="M714" s="1000"/>
      <c r="N714" s="671" t="s">
        <v>1200</v>
      </c>
      <c r="O714" s="362"/>
    </row>
    <row r="715" spans="1:17" ht="15.75" customHeight="1">
      <c r="A715" s="395" t="str">
        <f t="array" ref="A715">IF(C715&lt;&gt;0,INDEX(CodMat,MATCH(C715,Materiales,0),),)</f>
        <v>MAT_CON-12</v>
      </c>
      <c r="B715" s="399"/>
      <c r="C715" s="1128" t="s">
        <v>1980</v>
      </c>
      <c r="D715" s="940"/>
      <c r="E715" s="940"/>
      <c r="F715" s="940"/>
      <c r="G715" s="940"/>
      <c r="H715" s="940"/>
      <c r="I715" s="941"/>
      <c r="J715" s="435" t="str">
        <f t="shared" ref="J715:J722" si="58">IF($A715&gt;0,(VLOOKUP($A715,TablaInsumos,5,FALSE)),"")</f>
        <v xml:space="preserve">UND </v>
      </c>
      <c r="K715" s="673">
        <v>0.05</v>
      </c>
      <c r="L715" s="1134">
        <f t="shared" ref="L715:L722" si="59">IF($A715&gt;0,(VLOOKUP($A715,TablaInsumos,7,FALSE)),"")</f>
        <v>19000</v>
      </c>
      <c r="M715" s="941"/>
      <c r="N715" s="430">
        <f t="shared" ref="N715:N722" si="60">IF(K715&gt;0,L715*K715,"")</f>
        <v>950</v>
      </c>
      <c r="O715" s="362"/>
    </row>
    <row r="716" spans="1:17" ht="15.75" customHeight="1">
      <c r="A716" s="395" t="str">
        <f t="array" ref="A716">IF(C716&lt;&gt;0,INDEX(CodMat,MATCH(C716,Materiales,0),),)</f>
        <v>MAT_CON-11</v>
      </c>
      <c r="B716" s="399"/>
      <c r="C716" s="1128" t="s">
        <v>1978</v>
      </c>
      <c r="D716" s="940"/>
      <c r="E716" s="940"/>
      <c r="F716" s="940"/>
      <c r="G716" s="940"/>
      <c r="H716" s="940"/>
      <c r="I716" s="941"/>
      <c r="J716" s="435" t="str">
        <f t="shared" si="58"/>
        <v xml:space="preserve">UND </v>
      </c>
      <c r="K716" s="673">
        <v>0.05</v>
      </c>
      <c r="L716" s="1134">
        <f t="shared" si="59"/>
        <v>19000</v>
      </c>
      <c r="M716" s="941"/>
      <c r="N716" s="430">
        <f t="shared" si="60"/>
        <v>950</v>
      </c>
      <c r="O716" s="362"/>
      <c r="Q716" s="688"/>
    </row>
    <row r="717" spans="1:17" ht="15.75" customHeight="1">
      <c r="A717" s="395">
        <f t="array" ref="A717">IF(C717&lt;&gt;0,INDEX(CodMat,MATCH(C717,Materiales,0),),)</f>
        <v>0</v>
      </c>
      <c r="B717" s="399"/>
      <c r="C717" s="1128"/>
      <c r="D717" s="940"/>
      <c r="E717" s="940"/>
      <c r="F717" s="940"/>
      <c r="G717" s="940"/>
      <c r="H717" s="940"/>
      <c r="I717" s="941"/>
      <c r="J717" s="435" t="str">
        <f t="shared" si="58"/>
        <v/>
      </c>
      <c r="K717" s="673"/>
      <c r="L717" s="1134" t="str">
        <f t="shared" si="59"/>
        <v/>
      </c>
      <c r="M717" s="941"/>
      <c r="N717" s="430" t="str">
        <f t="shared" si="60"/>
        <v/>
      </c>
      <c r="O717" s="362"/>
      <c r="Q717" s="687"/>
    </row>
    <row r="718" spans="1:17" ht="15.75" customHeight="1">
      <c r="A718" s="395">
        <f t="array" ref="A718">IF(C718&lt;&gt;0,INDEX(CodMat,MATCH(C718,Materiales,0),),)</f>
        <v>0</v>
      </c>
      <c r="B718" s="399"/>
      <c r="C718" s="1128"/>
      <c r="D718" s="940"/>
      <c r="E718" s="940"/>
      <c r="F718" s="940"/>
      <c r="G718" s="940"/>
      <c r="H718" s="940"/>
      <c r="I718" s="941"/>
      <c r="J718" s="435" t="str">
        <f t="shared" si="58"/>
        <v/>
      </c>
      <c r="K718" s="673"/>
      <c r="L718" s="1134" t="str">
        <f t="shared" si="59"/>
        <v/>
      </c>
      <c r="M718" s="941"/>
      <c r="N718" s="430" t="str">
        <f t="shared" si="60"/>
        <v/>
      </c>
      <c r="O718" s="362"/>
    </row>
    <row r="719" spans="1:17" ht="15.75" customHeight="1">
      <c r="A719" s="395">
        <f t="array" ref="A719">IF(C719&lt;&gt;0,INDEX(CodMat,MATCH(C719,Materiales,0),),)</f>
        <v>0</v>
      </c>
      <c r="B719" s="399"/>
      <c r="C719" s="1128"/>
      <c r="D719" s="940"/>
      <c r="E719" s="940"/>
      <c r="F719" s="940"/>
      <c r="G719" s="940"/>
      <c r="H719" s="940"/>
      <c r="I719" s="941"/>
      <c r="J719" s="435" t="str">
        <f t="shared" si="58"/>
        <v/>
      </c>
      <c r="K719" s="436"/>
      <c r="L719" s="1134" t="str">
        <f t="shared" si="59"/>
        <v/>
      </c>
      <c r="M719" s="941"/>
      <c r="N719" s="430" t="str">
        <f t="shared" si="60"/>
        <v/>
      </c>
      <c r="O719" s="362"/>
    </row>
    <row r="720" spans="1:17" ht="15.75" customHeight="1">
      <c r="A720" s="395">
        <f t="array" ref="A720">IF(C720&lt;&gt;0,INDEX(CodMat,MATCH(C720,Materiales,0),),)</f>
        <v>0</v>
      </c>
      <c r="B720" s="399"/>
      <c r="C720" s="1128"/>
      <c r="D720" s="940"/>
      <c r="E720" s="940"/>
      <c r="F720" s="940"/>
      <c r="G720" s="940"/>
      <c r="H720" s="940"/>
      <c r="I720" s="941"/>
      <c r="J720" s="435" t="str">
        <f t="shared" si="58"/>
        <v/>
      </c>
      <c r="K720" s="436"/>
      <c r="L720" s="1134" t="str">
        <f t="shared" si="59"/>
        <v/>
      </c>
      <c r="M720" s="941"/>
      <c r="N720" s="430" t="str">
        <f t="shared" si="60"/>
        <v/>
      </c>
      <c r="O720" s="362"/>
    </row>
    <row r="721" spans="1:15" ht="15.75" customHeight="1">
      <c r="A721" s="395">
        <f t="array" ref="A721">IF(C721&lt;&gt;0,INDEX(CodMat,MATCH(C721,Materiales,0),),)</f>
        <v>0</v>
      </c>
      <c r="B721" s="399"/>
      <c r="C721" s="1128"/>
      <c r="D721" s="940"/>
      <c r="E721" s="940"/>
      <c r="F721" s="940"/>
      <c r="G721" s="940"/>
      <c r="H721" s="940"/>
      <c r="I721" s="941"/>
      <c r="J721" s="435" t="str">
        <f t="shared" si="58"/>
        <v/>
      </c>
      <c r="K721" s="436"/>
      <c r="L721" s="1134" t="str">
        <f t="shared" si="59"/>
        <v/>
      </c>
      <c r="M721" s="941"/>
      <c r="N721" s="430" t="str">
        <f t="shared" si="60"/>
        <v/>
      </c>
      <c r="O721" s="362"/>
    </row>
    <row r="722" spans="1:15" ht="15.75" customHeight="1">
      <c r="A722" s="395">
        <f t="array" ref="A722">IF(C722&lt;&gt;0,INDEX(CodMat,MATCH(C722,Materiales,0),),)</f>
        <v>0</v>
      </c>
      <c r="B722" s="399"/>
      <c r="C722" s="1128"/>
      <c r="D722" s="940"/>
      <c r="E722" s="940"/>
      <c r="F722" s="940"/>
      <c r="G722" s="940"/>
      <c r="H722" s="940"/>
      <c r="I722" s="941"/>
      <c r="J722" s="435" t="str">
        <f t="shared" si="58"/>
        <v/>
      </c>
      <c r="K722" s="436"/>
      <c r="L722" s="1205" t="str">
        <f t="shared" si="59"/>
        <v/>
      </c>
      <c r="M722" s="1145"/>
      <c r="N722" s="430" t="str">
        <f t="shared" si="60"/>
        <v/>
      </c>
      <c r="O722" s="362"/>
    </row>
    <row r="723" spans="1:15" ht="15.75" customHeight="1">
      <c r="A723" s="395"/>
      <c r="B723" s="399"/>
      <c r="C723" s="1127" t="s">
        <v>1202</v>
      </c>
      <c r="D723" s="965"/>
      <c r="E723" s="965"/>
      <c r="F723" s="965"/>
      <c r="G723" s="965"/>
      <c r="H723" s="965"/>
      <c r="I723" s="965"/>
      <c r="J723" s="965"/>
      <c r="K723" s="965"/>
      <c r="L723" s="965"/>
      <c r="M723" s="966"/>
      <c r="N723" s="433">
        <f>+SUM(N715:N722)</f>
        <v>1900</v>
      </c>
      <c r="O723" s="362"/>
    </row>
    <row r="724" spans="1:15" ht="15.75" customHeight="1">
      <c r="A724" s="395"/>
      <c r="B724" s="399"/>
      <c r="C724" s="1129" t="s">
        <v>1208</v>
      </c>
      <c r="D724" s="926"/>
      <c r="E724" s="926"/>
      <c r="F724" s="926"/>
      <c r="G724" s="926"/>
      <c r="H724" s="926"/>
      <c r="I724" s="926"/>
      <c r="J724" s="926"/>
      <c r="K724" s="926"/>
      <c r="L724" s="926"/>
      <c r="M724" s="926"/>
      <c r="N724" s="927"/>
      <c r="O724" s="362"/>
    </row>
    <row r="725" spans="1:15" ht="15.75" customHeight="1">
      <c r="A725" s="395"/>
      <c r="B725" s="399"/>
      <c r="C725" s="920"/>
      <c r="D725" s="922"/>
      <c r="E725" s="922"/>
      <c r="F725" s="922"/>
      <c r="G725" s="922"/>
      <c r="H725" s="922"/>
      <c r="I725" s="922"/>
      <c r="J725" s="922"/>
      <c r="K725" s="922"/>
      <c r="L725" s="922"/>
      <c r="M725" s="922"/>
      <c r="N725" s="924"/>
      <c r="O725" s="362"/>
    </row>
    <row r="726" spans="1:15" ht="15.75" customHeight="1">
      <c r="A726" s="395"/>
      <c r="B726" s="399"/>
      <c r="C726" s="929"/>
      <c r="D726" s="936"/>
      <c r="E726" s="936"/>
      <c r="F726" s="936"/>
      <c r="G726" s="936"/>
      <c r="H726" s="936"/>
      <c r="I726" s="936"/>
      <c r="J726" s="936"/>
      <c r="K726" s="936"/>
      <c r="L726" s="936"/>
      <c r="M726" s="936"/>
      <c r="N726" s="938"/>
      <c r="O726" s="362"/>
    </row>
    <row r="727" spans="1:15" ht="15.75" customHeight="1">
      <c r="A727" s="395"/>
      <c r="B727" s="399"/>
      <c r="C727" s="1201" t="s">
        <v>1209</v>
      </c>
      <c r="D727" s="1131"/>
      <c r="E727" s="1131"/>
      <c r="F727" s="1131"/>
      <c r="G727" s="1131"/>
      <c r="H727" s="1000"/>
      <c r="I727" s="670" t="s">
        <v>1210</v>
      </c>
      <c r="J727" s="674" t="s">
        <v>1211</v>
      </c>
      <c r="K727" s="675" t="s">
        <v>2318</v>
      </c>
      <c r="L727" s="1204" t="s">
        <v>1213</v>
      </c>
      <c r="M727" s="1000"/>
      <c r="N727" s="671" t="s">
        <v>1200</v>
      </c>
      <c r="O727" s="362"/>
    </row>
    <row r="728" spans="1:15" ht="15.75" customHeight="1">
      <c r="A728" s="395">
        <f t="array" ref="A728">IF(C728&lt;&gt;0,INDEX(CodTransporte,MATCH(C728,Transporte,0),),)</f>
        <v>0</v>
      </c>
      <c r="B728" s="399"/>
      <c r="C728" s="1128"/>
      <c r="D728" s="940"/>
      <c r="E728" s="940"/>
      <c r="F728" s="940"/>
      <c r="G728" s="940"/>
      <c r="H728" s="940"/>
      <c r="I728" s="440"/>
      <c r="J728" s="441" t="str">
        <f>IF($A728&gt;0,(VLOOKUP($A728,TablaTransporte,6,FALSE)),"")</f>
        <v/>
      </c>
      <c r="K728" s="442" t="str">
        <f>IF($A728&gt;0,(VLOOKUP($A728,TablaTransporte,5,FALSE)),"")</f>
        <v/>
      </c>
      <c r="L728" s="1134" t="str">
        <f>IF($A728&gt;0,(VLOOKUP($A728,TablaTransporte,7,FALSE)),"")</f>
        <v/>
      </c>
      <c r="M728" s="941"/>
      <c r="N728" s="430" t="str">
        <f t="shared" ref="N728:N732" si="61">IF(I728&gt;0,J728*L728*I728,"")</f>
        <v/>
      </c>
      <c r="O728" s="362"/>
    </row>
    <row r="729" spans="1:15" ht="15.75" customHeight="1">
      <c r="A729" s="395">
        <f t="array" ref="A729">IF(C729&lt;&gt;0,INDEX(CodTransporte,MATCH(C729,Transporte,0),),)</f>
        <v>0</v>
      </c>
      <c r="B729" s="399"/>
      <c r="C729" s="1128"/>
      <c r="D729" s="940"/>
      <c r="E729" s="940"/>
      <c r="F729" s="940"/>
      <c r="G729" s="940"/>
      <c r="H729" s="940"/>
      <c r="I729" s="440"/>
      <c r="J729" s="441" t="str">
        <f>IF($A729&gt;0,(VLOOKUP($A729,TablaTransporte,6,FALSE)),"")</f>
        <v/>
      </c>
      <c r="K729" s="442" t="str">
        <f>IF($A729&gt;0,(VLOOKUP($A729,TablaTransporte,5,FALSE)),"")</f>
        <v/>
      </c>
      <c r="L729" s="1134" t="str">
        <f>IF($A729&gt;0,(VLOOKUP($A729,TablaTransporte,7,FALSE)),"")</f>
        <v/>
      </c>
      <c r="M729" s="941"/>
      <c r="N729" s="430" t="str">
        <f t="shared" si="61"/>
        <v/>
      </c>
      <c r="O729" s="362"/>
    </row>
    <row r="730" spans="1:15" ht="15.75" customHeight="1">
      <c r="A730" s="395">
        <f t="array" ref="A730">IF(C730&lt;&gt;0,INDEX(CodTransporte,MATCH(C730,Transporte,0),),)</f>
        <v>0</v>
      </c>
      <c r="B730" s="399"/>
      <c r="C730" s="1128"/>
      <c r="D730" s="940"/>
      <c r="E730" s="940"/>
      <c r="F730" s="940"/>
      <c r="G730" s="940"/>
      <c r="H730" s="940"/>
      <c r="I730" s="440"/>
      <c r="J730" s="441" t="str">
        <f>IF($A730&gt;0,(VLOOKUP($A730,TablaTransporte,6,FALSE)),"")</f>
        <v/>
      </c>
      <c r="K730" s="442" t="str">
        <f>IF($A730&gt;0,(VLOOKUP($A730,TablaTransporte,5,FALSE)),"")</f>
        <v/>
      </c>
      <c r="L730" s="1134" t="str">
        <f>IF($A730&gt;0,(VLOOKUP($A730,TablaTransporte,7,FALSE)),"")</f>
        <v/>
      </c>
      <c r="M730" s="941"/>
      <c r="N730" s="430" t="str">
        <f t="shared" si="61"/>
        <v/>
      </c>
      <c r="O730" s="362"/>
    </row>
    <row r="731" spans="1:15" ht="15.75" customHeight="1">
      <c r="A731" s="395">
        <f t="array" ref="A731">IF(C731&lt;&gt;0,INDEX(CodTransporte,MATCH(C731,Transporte,0),),)</f>
        <v>0</v>
      </c>
      <c r="B731" s="399"/>
      <c r="C731" s="1128"/>
      <c r="D731" s="940"/>
      <c r="E731" s="940"/>
      <c r="F731" s="940"/>
      <c r="G731" s="940"/>
      <c r="H731" s="940"/>
      <c r="I731" s="440"/>
      <c r="J731" s="441" t="str">
        <f>IF($A731&gt;0,(VLOOKUP($A731,TablaTransporte,6,FALSE)),"")</f>
        <v/>
      </c>
      <c r="K731" s="442" t="str">
        <f>IF($A731&gt;0,(VLOOKUP($A731,TablaTransporte,5,FALSE)),"")</f>
        <v/>
      </c>
      <c r="L731" s="1134" t="str">
        <f>IF($A731&gt;0,(VLOOKUP($A731,TablaTransporte,7,FALSE)),"")</f>
        <v/>
      </c>
      <c r="M731" s="941"/>
      <c r="N731" s="430" t="str">
        <f t="shared" si="61"/>
        <v/>
      </c>
      <c r="O731" s="362"/>
    </row>
    <row r="732" spans="1:15" ht="15.75" customHeight="1">
      <c r="A732" s="395">
        <f t="array" ref="A732">IF(C732&lt;&gt;0,INDEX(CodTransporte,MATCH(C732,Transporte,0),),)</f>
        <v>0</v>
      </c>
      <c r="B732" s="399"/>
      <c r="C732" s="1128"/>
      <c r="D732" s="940"/>
      <c r="E732" s="940"/>
      <c r="F732" s="940"/>
      <c r="G732" s="940"/>
      <c r="H732" s="940"/>
      <c r="I732" s="440"/>
      <c r="J732" s="441" t="str">
        <f>IF($A732&gt;0,(VLOOKUP($A732,TablaTransporte,6,FALSE)),"")</f>
        <v/>
      </c>
      <c r="K732" s="442" t="str">
        <f>IF($A732&gt;0,(VLOOKUP($A732,TablaTransporte,5,FALSE)),"")</f>
        <v/>
      </c>
      <c r="L732" s="1205" t="str">
        <f>IF($A732&gt;0,(VLOOKUP($A732,TablaTransporte,7,FALSE)),"")</f>
        <v/>
      </c>
      <c r="M732" s="1145"/>
      <c r="N732" s="430" t="str">
        <f t="shared" si="61"/>
        <v/>
      </c>
      <c r="O732" s="362"/>
    </row>
    <row r="733" spans="1:15" ht="15.75" customHeight="1">
      <c r="A733" s="395"/>
      <c r="B733" s="399"/>
      <c r="C733" s="1127" t="s">
        <v>1202</v>
      </c>
      <c r="D733" s="965"/>
      <c r="E733" s="965"/>
      <c r="F733" s="965"/>
      <c r="G733" s="965"/>
      <c r="H733" s="965"/>
      <c r="I733" s="965"/>
      <c r="J733" s="965"/>
      <c r="K733" s="965"/>
      <c r="L733" s="965"/>
      <c r="M733" s="966"/>
      <c r="N733" s="433">
        <f>+SUM(N728:N732)</f>
        <v>0</v>
      </c>
      <c r="O733" s="362"/>
    </row>
    <row r="734" spans="1:15" ht="15.75" customHeight="1">
      <c r="A734" s="395"/>
      <c r="B734" s="399"/>
      <c r="C734" s="1129" t="s">
        <v>1214</v>
      </c>
      <c r="D734" s="926"/>
      <c r="E734" s="926"/>
      <c r="F734" s="926"/>
      <c r="G734" s="926"/>
      <c r="H734" s="926"/>
      <c r="I734" s="926"/>
      <c r="J734" s="926"/>
      <c r="K734" s="926"/>
      <c r="L734" s="926"/>
      <c r="M734" s="926"/>
      <c r="N734" s="927"/>
      <c r="O734" s="362"/>
    </row>
    <row r="735" spans="1:15" ht="15.75" customHeight="1">
      <c r="A735" s="395"/>
      <c r="B735" s="399"/>
      <c r="C735" s="920"/>
      <c r="D735" s="922"/>
      <c r="E735" s="922"/>
      <c r="F735" s="922"/>
      <c r="G735" s="922"/>
      <c r="H735" s="922"/>
      <c r="I735" s="922"/>
      <c r="J735" s="922"/>
      <c r="K735" s="922"/>
      <c r="L735" s="922"/>
      <c r="M735" s="922"/>
      <c r="N735" s="924"/>
      <c r="O735" s="362"/>
    </row>
    <row r="736" spans="1:15" ht="15.75" customHeight="1">
      <c r="A736" s="395"/>
      <c r="B736" s="399"/>
      <c r="C736" s="929"/>
      <c r="D736" s="936"/>
      <c r="E736" s="936"/>
      <c r="F736" s="936"/>
      <c r="G736" s="936"/>
      <c r="H736" s="936"/>
      <c r="I736" s="936"/>
      <c r="J736" s="936"/>
      <c r="K736" s="936"/>
      <c r="L736" s="936"/>
      <c r="M736" s="936"/>
      <c r="N736" s="938"/>
      <c r="O736" s="362"/>
    </row>
    <row r="737" spans="1:18" ht="15.75" customHeight="1">
      <c r="A737" s="395"/>
      <c r="B737" s="399"/>
      <c r="C737" s="1201" t="s">
        <v>1215</v>
      </c>
      <c r="D737" s="1131"/>
      <c r="E737" s="1131"/>
      <c r="F737" s="1131"/>
      <c r="G737" s="1131"/>
      <c r="H737" s="1000"/>
      <c r="I737" s="670" t="s">
        <v>1216</v>
      </c>
      <c r="J737" s="676" t="s">
        <v>1217</v>
      </c>
      <c r="K737" s="677" t="s">
        <v>1218</v>
      </c>
      <c r="L737" s="1206" t="s">
        <v>1199</v>
      </c>
      <c r="M737" s="1000"/>
      <c r="N737" s="678" t="s">
        <v>1200</v>
      </c>
      <c r="O737" s="362"/>
    </row>
    <row r="738" spans="1:18" ht="15.75" customHeight="1">
      <c r="A738" s="395" t="str">
        <f t="array" ref="A738">IF(C738&lt;&gt;0,INDEX(CodMO,MATCH(C738,MO,0),),)</f>
        <v>M.O-05</v>
      </c>
      <c r="B738" s="399"/>
      <c r="C738" s="1128" t="s">
        <v>139</v>
      </c>
      <c r="D738" s="940"/>
      <c r="E738" s="940"/>
      <c r="F738" s="940"/>
      <c r="G738" s="940"/>
      <c r="H738" s="940"/>
      <c r="I738" s="447">
        <f>IF($A738&gt;0,(VLOOKUP($A738,TablaMO,8,FALSE)),"")</f>
        <v>125030.16666666667</v>
      </c>
      <c r="J738" s="448">
        <f>IF($A738&gt;0,(VLOOKUP($A738,TablaMO,10,FALSE)),"")</f>
        <v>0.67071666666666663</v>
      </c>
      <c r="K738" s="447">
        <f>IF($A738&gt;0,(VLOOKUP($A738,TablaMO,11,FALSE)),"")</f>
        <v>208890</v>
      </c>
      <c r="L738" s="1146">
        <v>28.997826020090624</v>
      </c>
      <c r="M738" s="941"/>
      <c r="N738" s="430">
        <f t="shared" ref="N738:N742" si="62">IF(L738&gt;0,K738/L738,"")</f>
        <v>7203.6434681439332</v>
      </c>
      <c r="O738" s="362"/>
    </row>
    <row r="739" spans="1:18" ht="15.75" customHeight="1">
      <c r="A739" s="395" t="str">
        <f t="array" ref="A739">IF(C739&lt;&gt;0,INDEX(CodMO,MATCH(C739,MO,0),),)</f>
        <v>M.O-01</v>
      </c>
      <c r="B739" s="399"/>
      <c r="C739" s="1128" t="s">
        <v>130</v>
      </c>
      <c r="D739" s="940"/>
      <c r="E739" s="940"/>
      <c r="F739" s="940"/>
      <c r="G739" s="940"/>
      <c r="H739" s="940"/>
      <c r="I739" s="447">
        <f>IF($A739&gt;0,(VLOOKUP($A739,TablaMO,8,FALSE)),"")</f>
        <v>72503.016666666677</v>
      </c>
      <c r="J739" s="448">
        <f>IF($A739&gt;0,(VLOOKUP($A739,TablaMO,10,FALSE)),"")</f>
        <v>0.67071666666666663</v>
      </c>
      <c r="K739" s="447">
        <f>IF($A739&gt;0,(VLOOKUP($A739,TablaMO,11,FALSE)),"")</f>
        <v>121132</v>
      </c>
      <c r="L739" s="1146">
        <f>L738</f>
        <v>28.997826020090624</v>
      </c>
      <c r="M739" s="941"/>
      <c r="N739" s="430">
        <f t="shared" si="62"/>
        <v>4177.2786662033168</v>
      </c>
      <c r="O739" s="362"/>
    </row>
    <row r="740" spans="1:18" ht="15.75" customHeight="1">
      <c r="A740" s="395">
        <f t="array" ref="A740">IF(C740&lt;&gt;0,INDEX(CodMO,MATCH(C740,MO,0),),)</f>
        <v>0</v>
      </c>
      <c r="B740" s="399"/>
      <c r="C740" s="1128"/>
      <c r="D740" s="940"/>
      <c r="E740" s="940"/>
      <c r="F740" s="940"/>
      <c r="G740" s="940"/>
      <c r="H740" s="940"/>
      <c r="I740" s="447" t="str">
        <f>IF($A740&gt;0,(VLOOKUP($A740,TablaMO,8,FALSE)),"")</f>
        <v/>
      </c>
      <c r="J740" s="448" t="str">
        <f>IF($A740&gt;0,(VLOOKUP($A740,TablaMO,10,FALSE)),"")</f>
        <v/>
      </c>
      <c r="K740" s="447" t="str">
        <f>IF($A740&gt;0,(VLOOKUP($A740,TablaMO,11,FALSE)),"")</f>
        <v/>
      </c>
      <c r="L740" s="1146"/>
      <c r="M740" s="941"/>
      <c r="N740" s="430" t="str">
        <f t="shared" si="62"/>
        <v/>
      </c>
      <c r="O740" s="362"/>
    </row>
    <row r="741" spans="1:18" ht="15.75" customHeight="1">
      <c r="A741" s="395">
        <f t="array" ref="A741">IF(C741&lt;&gt;0,INDEX(CodMO,MATCH(C741,MO,0),),)</f>
        <v>0</v>
      </c>
      <c r="B741" s="399"/>
      <c r="C741" s="1128"/>
      <c r="D741" s="940"/>
      <c r="E741" s="940"/>
      <c r="F741" s="940"/>
      <c r="G741" s="940"/>
      <c r="H741" s="940"/>
      <c r="I741" s="447" t="str">
        <f>IF($A741&gt;0,(VLOOKUP($A741,TablaMO,8,FALSE)),"")</f>
        <v/>
      </c>
      <c r="J741" s="448" t="str">
        <f>IF($A741&gt;0,(VLOOKUP($A741,TablaMO,10,FALSE)),"")</f>
        <v/>
      </c>
      <c r="K741" s="447" t="str">
        <f>IF($A741&gt;0,(VLOOKUP($A741,TablaMO,11,FALSE)),"")</f>
        <v/>
      </c>
      <c r="L741" s="1146"/>
      <c r="M741" s="941"/>
      <c r="N741" s="430" t="str">
        <f t="shared" si="62"/>
        <v/>
      </c>
      <c r="O741" s="362"/>
    </row>
    <row r="742" spans="1:18" ht="15.75" customHeight="1">
      <c r="A742" s="395">
        <f t="array" ref="A742">IF(C742&lt;&gt;0,INDEX(CodMO,MATCH(C742,MO,0),),)</f>
        <v>0</v>
      </c>
      <c r="B742" s="399"/>
      <c r="C742" s="1128"/>
      <c r="D742" s="940"/>
      <c r="E742" s="940"/>
      <c r="F742" s="940"/>
      <c r="G742" s="940"/>
      <c r="H742" s="940"/>
      <c r="I742" s="447" t="str">
        <f>IF($A742&gt;0,(VLOOKUP($A742,TablaMO,8,FALSE)),"")</f>
        <v/>
      </c>
      <c r="J742" s="448" t="str">
        <f>IF($A742&gt;0,(VLOOKUP($A742,TablaMO,10,FALSE)),"")</f>
        <v/>
      </c>
      <c r="K742" s="447" t="str">
        <f>IF($A742&gt;0,(VLOOKUP($A742,TablaMO,11,FALSE)),"")</f>
        <v/>
      </c>
      <c r="L742" s="1146"/>
      <c r="M742" s="941"/>
      <c r="N742" s="430" t="str">
        <f t="shared" si="62"/>
        <v/>
      </c>
      <c r="O742" s="362"/>
    </row>
    <row r="743" spans="1:18" ht="15.75" customHeight="1">
      <c r="A743" s="395"/>
      <c r="B743" s="399"/>
      <c r="C743" s="1127" t="s">
        <v>1202</v>
      </c>
      <c r="D743" s="965"/>
      <c r="E743" s="965"/>
      <c r="F743" s="965"/>
      <c r="G743" s="965"/>
      <c r="H743" s="965"/>
      <c r="I743" s="965"/>
      <c r="J743" s="965"/>
      <c r="K743" s="965"/>
      <c r="L743" s="965"/>
      <c r="M743" s="966"/>
      <c r="N743" s="433">
        <f>+SUM(N738:N742)</f>
        <v>11380.922134347249</v>
      </c>
      <c r="O743" s="362"/>
    </row>
    <row r="744" spans="1:18" ht="15.75" customHeight="1">
      <c r="B744" s="679"/>
      <c r="O744" s="362"/>
    </row>
    <row r="745" spans="1:18" ht="15.75" customHeight="1">
      <c r="B745" s="679"/>
      <c r="C745" s="1198" t="s">
        <v>1219</v>
      </c>
      <c r="D745" s="965"/>
      <c r="E745" s="965"/>
      <c r="F745" s="965"/>
      <c r="G745" s="965"/>
      <c r="H745" s="965"/>
      <c r="I745" s="965"/>
      <c r="J745" s="965"/>
      <c r="K745" s="965"/>
      <c r="L745" s="965"/>
      <c r="M745" s="966"/>
      <c r="N745" s="680">
        <f>ROUND(SUM(N743,N733,N723,N710),0)</f>
        <v>14540</v>
      </c>
      <c r="O745" s="362"/>
      <c r="Q745" s="681">
        <f>VLOOKUP(C699,PROPUESTASASERCO,8,FALSE)</f>
        <v>14540</v>
      </c>
      <c r="R745" s="682">
        <f>Q745-N745</f>
        <v>0</v>
      </c>
    </row>
    <row r="746" spans="1:18" ht="15.75" customHeight="1">
      <c r="B746" s="679"/>
      <c r="C746" s="1129" t="s">
        <v>1220</v>
      </c>
      <c r="D746" s="926"/>
      <c r="E746" s="926"/>
      <c r="F746" s="926"/>
      <c r="G746" s="926"/>
      <c r="H746" s="926"/>
      <c r="I746" s="926"/>
      <c r="J746" s="926"/>
      <c r="K746" s="926"/>
      <c r="L746" s="926"/>
      <c r="M746" s="926"/>
      <c r="N746" s="927"/>
      <c r="O746" s="362"/>
    </row>
    <row r="747" spans="1:18" ht="15.75" customHeight="1">
      <c r="B747" s="679"/>
      <c r="C747" s="920"/>
      <c r="D747" s="922"/>
      <c r="E747" s="922"/>
      <c r="F747" s="922"/>
      <c r="G747" s="922"/>
      <c r="H747" s="922"/>
      <c r="I747" s="922"/>
      <c r="J747" s="922"/>
      <c r="K747" s="922"/>
      <c r="L747" s="922"/>
      <c r="M747" s="922"/>
      <c r="N747" s="924"/>
      <c r="O747" s="362"/>
    </row>
    <row r="748" spans="1:18" ht="15.75" customHeight="1">
      <c r="B748" s="679"/>
      <c r="C748" s="929"/>
      <c r="D748" s="936"/>
      <c r="E748" s="936"/>
      <c r="F748" s="936"/>
      <c r="G748" s="936"/>
      <c r="H748" s="936"/>
      <c r="I748" s="936"/>
      <c r="J748" s="936"/>
      <c r="K748" s="936"/>
      <c r="L748" s="936"/>
      <c r="M748" s="936"/>
      <c r="N748" s="938"/>
      <c r="O748" s="362"/>
    </row>
    <row r="749" spans="1:18" ht="15.75" customHeight="1">
      <c r="B749" s="679"/>
      <c r="C749" s="1201" t="s">
        <v>1221</v>
      </c>
      <c r="D749" s="1131"/>
      <c r="E749" s="1131"/>
      <c r="F749" s="1131"/>
      <c r="G749" s="1131"/>
      <c r="H749" s="1132"/>
      <c r="I749" s="674"/>
      <c r="J749" s="674"/>
      <c r="K749" s="674"/>
      <c r="L749" s="1206" t="s">
        <v>1222</v>
      </c>
      <c r="M749" s="1000"/>
      <c r="N749" s="678" t="s">
        <v>1223</v>
      </c>
      <c r="O749" s="362"/>
    </row>
    <row r="750" spans="1:18" ht="15.75" customHeight="1">
      <c r="B750" s="679"/>
      <c r="C750" s="1128" t="s">
        <v>19</v>
      </c>
      <c r="D750" s="940"/>
      <c r="E750" s="940"/>
      <c r="F750" s="940"/>
      <c r="G750" s="940"/>
      <c r="H750" s="940"/>
      <c r="I750" s="452"/>
      <c r="J750" s="452"/>
      <c r="K750" s="452"/>
      <c r="L750" s="1148">
        <f>+Datos!$E$18</f>
        <v>0.25</v>
      </c>
      <c r="M750" s="941"/>
      <c r="N750" s="430">
        <f>+L750*N745</f>
        <v>3635</v>
      </c>
      <c r="O750" s="362"/>
    </row>
    <row r="751" spans="1:18" ht="15.75" customHeight="1">
      <c r="B751" s="679"/>
      <c r="C751" s="454" t="s">
        <v>20</v>
      </c>
      <c r="D751" s="455"/>
      <c r="E751" s="455"/>
      <c r="F751" s="455"/>
      <c r="G751" s="455"/>
      <c r="H751" s="455"/>
      <c r="I751" s="452"/>
      <c r="J751" s="452"/>
      <c r="K751" s="452"/>
      <c r="L751" s="1148">
        <f>+Datos!$E$19</f>
        <v>0.01</v>
      </c>
      <c r="M751" s="941"/>
      <c r="N751" s="430">
        <f>+L751*N745</f>
        <v>145.4</v>
      </c>
      <c r="O751" s="362"/>
    </row>
    <row r="752" spans="1:18" ht="15.75" customHeight="1">
      <c r="B752" s="679"/>
      <c r="C752" s="456" t="s">
        <v>21</v>
      </c>
      <c r="D752" s="457"/>
      <c r="E752" s="457"/>
      <c r="F752" s="457"/>
      <c r="G752" s="457"/>
      <c r="H752" s="457"/>
      <c r="I752" s="458"/>
      <c r="J752" s="458"/>
      <c r="K752" s="458"/>
      <c r="L752" s="1148">
        <f>+Datos!$E$20</f>
        <v>0.05</v>
      </c>
      <c r="M752" s="941"/>
      <c r="N752" s="430">
        <f>+L752*N745</f>
        <v>727</v>
      </c>
      <c r="O752" s="362"/>
    </row>
    <row r="753" spans="1:15" ht="15.75" customHeight="1">
      <c r="B753" s="679"/>
      <c r="C753" s="1127" t="s">
        <v>1202</v>
      </c>
      <c r="D753" s="965"/>
      <c r="E753" s="965"/>
      <c r="F753" s="965"/>
      <c r="G753" s="965"/>
      <c r="H753" s="965"/>
      <c r="I753" s="965"/>
      <c r="J753" s="965"/>
      <c r="K753" s="965"/>
      <c r="L753" s="965"/>
      <c r="M753" s="966"/>
      <c r="N753" s="433">
        <f>+SUM(N750:N752)</f>
        <v>4507.3999999999996</v>
      </c>
      <c r="O753" s="362"/>
    </row>
    <row r="754" spans="1:15" ht="15.75" customHeight="1">
      <c r="B754" s="679"/>
      <c r="C754" s="418"/>
      <c r="D754" s="39"/>
      <c r="E754" s="39"/>
      <c r="F754" s="39"/>
      <c r="G754" s="39"/>
      <c r="H754" s="39"/>
      <c r="I754" s="39"/>
      <c r="J754" s="39"/>
      <c r="K754" s="39"/>
      <c r="L754" s="39"/>
      <c r="M754" s="39"/>
      <c r="N754" s="40"/>
      <c r="O754" s="362"/>
    </row>
    <row r="755" spans="1:15" ht="15.75" customHeight="1">
      <c r="B755" s="679"/>
      <c r="C755" s="1198" t="s">
        <v>1224</v>
      </c>
      <c r="D755" s="965"/>
      <c r="E755" s="965"/>
      <c r="F755" s="965"/>
      <c r="G755" s="965"/>
      <c r="H755" s="965"/>
      <c r="I755" s="965"/>
      <c r="J755" s="965"/>
      <c r="K755" s="965"/>
      <c r="L755" s="965"/>
      <c r="M755" s="966"/>
      <c r="N755" s="683">
        <f>+ROUND(SUM(N753,N745),0)</f>
        <v>19047</v>
      </c>
      <c r="O755" s="362"/>
    </row>
    <row r="756" spans="1:15" ht="15.75" customHeight="1">
      <c r="B756" s="679"/>
      <c r="C756" s="418"/>
      <c r="D756" s="39" t="s">
        <v>1225</v>
      </c>
      <c r="E756" s="39"/>
      <c r="F756" s="39"/>
      <c r="G756" s="184"/>
      <c r="H756" s="184"/>
      <c r="I756" s="184"/>
      <c r="J756" s="39" t="s">
        <v>1225</v>
      </c>
      <c r="K756" s="39"/>
      <c r="L756" s="39"/>
      <c r="M756" s="39"/>
      <c r="N756" s="40"/>
      <c r="O756" s="362"/>
    </row>
    <row r="757" spans="1:15" ht="15.75" customHeight="1">
      <c r="B757" s="679"/>
      <c r="C757" s="418"/>
      <c r="D757" s="39" t="s">
        <v>1226</v>
      </c>
      <c r="E757" s="39"/>
      <c r="F757" s="39"/>
      <c r="G757" s="184"/>
      <c r="H757" s="184"/>
      <c r="I757" s="184"/>
      <c r="J757" s="39" t="s">
        <v>1227</v>
      </c>
      <c r="K757" s="39"/>
      <c r="L757" s="39"/>
      <c r="M757" s="39"/>
      <c r="N757" s="40"/>
      <c r="O757" s="362"/>
    </row>
    <row r="758" spans="1:15" ht="15.75" customHeight="1">
      <c r="B758" s="679"/>
      <c r="C758" s="404"/>
      <c r="D758" s="39" t="s">
        <v>1228</v>
      </c>
      <c r="E758" s="42"/>
      <c r="F758" s="42"/>
      <c r="G758" s="184"/>
      <c r="H758" s="184"/>
      <c r="I758" s="184"/>
      <c r="J758" s="39" t="s">
        <v>1228</v>
      </c>
      <c r="K758" s="42"/>
      <c r="L758" s="42"/>
      <c r="M758" s="42"/>
      <c r="N758" s="43"/>
      <c r="O758" s="362"/>
    </row>
    <row r="759" spans="1:15" ht="15.75" customHeight="1">
      <c r="B759" s="679"/>
      <c r="C759" s="418"/>
      <c r="D759" s="39"/>
      <c r="E759" s="39"/>
      <c r="F759" s="39"/>
      <c r="G759" s="39" t="s">
        <v>1229</v>
      </c>
      <c r="H759" s="39"/>
      <c r="I759" s="39"/>
      <c r="J759" s="39"/>
      <c r="K759" s="39"/>
      <c r="L759" s="39"/>
      <c r="M759" s="39"/>
      <c r="N759" s="40"/>
      <c r="O759" s="362"/>
    </row>
    <row r="760" spans="1:15" ht="15.75" customHeight="1">
      <c r="B760" s="679"/>
      <c r="C760" s="466"/>
      <c r="D760" s="467"/>
      <c r="E760" s="467"/>
      <c r="F760" s="39"/>
      <c r="G760" s="39"/>
      <c r="H760" s="39"/>
      <c r="I760" s="39"/>
      <c r="J760" s="1149"/>
      <c r="K760" s="922"/>
      <c r="L760" s="922"/>
      <c r="M760" s="922"/>
      <c r="N760" s="924"/>
      <c r="O760" s="362"/>
    </row>
    <row r="761" spans="1:15" ht="15.75" customHeight="1">
      <c r="B761" s="679"/>
      <c r="C761" s="1150"/>
      <c r="D761" s="936"/>
      <c r="E761" s="936"/>
      <c r="F761" s="416"/>
      <c r="G761" s="416"/>
      <c r="H761" s="416"/>
      <c r="I761" s="416"/>
      <c r="J761" s="936"/>
      <c r="K761" s="936"/>
      <c r="L761" s="936"/>
      <c r="M761" s="936"/>
      <c r="N761" s="938"/>
      <c r="O761" s="362"/>
    </row>
    <row r="762" spans="1:15" ht="15.75" customHeight="1">
      <c r="B762" s="684"/>
      <c r="C762" s="685"/>
      <c r="D762" s="685"/>
      <c r="E762" s="685"/>
      <c r="F762" s="685"/>
      <c r="G762" s="685"/>
      <c r="H762" s="685"/>
      <c r="I762" s="685"/>
      <c r="J762" s="685"/>
      <c r="K762" s="685"/>
      <c r="L762" s="685"/>
      <c r="M762" s="685"/>
      <c r="N762" s="685"/>
      <c r="O762" s="686"/>
    </row>
    <row r="763" spans="1:15" ht="15.75" customHeight="1"/>
    <row r="764" spans="1:15" ht="15.75" customHeight="1"/>
    <row r="765" spans="1:15" ht="15.75" customHeight="1"/>
    <row r="766" spans="1:15" ht="15.75" customHeight="1"/>
    <row r="767" spans="1:15" ht="15.75" customHeight="1">
      <c r="A767" s="395" t="s">
        <v>941</v>
      </c>
      <c r="B767" s="184"/>
      <c r="C767" s="184"/>
      <c r="D767" s="184"/>
      <c r="E767" s="184"/>
      <c r="F767" s="184"/>
      <c r="G767" s="184"/>
      <c r="H767" s="184"/>
      <c r="I767" s="184"/>
      <c r="J767" s="184"/>
      <c r="K767" s="184"/>
      <c r="L767" s="184"/>
      <c r="M767" s="184"/>
      <c r="N767" s="184"/>
    </row>
    <row r="768" spans="1:15" ht="15.75" customHeight="1">
      <c r="A768" s="395"/>
      <c r="B768" s="396"/>
      <c r="C768" s="397"/>
      <c r="D768" s="397"/>
      <c r="E768" s="397"/>
      <c r="F768" s="397"/>
      <c r="G768" s="397"/>
      <c r="H768" s="397"/>
      <c r="I768" s="397"/>
      <c r="J768" s="397"/>
      <c r="K768" s="397"/>
      <c r="L768" s="397"/>
      <c r="M768" s="397"/>
      <c r="N768" s="397"/>
      <c r="O768" s="667"/>
    </row>
    <row r="769" spans="1:15" ht="15.75" customHeight="1">
      <c r="A769" s="395"/>
      <c r="B769" s="399"/>
      <c r="C769" s="1124"/>
      <c r="D769" s="927"/>
      <c r="E769" s="1207" t="str">
        <f>Datos!$C$9</f>
        <v>CONSEJO SUPERIOR  DE  JUDICATURA– DIRECCIÓN  EJECUTIVA  SECCIONAL  DE ADMINISTRACIÓN JUDICIAL DE BUCARAMANGA</v>
      </c>
      <c r="F769" s="926"/>
      <c r="G769" s="926"/>
      <c r="H769" s="926"/>
      <c r="I769" s="926"/>
      <c r="J769" s="926"/>
      <c r="K769" s="927"/>
      <c r="L769" s="925" t="s">
        <v>1</v>
      </c>
      <c r="M769" s="931"/>
      <c r="N769" s="933">
        <v>1</v>
      </c>
      <c r="O769" s="362"/>
    </row>
    <row r="770" spans="1:15" ht="15.75" customHeight="1">
      <c r="A770" s="395"/>
      <c r="B770" s="399"/>
      <c r="C770" s="920"/>
      <c r="D770" s="924"/>
      <c r="E770" s="920"/>
      <c r="F770" s="922"/>
      <c r="G770" s="922"/>
      <c r="H770" s="922"/>
      <c r="I770" s="922"/>
      <c r="J770" s="922"/>
      <c r="K770" s="924"/>
      <c r="L770" s="920"/>
      <c r="M770" s="932"/>
      <c r="N770" s="934"/>
      <c r="O770" s="362"/>
    </row>
    <row r="771" spans="1:15" ht="15.75" customHeight="1">
      <c r="A771" s="395"/>
      <c r="B771" s="399"/>
      <c r="C771" s="920"/>
      <c r="D771" s="924"/>
      <c r="E771" s="919" t="str">
        <f>Datos!$C$13</f>
        <v xml:space="preserve">BGA - 030 - 2026 </v>
      </c>
      <c r="F771" s="922"/>
      <c r="G771" s="922"/>
      <c r="H771" s="922"/>
      <c r="I771" s="922"/>
      <c r="J771" s="922"/>
      <c r="K771" s="922"/>
      <c r="L771" s="925" t="s">
        <v>29</v>
      </c>
      <c r="M771" s="926"/>
      <c r="N771" s="927"/>
      <c r="O771" s="362"/>
    </row>
    <row r="772" spans="1:15" ht="15.75" customHeight="1">
      <c r="A772" s="395"/>
      <c r="B772" s="399"/>
      <c r="C772" s="920"/>
      <c r="D772" s="924"/>
      <c r="E77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772" s="922"/>
      <c r="G772" s="922"/>
      <c r="H772" s="922"/>
      <c r="I772" s="922"/>
      <c r="J772" s="922"/>
      <c r="K772" s="924"/>
      <c r="L772" s="919">
        <v>1</v>
      </c>
      <c r="M772" s="921" t="s">
        <v>30</v>
      </c>
      <c r="N772" s="923">
        <v>1</v>
      </c>
      <c r="O772" s="362"/>
    </row>
    <row r="773" spans="1:15" ht="15.75" customHeight="1">
      <c r="A773" s="395"/>
      <c r="B773" s="399"/>
      <c r="C773" s="920"/>
      <c r="D773" s="924"/>
      <c r="E773" s="920"/>
      <c r="F773" s="922"/>
      <c r="G773" s="922"/>
      <c r="H773" s="922"/>
      <c r="I773" s="922"/>
      <c r="J773" s="922"/>
      <c r="K773" s="924"/>
      <c r="L773" s="920"/>
      <c r="M773" s="922"/>
      <c r="N773" s="924"/>
      <c r="O773" s="362"/>
    </row>
    <row r="774" spans="1:15" ht="15.75" customHeight="1">
      <c r="A774" s="395"/>
      <c r="B774" s="399"/>
      <c r="C774" s="920"/>
      <c r="D774" s="924"/>
      <c r="E774" s="920"/>
      <c r="F774" s="922"/>
      <c r="G774" s="922"/>
      <c r="H774" s="922"/>
      <c r="I774" s="922"/>
      <c r="J774" s="922"/>
      <c r="K774" s="924"/>
      <c r="L774" s="925" t="s">
        <v>2</v>
      </c>
      <c r="M774" s="926"/>
      <c r="N774" s="927"/>
      <c r="O774" s="362"/>
    </row>
    <row r="775" spans="1:15" ht="15.75" customHeight="1">
      <c r="A775" s="395"/>
      <c r="B775" s="399"/>
      <c r="C775" s="920"/>
      <c r="D775" s="924"/>
      <c r="E775" s="407"/>
      <c r="F775" s="216"/>
      <c r="G775" s="216"/>
      <c r="H775" s="216"/>
      <c r="I775" s="216"/>
      <c r="J775" s="216"/>
      <c r="K775" s="216"/>
      <c r="L775" s="408" t="s">
        <v>3</v>
      </c>
      <c r="M775" s="409" t="s">
        <v>4</v>
      </c>
      <c r="N775" s="410" t="s">
        <v>5</v>
      </c>
      <c r="O775" s="362"/>
    </row>
    <row r="776" spans="1:15" ht="15.75" customHeight="1">
      <c r="A776" s="395"/>
      <c r="B776" s="399"/>
      <c r="C776" s="920"/>
      <c r="D776" s="924"/>
      <c r="E776" s="1125" t="s">
        <v>1186</v>
      </c>
      <c r="F776" s="945"/>
      <c r="G776" s="945"/>
      <c r="H776" s="945"/>
      <c r="I776" s="945"/>
      <c r="J776" s="945"/>
      <c r="K776" s="945"/>
      <c r="L776" s="928">
        <f>Datos!$C$7</f>
        <v>19</v>
      </c>
      <c r="M776" s="935">
        <f>Datos!$D$7</f>
        <v>6</v>
      </c>
      <c r="N776" s="937">
        <f>Datos!$E$7</f>
        <v>2026</v>
      </c>
      <c r="O776" s="362"/>
    </row>
    <row r="777" spans="1:15" ht="15.75" customHeight="1">
      <c r="A777" s="395"/>
      <c r="B777" s="399"/>
      <c r="C777" s="929"/>
      <c r="D777" s="938"/>
      <c r="E777" s="929"/>
      <c r="F777" s="936"/>
      <c r="G777" s="936"/>
      <c r="H777" s="936"/>
      <c r="I777" s="936"/>
      <c r="J777" s="936"/>
      <c r="K777" s="936"/>
      <c r="L777" s="929"/>
      <c r="M777" s="936"/>
      <c r="N777" s="938"/>
      <c r="O777" s="362"/>
    </row>
    <row r="778" spans="1:15" ht="15.75" customHeight="1">
      <c r="A778" s="395"/>
      <c r="B778" s="399"/>
      <c r="C778" s="404"/>
      <c r="D778" s="38"/>
      <c r="E778" s="38"/>
      <c r="F778" s="38"/>
      <c r="G778" s="38"/>
      <c r="H778" s="38"/>
      <c r="I778" s="38"/>
      <c r="J778" s="38"/>
      <c r="K778" s="38"/>
      <c r="L778" s="39"/>
      <c r="M778" s="39"/>
      <c r="N778" s="40"/>
      <c r="O778" s="362"/>
    </row>
    <row r="779" spans="1:15" ht="15.75" customHeight="1">
      <c r="A779" s="395"/>
      <c r="B779" s="399"/>
      <c r="C779" s="412" t="s">
        <v>1187</v>
      </c>
      <c r="D779" s="1199" t="str">
        <f>VLOOKUP(C784,ListaAct,2,0)</f>
        <v>OBRA CIVIL</v>
      </c>
      <c r="E779" s="922"/>
      <c r="F779" s="922"/>
      <c r="G779" s="922"/>
      <c r="H779" s="922"/>
      <c r="I779" s="922"/>
      <c r="J779" s="922"/>
      <c r="K779" s="922"/>
      <c r="L779" s="922"/>
      <c r="M779" s="1"/>
      <c r="N779" s="413"/>
      <c r="O779" s="362"/>
    </row>
    <row r="780" spans="1:15" ht="15.75" customHeight="1">
      <c r="A780" s="395"/>
      <c r="B780" s="399"/>
      <c r="C780" s="412" t="s">
        <v>1189</v>
      </c>
      <c r="D780" s="1199" t="str">
        <f>VLOOKUP(C784,ListaAct,3,0)</f>
        <v>DEMOLICIONES, DESCAPOTES Y RETIROS</v>
      </c>
      <c r="E780" s="922"/>
      <c r="F780" s="922"/>
      <c r="G780" s="922"/>
      <c r="H780" s="922"/>
      <c r="I780" s="922"/>
      <c r="J780" s="922"/>
      <c r="K780" s="922"/>
      <c r="L780" s="922"/>
      <c r="M780" s="1"/>
      <c r="N780" s="413"/>
      <c r="O780" s="362"/>
    </row>
    <row r="781" spans="1:15" ht="15.75" customHeight="1">
      <c r="A781" s="395"/>
      <c r="B781" s="399"/>
      <c r="C781" s="925" t="s">
        <v>1191</v>
      </c>
      <c r="D781" s="926"/>
      <c r="E781" s="926"/>
      <c r="F781" s="926"/>
      <c r="G781" s="926"/>
      <c r="H781" s="926"/>
      <c r="I781" s="926"/>
      <c r="J781" s="926"/>
      <c r="K781" s="926"/>
      <c r="L781" s="926"/>
      <c r="M781" s="926"/>
      <c r="N781" s="927"/>
      <c r="O781" s="362"/>
    </row>
    <row r="782" spans="1:15" ht="15.75" customHeight="1">
      <c r="A782" s="395"/>
      <c r="B782" s="399"/>
      <c r="C782" s="418"/>
      <c r="D782" s="39"/>
      <c r="E782" s="39"/>
      <c r="F782" s="39"/>
      <c r="G782" s="39"/>
      <c r="H782" s="39"/>
      <c r="I782" s="39"/>
      <c r="J782" s="39"/>
      <c r="K782" s="39"/>
      <c r="L782" s="39"/>
      <c r="M782" s="39"/>
      <c r="N782" s="40"/>
      <c r="O782" s="362"/>
    </row>
    <row r="783" spans="1:15" ht="15.75" customHeight="1">
      <c r="A783" s="395"/>
      <c r="B783" s="399"/>
      <c r="C783" s="668" t="s">
        <v>965</v>
      </c>
      <c r="D783" s="1200" t="s">
        <v>17</v>
      </c>
      <c r="E783" s="1131"/>
      <c r="F783" s="1131"/>
      <c r="G783" s="1131"/>
      <c r="H783" s="1131"/>
      <c r="I783" s="1131"/>
      <c r="J783" s="1131"/>
      <c r="K783" s="1137"/>
      <c r="L783" s="1201" t="s">
        <v>1192</v>
      </c>
      <c r="M783" s="1137"/>
      <c r="N783" s="668" t="s">
        <v>950</v>
      </c>
      <c r="O783" s="362"/>
    </row>
    <row r="784" spans="1:15" ht="15.75" customHeight="1">
      <c r="A784" s="395"/>
      <c r="B784" s="421"/>
      <c r="C784" s="669" t="s">
        <v>1007</v>
      </c>
      <c r="D784" s="1202" t="str">
        <f>IF($C784&gt;0,(VLOOKUP($C784,ListaAct,4,FALSE)),"")</f>
        <v xml:space="preserve"> Retiro de pañete en mal estado zonas no tradionales  </v>
      </c>
      <c r="E784" s="979"/>
      <c r="F784" s="979"/>
      <c r="G784" s="979"/>
      <c r="H784" s="979"/>
      <c r="I784" s="979"/>
      <c r="J784" s="979"/>
      <c r="K784" s="980"/>
      <c r="L784" s="1203" t="str">
        <f>IF($C784&gt;0,(VLOOKUP($C784,ListaAct,5,FALSE)),"")</f>
        <v>m2</v>
      </c>
      <c r="M784" s="980"/>
      <c r="N784" s="423">
        <f>IF($C784&gt;0,(VLOOKUP($C784,ListaAct,6,FALSE)),"")</f>
        <v>3</v>
      </c>
      <c r="O784" s="362"/>
    </row>
    <row r="785" spans="1:15" ht="15.75" customHeight="1">
      <c r="A785" s="395"/>
      <c r="B785" s="399"/>
      <c r="C785" s="1129" t="s">
        <v>1195</v>
      </c>
      <c r="D785" s="926"/>
      <c r="E785" s="926"/>
      <c r="F785" s="926"/>
      <c r="G785" s="926"/>
      <c r="H785" s="926"/>
      <c r="I785" s="926"/>
      <c r="J785" s="926"/>
      <c r="K785" s="926"/>
      <c r="L785" s="926"/>
      <c r="M785" s="926"/>
      <c r="N785" s="927"/>
      <c r="O785" s="362"/>
    </row>
    <row r="786" spans="1:15" ht="15.75" customHeight="1">
      <c r="A786" s="395"/>
      <c r="B786" s="399"/>
      <c r="C786" s="920"/>
      <c r="D786" s="922"/>
      <c r="E786" s="922"/>
      <c r="F786" s="922"/>
      <c r="G786" s="922"/>
      <c r="H786" s="922"/>
      <c r="I786" s="922"/>
      <c r="J786" s="922"/>
      <c r="K786" s="922"/>
      <c r="L786" s="922"/>
      <c r="M786" s="922"/>
      <c r="N786" s="924"/>
      <c r="O786" s="362"/>
    </row>
    <row r="787" spans="1:15" ht="15.75" customHeight="1">
      <c r="A787" s="395"/>
      <c r="B787" s="399"/>
      <c r="C787" s="929"/>
      <c r="D787" s="936"/>
      <c r="E787" s="936"/>
      <c r="F787" s="936"/>
      <c r="G787" s="936"/>
      <c r="H787" s="936"/>
      <c r="I787" s="936"/>
      <c r="J787" s="936"/>
      <c r="K787" s="936"/>
      <c r="L787" s="936"/>
      <c r="M787" s="936"/>
      <c r="N787" s="938"/>
      <c r="O787" s="362"/>
    </row>
    <row r="788" spans="1:15" ht="15.75" customHeight="1">
      <c r="A788" s="395"/>
      <c r="B788" s="399"/>
      <c r="C788" s="1201" t="s">
        <v>17</v>
      </c>
      <c r="D788" s="1131"/>
      <c r="E788" s="1131"/>
      <c r="F788" s="1000"/>
      <c r="G788" s="1204" t="s">
        <v>1196</v>
      </c>
      <c r="H788" s="1000"/>
      <c r="I788" s="1204" t="s">
        <v>1197</v>
      </c>
      <c r="J788" s="1000"/>
      <c r="K788" s="670" t="s">
        <v>1213</v>
      </c>
      <c r="L788" s="1204" t="s">
        <v>1199</v>
      </c>
      <c r="M788" s="1000"/>
      <c r="N788" s="671" t="s">
        <v>1200</v>
      </c>
      <c r="O788" s="362"/>
    </row>
    <row r="789" spans="1:15" ht="15.75" customHeight="1">
      <c r="A789" s="395"/>
      <c r="B789" s="399"/>
      <c r="C789" s="1128" t="s">
        <v>1201</v>
      </c>
      <c r="D789" s="940"/>
      <c r="E789" s="940"/>
      <c r="F789" s="941"/>
      <c r="G789" s="1142"/>
      <c r="H789" s="941"/>
      <c r="I789" s="1142"/>
      <c r="J789" s="941"/>
      <c r="K789" s="429"/>
      <c r="L789" s="1143">
        <v>0.06</v>
      </c>
      <c r="M789" s="941"/>
      <c r="N789" s="430">
        <f>+L789*N828</f>
        <v>1373.6976277749784</v>
      </c>
      <c r="O789" s="362"/>
    </row>
    <row r="790" spans="1:15" ht="15.75" customHeight="1">
      <c r="A790" s="395">
        <f t="array" ref="A790">IF(C790&lt;&gt;0,INDEX(CodEquipos,MATCH(C790,Equipos,0),),)</f>
        <v>0</v>
      </c>
      <c r="B790" s="399"/>
      <c r="C790" s="1128"/>
      <c r="D790" s="940"/>
      <c r="E790" s="940"/>
      <c r="F790" s="941"/>
      <c r="G790" s="1142"/>
      <c r="H790" s="941"/>
      <c r="I790" s="1142"/>
      <c r="J790" s="941"/>
      <c r="K790" s="432" t="str">
        <f>IF($A790&gt;0,(VLOOKUP($A790,TablaEquipos,7,FALSE)),"")</f>
        <v/>
      </c>
      <c r="L790" s="1146"/>
      <c r="M790" s="941"/>
      <c r="N790" s="430" t="str">
        <f t="shared" ref="N790:N791" si="63">IF(L790&gt;0,K790/L790,"")</f>
        <v/>
      </c>
      <c r="O790" s="362"/>
    </row>
    <row r="791" spans="1:15" ht="15.75" customHeight="1">
      <c r="A791" s="395">
        <f t="array" ref="A791">IF(C791&lt;&gt;0,INDEX(CodEquipos,MATCH(C791,Equipos,0),),)</f>
        <v>0</v>
      </c>
      <c r="B791" s="399"/>
      <c r="C791" s="1128"/>
      <c r="D791" s="940"/>
      <c r="E791" s="940"/>
      <c r="F791" s="941"/>
      <c r="G791" s="1142"/>
      <c r="H791" s="941"/>
      <c r="I791" s="1142"/>
      <c r="J791" s="941"/>
      <c r="K791" s="432" t="str">
        <f>IF($A791&gt;0,(VLOOKUP($A791,TablaEquipos,7,FALSE)),"")</f>
        <v/>
      </c>
      <c r="L791" s="1141"/>
      <c r="M791" s="941"/>
      <c r="N791" s="430" t="str">
        <f t="shared" si="63"/>
        <v/>
      </c>
      <c r="O791" s="362"/>
    </row>
    <row r="792" spans="1:15" ht="15.75" customHeight="1">
      <c r="A792" s="395">
        <f t="array" ref="A792">IF(C792&lt;&gt;0,INDEX(CodEquipos,MATCH(C792,Equipos,0),),)</f>
        <v>0</v>
      </c>
      <c r="B792" s="399"/>
      <c r="C792" s="1128"/>
      <c r="D792" s="940"/>
      <c r="E792" s="940"/>
      <c r="F792" s="941"/>
      <c r="G792" s="1142"/>
      <c r="H792" s="941"/>
      <c r="I792" s="1142"/>
      <c r="J792" s="941"/>
      <c r="K792" s="432"/>
      <c r="L792" s="1141"/>
      <c r="M792" s="941"/>
      <c r="N792" s="430"/>
      <c r="O792" s="362"/>
    </row>
    <row r="793" spans="1:15" ht="15.75" customHeight="1">
      <c r="A793" s="395">
        <f t="array" ref="A793">IF(C793&lt;&gt;0,INDEX(CodEquipos,MATCH(C793,Equipos,0),),)</f>
        <v>0</v>
      </c>
      <c r="B793" s="399"/>
      <c r="C793" s="1128"/>
      <c r="D793" s="940"/>
      <c r="E793" s="940"/>
      <c r="F793" s="941"/>
      <c r="G793" s="1142"/>
      <c r="H793" s="941"/>
      <c r="I793" s="1142"/>
      <c r="J793" s="941"/>
      <c r="K793" s="432" t="str">
        <f>IF($A793&gt;0,(VLOOKUP($A793,TablaEquipos,7,FALSE)),"")</f>
        <v/>
      </c>
      <c r="L793" s="1141"/>
      <c r="M793" s="941"/>
      <c r="N793" s="430" t="str">
        <f t="shared" ref="N793:N794" si="64">IF(L793&gt;0,K793/L793,"")</f>
        <v/>
      </c>
      <c r="O793" s="362"/>
    </row>
    <row r="794" spans="1:15" ht="15.75" customHeight="1">
      <c r="A794" s="395">
        <f t="array" ref="A794">IF(C794&lt;&gt;0,INDEX(CodEquipos,MATCH(C794,Equipos,0),),)</f>
        <v>0</v>
      </c>
      <c r="B794" s="399"/>
      <c r="C794" s="1128"/>
      <c r="D794" s="940"/>
      <c r="E794" s="940"/>
      <c r="F794" s="941"/>
      <c r="G794" s="1144"/>
      <c r="H794" s="1145"/>
      <c r="I794" s="1144"/>
      <c r="J794" s="1145"/>
      <c r="K794" s="432" t="str">
        <f>IF($A794&gt;0,(VLOOKUP($A794,TablaEquipos,7,FALSE)),"")</f>
        <v/>
      </c>
      <c r="L794" s="1208"/>
      <c r="M794" s="1145"/>
      <c r="N794" s="430" t="str">
        <f t="shared" si="64"/>
        <v/>
      </c>
      <c r="O794" s="362"/>
    </row>
    <row r="795" spans="1:15" ht="15.75" customHeight="1">
      <c r="A795" s="395"/>
      <c r="B795" s="399"/>
      <c r="C795" s="1127" t="s">
        <v>1202</v>
      </c>
      <c r="D795" s="965"/>
      <c r="E795" s="965"/>
      <c r="F795" s="965"/>
      <c r="G795" s="965"/>
      <c r="H795" s="965"/>
      <c r="I795" s="965"/>
      <c r="J795" s="965"/>
      <c r="K795" s="965"/>
      <c r="L795" s="965"/>
      <c r="M795" s="966"/>
      <c r="N795" s="433">
        <f>+SUM(N789:N794)</f>
        <v>1373.6976277749784</v>
      </c>
      <c r="O795" s="362"/>
    </row>
    <row r="796" spans="1:15" ht="15.75" customHeight="1">
      <c r="A796" s="395"/>
      <c r="B796" s="399"/>
      <c r="C796" s="1129" t="s">
        <v>1203</v>
      </c>
      <c r="D796" s="926"/>
      <c r="E796" s="926"/>
      <c r="F796" s="926"/>
      <c r="G796" s="926"/>
      <c r="H796" s="926"/>
      <c r="I796" s="926"/>
      <c r="J796" s="926"/>
      <c r="K796" s="926"/>
      <c r="L796" s="926"/>
      <c r="M796" s="926"/>
      <c r="N796" s="927"/>
      <c r="O796" s="362"/>
    </row>
    <row r="797" spans="1:15" ht="15.75" customHeight="1">
      <c r="A797" s="395"/>
      <c r="B797" s="399"/>
      <c r="C797" s="920"/>
      <c r="D797" s="922"/>
      <c r="E797" s="922"/>
      <c r="F797" s="922"/>
      <c r="G797" s="922"/>
      <c r="H797" s="922"/>
      <c r="I797" s="922"/>
      <c r="J797" s="922"/>
      <c r="K797" s="922"/>
      <c r="L797" s="922"/>
      <c r="M797" s="922"/>
      <c r="N797" s="924"/>
      <c r="O797" s="362"/>
    </row>
    <row r="798" spans="1:15" ht="15.75" customHeight="1">
      <c r="A798" s="395"/>
      <c r="B798" s="399"/>
      <c r="C798" s="929"/>
      <c r="D798" s="936"/>
      <c r="E798" s="936"/>
      <c r="F798" s="936"/>
      <c r="G798" s="936"/>
      <c r="H798" s="936"/>
      <c r="I798" s="936"/>
      <c r="J798" s="936"/>
      <c r="K798" s="936"/>
      <c r="L798" s="936"/>
      <c r="M798" s="936"/>
      <c r="N798" s="938"/>
      <c r="O798" s="362"/>
    </row>
    <row r="799" spans="1:15" ht="15.75" customHeight="1">
      <c r="A799" s="395"/>
      <c r="B799" s="399"/>
      <c r="C799" s="1201" t="s">
        <v>17</v>
      </c>
      <c r="D799" s="1131"/>
      <c r="E799" s="1131"/>
      <c r="F799" s="1131"/>
      <c r="G799" s="1131"/>
      <c r="H799" s="1131"/>
      <c r="I799" s="1000"/>
      <c r="J799" s="672" t="s">
        <v>1192</v>
      </c>
      <c r="K799" s="670" t="s">
        <v>950</v>
      </c>
      <c r="L799" s="1204" t="s">
        <v>1204</v>
      </c>
      <c r="M799" s="1000"/>
      <c r="N799" s="671" t="s">
        <v>1200</v>
      </c>
      <c r="O799" s="362"/>
    </row>
    <row r="800" spans="1:15" ht="15.75" customHeight="1">
      <c r="A800" s="395">
        <f t="array" ref="A800">IF(C800&lt;&gt;0,INDEX(CodMat,MATCH(C800,Materiales,0),),)</f>
        <v>0</v>
      </c>
      <c r="B800" s="399"/>
      <c r="C800" s="1128"/>
      <c r="D800" s="940"/>
      <c r="E800" s="940"/>
      <c r="F800" s="940"/>
      <c r="G800" s="940"/>
      <c r="H800" s="940"/>
      <c r="I800" s="941"/>
      <c r="J800" s="435" t="str">
        <f t="shared" ref="J800:J807" si="65">IF($A800&gt;0,(VLOOKUP($A800,TablaInsumos,5,FALSE)),"")</f>
        <v/>
      </c>
      <c r="K800" s="673"/>
      <c r="L800" s="1134" t="str">
        <f t="shared" ref="L800:L807" si="66">IF($A800&gt;0,(VLOOKUP($A800,TablaInsumos,7,FALSE)),"")</f>
        <v/>
      </c>
      <c r="M800" s="941"/>
      <c r="N800" s="430" t="str">
        <f t="shared" ref="N800:N807" si="67">IF(K800&gt;0,L800*K800,"")</f>
        <v/>
      </c>
      <c r="O800" s="362"/>
    </row>
    <row r="801" spans="1:17" ht="15.75" customHeight="1">
      <c r="A801" s="395">
        <f t="array" ref="A801">IF(C801&lt;&gt;0,INDEX(CodMat,MATCH(C801,Materiales,0),),)</f>
        <v>0</v>
      </c>
      <c r="B801" s="399"/>
      <c r="C801" s="1128"/>
      <c r="D801" s="940"/>
      <c r="E801" s="940"/>
      <c r="F801" s="940"/>
      <c r="G801" s="940"/>
      <c r="H801" s="940"/>
      <c r="I801" s="941"/>
      <c r="J801" s="435" t="str">
        <f t="shared" si="65"/>
        <v/>
      </c>
      <c r="K801" s="673"/>
      <c r="L801" s="1134" t="str">
        <f t="shared" si="66"/>
        <v/>
      </c>
      <c r="M801" s="941"/>
      <c r="N801" s="430" t="str">
        <f t="shared" si="67"/>
        <v/>
      </c>
      <c r="O801" s="362"/>
      <c r="Q801" s="688"/>
    </row>
    <row r="802" spans="1:17" ht="15.75" customHeight="1">
      <c r="A802" s="395">
        <f t="array" ref="A802">IF(C802&lt;&gt;0,INDEX(CodMat,MATCH(C802,Materiales,0),),)</f>
        <v>0</v>
      </c>
      <c r="B802" s="399"/>
      <c r="C802" s="1128"/>
      <c r="D802" s="940"/>
      <c r="E802" s="940"/>
      <c r="F802" s="940"/>
      <c r="G802" s="940"/>
      <c r="H802" s="940"/>
      <c r="I802" s="941"/>
      <c r="J802" s="435" t="str">
        <f t="shared" si="65"/>
        <v/>
      </c>
      <c r="K802" s="673"/>
      <c r="L802" s="1134" t="str">
        <f t="shared" si="66"/>
        <v/>
      </c>
      <c r="M802" s="941"/>
      <c r="N802" s="430" t="str">
        <f t="shared" si="67"/>
        <v/>
      </c>
      <c r="O802" s="362"/>
      <c r="Q802" s="687"/>
    </row>
    <row r="803" spans="1:17" ht="15.75" customHeight="1">
      <c r="A803" s="395">
        <f t="array" ref="A803">IF(C803&lt;&gt;0,INDEX(CodMat,MATCH(C803,Materiales,0),),)</f>
        <v>0</v>
      </c>
      <c r="B803" s="399"/>
      <c r="C803" s="1128"/>
      <c r="D803" s="940"/>
      <c r="E803" s="940"/>
      <c r="F803" s="940"/>
      <c r="G803" s="940"/>
      <c r="H803" s="940"/>
      <c r="I803" s="941"/>
      <c r="J803" s="435" t="str">
        <f t="shared" si="65"/>
        <v/>
      </c>
      <c r="K803" s="673"/>
      <c r="L803" s="1134" t="str">
        <f t="shared" si="66"/>
        <v/>
      </c>
      <c r="M803" s="941"/>
      <c r="N803" s="430" t="str">
        <f t="shared" si="67"/>
        <v/>
      </c>
      <c r="O803" s="362"/>
    </row>
    <row r="804" spans="1:17" ht="15.75" customHeight="1">
      <c r="A804" s="395">
        <f t="array" ref="A804">IF(C804&lt;&gt;0,INDEX(CodMat,MATCH(C804,Materiales,0),),)</f>
        <v>0</v>
      </c>
      <c r="B804" s="399"/>
      <c r="C804" s="1128"/>
      <c r="D804" s="940"/>
      <c r="E804" s="940"/>
      <c r="F804" s="940"/>
      <c r="G804" s="940"/>
      <c r="H804" s="940"/>
      <c r="I804" s="941"/>
      <c r="J804" s="435" t="str">
        <f t="shared" si="65"/>
        <v/>
      </c>
      <c r="K804" s="436"/>
      <c r="L804" s="1134" t="str">
        <f t="shared" si="66"/>
        <v/>
      </c>
      <c r="M804" s="941"/>
      <c r="N804" s="430" t="str">
        <f t="shared" si="67"/>
        <v/>
      </c>
      <c r="O804" s="362"/>
    </row>
    <row r="805" spans="1:17" ht="15.75" customHeight="1">
      <c r="A805" s="395">
        <f t="array" ref="A805">IF(C805&lt;&gt;0,INDEX(CodMat,MATCH(C805,Materiales,0),),)</f>
        <v>0</v>
      </c>
      <c r="B805" s="399"/>
      <c r="C805" s="1128"/>
      <c r="D805" s="940"/>
      <c r="E805" s="940"/>
      <c r="F805" s="940"/>
      <c r="G805" s="940"/>
      <c r="H805" s="940"/>
      <c r="I805" s="941"/>
      <c r="J805" s="435" t="str">
        <f t="shared" si="65"/>
        <v/>
      </c>
      <c r="K805" s="436"/>
      <c r="L805" s="1134" t="str">
        <f t="shared" si="66"/>
        <v/>
      </c>
      <c r="M805" s="941"/>
      <c r="N805" s="430" t="str">
        <f t="shared" si="67"/>
        <v/>
      </c>
      <c r="O805" s="362"/>
    </row>
    <row r="806" spans="1:17" ht="15.75" customHeight="1">
      <c r="A806" s="395">
        <f t="array" ref="A806">IF(C806&lt;&gt;0,INDEX(CodMat,MATCH(C806,Materiales,0),),)</f>
        <v>0</v>
      </c>
      <c r="B806" s="399"/>
      <c r="C806" s="1128"/>
      <c r="D806" s="940"/>
      <c r="E806" s="940"/>
      <c r="F806" s="940"/>
      <c r="G806" s="940"/>
      <c r="H806" s="940"/>
      <c r="I806" s="941"/>
      <c r="J806" s="435" t="str">
        <f t="shared" si="65"/>
        <v/>
      </c>
      <c r="K806" s="436"/>
      <c r="L806" s="1134" t="str">
        <f t="shared" si="66"/>
        <v/>
      </c>
      <c r="M806" s="941"/>
      <c r="N806" s="430" t="str">
        <f t="shared" si="67"/>
        <v/>
      </c>
      <c r="O806" s="362"/>
    </row>
    <row r="807" spans="1:17" ht="15.75" customHeight="1">
      <c r="A807" s="395">
        <f t="array" ref="A807">IF(C807&lt;&gt;0,INDEX(CodMat,MATCH(C807,Materiales,0),),)</f>
        <v>0</v>
      </c>
      <c r="B807" s="399"/>
      <c r="C807" s="1128"/>
      <c r="D807" s="940"/>
      <c r="E807" s="940"/>
      <c r="F807" s="940"/>
      <c r="G807" s="940"/>
      <c r="H807" s="940"/>
      <c r="I807" s="941"/>
      <c r="J807" s="435" t="str">
        <f t="shared" si="65"/>
        <v/>
      </c>
      <c r="K807" s="436"/>
      <c r="L807" s="1205" t="str">
        <f t="shared" si="66"/>
        <v/>
      </c>
      <c r="M807" s="1145"/>
      <c r="N807" s="430" t="str">
        <f t="shared" si="67"/>
        <v/>
      </c>
      <c r="O807" s="362"/>
    </row>
    <row r="808" spans="1:17" ht="15.75" customHeight="1">
      <c r="A808" s="395"/>
      <c r="B808" s="399"/>
      <c r="C808" s="1127" t="s">
        <v>1202</v>
      </c>
      <c r="D808" s="965"/>
      <c r="E808" s="965"/>
      <c r="F808" s="965"/>
      <c r="G808" s="965"/>
      <c r="H808" s="965"/>
      <c r="I808" s="965"/>
      <c r="J808" s="965"/>
      <c r="K808" s="965"/>
      <c r="L808" s="965"/>
      <c r="M808" s="966"/>
      <c r="N808" s="433">
        <f>+SUM(N800:N807)</f>
        <v>0</v>
      </c>
      <c r="O808" s="362"/>
    </row>
    <row r="809" spans="1:17" ht="15.75" customHeight="1">
      <c r="A809" s="395"/>
      <c r="B809" s="399"/>
      <c r="C809" s="1129" t="s">
        <v>1208</v>
      </c>
      <c r="D809" s="926"/>
      <c r="E809" s="926"/>
      <c r="F809" s="926"/>
      <c r="G809" s="926"/>
      <c r="H809" s="926"/>
      <c r="I809" s="926"/>
      <c r="J809" s="926"/>
      <c r="K809" s="926"/>
      <c r="L809" s="926"/>
      <c r="M809" s="926"/>
      <c r="N809" s="927"/>
      <c r="O809" s="362"/>
    </row>
    <row r="810" spans="1:17" ht="15.75" customHeight="1">
      <c r="A810" s="395"/>
      <c r="B810" s="399"/>
      <c r="C810" s="920"/>
      <c r="D810" s="922"/>
      <c r="E810" s="922"/>
      <c r="F810" s="922"/>
      <c r="G810" s="922"/>
      <c r="H810" s="922"/>
      <c r="I810" s="922"/>
      <c r="J810" s="922"/>
      <c r="K810" s="922"/>
      <c r="L810" s="922"/>
      <c r="M810" s="922"/>
      <c r="N810" s="924"/>
      <c r="O810" s="362"/>
    </row>
    <row r="811" spans="1:17" ht="15.75" customHeight="1">
      <c r="A811" s="395"/>
      <c r="B811" s="399"/>
      <c r="C811" s="929"/>
      <c r="D811" s="936"/>
      <c r="E811" s="936"/>
      <c r="F811" s="936"/>
      <c r="G811" s="936"/>
      <c r="H811" s="936"/>
      <c r="I811" s="936"/>
      <c r="J811" s="936"/>
      <c r="K811" s="936"/>
      <c r="L811" s="936"/>
      <c r="M811" s="936"/>
      <c r="N811" s="938"/>
      <c r="O811" s="362"/>
    </row>
    <row r="812" spans="1:17" ht="15.75" customHeight="1">
      <c r="A812" s="395"/>
      <c r="B812" s="399"/>
      <c r="C812" s="1201" t="s">
        <v>1209</v>
      </c>
      <c r="D812" s="1131"/>
      <c r="E812" s="1131"/>
      <c r="F812" s="1131"/>
      <c r="G812" s="1131"/>
      <c r="H812" s="1000"/>
      <c r="I812" s="670" t="s">
        <v>1210</v>
      </c>
      <c r="J812" s="674" t="s">
        <v>1211</v>
      </c>
      <c r="K812" s="675" t="s">
        <v>2318</v>
      </c>
      <c r="L812" s="1204" t="s">
        <v>1213</v>
      </c>
      <c r="M812" s="1000"/>
      <c r="N812" s="671" t="s">
        <v>1200</v>
      </c>
      <c r="O812" s="362"/>
    </row>
    <row r="813" spans="1:17" ht="15.75" customHeight="1">
      <c r="A813" s="395">
        <f t="array" ref="A813">IF(C813&lt;&gt;0,INDEX(CodTransporte,MATCH(C813,Transporte,0),),)</f>
        <v>0</v>
      </c>
      <c r="B813" s="399"/>
      <c r="C813" s="1128"/>
      <c r="D813" s="940"/>
      <c r="E813" s="940"/>
      <c r="F813" s="940"/>
      <c r="G813" s="940"/>
      <c r="H813" s="940"/>
      <c r="I813" s="440"/>
      <c r="J813" s="441" t="str">
        <f>IF($A813&gt;0,(VLOOKUP($A813,TablaTransporte,6,FALSE)),"")</f>
        <v/>
      </c>
      <c r="K813" s="442" t="str">
        <f>IF($A813&gt;0,(VLOOKUP($A813,TablaTransporte,5,FALSE)),"")</f>
        <v/>
      </c>
      <c r="L813" s="1134" t="str">
        <f>IF($A813&gt;0,(VLOOKUP($A813,TablaTransporte,7,FALSE)),"")</f>
        <v/>
      </c>
      <c r="M813" s="941"/>
      <c r="N813" s="430" t="str">
        <f t="shared" ref="N813:N817" si="68">IF(I813&gt;0,J813*L813*I813,"")</f>
        <v/>
      </c>
      <c r="O813" s="362"/>
    </row>
    <row r="814" spans="1:17" ht="15.75" customHeight="1">
      <c r="A814" s="395">
        <f t="array" ref="A814">IF(C814&lt;&gt;0,INDEX(CodTransporte,MATCH(C814,Transporte,0),),)</f>
        <v>0</v>
      </c>
      <c r="B814" s="399"/>
      <c r="C814" s="1128"/>
      <c r="D814" s="940"/>
      <c r="E814" s="940"/>
      <c r="F814" s="940"/>
      <c r="G814" s="940"/>
      <c r="H814" s="940"/>
      <c r="I814" s="440"/>
      <c r="J814" s="441" t="str">
        <f>IF($A814&gt;0,(VLOOKUP($A814,TablaTransporte,6,FALSE)),"")</f>
        <v/>
      </c>
      <c r="K814" s="442" t="str">
        <f>IF($A814&gt;0,(VLOOKUP($A814,TablaTransporte,5,FALSE)),"")</f>
        <v/>
      </c>
      <c r="L814" s="1134" t="str">
        <f>IF($A814&gt;0,(VLOOKUP($A814,TablaTransporte,7,FALSE)),"")</f>
        <v/>
      </c>
      <c r="M814" s="941"/>
      <c r="N814" s="430" t="str">
        <f t="shared" si="68"/>
        <v/>
      </c>
      <c r="O814" s="362"/>
    </row>
    <row r="815" spans="1:17" ht="15.75" customHeight="1">
      <c r="A815" s="395">
        <f t="array" ref="A815">IF(C815&lt;&gt;0,INDEX(CodTransporte,MATCH(C815,Transporte,0),),)</f>
        <v>0</v>
      </c>
      <c r="B815" s="399"/>
      <c r="C815" s="1128"/>
      <c r="D815" s="940"/>
      <c r="E815" s="940"/>
      <c r="F815" s="940"/>
      <c r="G815" s="940"/>
      <c r="H815" s="940"/>
      <c r="I815" s="440"/>
      <c r="J815" s="441" t="str">
        <f>IF($A815&gt;0,(VLOOKUP($A815,TablaTransporte,6,FALSE)),"")</f>
        <v/>
      </c>
      <c r="K815" s="442" t="str">
        <f>IF($A815&gt;0,(VLOOKUP($A815,TablaTransporte,5,FALSE)),"")</f>
        <v/>
      </c>
      <c r="L815" s="1134" t="str">
        <f>IF($A815&gt;0,(VLOOKUP($A815,TablaTransporte,7,FALSE)),"")</f>
        <v/>
      </c>
      <c r="M815" s="941"/>
      <c r="N815" s="430" t="str">
        <f t="shared" si="68"/>
        <v/>
      </c>
      <c r="O815" s="362"/>
    </row>
    <row r="816" spans="1:17" ht="15.75" customHeight="1">
      <c r="A816" s="395">
        <f t="array" ref="A816">IF(C816&lt;&gt;0,INDEX(CodTransporte,MATCH(C816,Transporte,0),),)</f>
        <v>0</v>
      </c>
      <c r="B816" s="399"/>
      <c r="C816" s="1128"/>
      <c r="D816" s="940"/>
      <c r="E816" s="940"/>
      <c r="F816" s="940"/>
      <c r="G816" s="940"/>
      <c r="H816" s="940"/>
      <c r="I816" s="440"/>
      <c r="J816" s="441" t="str">
        <f>IF($A816&gt;0,(VLOOKUP($A816,TablaTransporte,6,FALSE)),"")</f>
        <v/>
      </c>
      <c r="K816" s="442" t="str">
        <f>IF($A816&gt;0,(VLOOKUP($A816,TablaTransporte,5,FALSE)),"")</f>
        <v/>
      </c>
      <c r="L816" s="1134" t="str">
        <f>IF($A816&gt;0,(VLOOKUP($A816,TablaTransporte,7,FALSE)),"")</f>
        <v/>
      </c>
      <c r="M816" s="941"/>
      <c r="N816" s="430" t="str">
        <f t="shared" si="68"/>
        <v/>
      </c>
      <c r="O816" s="362"/>
    </row>
    <row r="817" spans="1:18" ht="15.75" customHeight="1">
      <c r="A817" s="395">
        <f t="array" ref="A817">IF(C817&lt;&gt;0,INDEX(CodTransporte,MATCH(C817,Transporte,0),),)</f>
        <v>0</v>
      </c>
      <c r="B817" s="399"/>
      <c r="C817" s="1128"/>
      <c r="D817" s="940"/>
      <c r="E817" s="940"/>
      <c r="F817" s="940"/>
      <c r="G817" s="940"/>
      <c r="H817" s="940"/>
      <c r="I817" s="440"/>
      <c r="J817" s="441" t="str">
        <f>IF($A817&gt;0,(VLOOKUP($A817,TablaTransporte,6,FALSE)),"")</f>
        <v/>
      </c>
      <c r="K817" s="442" t="str">
        <f>IF($A817&gt;0,(VLOOKUP($A817,TablaTransporte,5,FALSE)),"")</f>
        <v/>
      </c>
      <c r="L817" s="1205" t="str">
        <f>IF($A817&gt;0,(VLOOKUP($A817,TablaTransporte,7,FALSE)),"")</f>
        <v/>
      </c>
      <c r="M817" s="1145"/>
      <c r="N817" s="430" t="str">
        <f t="shared" si="68"/>
        <v/>
      </c>
      <c r="O817" s="362"/>
    </row>
    <row r="818" spans="1:18" ht="15.75" customHeight="1">
      <c r="A818" s="395"/>
      <c r="B818" s="399"/>
      <c r="C818" s="1127" t="s">
        <v>1202</v>
      </c>
      <c r="D818" s="965"/>
      <c r="E818" s="965"/>
      <c r="F818" s="965"/>
      <c r="G818" s="965"/>
      <c r="H818" s="965"/>
      <c r="I818" s="965"/>
      <c r="J818" s="965"/>
      <c r="K818" s="965"/>
      <c r="L818" s="965"/>
      <c r="M818" s="966"/>
      <c r="N818" s="433">
        <f>+SUM(N813:N817)</f>
        <v>0</v>
      </c>
      <c r="O818" s="362"/>
    </row>
    <row r="819" spans="1:18" ht="15.75" customHeight="1">
      <c r="A819" s="395"/>
      <c r="B819" s="399"/>
      <c r="C819" s="1129" t="s">
        <v>1214</v>
      </c>
      <c r="D819" s="926"/>
      <c r="E819" s="926"/>
      <c r="F819" s="926"/>
      <c r="G819" s="926"/>
      <c r="H819" s="926"/>
      <c r="I819" s="926"/>
      <c r="J819" s="926"/>
      <c r="K819" s="926"/>
      <c r="L819" s="926"/>
      <c r="M819" s="926"/>
      <c r="N819" s="927"/>
      <c r="O819" s="362"/>
    </row>
    <row r="820" spans="1:18" ht="15.75" customHeight="1">
      <c r="A820" s="395"/>
      <c r="B820" s="399"/>
      <c r="C820" s="920"/>
      <c r="D820" s="922"/>
      <c r="E820" s="922"/>
      <c r="F820" s="922"/>
      <c r="G820" s="922"/>
      <c r="H820" s="922"/>
      <c r="I820" s="922"/>
      <c r="J820" s="922"/>
      <c r="K820" s="922"/>
      <c r="L820" s="922"/>
      <c r="M820" s="922"/>
      <c r="N820" s="924"/>
      <c r="O820" s="362"/>
    </row>
    <row r="821" spans="1:18" ht="15.75" customHeight="1">
      <c r="A821" s="395"/>
      <c r="B821" s="399"/>
      <c r="C821" s="929"/>
      <c r="D821" s="936"/>
      <c r="E821" s="936"/>
      <c r="F821" s="936"/>
      <c r="G821" s="936"/>
      <c r="H821" s="936"/>
      <c r="I821" s="936"/>
      <c r="J821" s="936"/>
      <c r="K821" s="936"/>
      <c r="L821" s="936"/>
      <c r="M821" s="936"/>
      <c r="N821" s="938"/>
      <c r="O821" s="362"/>
    </row>
    <row r="822" spans="1:18" ht="15.75" customHeight="1">
      <c r="A822" s="395"/>
      <c r="B822" s="399"/>
      <c r="C822" s="1201" t="s">
        <v>1215</v>
      </c>
      <c r="D822" s="1131"/>
      <c r="E822" s="1131"/>
      <c r="F822" s="1131"/>
      <c r="G822" s="1131"/>
      <c r="H822" s="1000"/>
      <c r="I822" s="670" t="s">
        <v>1216</v>
      </c>
      <c r="J822" s="676" t="s">
        <v>1217</v>
      </c>
      <c r="K822" s="677" t="s">
        <v>1218</v>
      </c>
      <c r="L822" s="1206" t="s">
        <v>1199</v>
      </c>
      <c r="M822" s="1000"/>
      <c r="N822" s="678" t="s">
        <v>1200</v>
      </c>
      <c r="O822" s="362"/>
    </row>
    <row r="823" spans="1:18" ht="15.75" customHeight="1">
      <c r="A823" s="395" t="str">
        <f t="array" ref="A823">IF(C823&lt;&gt;0,INDEX(CodMO,MATCH(C823,MO,0),),)</f>
        <v>M.O-05</v>
      </c>
      <c r="B823" s="399"/>
      <c r="C823" s="1128" t="s">
        <v>139</v>
      </c>
      <c r="D823" s="940"/>
      <c r="E823" s="940"/>
      <c r="F823" s="940"/>
      <c r="G823" s="940"/>
      <c r="H823" s="940"/>
      <c r="I823" s="447">
        <f>IF($A823&gt;0,(VLOOKUP($A823,TablaMO,8,FALSE)),"")</f>
        <v>125030.16666666667</v>
      </c>
      <c r="J823" s="448">
        <f>IF($A823&gt;0,(VLOOKUP($A823,TablaMO,10,FALSE)),"")</f>
        <v>0.67071666666666663</v>
      </c>
      <c r="K823" s="447">
        <f>IF($A823&gt;0,(VLOOKUP($A823,TablaMO,11,FALSE)),"")</f>
        <v>208890</v>
      </c>
      <c r="L823" s="1146">
        <v>14.414613230476947</v>
      </c>
      <c r="M823" s="941"/>
      <c r="N823" s="430">
        <f t="shared" ref="N823:N827" si="69">IF(L823&gt;0,K823/L823,"")</f>
        <v>14491.543870101348</v>
      </c>
      <c r="O823" s="362"/>
    </row>
    <row r="824" spans="1:18" ht="15.75" customHeight="1">
      <c r="A824" s="395" t="str">
        <f t="array" ref="A824">IF(C824&lt;&gt;0,INDEX(CodMO,MATCH(C824,MO,0),),)</f>
        <v>M.O-01</v>
      </c>
      <c r="B824" s="399"/>
      <c r="C824" s="1128" t="s">
        <v>130</v>
      </c>
      <c r="D824" s="940"/>
      <c r="E824" s="940"/>
      <c r="F824" s="940"/>
      <c r="G824" s="940"/>
      <c r="H824" s="940"/>
      <c r="I824" s="447">
        <f>IF($A824&gt;0,(VLOOKUP($A824,TablaMO,8,FALSE)),"")</f>
        <v>72503.016666666677</v>
      </c>
      <c r="J824" s="448">
        <f>IF($A824&gt;0,(VLOOKUP($A824,TablaMO,10,FALSE)),"")</f>
        <v>0.67071666666666663</v>
      </c>
      <c r="K824" s="447">
        <f>IF($A824&gt;0,(VLOOKUP($A824,TablaMO,11,FALSE)),"")</f>
        <v>121132</v>
      </c>
      <c r="L824" s="1146">
        <f>L823</f>
        <v>14.414613230476947</v>
      </c>
      <c r="M824" s="941"/>
      <c r="N824" s="430">
        <f t="shared" si="69"/>
        <v>8403.4165928149578</v>
      </c>
      <c r="O824" s="362"/>
    </row>
    <row r="825" spans="1:18" ht="15.75" customHeight="1">
      <c r="A825" s="395">
        <f t="array" ref="A825">IF(C825&lt;&gt;0,INDEX(CodMO,MATCH(C825,MO,0),),)</f>
        <v>0</v>
      </c>
      <c r="B825" s="399"/>
      <c r="C825" s="1128"/>
      <c r="D825" s="940"/>
      <c r="E825" s="940"/>
      <c r="F825" s="940"/>
      <c r="G825" s="940"/>
      <c r="H825" s="940"/>
      <c r="I825" s="447" t="str">
        <f>IF($A825&gt;0,(VLOOKUP($A825,TablaMO,8,FALSE)),"")</f>
        <v/>
      </c>
      <c r="J825" s="448" t="str">
        <f>IF($A825&gt;0,(VLOOKUP($A825,TablaMO,10,FALSE)),"")</f>
        <v/>
      </c>
      <c r="K825" s="447" t="str">
        <f>IF($A825&gt;0,(VLOOKUP($A825,TablaMO,11,FALSE)),"")</f>
        <v/>
      </c>
      <c r="L825" s="1146"/>
      <c r="M825" s="941"/>
      <c r="N825" s="430" t="str">
        <f t="shared" si="69"/>
        <v/>
      </c>
      <c r="O825" s="362"/>
    </row>
    <row r="826" spans="1:18" ht="15.75" customHeight="1">
      <c r="A826" s="395">
        <f t="array" ref="A826">IF(C826&lt;&gt;0,INDEX(CodMO,MATCH(C826,MO,0),),)</f>
        <v>0</v>
      </c>
      <c r="B826" s="399"/>
      <c r="C826" s="1128"/>
      <c r="D826" s="940"/>
      <c r="E826" s="940"/>
      <c r="F826" s="940"/>
      <c r="G826" s="940"/>
      <c r="H826" s="940"/>
      <c r="I826" s="447" t="str">
        <f>IF($A826&gt;0,(VLOOKUP($A826,TablaMO,8,FALSE)),"")</f>
        <v/>
      </c>
      <c r="J826" s="448" t="str">
        <f>IF($A826&gt;0,(VLOOKUP($A826,TablaMO,10,FALSE)),"")</f>
        <v/>
      </c>
      <c r="K826" s="447" t="str">
        <f>IF($A826&gt;0,(VLOOKUP($A826,TablaMO,11,FALSE)),"")</f>
        <v/>
      </c>
      <c r="L826" s="1146"/>
      <c r="M826" s="941"/>
      <c r="N826" s="430" t="str">
        <f t="shared" si="69"/>
        <v/>
      </c>
      <c r="O826" s="362"/>
    </row>
    <row r="827" spans="1:18" ht="15.75" customHeight="1">
      <c r="A827" s="395">
        <f t="array" ref="A827">IF(C827&lt;&gt;0,INDEX(CodMO,MATCH(C827,MO,0),),)</f>
        <v>0</v>
      </c>
      <c r="B827" s="399"/>
      <c r="C827" s="1128"/>
      <c r="D827" s="940"/>
      <c r="E827" s="940"/>
      <c r="F827" s="940"/>
      <c r="G827" s="940"/>
      <c r="H827" s="940"/>
      <c r="I827" s="447" t="str">
        <f>IF($A827&gt;0,(VLOOKUP($A827,TablaMO,8,FALSE)),"")</f>
        <v/>
      </c>
      <c r="J827" s="448" t="str">
        <f>IF($A827&gt;0,(VLOOKUP($A827,TablaMO,10,FALSE)),"")</f>
        <v/>
      </c>
      <c r="K827" s="447" t="str">
        <f>IF($A827&gt;0,(VLOOKUP($A827,TablaMO,11,FALSE)),"")</f>
        <v/>
      </c>
      <c r="L827" s="1146"/>
      <c r="M827" s="941"/>
      <c r="N827" s="430" t="str">
        <f t="shared" si="69"/>
        <v/>
      </c>
      <c r="O827" s="362"/>
    </row>
    <row r="828" spans="1:18" ht="15.75" customHeight="1">
      <c r="A828" s="395"/>
      <c r="B828" s="399"/>
      <c r="C828" s="1127" t="s">
        <v>1202</v>
      </c>
      <c r="D828" s="965"/>
      <c r="E828" s="965"/>
      <c r="F828" s="965"/>
      <c r="G828" s="965"/>
      <c r="H828" s="965"/>
      <c r="I828" s="965"/>
      <c r="J828" s="965"/>
      <c r="K828" s="965"/>
      <c r="L828" s="965"/>
      <c r="M828" s="966"/>
      <c r="N828" s="433">
        <f>+SUM(N823:N827)</f>
        <v>22894.960462916308</v>
      </c>
      <c r="O828" s="362"/>
    </row>
    <row r="829" spans="1:18" ht="15.75" customHeight="1">
      <c r="B829" s="679"/>
      <c r="O829" s="362"/>
    </row>
    <row r="830" spans="1:18" ht="15.75" customHeight="1">
      <c r="B830" s="679"/>
      <c r="C830" s="1198" t="s">
        <v>1219</v>
      </c>
      <c r="D830" s="965"/>
      <c r="E830" s="965"/>
      <c r="F830" s="965"/>
      <c r="G830" s="965"/>
      <c r="H830" s="965"/>
      <c r="I830" s="965"/>
      <c r="J830" s="965"/>
      <c r="K830" s="965"/>
      <c r="L830" s="965"/>
      <c r="M830" s="966"/>
      <c r="N830" s="680">
        <f>ROUND(SUM(N828,N818,N808,N795),0)</f>
        <v>24269</v>
      </c>
      <c r="O830" s="362"/>
      <c r="Q830" s="681">
        <f>VLOOKUP(C784,PROPUESTASASERCO,8,FALSE)</f>
        <v>24269</v>
      </c>
      <c r="R830" s="682">
        <f>Q830-N830</f>
        <v>0</v>
      </c>
    </row>
    <row r="831" spans="1:18" ht="15.75" customHeight="1">
      <c r="B831" s="679"/>
      <c r="C831" s="1129" t="s">
        <v>1220</v>
      </c>
      <c r="D831" s="926"/>
      <c r="E831" s="926"/>
      <c r="F831" s="926"/>
      <c r="G831" s="926"/>
      <c r="H831" s="926"/>
      <c r="I831" s="926"/>
      <c r="J831" s="926"/>
      <c r="K831" s="926"/>
      <c r="L831" s="926"/>
      <c r="M831" s="926"/>
      <c r="N831" s="927"/>
      <c r="O831" s="362"/>
    </row>
    <row r="832" spans="1:18" ht="15.75" customHeight="1">
      <c r="B832" s="679"/>
      <c r="C832" s="920"/>
      <c r="D832" s="922"/>
      <c r="E832" s="922"/>
      <c r="F832" s="922"/>
      <c r="G832" s="922"/>
      <c r="H832" s="922"/>
      <c r="I832" s="922"/>
      <c r="J832" s="922"/>
      <c r="K832" s="922"/>
      <c r="L832" s="922"/>
      <c r="M832" s="922"/>
      <c r="N832" s="924"/>
      <c r="O832" s="362"/>
    </row>
    <row r="833" spans="2:15" ht="15.75" customHeight="1">
      <c r="B833" s="679"/>
      <c r="C833" s="929"/>
      <c r="D833" s="936"/>
      <c r="E833" s="936"/>
      <c r="F833" s="936"/>
      <c r="G833" s="936"/>
      <c r="H833" s="936"/>
      <c r="I833" s="936"/>
      <c r="J833" s="936"/>
      <c r="K833" s="936"/>
      <c r="L833" s="936"/>
      <c r="M833" s="936"/>
      <c r="N833" s="938"/>
      <c r="O833" s="362"/>
    </row>
    <row r="834" spans="2:15" ht="15.75" customHeight="1">
      <c r="B834" s="679"/>
      <c r="C834" s="1201" t="s">
        <v>1221</v>
      </c>
      <c r="D834" s="1131"/>
      <c r="E834" s="1131"/>
      <c r="F834" s="1131"/>
      <c r="G834" s="1131"/>
      <c r="H834" s="1132"/>
      <c r="I834" s="674"/>
      <c r="J834" s="674"/>
      <c r="K834" s="674"/>
      <c r="L834" s="1206" t="s">
        <v>1222</v>
      </c>
      <c r="M834" s="1000"/>
      <c r="N834" s="678" t="s">
        <v>1223</v>
      </c>
      <c r="O834" s="362"/>
    </row>
    <row r="835" spans="2:15" ht="15.75" customHeight="1">
      <c r="B835" s="679"/>
      <c r="C835" s="1128" t="s">
        <v>19</v>
      </c>
      <c r="D835" s="940"/>
      <c r="E835" s="940"/>
      <c r="F835" s="940"/>
      <c r="G835" s="940"/>
      <c r="H835" s="940"/>
      <c r="I835" s="452"/>
      <c r="J835" s="452"/>
      <c r="K835" s="452"/>
      <c r="L835" s="1148">
        <f>+Datos!$E$18</f>
        <v>0.25</v>
      </c>
      <c r="M835" s="941"/>
      <c r="N835" s="430">
        <f>+L835*N830</f>
        <v>6067.25</v>
      </c>
      <c r="O835" s="362"/>
    </row>
    <row r="836" spans="2:15" ht="15.75" customHeight="1">
      <c r="B836" s="679"/>
      <c r="C836" s="454" t="s">
        <v>20</v>
      </c>
      <c r="D836" s="455"/>
      <c r="E836" s="455"/>
      <c r="F836" s="455"/>
      <c r="G836" s="455"/>
      <c r="H836" s="455"/>
      <c r="I836" s="452"/>
      <c r="J836" s="452"/>
      <c r="K836" s="452"/>
      <c r="L836" s="1148">
        <f>+Datos!$E$19</f>
        <v>0.01</v>
      </c>
      <c r="M836" s="941"/>
      <c r="N836" s="430">
        <f>+L836*N830</f>
        <v>242.69</v>
      </c>
      <c r="O836" s="362"/>
    </row>
    <row r="837" spans="2:15" ht="15.75" customHeight="1">
      <c r="B837" s="679"/>
      <c r="C837" s="456" t="s">
        <v>21</v>
      </c>
      <c r="D837" s="457"/>
      <c r="E837" s="457"/>
      <c r="F837" s="457"/>
      <c r="G837" s="457"/>
      <c r="H837" s="457"/>
      <c r="I837" s="458"/>
      <c r="J837" s="458"/>
      <c r="K837" s="458"/>
      <c r="L837" s="1148">
        <f>+Datos!$E$20</f>
        <v>0.05</v>
      </c>
      <c r="M837" s="941"/>
      <c r="N837" s="430">
        <f>+L837*N830</f>
        <v>1213.45</v>
      </c>
      <c r="O837" s="362"/>
    </row>
    <row r="838" spans="2:15" ht="15.75" customHeight="1">
      <c r="B838" s="679"/>
      <c r="C838" s="1127" t="s">
        <v>1202</v>
      </c>
      <c r="D838" s="965"/>
      <c r="E838" s="965"/>
      <c r="F838" s="965"/>
      <c r="G838" s="965"/>
      <c r="H838" s="965"/>
      <c r="I838" s="965"/>
      <c r="J838" s="965"/>
      <c r="K838" s="965"/>
      <c r="L838" s="965"/>
      <c r="M838" s="966"/>
      <c r="N838" s="433">
        <f>+SUM(N835:N837)</f>
        <v>7523.3899999999994</v>
      </c>
      <c r="O838" s="362"/>
    </row>
    <row r="839" spans="2:15" ht="15.75" customHeight="1">
      <c r="B839" s="679"/>
      <c r="C839" s="418"/>
      <c r="D839" s="39"/>
      <c r="E839" s="39"/>
      <c r="F839" s="39"/>
      <c r="G839" s="39"/>
      <c r="H839" s="39"/>
      <c r="I839" s="39"/>
      <c r="J839" s="39"/>
      <c r="K839" s="39"/>
      <c r="L839" s="39"/>
      <c r="M839" s="39"/>
      <c r="N839" s="40"/>
      <c r="O839" s="362"/>
    </row>
    <row r="840" spans="2:15" ht="15.75" customHeight="1">
      <c r="B840" s="679"/>
      <c r="C840" s="1198" t="s">
        <v>1224</v>
      </c>
      <c r="D840" s="965"/>
      <c r="E840" s="965"/>
      <c r="F840" s="965"/>
      <c r="G840" s="965"/>
      <c r="H840" s="965"/>
      <c r="I840" s="965"/>
      <c r="J840" s="965"/>
      <c r="K840" s="965"/>
      <c r="L840" s="965"/>
      <c r="M840" s="966"/>
      <c r="N840" s="683">
        <f>+ROUND(SUM(N838,N830),0)</f>
        <v>31792</v>
      </c>
      <c r="O840" s="362"/>
    </row>
    <row r="841" spans="2:15" ht="15.75" customHeight="1">
      <c r="B841" s="679"/>
      <c r="C841" s="418"/>
      <c r="D841" s="39" t="s">
        <v>1225</v>
      </c>
      <c r="E841" s="39"/>
      <c r="F841" s="39"/>
      <c r="G841" s="184"/>
      <c r="H841" s="184"/>
      <c r="I841" s="184"/>
      <c r="J841" s="39" t="s">
        <v>1225</v>
      </c>
      <c r="K841" s="39"/>
      <c r="L841" s="39"/>
      <c r="M841" s="39"/>
      <c r="N841" s="40"/>
      <c r="O841" s="362"/>
    </row>
    <row r="842" spans="2:15" ht="15.75" customHeight="1">
      <c r="B842" s="679"/>
      <c r="C842" s="418"/>
      <c r="D842" s="39" t="s">
        <v>1226</v>
      </c>
      <c r="E842" s="39"/>
      <c r="F842" s="39"/>
      <c r="G842" s="184"/>
      <c r="H842" s="184"/>
      <c r="I842" s="184"/>
      <c r="J842" s="39" t="s">
        <v>1227</v>
      </c>
      <c r="K842" s="39"/>
      <c r="L842" s="39"/>
      <c r="M842" s="39"/>
      <c r="N842" s="40"/>
      <c r="O842" s="362"/>
    </row>
    <row r="843" spans="2:15" ht="15.75" customHeight="1">
      <c r="B843" s="679"/>
      <c r="C843" s="404"/>
      <c r="D843" s="39" t="s">
        <v>1228</v>
      </c>
      <c r="E843" s="42"/>
      <c r="F843" s="42"/>
      <c r="G843" s="184"/>
      <c r="H843" s="184"/>
      <c r="I843" s="184"/>
      <c r="J843" s="39" t="s">
        <v>1228</v>
      </c>
      <c r="K843" s="42"/>
      <c r="L843" s="42"/>
      <c r="M843" s="42"/>
      <c r="N843" s="43"/>
      <c r="O843" s="362"/>
    </row>
    <row r="844" spans="2:15" ht="15.75" customHeight="1">
      <c r="B844" s="679"/>
      <c r="C844" s="418"/>
      <c r="D844" s="39"/>
      <c r="E844" s="39"/>
      <c r="F844" s="39"/>
      <c r="G844" s="39" t="s">
        <v>1229</v>
      </c>
      <c r="H844" s="39"/>
      <c r="I844" s="39"/>
      <c r="J844" s="39"/>
      <c r="K844" s="39"/>
      <c r="L844" s="39"/>
      <c r="M844" s="39"/>
      <c r="N844" s="40"/>
      <c r="O844" s="362"/>
    </row>
    <row r="845" spans="2:15" ht="15.75" customHeight="1">
      <c r="B845" s="679"/>
      <c r="C845" s="466"/>
      <c r="D845" s="467"/>
      <c r="E845" s="467"/>
      <c r="F845" s="39"/>
      <c r="G845" s="39"/>
      <c r="H845" s="39"/>
      <c r="I845" s="39"/>
      <c r="J845" s="1149"/>
      <c r="K845" s="922"/>
      <c r="L845" s="922"/>
      <c r="M845" s="922"/>
      <c r="N845" s="924"/>
      <c r="O845" s="362"/>
    </row>
    <row r="846" spans="2:15" ht="15.75" customHeight="1">
      <c r="B846" s="679"/>
      <c r="C846" s="1150"/>
      <c r="D846" s="936"/>
      <c r="E846" s="936"/>
      <c r="F846" s="416"/>
      <c r="G846" s="416"/>
      <c r="H846" s="416"/>
      <c r="I846" s="416"/>
      <c r="J846" s="936"/>
      <c r="K846" s="936"/>
      <c r="L846" s="936"/>
      <c r="M846" s="936"/>
      <c r="N846" s="938"/>
      <c r="O846" s="362"/>
    </row>
    <row r="847" spans="2:15" ht="15.75" customHeight="1">
      <c r="B847" s="684"/>
      <c r="C847" s="685"/>
      <c r="D847" s="685"/>
      <c r="E847" s="685"/>
      <c r="F847" s="685"/>
      <c r="G847" s="685"/>
      <c r="H847" s="685"/>
      <c r="I847" s="685"/>
      <c r="J847" s="685"/>
      <c r="K847" s="685"/>
      <c r="L847" s="685"/>
      <c r="M847" s="685"/>
      <c r="N847" s="685"/>
      <c r="O847" s="686"/>
    </row>
    <row r="848" spans="2:15" ht="15.75" customHeight="1"/>
    <row r="849" spans="1:15" ht="15.75" customHeight="1"/>
    <row r="850" spans="1:15" ht="15.75" customHeight="1"/>
    <row r="851" spans="1:15" ht="15.75" customHeight="1"/>
    <row r="852" spans="1:15" ht="15.75" customHeight="1">
      <c r="A852" s="395" t="s">
        <v>941</v>
      </c>
      <c r="B852" s="184"/>
      <c r="C852" s="184"/>
      <c r="D852" s="184"/>
      <c r="E852" s="184"/>
      <c r="F852" s="184"/>
      <c r="G852" s="184"/>
      <c r="H852" s="184"/>
      <c r="I852" s="184"/>
      <c r="J852" s="184"/>
      <c r="K852" s="184"/>
      <c r="L852" s="184"/>
      <c r="M852" s="184"/>
      <c r="N852" s="184"/>
    </row>
    <row r="853" spans="1:15" ht="15.75" customHeight="1">
      <c r="A853" s="395"/>
      <c r="B853" s="396"/>
      <c r="C853" s="397"/>
      <c r="D853" s="397"/>
      <c r="E853" s="397"/>
      <c r="F853" s="397"/>
      <c r="G853" s="397"/>
      <c r="H853" s="397"/>
      <c r="I853" s="397"/>
      <c r="J853" s="397"/>
      <c r="K853" s="397"/>
      <c r="L853" s="397"/>
      <c r="M853" s="397"/>
      <c r="N853" s="397"/>
      <c r="O853" s="667"/>
    </row>
    <row r="854" spans="1:15" ht="15.75" customHeight="1">
      <c r="A854" s="395"/>
      <c r="B854" s="399"/>
      <c r="C854" s="1124"/>
      <c r="D854" s="927"/>
      <c r="E854" s="1207" t="str">
        <f>Datos!$C$9</f>
        <v>CONSEJO SUPERIOR  DE  JUDICATURA– DIRECCIÓN  EJECUTIVA  SECCIONAL  DE ADMINISTRACIÓN JUDICIAL DE BUCARAMANGA</v>
      </c>
      <c r="F854" s="926"/>
      <c r="G854" s="926"/>
      <c r="H854" s="926"/>
      <c r="I854" s="926"/>
      <c r="J854" s="926"/>
      <c r="K854" s="927"/>
      <c r="L854" s="925" t="s">
        <v>1</v>
      </c>
      <c r="M854" s="931"/>
      <c r="N854" s="933">
        <v>1</v>
      </c>
      <c r="O854" s="362"/>
    </row>
    <row r="855" spans="1:15" ht="15.75" customHeight="1">
      <c r="A855" s="395"/>
      <c r="B855" s="399"/>
      <c r="C855" s="920"/>
      <c r="D855" s="924"/>
      <c r="E855" s="920"/>
      <c r="F855" s="922"/>
      <c r="G855" s="922"/>
      <c r="H855" s="922"/>
      <c r="I855" s="922"/>
      <c r="J855" s="922"/>
      <c r="K855" s="924"/>
      <c r="L855" s="920"/>
      <c r="M855" s="932"/>
      <c r="N855" s="934"/>
      <c r="O855" s="362"/>
    </row>
    <row r="856" spans="1:15" ht="15.75" customHeight="1">
      <c r="A856" s="395"/>
      <c r="B856" s="399"/>
      <c r="C856" s="920"/>
      <c r="D856" s="924"/>
      <c r="E856" s="919" t="str">
        <f>Datos!$C$13</f>
        <v xml:space="preserve">BGA - 030 - 2026 </v>
      </c>
      <c r="F856" s="922"/>
      <c r="G856" s="922"/>
      <c r="H856" s="922"/>
      <c r="I856" s="922"/>
      <c r="J856" s="922"/>
      <c r="K856" s="922"/>
      <c r="L856" s="925" t="s">
        <v>29</v>
      </c>
      <c r="M856" s="926"/>
      <c r="N856" s="927"/>
      <c r="O856" s="362"/>
    </row>
    <row r="857" spans="1:15" ht="15.75" customHeight="1">
      <c r="A857" s="395"/>
      <c r="B857" s="399"/>
      <c r="C857" s="920"/>
      <c r="D857" s="924"/>
      <c r="E85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857" s="922"/>
      <c r="G857" s="922"/>
      <c r="H857" s="922"/>
      <c r="I857" s="922"/>
      <c r="J857" s="922"/>
      <c r="K857" s="924"/>
      <c r="L857" s="919">
        <v>1</v>
      </c>
      <c r="M857" s="921" t="s">
        <v>30</v>
      </c>
      <c r="N857" s="923">
        <v>1</v>
      </c>
      <c r="O857" s="362"/>
    </row>
    <row r="858" spans="1:15" ht="15.75" customHeight="1">
      <c r="A858" s="395"/>
      <c r="B858" s="399"/>
      <c r="C858" s="920"/>
      <c r="D858" s="924"/>
      <c r="E858" s="920"/>
      <c r="F858" s="922"/>
      <c r="G858" s="922"/>
      <c r="H858" s="922"/>
      <c r="I858" s="922"/>
      <c r="J858" s="922"/>
      <c r="K858" s="924"/>
      <c r="L858" s="920"/>
      <c r="M858" s="922"/>
      <c r="N858" s="924"/>
      <c r="O858" s="362"/>
    </row>
    <row r="859" spans="1:15" ht="15.75" customHeight="1">
      <c r="A859" s="395"/>
      <c r="B859" s="399"/>
      <c r="C859" s="920"/>
      <c r="D859" s="924"/>
      <c r="E859" s="920"/>
      <c r="F859" s="922"/>
      <c r="G859" s="922"/>
      <c r="H859" s="922"/>
      <c r="I859" s="922"/>
      <c r="J859" s="922"/>
      <c r="K859" s="924"/>
      <c r="L859" s="925" t="s">
        <v>2</v>
      </c>
      <c r="M859" s="926"/>
      <c r="N859" s="927"/>
      <c r="O859" s="362"/>
    </row>
    <row r="860" spans="1:15" ht="15.75" customHeight="1">
      <c r="A860" s="395"/>
      <c r="B860" s="399"/>
      <c r="C860" s="920"/>
      <c r="D860" s="924"/>
      <c r="E860" s="407"/>
      <c r="F860" s="216"/>
      <c r="G860" s="216"/>
      <c r="H860" s="216"/>
      <c r="I860" s="216"/>
      <c r="J860" s="216"/>
      <c r="K860" s="216"/>
      <c r="L860" s="408" t="s">
        <v>3</v>
      </c>
      <c r="M860" s="409" t="s">
        <v>4</v>
      </c>
      <c r="N860" s="410" t="s">
        <v>5</v>
      </c>
      <c r="O860" s="362"/>
    </row>
    <row r="861" spans="1:15" ht="15.75" customHeight="1">
      <c r="A861" s="395"/>
      <c r="B861" s="399"/>
      <c r="C861" s="920"/>
      <c r="D861" s="924"/>
      <c r="E861" s="1125" t="s">
        <v>1186</v>
      </c>
      <c r="F861" s="945"/>
      <c r="G861" s="945"/>
      <c r="H861" s="945"/>
      <c r="I861" s="945"/>
      <c r="J861" s="945"/>
      <c r="K861" s="945"/>
      <c r="L861" s="928">
        <f>Datos!$C$7</f>
        <v>19</v>
      </c>
      <c r="M861" s="935">
        <f>Datos!$D$7</f>
        <v>6</v>
      </c>
      <c r="N861" s="937">
        <f>Datos!$E$7</f>
        <v>2026</v>
      </c>
      <c r="O861" s="362"/>
    </row>
    <row r="862" spans="1:15" ht="15.75" customHeight="1">
      <c r="A862" s="395"/>
      <c r="B862" s="399"/>
      <c r="C862" s="929"/>
      <c r="D862" s="938"/>
      <c r="E862" s="929"/>
      <c r="F862" s="936"/>
      <c r="G862" s="936"/>
      <c r="H862" s="936"/>
      <c r="I862" s="936"/>
      <c r="J862" s="936"/>
      <c r="K862" s="936"/>
      <c r="L862" s="929"/>
      <c r="M862" s="936"/>
      <c r="N862" s="938"/>
      <c r="O862" s="362"/>
    </row>
    <row r="863" spans="1:15" ht="15.75" customHeight="1">
      <c r="A863" s="395"/>
      <c r="B863" s="399"/>
      <c r="C863" s="404"/>
      <c r="D863" s="38"/>
      <c r="E863" s="38"/>
      <c r="F863" s="38"/>
      <c r="G863" s="38"/>
      <c r="H863" s="38"/>
      <c r="I863" s="38"/>
      <c r="J863" s="38"/>
      <c r="K863" s="38"/>
      <c r="L863" s="39"/>
      <c r="M863" s="39"/>
      <c r="N863" s="40"/>
      <c r="O863" s="362"/>
    </row>
    <row r="864" spans="1:15" ht="15.75" customHeight="1">
      <c r="A864" s="395"/>
      <c r="B864" s="399"/>
      <c r="C864" s="412" t="s">
        <v>1187</v>
      </c>
      <c r="D864" s="1199" t="str">
        <f>VLOOKUP(C869,ListaAct,2,0)</f>
        <v>OBRA CIVIL</v>
      </c>
      <c r="E864" s="922"/>
      <c r="F864" s="922"/>
      <c r="G864" s="922"/>
      <c r="H864" s="922"/>
      <c r="I864" s="922"/>
      <c r="J864" s="922"/>
      <c r="K864" s="922"/>
      <c r="L864" s="922"/>
      <c r="M864" s="1"/>
      <c r="N864" s="413"/>
      <c r="O864" s="362"/>
    </row>
    <row r="865" spans="1:15" ht="15.75" customHeight="1">
      <c r="A865" s="395"/>
      <c r="B865" s="399"/>
      <c r="C865" s="412" t="s">
        <v>1189</v>
      </c>
      <c r="D865" s="1199" t="str">
        <f>VLOOKUP(C869,ListaAct,3,0)</f>
        <v>EXCAVACIONES</v>
      </c>
      <c r="E865" s="922"/>
      <c r="F865" s="922"/>
      <c r="G865" s="922"/>
      <c r="H865" s="922"/>
      <c r="I865" s="922"/>
      <c r="J865" s="922"/>
      <c r="K865" s="922"/>
      <c r="L865" s="922"/>
      <c r="M865" s="1"/>
      <c r="N865" s="413"/>
      <c r="O865" s="362"/>
    </row>
    <row r="866" spans="1:15" ht="15.75" customHeight="1">
      <c r="A866" s="395"/>
      <c r="B866" s="399"/>
      <c r="C866" s="925" t="s">
        <v>1191</v>
      </c>
      <c r="D866" s="926"/>
      <c r="E866" s="926"/>
      <c r="F866" s="926"/>
      <c r="G866" s="926"/>
      <c r="H866" s="926"/>
      <c r="I866" s="926"/>
      <c r="J866" s="926"/>
      <c r="K866" s="926"/>
      <c r="L866" s="926"/>
      <c r="M866" s="926"/>
      <c r="N866" s="927"/>
      <c r="O866" s="362"/>
    </row>
    <row r="867" spans="1:15" ht="15.75" customHeight="1">
      <c r="A867" s="395"/>
      <c r="B867" s="399"/>
      <c r="C867" s="418"/>
      <c r="D867" s="39"/>
      <c r="E867" s="39"/>
      <c r="F867" s="39"/>
      <c r="G867" s="39"/>
      <c r="H867" s="39"/>
      <c r="I867" s="39"/>
      <c r="J867" s="39"/>
      <c r="K867" s="39"/>
      <c r="L867" s="39"/>
      <c r="M867" s="39"/>
      <c r="N867" s="40"/>
      <c r="O867" s="362"/>
    </row>
    <row r="868" spans="1:15" ht="15.75" customHeight="1">
      <c r="A868" s="395"/>
      <c r="B868" s="399"/>
      <c r="C868" s="668" t="s">
        <v>965</v>
      </c>
      <c r="D868" s="1200" t="s">
        <v>17</v>
      </c>
      <c r="E868" s="1131"/>
      <c r="F868" s="1131"/>
      <c r="G868" s="1131"/>
      <c r="H868" s="1131"/>
      <c r="I868" s="1131"/>
      <c r="J868" s="1131"/>
      <c r="K868" s="1137"/>
      <c r="L868" s="1201" t="s">
        <v>1192</v>
      </c>
      <c r="M868" s="1137"/>
      <c r="N868" s="668" t="s">
        <v>950</v>
      </c>
      <c r="O868" s="362"/>
    </row>
    <row r="869" spans="1:15" ht="15.75" customHeight="1">
      <c r="A869" s="395"/>
      <c r="B869" s="421"/>
      <c r="C869" s="669" t="s">
        <v>1011</v>
      </c>
      <c r="D869" s="1202" t="str">
        <f>IF($C869&gt;0,(VLOOKUP($C869,ListaAct,4,FALSE)),"")</f>
        <v xml:space="preserve"> Excavación en material comun con retiro a lugar seguro de suelo costado norte  </v>
      </c>
      <c r="E869" s="979"/>
      <c r="F869" s="979"/>
      <c r="G869" s="979"/>
      <c r="H869" s="979"/>
      <c r="I869" s="979"/>
      <c r="J869" s="979"/>
      <c r="K869" s="980"/>
      <c r="L869" s="1203" t="str">
        <f>IF($C869&gt;0,(VLOOKUP($C869,ListaAct,5,FALSE)),"")</f>
        <v>m3</v>
      </c>
      <c r="M869" s="980"/>
      <c r="N869" s="423">
        <f>IF($C869&gt;0,(VLOOKUP($C869,ListaAct,6,FALSE)),"")</f>
        <v>10.85</v>
      </c>
      <c r="O869" s="362"/>
    </row>
    <row r="870" spans="1:15" ht="15.75" customHeight="1">
      <c r="A870" s="395"/>
      <c r="B870" s="399"/>
      <c r="C870" s="1129" t="s">
        <v>1195</v>
      </c>
      <c r="D870" s="926"/>
      <c r="E870" s="926"/>
      <c r="F870" s="926"/>
      <c r="G870" s="926"/>
      <c r="H870" s="926"/>
      <c r="I870" s="926"/>
      <c r="J870" s="926"/>
      <c r="K870" s="926"/>
      <c r="L870" s="926"/>
      <c r="M870" s="926"/>
      <c r="N870" s="927"/>
      <c r="O870" s="362"/>
    </row>
    <row r="871" spans="1:15" ht="15.75" customHeight="1">
      <c r="A871" s="395"/>
      <c r="B871" s="399"/>
      <c r="C871" s="920"/>
      <c r="D871" s="922"/>
      <c r="E871" s="922"/>
      <c r="F871" s="922"/>
      <c r="G871" s="922"/>
      <c r="H871" s="922"/>
      <c r="I871" s="922"/>
      <c r="J871" s="922"/>
      <c r="K871" s="922"/>
      <c r="L871" s="922"/>
      <c r="M871" s="922"/>
      <c r="N871" s="924"/>
      <c r="O871" s="362"/>
    </row>
    <row r="872" spans="1:15" ht="15.75" customHeight="1">
      <c r="A872" s="395"/>
      <c r="B872" s="399"/>
      <c r="C872" s="929"/>
      <c r="D872" s="936"/>
      <c r="E872" s="936"/>
      <c r="F872" s="936"/>
      <c r="G872" s="936"/>
      <c r="H872" s="936"/>
      <c r="I872" s="936"/>
      <c r="J872" s="936"/>
      <c r="K872" s="936"/>
      <c r="L872" s="936"/>
      <c r="M872" s="936"/>
      <c r="N872" s="938"/>
      <c r="O872" s="362"/>
    </row>
    <row r="873" spans="1:15" ht="15.75" customHeight="1">
      <c r="A873" s="395"/>
      <c r="B873" s="399"/>
      <c r="C873" s="1201" t="s">
        <v>17</v>
      </c>
      <c r="D873" s="1131"/>
      <c r="E873" s="1131"/>
      <c r="F873" s="1000"/>
      <c r="G873" s="1204" t="s">
        <v>1196</v>
      </c>
      <c r="H873" s="1000"/>
      <c r="I873" s="1204" t="s">
        <v>1197</v>
      </c>
      <c r="J873" s="1000"/>
      <c r="K873" s="670" t="s">
        <v>1213</v>
      </c>
      <c r="L873" s="1204" t="s">
        <v>1199</v>
      </c>
      <c r="M873" s="1000"/>
      <c r="N873" s="671" t="s">
        <v>1200</v>
      </c>
      <c r="O873" s="362"/>
    </row>
    <row r="874" spans="1:15" ht="15.75" customHeight="1">
      <c r="A874" s="395"/>
      <c r="B874" s="399"/>
      <c r="C874" s="1128" t="s">
        <v>1201</v>
      </c>
      <c r="D874" s="940"/>
      <c r="E874" s="940"/>
      <c r="F874" s="941"/>
      <c r="G874" s="1142"/>
      <c r="H874" s="941"/>
      <c r="I874" s="1142"/>
      <c r="J874" s="941"/>
      <c r="K874" s="429"/>
      <c r="L874" s="1143">
        <v>0.06</v>
      </c>
      <c r="M874" s="941"/>
      <c r="N874" s="430">
        <f>+L874*N913</f>
        <v>4121.0931603903637</v>
      </c>
      <c r="O874" s="362"/>
    </row>
    <row r="875" spans="1:15" ht="15.75" customHeight="1">
      <c r="A875" s="395">
        <f t="array" ref="A875">IF(C875&lt;&gt;0,INDEX(CodEquipos,MATCH(C875,Equipos,0),),)</f>
        <v>0</v>
      </c>
      <c r="B875" s="399"/>
      <c r="C875" s="1128"/>
      <c r="D875" s="940"/>
      <c r="E875" s="940"/>
      <c r="F875" s="941"/>
      <c r="G875" s="1142"/>
      <c r="H875" s="941"/>
      <c r="I875" s="1142"/>
      <c r="J875" s="941"/>
      <c r="K875" s="432" t="str">
        <f>IF($A875&gt;0,(VLOOKUP($A875,TablaEquipos,7,FALSE)),"")</f>
        <v/>
      </c>
      <c r="L875" s="1146"/>
      <c r="M875" s="941"/>
      <c r="N875" s="430" t="str">
        <f t="shared" ref="N875:N876" si="70">IF(L875&gt;0,K875/L875,"")</f>
        <v/>
      </c>
      <c r="O875" s="362"/>
    </row>
    <row r="876" spans="1:15" ht="15.75" customHeight="1">
      <c r="A876" s="395">
        <f t="array" ref="A876">IF(C876&lt;&gt;0,INDEX(CodEquipos,MATCH(C876,Equipos,0),),)</f>
        <v>0</v>
      </c>
      <c r="B876" s="399"/>
      <c r="C876" s="1128"/>
      <c r="D876" s="940"/>
      <c r="E876" s="940"/>
      <c r="F876" s="941"/>
      <c r="G876" s="1142"/>
      <c r="H876" s="941"/>
      <c r="I876" s="1142"/>
      <c r="J876" s="941"/>
      <c r="K876" s="432" t="str">
        <f>IF($A876&gt;0,(VLOOKUP($A876,TablaEquipos,7,FALSE)),"")</f>
        <v/>
      </c>
      <c r="L876" s="1141"/>
      <c r="M876" s="941"/>
      <c r="N876" s="430" t="str">
        <f t="shared" si="70"/>
        <v/>
      </c>
      <c r="O876" s="362"/>
    </row>
    <row r="877" spans="1:15" ht="15.75" customHeight="1">
      <c r="A877" s="395">
        <f t="array" ref="A877">IF(C877&lt;&gt;0,INDEX(CodEquipos,MATCH(C877,Equipos,0),),)</f>
        <v>0</v>
      </c>
      <c r="B877" s="399"/>
      <c r="C877" s="1128"/>
      <c r="D877" s="940"/>
      <c r="E877" s="940"/>
      <c r="F877" s="941"/>
      <c r="G877" s="1142"/>
      <c r="H877" s="941"/>
      <c r="I877" s="1142"/>
      <c r="J877" s="941"/>
      <c r="K877" s="432"/>
      <c r="L877" s="1141"/>
      <c r="M877" s="941"/>
      <c r="N877" s="430"/>
      <c r="O877" s="362"/>
    </row>
    <row r="878" spans="1:15" ht="15.75" customHeight="1">
      <c r="A878" s="395">
        <f t="array" ref="A878">IF(C878&lt;&gt;0,INDEX(CodEquipos,MATCH(C878,Equipos,0),),)</f>
        <v>0</v>
      </c>
      <c r="B878" s="399"/>
      <c r="C878" s="1128"/>
      <c r="D878" s="940"/>
      <c r="E878" s="940"/>
      <c r="F878" s="941"/>
      <c r="G878" s="1142"/>
      <c r="H878" s="941"/>
      <c r="I878" s="1142"/>
      <c r="J878" s="941"/>
      <c r="K878" s="432" t="str">
        <f>IF($A878&gt;0,(VLOOKUP($A878,TablaEquipos,7,FALSE)),"")</f>
        <v/>
      </c>
      <c r="L878" s="1141"/>
      <c r="M878" s="941"/>
      <c r="N878" s="430" t="str">
        <f t="shared" ref="N878:N879" si="71">IF(L878&gt;0,K878/L878,"")</f>
        <v/>
      </c>
      <c r="O878" s="362"/>
    </row>
    <row r="879" spans="1:15" ht="15.75" customHeight="1">
      <c r="A879" s="395">
        <f t="array" ref="A879">IF(C879&lt;&gt;0,INDEX(CodEquipos,MATCH(C879,Equipos,0),),)</f>
        <v>0</v>
      </c>
      <c r="B879" s="399"/>
      <c r="C879" s="1128"/>
      <c r="D879" s="940"/>
      <c r="E879" s="940"/>
      <c r="F879" s="941"/>
      <c r="G879" s="1144"/>
      <c r="H879" s="1145"/>
      <c r="I879" s="1144"/>
      <c r="J879" s="1145"/>
      <c r="K879" s="432" t="str">
        <f>IF($A879&gt;0,(VLOOKUP($A879,TablaEquipos,7,FALSE)),"")</f>
        <v/>
      </c>
      <c r="L879" s="1208"/>
      <c r="M879" s="1145"/>
      <c r="N879" s="430" t="str">
        <f t="shared" si="71"/>
        <v/>
      </c>
      <c r="O879" s="362"/>
    </row>
    <row r="880" spans="1:15" ht="15.75" customHeight="1">
      <c r="A880" s="395"/>
      <c r="B880" s="399"/>
      <c r="C880" s="1127" t="s">
        <v>1202</v>
      </c>
      <c r="D880" s="965"/>
      <c r="E880" s="965"/>
      <c r="F880" s="965"/>
      <c r="G880" s="965"/>
      <c r="H880" s="965"/>
      <c r="I880" s="965"/>
      <c r="J880" s="965"/>
      <c r="K880" s="965"/>
      <c r="L880" s="965"/>
      <c r="M880" s="966"/>
      <c r="N880" s="433">
        <f>+SUM(N874:N879)</f>
        <v>4121.0931603903637</v>
      </c>
      <c r="O880" s="362"/>
    </row>
    <row r="881" spans="1:17" ht="15.75" customHeight="1">
      <c r="A881" s="395"/>
      <c r="B881" s="399"/>
      <c r="C881" s="1129" t="s">
        <v>1203</v>
      </c>
      <c r="D881" s="926"/>
      <c r="E881" s="926"/>
      <c r="F881" s="926"/>
      <c r="G881" s="926"/>
      <c r="H881" s="926"/>
      <c r="I881" s="926"/>
      <c r="J881" s="926"/>
      <c r="K881" s="926"/>
      <c r="L881" s="926"/>
      <c r="M881" s="926"/>
      <c r="N881" s="927"/>
      <c r="O881" s="362"/>
    </row>
    <row r="882" spans="1:17" ht="15.75" customHeight="1">
      <c r="A882" s="395"/>
      <c r="B882" s="399"/>
      <c r="C882" s="920"/>
      <c r="D882" s="922"/>
      <c r="E882" s="922"/>
      <c r="F882" s="922"/>
      <c r="G882" s="922"/>
      <c r="H882" s="922"/>
      <c r="I882" s="922"/>
      <c r="J882" s="922"/>
      <c r="K882" s="922"/>
      <c r="L882" s="922"/>
      <c r="M882" s="922"/>
      <c r="N882" s="924"/>
      <c r="O882" s="362"/>
    </row>
    <row r="883" spans="1:17" ht="15.75" customHeight="1">
      <c r="A883" s="395"/>
      <c r="B883" s="399"/>
      <c r="C883" s="929"/>
      <c r="D883" s="936"/>
      <c r="E883" s="936"/>
      <c r="F883" s="936"/>
      <c r="G883" s="936"/>
      <c r="H883" s="936"/>
      <c r="I883" s="936"/>
      <c r="J883" s="936"/>
      <c r="K883" s="936"/>
      <c r="L883" s="936"/>
      <c r="M883" s="936"/>
      <c r="N883" s="938"/>
      <c r="O883" s="362"/>
    </row>
    <row r="884" spans="1:17" ht="15.75" customHeight="1">
      <c r="A884" s="395"/>
      <c r="B884" s="399"/>
      <c r="C884" s="1201" t="s">
        <v>17</v>
      </c>
      <c r="D884" s="1131"/>
      <c r="E884" s="1131"/>
      <c r="F884" s="1131"/>
      <c r="G884" s="1131"/>
      <c r="H884" s="1131"/>
      <c r="I884" s="1000"/>
      <c r="J884" s="672" t="s">
        <v>1192</v>
      </c>
      <c r="K884" s="670" t="s">
        <v>950</v>
      </c>
      <c r="L884" s="1204" t="s">
        <v>1204</v>
      </c>
      <c r="M884" s="1000"/>
      <c r="N884" s="671" t="s">
        <v>1200</v>
      </c>
      <c r="O884" s="362"/>
    </row>
    <row r="885" spans="1:17" ht="15.75" customHeight="1">
      <c r="A885" s="395">
        <f t="array" ref="A885">IF(C885&lt;&gt;0,INDEX(CodMat,MATCH(C885,Materiales,0),),)</f>
        <v>0</v>
      </c>
      <c r="B885" s="399"/>
      <c r="C885" s="1128"/>
      <c r="D885" s="940"/>
      <c r="E885" s="940"/>
      <c r="F885" s="940"/>
      <c r="G885" s="940"/>
      <c r="H885" s="940"/>
      <c r="I885" s="941"/>
      <c r="J885" s="435" t="str">
        <f t="shared" ref="J885:J892" si="72">IF($A885&gt;0,(VLOOKUP($A885,TablaInsumos,5,FALSE)),"")</f>
        <v/>
      </c>
      <c r="K885" s="673"/>
      <c r="L885" s="1134" t="str">
        <f t="shared" ref="L885:L892" si="73">IF($A885&gt;0,(VLOOKUP($A885,TablaInsumos,7,FALSE)),"")</f>
        <v/>
      </c>
      <c r="M885" s="941"/>
      <c r="N885" s="430" t="str">
        <f t="shared" ref="N885:N892" si="74">IF(K885&gt;0,L885*K885,"")</f>
        <v/>
      </c>
      <c r="O885" s="362"/>
    </row>
    <row r="886" spans="1:17" ht="15.75" customHeight="1">
      <c r="A886" s="395">
        <f t="array" ref="A886">IF(C886&lt;&gt;0,INDEX(CodMat,MATCH(C886,Materiales,0),),)</f>
        <v>0</v>
      </c>
      <c r="B886" s="399"/>
      <c r="C886" s="1128"/>
      <c r="D886" s="940"/>
      <c r="E886" s="940"/>
      <c r="F886" s="940"/>
      <c r="G886" s="940"/>
      <c r="H886" s="940"/>
      <c r="I886" s="941"/>
      <c r="J886" s="435" t="str">
        <f t="shared" si="72"/>
        <v/>
      </c>
      <c r="K886" s="673"/>
      <c r="L886" s="1134" t="str">
        <f t="shared" si="73"/>
        <v/>
      </c>
      <c r="M886" s="941"/>
      <c r="N886" s="430" t="str">
        <f t="shared" si="74"/>
        <v/>
      </c>
      <c r="O886" s="362"/>
      <c r="Q886" s="688"/>
    </row>
    <row r="887" spans="1:17" ht="15.75" customHeight="1">
      <c r="A887" s="395">
        <f t="array" ref="A887">IF(C887&lt;&gt;0,INDEX(CodMat,MATCH(C887,Materiales,0),),)</f>
        <v>0</v>
      </c>
      <c r="B887" s="399"/>
      <c r="C887" s="1128"/>
      <c r="D887" s="940"/>
      <c r="E887" s="940"/>
      <c r="F887" s="940"/>
      <c r="G887" s="940"/>
      <c r="H887" s="940"/>
      <c r="I887" s="941"/>
      <c r="J887" s="435" t="str">
        <f t="shared" si="72"/>
        <v/>
      </c>
      <c r="K887" s="673"/>
      <c r="L887" s="1134" t="str">
        <f t="shared" si="73"/>
        <v/>
      </c>
      <c r="M887" s="941"/>
      <c r="N887" s="430" t="str">
        <f t="shared" si="74"/>
        <v/>
      </c>
      <c r="O887" s="362"/>
      <c r="Q887" s="687"/>
    </row>
    <row r="888" spans="1:17" ht="15.75" customHeight="1">
      <c r="A888" s="395">
        <f t="array" ref="A888">IF(C888&lt;&gt;0,INDEX(CodMat,MATCH(C888,Materiales,0),),)</f>
        <v>0</v>
      </c>
      <c r="B888" s="399"/>
      <c r="C888" s="1128"/>
      <c r="D888" s="940"/>
      <c r="E888" s="940"/>
      <c r="F888" s="940"/>
      <c r="G888" s="940"/>
      <c r="H888" s="940"/>
      <c r="I888" s="941"/>
      <c r="J888" s="435" t="str">
        <f t="shared" si="72"/>
        <v/>
      </c>
      <c r="K888" s="673"/>
      <c r="L888" s="1134" t="str">
        <f t="shared" si="73"/>
        <v/>
      </c>
      <c r="M888" s="941"/>
      <c r="N888" s="430" t="str">
        <f t="shared" si="74"/>
        <v/>
      </c>
      <c r="O888" s="362"/>
    </row>
    <row r="889" spans="1:17" ht="15.75" customHeight="1">
      <c r="A889" s="395">
        <f t="array" ref="A889">IF(C889&lt;&gt;0,INDEX(CodMat,MATCH(C889,Materiales,0),),)</f>
        <v>0</v>
      </c>
      <c r="B889" s="399"/>
      <c r="C889" s="1128"/>
      <c r="D889" s="940"/>
      <c r="E889" s="940"/>
      <c r="F889" s="940"/>
      <c r="G889" s="940"/>
      <c r="H889" s="940"/>
      <c r="I889" s="941"/>
      <c r="J889" s="435" t="str">
        <f t="shared" si="72"/>
        <v/>
      </c>
      <c r="K889" s="436"/>
      <c r="L889" s="1134" t="str">
        <f t="shared" si="73"/>
        <v/>
      </c>
      <c r="M889" s="941"/>
      <c r="N889" s="430" t="str">
        <f t="shared" si="74"/>
        <v/>
      </c>
      <c r="O889" s="362"/>
    </row>
    <row r="890" spans="1:17" ht="15.75" customHeight="1">
      <c r="A890" s="395">
        <f t="array" ref="A890">IF(C890&lt;&gt;0,INDEX(CodMat,MATCH(C890,Materiales,0),),)</f>
        <v>0</v>
      </c>
      <c r="B890" s="399"/>
      <c r="C890" s="1128"/>
      <c r="D890" s="940"/>
      <c r="E890" s="940"/>
      <c r="F890" s="940"/>
      <c r="G890" s="940"/>
      <c r="H890" s="940"/>
      <c r="I890" s="941"/>
      <c r="J890" s="435" t="str">
        <f t="shared" si="72"/>
        <v/>
      </c>
      <c r="K890" s="436"/>
      <c r="L890" s="1134" t="str">
        <f t="shared" si="73"/>
        <v/>
      </c>
      <c r="M890" s="941"/>
      <c r="N890" s="430" t="str">
        <f t="shared" si="74"/>
        <v/>
      </c>
      <c r="O890" s="362"/>
    </row>
    <row r="891" spans="1:17" ht="15.75" customHeight="1">
      <c r="A891" s="395">
        <f t="array" ref="A891">IF(C891&lt;&gt;0,INDEX(CodMat,MATCH(C891,Materiales,0),),)</f>
        <v>0</v>
      </c>
      <c r="B891" s="399"/>
      <c r="C891" s="1128"/>
      <c r="D891" s="940"/>
      <c r="E891" s="940"/>
      <c r="F891" s="940"/>
      <c r="G891" s="940"/>
      <c r="H891" s="940"/>
      <c r="I891" s="941"/>
      <c r="J891" s="435" t="str">
        <f t="shared" si="72"/>
        <v/>
      </c>
      <c r="K891" s="436"/>
      <c r="L891" s="1134" t="str">
        <f t="shared" si="73"/>
        <v/>
      </c>
      <c r="M891" s="941"/>
      <c r="N891" s="430" t="str">
        <f t="shared" si="74"/>
        <v/>
      </c>
      <c r="O891" s="362"/>
    </row>
    <row r="892" spans="1:17" ht="15.75" customHeight="1">
      <c r="A892" s="395">
        <f t="array" ref="A892">IF(C892&lt;&gt;0,INDEX(CodMat,MATCH(C892,Materiales,0),),)</f>
        <v>0</v>
      </c>
      <c r="B892" s="399"/>
      <c r="C892" s="1128"/>
      <c r="D892" s="940"/>
      <c r="E892" s="940"/>
      <c r="F892" s="940"/>
      <c r="G892" s="940"/>
      <c r="H892" s="940"/>
      <c r="I892" s="941"/>
      <c r="J892" s="435" t="str">
        <f t="shared" si="72"/>
        <v/>
      </c>
      <c r="K892" s="436"/>
      <c r="L892" s="1205" t="str">
        <f t="shared" si="73"/>
        <v/>
      </c>
      <c r="M892" s="1145"/>
      <c r="N892" s="430" t="str">
        <f t="shared" si="74"/>
        <v/>
      </c>
      <c r="O892" s="362"/>
    </row>
    <row r="893" spans="1:17" ht="15.75" customHeight="1">
      <c r="A893" s="395"/>
      <c r="B893" s="399"/>
      <c r="C893" s="1127" t="s">
        <v>1202</v>
      </c>
      <c r="D893" s="965"/>
      <c r="E893" s="965"/>
      <c r="F893" s="965"/>
      <c r="G893" s="965"/>
      <c r="H893" s="965"/>
      <c r="I893" s="965"/>
      <c r="J893" s="965"/>
      <c r="K893" s="965"/>
      <c r="L893" s="965"/>
      <c r="M893" s="966"/>
      <c r="N893" s="433">
        <f>+SUM(N885:N892)</f>
        <v>0</v>
      </c>
      <c r="O893" s="362"/>
    </row>
    <row r="894" spans="1:17" ht="15.75" customHeight="1">
      <c r="A894" s="395"/>
      <c r="B894" s="399"/>
      <c r="C894" s="1129" t="s">
        <v>1208</v>
      </c>
      <c r="D894" s="926"/>
      <c r="E894" s="926"/>
      <c r="F894" s="926"/>
      <c r="G894" s="926"/>
      <c r="H894" s="926"/>
      <c r="I894" s="926"/>
      <c r="J894" s="926"/>
      <c r="K894" s="926"/>
      <c r="L894" s="926"/>
      <c r="M894" s="926"/>
      <c r="N894" s="927"/>
      <c r="O894" s="362"/>
    </row>
    <row r="895" spans="1:17" ht="15.75" customHeight="1">
      <c r="A895" s="395"/>
      <c r="B895" s="399"/>
      <c r="C895" s="920"/>
      <c r="D895" s="922"/>
      <c r="E895" s="922"/>
      <c r="F895" s="922"/>
      <c r="G895" s="922"/>
      <c r="H895" s="922"/>
      <c r="I895" s="922"/>
      <c r="J895" s="922"/>
      <c r="K895" s="922"/>
      <c r="L895" s="922"/>
      <c r="M895" s="922"/>
      <c r="N895" s="924"/>
      <c r="O895" s="362"/>
    </row>
    <row r="896" spans="1:17" ht="15.75" customHeight="1">
      <c r="A896" s="395"/>
      <c r="B896" s="399"/>
      <c r="C896" s="929"/>
      <c r="D896" s="936"/>
      <c r="E896" s="936"/>
      <c r="F896" s="936"/>
      <c r="G896" s="936"/>
      <c r="H896" s="936"/>
      <c r="I896" s="936"/>
      <c r="J896" s="936"/>
      <c r="K896" s="936"/>
      <c r="L896" s="936"/>
      <c r="M896" s="936"/>
      <c r="N896" s="938"/>
      <c r="O896" s="362"/>
    </row>
    <row r="897" spans="1:15" ht="15.75" customHeight="1">
      <c r="A897" s="395"/>
      <c r="B897" s="399"/>
      <c r="C897" s="1201" t="s">
        <v>1209</v>
      </c>
      <c r="D897" s="1131"/>
      <c r="E897" s="1131"/>
      <c r="F897" s="1131"/>
      <c r="G897" s="1131"/>
      <c r="H897" s="1000"/>
      <c r="I897" s="670" t="s">
        <v>1210</v>
      </c>
      <c r="J897" s="674" t="s">
        <v>1211</v>
      </c>
      <c r="K897" s="675" t="s">
        <v>2318</v>
      </c>
      <c r="L897" s="1204" t="s">
        <v>1213</v>
      </c>
      <c r="M897" s="1000"/>
      <c r="N897" s="671" t="s">
        <v>1200</v>
      </c>
      <c r="O897" s="362"/>
    </row>
    <row r="898" spans="1:15" ht="15.75" customHeight="1">
      <c r="A898" s="395">
        <f t="array" ref="A898">IF(C898&lt;&gt;0,INDEX(CodTransporte,MATCH(C898,Transporte,0),),)</f>
        <v>0</v>
      </c>
      <c r="B898" s="399"/>
      <c r="C898" s="1128"/>
      <c r="D898" s="940"/>
      <c r="E898" s="940"/>
      <c r="F898" s="940"/>
      <c r="G898" s="940"/>
      <c r="H898" s="940"/>
      <c r="I898" s="440"/>
      <c r="J898" s="441" t="str">
        <f>IF($A898&gt;0,(VLOOKUP($A898,TablaTransporte,6,FALSE)),"")</f>
        <v/>
      </c>
      <c r="K898" s="442" t="str">
        <f>IF($A898&gt;0,(VLOOKUP($A898,TablaTransporte,5,FALSE)),"")</f>
        <v/>
      </c>
      <c r="L898" s="1134" t="str">
        <f>IF($A898&gt;0,(VLOOKUP($A898,TablaTransporte,7,FALSE)),"")</f>
        <v/>
      </c>
      <c r="M898" s="941"/>
      <c r="N898" s="430" t="str">
        <f t="shared" ref="N898:N902" si="75">IF(I898&gt;0,J898*L898*I898,"")</f>
        <v/>
      </c>
      <c r="O898" s="362"/>
    </row>
    <row r="899" spans="1:15" ht="15.75" customHeight="1">
      <c r="A899" s="395">
        <f t="array" ref="A899">IF(C899&lt;&gt;0,INDEX(CodTransporte,MATCH(C899,Transporte,0),),)</f>
        <v>0</v>
      </c>
      <c r="B899" s="399"/>
      <c r="C899" s="1128"/>
      <c r="D899" s="940"/>
      <c r="E899" s="940"/>
      <c r="F899" s="940"/>
      <c r="G899" s="940"/>
      <c r="H899" s="940"/>
      <c r="I899" s="440"/>
      <c r="J899" s="441" t="str">
        <f>IF($A899&gt;0,(VLOOKUP($A899,TablaTransporte,6,FALSE)),"")</f>
        <v/>
      </c>
      <c r="K899" s="442" t="str">
        <f>IF($A899&gt;0,(VLOOKUP($A899,TablaTransporte,5,FALSE)),"")</f>
        <v/>
      </c>
      <c r="L899" s="1134" t="str">
        <f>IF($A899&gt;0,(VLOOKUP($A899,TablaTransporte,7,FALSE)),"")</f>
        <v/>
      </c>
      <c r="M899" s="941"/>
      <c r="N899" s="430" t="str">
        <f t="shared" si="75"/>
        <v/>
      </c>
      <c r="O899" s="362"/>
    </row>
    <row r="900" spans="1:15" ht="15.75" customHeight="1">
      <c r="A900" s="395">
        <f t="array" ref="A900">IF(C900&lt;&gt;0,INDEX(CodTransporte,MATCH(C900,Transporte,0),),)</f>
        <v>0</v>
      </c>
      <c r="B900" s="399"/>
      <c r="C900" s="1128"/>
      <c r="D900" s="940"/>
      <c r="E900" s="940"/>
      <c r="F900" s="940"/>
      <c r="G900" s="940"/>
      <c r="H900" s="940"/>
      <c r="I900" s="440"/>
      <c r="J900" s="441" t="str">
        <f>IF($A900&gt;0,(VLOOKUP($A900,TablaTransporte,6,FALSE)),"")</f>
        <v/>
      </c>
      <c r="K900" s="442" t="str">
        <f>IF($A900&gt;0,(VLOOKUP($A900,TablaTransporte,5,FALSE)),"")</f>
        <v/>
      </c>
      <c r="L900" s="1134" t="str">
        <f>IF($A900&gt;0,(VLOOKUP($A900,TablaTransporte,7,FALSE)),"")</f>
        <v/>
      </c>
      <c r="M900" s="941"/>
      <c r="N900" s="430" t="str">
        <f t="shared" si="75"/>
        <v/>
      </c>
      <c r="O900" s="362"/>
    </row>
    <row r="901" spans="1:15" ht="15.75" customHeight="1">
      <c r="A901" s="395">
        <f t="array" ref="A901">IF(C901&lt;&gt;0,INDEX(CodTransporte,MATCH(C901,Transporte,0),),)</f>
        <v>0</v>
      </c>
      <c r="B901" s="399"/>
      <c r="C901" s="1128"/>
      <c r="D901" s="940"/>
      <c r="E901" s="940"/>
      <c r="F901" s="940"/>
      <c r="G901" s="940"/>
      <c r="H901" s="940"/>
      <c r="I901" s="440"/>
      <c r="J901" s="441" t="str">
        <f>IF($A901&gt;0,(VLOOKUP($A901,TablaTransporte,6,FALSE)),"")</f>
        <v/>
      </c>
      <c r="K901" s="442" t="str">
        <f>IF($A901&gt;0,(VLOOKUP($A901,TablaTransporte,5,FALSE)),"")</f>
        <v/>
      </c>
      <c r="L901" s="1134" t="str">
        <f>IF($A901&gt;0,(VLOOKUP($A901,TablaTransporte,7,FALSE)),"")</f>
        <v/>
      </c>
      <c r="M901" s="941"/>
      <c r="N901" s="430" t="str">
        <f t="shared" si="75"/>
        <v/>
      </c>
      <c r="O901" s="362"/>
    </row>
    <row r="902" spans="1:15" ht="15.75" customHeight="1">
      <c r="A902" s="395">
        <f t="array" ref="A902">IF(C902&lt;&gt;0,INDEX(CodTransporte,MATCH(C902,Transporte,0),),)</f>
        <v>0</v>
      </c>
      <c r="B902" s="399"/>
      <c r="C902" s="1128"/>
      <c r="D902" s="940"/>
      <c r="E902" s="940"/>
      <c r="F902" s="940"/>
      <c r="G902" s="940"/>
      <c r="H902" s="940"/>
      <c r="I902" s="440"/>
      <c r="J902" s="441" t="str">
        <f>IF($A902&gt;0,(VLOOKUP($A902,TablaTransporte,6,FALSE)),"")</f>
        <v/>
      </c>
      <c r="K902" s="442" t="str">
        <f>IF($A902&gt;0,(VLOOKUP($A902,TablaTransporte,5,FALSE)),"")</f>
        <v/>
      </c>
      <c r="L902" s="1205" t="str">
        <f>IF($A902&gt;0,(VLOOKUP($A902,TablaTransporte,7,FALSE)),"")</f>
        <v/>
      </c>
      <c r="M902" s="1145"/>
      <c r="N902" s="430" t="str">
        <f t="shared" si="75"/>
        <v/>
      </c>
      <c r="O902" s="362"/>
    </row>
    <row r="903" spans="1:15" ht="15.75" customHeight="1">
      <c r="A903" s="395"/>
      <c r="B903" s="399"/>
      <c r="C903" s="1127" t="s">
        <v>1202</v>
      </c>
      <c r="D903" s="965"/>
      <c r="E903" s="965"/>
      <c r="F903" s="965"/>
      <c r="G903" s="965"/>
      <c r="H903" s="965"/>
      <c r="I903" s="965"/>
      <c r="J903" s="965"/>
      <c r="K903" s="965"/>
      <c r="L903" s="965"/>
      <c r="M903" s="966"/>
      <c r="N903" s="433">
        <f>+SUM(N898:N902)</f>
        <v>0</v>
      </c>
      <c r="O903" s="362"/>
    </row>
    <row r="904" spans="1:15" ht="15.75" customHeight="1">
      <c r="A904" s="395"/>
      <c r="B904" s="399"/>
      <c r="C904" s="1129" t="s">
        <v>1214</v>
      </c>
      <c r="D904" s="926"/>
      <c r="E904" s="926"/>
      <c r="F904" s="926"/>
      <c r="G904" s="926"/>
      <c r="H904" s="926"/>
      <c r="I904" s="926"/>
      <c r="J904" s="926"/>
      <c r="K904" s="926"/>
      <c r="L904" s="926"/>
      <c r="M904" s="926"/>
      <c r="N904" s="927"/>
      <c r="O904" s="362"/>
    </row>
    <row r="905" spans="1:15" ht="15.75" customHeight="1">
      <c r="A905" s="395"/>
      <c r="B905" s="399"/>
      <c r="C905" s="920"/>
      <c r="D905" s="922"/>
      <c r="E905" s="922"/>
      <c r="F905" s="922"/>
      <c r="G905" s="922"/>
      <c r="H905" s="922"/>
      <c r="I905" s="922"/>
      <c r="J905" s="922"/>
      <c r="K905" s="922"/>
      <c r="L905" s="922"/>
      <c r="M905" s="922"/>
      <c r="N905" s="924"/>
      <c r="O905" s="362"/>
    </row>
    <row r="906" spans="1:15" ht="15.75" customHeight="1">
      <c r="A906" s="395"/>
      <c r="B906" s="399"/>
      <c r="C906" s="929"/>
      <c r="D906" s="936"/>
      <c r="E906" s="936"/>
      <c r="F906" s="936"/>
      <c r="G906" s="936"/>
      <c r="H906" s="936"/>
      <c r="I906" s="936"/>
      <c r="J906" s="936"/>
      <c r="K906" s="936"/>
      <c r="L906" s="936"/>
      <c r="M906" s="936"/>
      <c r="N906" s="938"/>
      <c r="O906" s="362"/>
    </row>
    <row r="907" spans="1:15" ht="15.75" customHeight="1">
      <c r="A907" s="395"/>
      <c r="B907" s="399"/>
      <c r="C907" s="1201" t="s">
        <v>1215</v>
      </c>
      <c r="D907" s="1131"/>
      <c r="E907" s="1131"/>
      <c r="F907" s="1131"/>
      <c r="G907" s="1131"/>
      <c r="H907" s="1000"/>
      <c r="I907" s="670" t="s">
        <v>1216</v>
      </c>
      <c r="J907" s="676" t="s">
        <v>1217</v>
      </c>
      <c r="K907" s="677" t="s">
        <v>1218</v>
      </c>
      <c r="L907" s="1206" t="s">
        <v>1199</v>
      </c>
      <c r="M907" s="1000"/>
      <c r="N907" s="678" t="s">
        <v>1200</v>
      </c>
      <c r="O907" s="362"/>
    </row>
    <row r="908" spans="1:15" ht="15.75" customHeight="1">
      <c r="A908" s="395" t="str">
        <f t="array" ref="A908">IF(C908&lt;&gt;0,INDEX(CodMO,MATCH(C908,MO,0),),)</f>
        <v>M.O-05</v>
      </c>
      <c r="B908" s="399"/>
      <c r="C908" s="1128" t="s">
        <v>139</v>
      </c>
      <c r="D908" s="940"/>
      <c r="E908" s="940"/>
      <c r="F908" s="940"/>
      <c r="G908" s="940"/>
      <c r="H908" s="940"/>
      <c r="I908" s="447">
        <f>IF($A908&gt;0,(VLOOKUP($A908,TablaMO,8,FALSE)),"")</f>
        <v>125030.16666666667</v>
      </c>
      <c r="J908" s="448">
        <f>IF($A908&gt;0,(VLOOKUP($A908,TablaMO,10,FALSE)),"")</f>
        <v>0.67071666666666663</v>
      </c>
      <c r="K908" s="447">
        <f>IF($A908&gt;0,(VLOOKUP($A908,TablaMO,11,FALSE)),"")</f>
        <v>208890</v>
      </c>
      <c r="L908" s="1146">
        <v>4.8048707537891122</v>
      </c>
      <c r="M908" s="941"/>
      <c r="N908" s="430">
        <f t="shared" ref="N908:N912" si="76">IF(L908&gt;0,K908/L908,"")</f>
        <v>43474.634533149459</v>
      </c>
      <c r="O908" s="362"/>
    </row>
    <row r="909" spans="1:15" ht="15.75" customHeight="1">
      <c r="A909" s="395" t="str">
        <f t="array" ref="A909">IF(C909&lt;&gt;0,INDEX(CodMO,MATCH(C909,MO,0),),)</f>
        <v>M.O-01</v>
      </c>
      <c r="B909" s="399"/>
      <c r="C909" s="1128" t="s">
        <v>130</v>
      </c>
      <c r="D909" s="940"/>
      <c r="E909" s="940"/>
      <c r="F909" s="940"/>
      <c r="G909" s="940"/>
      <c r="H909" s="940"/>
      <c r="I909" s="447">
        <f>IF($A909&gt;0,(VLOOKUP($A909,TablaMO,8,FALSE)),"")</f>
        <v>72503.016666666677</v>
      </c>
      <c r="J909" s="448">
        <f>IF($A909&gt;0,(VLOOKUP($A909,TablaMO,10,FALSE)),"")</f>
        <v>0.67071666666666663</v>
      </c>
      <c r="K909" s="447">
        <f>IF($A909&gt;0,(VLOOKUP($A909,TablaMO,11,FALSE)),"")</f>
        <v>121132</v>
      </c>
      <c r="L909" s="1146">
        <f>L908</f>
        <v>4.8048707537891122</v>
      </c>
      <c r="M909" s="941"/>
      <c r="N909" s="430">
        <f t="shared" si="76"/>
        <v>25210.251473356599</v>
      </c>
      <c r="O909" s="362"/>
    </row>
    <row r="910" spans="1:15" ht="15.75" customHeight="1">
      <c r="A910" s="395">
        <f t="array" ref="A910">IF(C910&lt;&gt;0,INDEX(CodMO,MATCH(C910,MO,0),),)</f>
        <v>0</v>
      </c>
      <c r="B910" s="399"/>
      <c r="C910" s="1128"/>
      <c r="D910" s="940"/>
      <c r="E910" s="940"/>
      <c r="F910" s="940"/>
      <c r="G910" s="940"/>
      <c r="H910" s="940"/>
      <c r="I910" s="447" t="str">
        <f>IF($A910&gt;0,(VLOOKUP($A910,TablaMO,8,FALSE)),"")</f>
        <v/>
      </c>
      <c r="J910" s="448" t="str">
        <f>IF($A910&gt;0,(VLOOKUP($A910,TablaMO,10,FALSE)),"")</f>
        <v/>
      </c>
      <c r="K910" s="447" t="str">
        <f>IF($A910&gt;0,(VLOOKUP($A910,TablaMO,11,FALSE)),"")</f>
        <v/>
      </c>
      <c r="L910" s="1146"/>
      <c r="M910" s="941"/>
      <c r="N910" s="430" t="str">
        <f t="shared" si="76"/>
        <v/>
      </c>
      <c r="O910" s="362"/>
    </row>
    <row r="911" spans="1:15" ht="15.75" customHeight="1">
      <c r="A911" s="395">
        <f t="array" ref="A911">IF(C911&lt;&gt;0,INDEX(CodMO,MATCH(C911,MO,0),),)</f>
        <v>0</v>
      </c>
      <c r="B911" s="399"/>
      <c r="C911" s="1128"/>
      <c r="D911" s="940"/>
      <c r="E911" s="940"/>
      <c r="F911" s="940"/>
      <c r="G911" s="940"/>
      <c r="H911" s="940"/>
      <c r="I911" s="447" t="str">
        <f>IF($A911&gt;0,(VLOOKUP($A911,TablaMO,8,FALSE)),"")</f>
        <v/>
      </c>
      <c r="J911" s="448" t="str">
        <f>IF($A911&gt;0,(VLOOKUP($A911,TablaMO,10,FALSE)),"")</f>
        <v/>
      </c>
      <c r="K911" s="447" t="str">
        <f>IF($A911&gt;0,(VLOOKUP($A911,TablaMO,11,FALSE)),"")</f>
        <v/>
      </c>
      <c r="L911" s="1146"/>
      <c r="M911" s="941"/>
      <c r="N911" s="430" t="str">
        <f t="shared" si="76"/>
        <v/>
      </c>
      <c r="O911" s="362"/>
    </row>
    <row r="912" spans="1:15" ht="15.75" customHeight="1">
      <c r="A912" s="395">
        <f t="array" ref="A912">IF(C912&lt;&gt;0,INDEX(CodMO,MATCH(C912,MO,0),),)</f>
        <v>0</v>
      </c>
      <c r="B912" s="399"/>
      <c r="C912" s="1128"/>
      <c r="D912" s="940"/>
      <c r="E912" s="940"/>
      <c r="F912" s="940"/>
      <c r="G912" s="940"/>
      <c r="H912" s="940"/>
      <c r="I912" s="447" t="str">
        <f>IF($A912&gt;0,(VLOOKUP($A912,TablaMO,8,FALSE)),"")</f>
        <v/>
      </c>
      <c r="J912" s="448" t="str">
        <f>IF($A912&gt;0,(VLOOKUP($A912,TablaMO,10,FALSE)),"")</f>
        <v/>
      </c>
      <c r="K912" s="447" t="str">
        <f>IF($A912&gt;0,(VLOOKUP($A912,TablaMO,11,FALSE)),"")</f>
        <v/>
      </c>
      <c r="L912" s="1146"/>
      <c r="M912" s="941"/>
      <c r="N912" s="430" t="str">
        <f t="shared" si="76"/>
        <v/>
      </c>
      <c r="O912" s="362"/>
    </row>
    <row r="913" spans="1:18" ht="15.75" customHeight="1">
      <c r="A913" s="395"/>
      <c r="B913" s="399"/>
      <c r="C913" s="1127" t="s">
        <v>1202</v>
      </c>
      <c r="D913" s="965"/>
      <c r="E913" s="965"/>
      <c r="F913" s="965"/>
      <c r="G913" s="965"/>
      <c r="H913" s="965"/>
      <c r="I913" s="965"/>
      <c r="J913" s="965"/>
      <c r="K913" s="965"/>
      <c r="L913" s="965"/>
      <c r="M913" s="966"/>
      <c r="N913" s="433">
        <f>+SUM(N908:N912)</f>
        <v>68684.886006506058</v>
      </c>
      <c r="O913" s="362"/>
    </row>
    <row r="914" spans="1:18" ht="15.75" customHeight="1">
      <c r="B914" s="679"/>
      <c r="O914" s="362"/>
    </row>
    <row r="915" spans="1:18" ht="15.75" customHeight="1">
      <c r="B915" s="679"/>
      <c r="C915" s="1198" t="s">
        <v>1219</v>
      </c>
      <c r="D915" s="965"/>
      <c r="E915" s="965"/>
      <c r="F915" s="965"/>
      <c r="G915" s="965"/>
      <c r="H915" s="965"/>
      <c r="I915" s="965"/>
      <c r="J915" s="965"/>
      <c r="K915" s="965"/>
      <c r="L915" s="965"/>
      <c r="M915" s="966"/>
      <c r="N915" s="680">
        <f>ROUND(SUM(N913,N903,N893,N880),0)</f>
        <v>72806</v>
      </c>
      <c r="O915" s="362"/>
      <c r="Q915" s="681">
        <f>VLOOKUP(C869,PROPUESTASASERCO,8,FALSE)</f>
        <v>72806</v>
      </c>
      <c r="R915" s="682">
        <f>Q915-N915</f>
        <v>0</v>
      </c>
    </row>
    <row r="916" spans="1:18" ht="15.75" customHeight="1">
      <c r="B916" s="679"/>
      <c r="C916" s="1129" t="s">
        <v>1220</v>
      </c>
      <c r="D916" s="926"/>
      <c r="E916" s="926"/>
      <c r="F916" s="926"/>
      <c r="G916" s="926"/>
      <c r="H916" s="926"/>
      <c r="I916" s="926"/>
      <c r="J916" s="926"/>
      <c r="K916" s="926"/>
      <c r="L916" s="926"/>
      <c r="M916" s="926"/>
      <c r="N916" s="927"/>
      <c r="O916" s="362"/>
    </row>
    <row r="917" spans="1:18" ht="15.75" customHeight="1">
      <c r="B917" s="679"/>
      <c r="C917" s="920"/>
      <c r="D917" s="922"/>
      <c r="E917" s="922"/>
      <c r="F917" s="922"/>
      <c r="G917" s="922"/>
      <c r="H917" s="922"/>
      <c r="I917" s="922"/>
      <c r="J917" s="922"/>
      <c r="K917" s="922"/>
      <c r="L917" s="922"/>
      <c r="M917" s="922"/>
      <c r="N917" s="924"/>
      <c r="O917" s="362"/>
    </row>
    <row r="918" spans="1:18" ht="15.75" customHeight="1">
      <c r="B918" s="679"/>
      <c r="C918" s="929"/>
      <c r="D918" s="936"/>
      <c r="E918" s="936"/>
      <c r="F918" s="936"/>
      <c r="G918" s="936"/>
      <c r="H918" s="936"/>
      <c r="I918" s="936"/>
      <c r="J918" s="936"/>
      <c r="K918" s="936"/>
      <c r="L918" s="936"/>
      <c r="M918" s="936"/>
      <c r="N918" s="938"/>
      <c r="O918" s="362"/>
    </row>
    <row r="919" spans="1:18" ht="15.75" customHeight="1">
      <c r="B919" s="679"/>
      <c r="C919" s="1201" t="s">
        <v>1221</v>
      </c>
      <c r="D919" s="1131"/>
      <c r="E919" s="1131"/>
      <c r="F919" s="1131"/>
      <c r="G919" s="1131"/>
      <c r="H919" s="1132"/>
      <c r="I919" s="674"/>
      <c r="J919" s="674"/>
      <c r="K919" s="674"/>
      <c r="L919" s="1206" t="s">
        <v>1222</v>
      </c>
      <c r="M919" s="1000"/>
      <c r="N919" s="678" t="s">
        <v>1223</v>
      </c>
      <c r="O919" s="362"/>
    </row>
    <row r="920" spans="1:18" ht="15.75" customHeight="1">
      <c r="B920" s="679"/>
      <c r="C920" s="1128" t="s">
        <v>19</v>
      </c>
      <c r="D920" s="940"/>
      <c r="E920" s="940"/>
      <c r="F920" s="940"/>
      <c r="G920" s="940"/>
      <c r="H920" s="940"/>
      <c r="I920" s="452"/>
      <c r="J920" s="452"/>
      <c r="K920" s="452"/>
      <c r="L920" s="1148">
        <f>+Datos!$E$18</f>
        <v>0.25</v>
      </c>
      <c r="M920" s="941"/>
      <c r="N920" s="430">
        <f>+L920*N915</f>
        <v>18201.5</v>
      </c>
      <c r="O920" s="362"/>
    </row>
    <row r="921" spans="1:18" ht="15.75" customHeight="1">
      <c r="B921" s="679"/>
      <c r="C921" s="454" t="s">
        <v>20</v>
      </c>
      <c r="D921" s="455"/>
      <c r="E921" s="455"/>
      <c r="F921" s="455"/>
      <c r="G921" s="455"/>
      <c r="H921" s="455"/>
      <c r="I921" s="452"/>
      <c r="J921" s="452"/>
      <c r="K921" s="452"/>
      <c r="L921" s="1148">
        <f>+Datos!$E$19</f>
        <v>0.01</v>
      </c>
      <c r="M921" s="941"/>
      <c r="N921" s="430">
        <f>+L921*N915</f>
        <v>728.06000000000006</v>
      </c>
      <c r="O921" s="362"/>
    </row>
    <row r="922" spans="1:18" ht="15.75" customHeight="1">
      <c r="B922" s="679"/>
      <c r="C922" s="456" t="s">
        <v>21</v>
      </c>
      <c r="D922" s="457"/>
      <c r="E922" s="457"/>
      <c r="F922" s="457"/>
      <c r="G922" s="457"/>
      <c r="H922" s="457"/>
      <c r="I922" s="458"/>
      <c r="J922" s="458"/>
      <c r="K922" s="458"/>
      <c r="L922" s="1148">
        <f>+Datos!$E$20</f>
        <v>0.05</v>
      </c>
      <c r="M922" s="941"/>
      <c r="N922" s="430">
        <f>+L922*N915</f>
        <v>3640.3</v>
      </c>
      <c r="O922" s="362"/>
    </row>
    <row r="923" spans="1:18" ht="15.75" customHeight="1">
      <c r="B923" s="679"/>
      <c r="C923" s="1127" t="s">
        <v>1202</v>
      </c>
      <c r="D923" s="965"/>
      <c r="E923" s="965"/>
      <c r="F923" s="965"/>
      <c r="G923" s="965"/>
      <c r="H923" s="965"/>
      <c r="I923" s="965"/>
      <c r="J923" s="965"/>
      <c r="K923" s="965"/>
      <c r="L923" s="965"/>
      <c r="M923" s="966"/>
      <c r="N923" s="433">
        <f>+SUM(N920:N922)</f>
        <v>22569.86</v>
      </c>
      <c r="O923" s="362"/>
    </row>
    <row r="924" spans="1:18" ht="15.75" customHeight="1">
      <c r="B924" s="679"/>
      <c r="C924" s="418"/>
      <c r="D924" s="39"/>
      <c r="E924" s="39"/>
      <c r="F924" s="39"/>
      <c r="G924" s="39"/>
      <c r="H924" s="39"/>
      <c r="I924" s="39"/>
      <c r="J924" s="39"/>
      <c r="K924" s="39"/>
      <c r="L924" s="39"/>
      <c r="M924" s="39"/>
      <c r="N924" s="40"/>
      <c r="O924" s="362"/>
    </row>
    <row r="925" spans="1:18" ht="15.75" customHeight="1">
      <c r="B925" s="679"/>
      <c r="C925" s="1198" t="s">
        <v>1224</v>
      </c>
      <c r="D925" s="965"/>
      <c r="E925" s="965"/>
      <c r="F925" s="965"/>
      <c r="G925" s="965"/>
      <c r="H925" s="965"/>
      <c r="I925" s="965"/>
      <c r="J925" s="965"/>
      <c r="K925" s="965"/>
      <c r="L925" s="965"/>
      <c r="M925" s="966"/>
      <c r="N925" s="683">
        <f>+ROUND(SUM(N923,N915),0)</f>
        <v>95376</v>
      </c>
      <c r="O925" s="362"/>
    </row>
    <row r="926" spans="1:18" ht="15.75" customHeight="1">
      <c r="B926" s="679"/>
      <c r="C926" s="418"/>
      <c r="D926" s="39" t="s">
        <v>1225</v>
      </c>
      <c r="E926" s="39"/>
      <c r="F926" s="39"/>
      <c r="G926" s="184"/>
      <c r="H926" s="184"/>
      <c r="I926" s="184"/>
      <c r="J926" s="39" t="s">
        <v>1225</v>
      </c>
      <c r="K926" s="39"/>
      <c r="L926" s="39"/>
      <c r="M926" s="39"/>
      <c r="N926" s="40"/>
      <c r="O926" s="362"/>
    </row>
    <row r="927" spans="1:18" ht="15.75" customHeight="1">
      <c r="B927" s="679"/>
      <c r="C927" s="418"/>
      <c r="D927" s="39" t="s">
        <v>1226</v>
      </c>
      <c r="E927" s="39"/>
      <c r="F927" s="39"/>
      <c r="G927" s="184"/>
      <c r="H927" s="184"/>
      <c r="I927" s="184"/>
      <c r="J927" s="39" t="s">
        <v>1227</v>
      </c>
      <c r="K927" s="39"/>
      <c r="L927" s="39"/>
      <c r="M927" s="39"/>
      <c r="N927" s="40"/>
      <c r="O927" s="362"/>
    </row>
    <row r="928" spans="1:18" ht="15.75" customHeight="1">
      <c r="B928" s="679"/>
      <c r="C928" s="404"/>
      <c r="D928" s="39" t="s">
        <v>1228</v>
      </c>
      <c r="E928" s="42"/>
      <c r="F928" s="42"/>
      <c r="G928" s="184"/>
      <c r="H928" s="184"/>
      <c r="I928" s="184"/>
      <c r="J928" s="39" t="s">
        <v>1228</v>
      </c>
      <c r="K928" s="42"/>
      <c r="L928" s="42"/>
      <c r="M928" s="42"/>
      <c r="N928" s="43"/>
      <c r="O928" s="362"/>
    </row>
    <row r="929" spans="1:15" ht="15.75" customHeight="1">
      <c r="B929" s="679"/>
      <c r="C929" s="418"/>
      <c r="D929" s="39"/>
      <c r="E929" s="39"/>
      <c r="F929" s="39"/>
      <c r="G929" s="39" t="s">
        <v>1229</v>
      </c>
      <c r="H929" s="39"/>
      <c r="I929" s="39"/>
      <c r="J929" s="39"/>
      <c r="K929" s="39"/>
      <c r="L929" s="39"/>
      <c r="M929" s="39"/>
      <c r="N929" s="40"/>
      <c r="O929" s="362"/>
    </row>
    <row r="930" spans="1:15" ht="15.75" customHeight="1">
      <c r="B930" s="679"/>
      <c r="C930" s="466"/>
      <c r="D930" s="467"/>
      <c r="E930" s="467"/>
      <c r="F930" s="39"/>
      <c r="G930" s="39"/>
      <c r="H930" s="39"/>
      <c r="I930" s="39"/>
      <c r="J930" s="1149"/>
      <c r="K930" s="922"/>
      <c r="L930" s="922"/>
      <c r="M930" s="922"/>
      <c r="N930" s="924"/>
      <c r="O930" s="362"/>
    </row>
    <row r="931" spans="1:15" ht="15.75" customHeight="1">
      <c r="B931" s="679"/>
      <c r="C931" s="1150"/>
      <c r="D931" s="936"/>
      <c r="E931" s="936"/>
      <c r="F931" s="416"/>
      <c r="G931" s="416"/>
      <c r="H931" s="416"/>
      <c r="I931" s="416"/>
      <c r="J931" s="936"/>
      <c r="K931" s="936"/>
      <c r="L931" s="936"/>
      <c r="M931" s="936"/>
      <c r="N931" s="938"/>
      <c r="O931" s="362"/>
    </row>
    <row r="932" spans="1:15" ht="15.75" customHeight="1">
      <c r="B932" s="684"/>
      <c r="C932" s="685"/>
      <c r="D932" s="685"/>
      <c r="E932" s="685"/>
      <c r="F932" s="685"/>
      <c r="G932" s="685"/>
      <c r="H932" s="685"/>
      <c r="I932" s="685"/>
      <c r="J932" s="685"/>
      <c r="K932" s="685"/>
      <c r="L932" s="685"/>
      <c r="M932" s="685"/>
      <c r="N932" s="685"/>
      <c r="O932" s="686"/>
    </row>
    <row r="933" spans="1:15" ht="15.75" customHeight="1"/>
    <row r="934" spans="1:15" ht="15.75" customHeight="1"/>
    <row r="935" spans="1:15" ht="15.75" customHeight="1"/>
    <row r="936" spans="1:15" ht="15.75" customHeight="1"/>
    <row r="937" spans="1:15" ht="15.75" customHeight="1">
      <c r="A937" s="395" t="s">
        <v>941</v>
      </c>
      <c r="B937" s="184"/>
      <c r="C937" s="184"/>
      <c r="D937" s="184"/>
      <c r="E937" s="184"/>
      <c r="F937" s="184"/>
      <c r="G937" s="184"/>
      <c r="H937" s="184"/>
      <c r="I937" s="184"/>
      <c r="J937" s="184"/>
      <c r="K937" s="184"/>
      <c r="L937" s="184"/>
      <c r="M937" s="184"/>
      <c r="N937" s="184"/>
    </row>
    <row r="938" spans="1:15" ht="15.75" customHeight="1">
      <c r="A938" s="395"/>
      <c r="B938" s="396"/>
      <c r="C938" s="397"/>
      <c r="D938" s="397"/>
      <c r="E938" s="397"/>
      <c r="F938" s="397"/>
      <c r="G938" s="397"/>
      <c r="H938" s="397"/>
      <c r="I938" s="397"/>
      <c r="J938" s="397"/>
      <c r="K938" s="397"/>
      <c r="L938" s="397"/>
      <c r="M938" s="397"/>
      <c r="N938" s="397"/>
      <c r="O938" s="667"/>
    </row>
    <row r="939" spans="1:15" ht="15.75" customHeight="1">
      <c r="A939" s="395"/>
      <c r="B939" s="399"/>
      <c r="C939" s="1124"/>
      <c r="D939" s="927"/>
      <c r="E939" s="1207" t="str">
        <f>Datos!$C$9</f>
        <v>CONSEJO SUPERIOR  DE  JUDICATURA– DIRECCIÓN  EJECUTIVA  SECCIONAL  DE ADMINISTRACIÓN JUDICIAL DE BUCARAMANGA</v>
      </c>
      <c r="F939" s="926"/>
      <c r="G939" s="926"/>
      <c r="H939" s="926"/>
      <c r="I939" s="926"/>
      <c r="J939" s="926"/>
      <c r="K939" s="927"/>
      <c r="L939" s="925" t="s">
        <v>1</v>
      </c>
      <c r="M939" s="931"/>
      <c r="N939" s="933">
        <v>1</v>
      </c>
      <c r="O939" s="362"/>
    </row>
    <row r="940" spans="1:15" ht="15.75" customHeight="1">
      <c r="A940" s="395"/>
      <c r="B940" s="399"/>
      <c r="C940" s="920"/>
      <c r="D940" s="924"/>
      <c r="E940" s="920"/>
      <c r="F940" s="922"/>
      <c r="G940" s="922"/>
      <c r="H940" s="922"/>
      <c r="I940" s="922"/>
      <c r="J940" s="922"/>
      <c r="K940" s="924"/>
      <c r="L940" s="920"/>
      <c r="M940" s="932"/>
      <c r="N940" s="934"/>
      <c r="O940" s="362"/>
    </row>
    <row r="941" spans="1:15" ht="15.75" customHeight="1">
      <c r="A941" s="395"/>
      <c r="B941" s="399"/>
      <c r="C941" s="920"/>
      <c r="D941" s="924"/>
      <c r="E941" s="919" t="str">
        <f>Datos!$C$13</f>
        <v xml:space="preserve">BGA - 030 - 2026 </v>
      </c>
      <c r="F941" s="922"/>
      <c r="G941" s="922"/>
      <c r="H941" s="922"/>
      <c r="I941" s="922"/>
      <c r="J941" s="922"/>
      <c r="K941" s="922"/>
      <c r="L941" s="925" t="s">
        <v>29</v>
      </c>
      <c r="M941" s="926"/>
      <c r="N941" s="927"/>
      <c r="O941" s="362"/>
    </row>
    <row r="942" spans="1:15" ht="15.75" customHeight="1">
      <c r="A942" s="395"/>
      <c r="B942" s="399"/>
      <c r="C942" s="920"/>
      <c r="D942" s="924"/>
      <c r="E94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942" s="922"/>
      <c r="G942" s="922"/>
      <c r="H942" s="922"/>
      <c r="I942" s="922"/>
      <c r="J942" s="922"/>
      <c r="K942" s="924"/>
      <c r="L942" s="919">
        <v>1</v>
      </c>
      <c r="M942" s="921" t="s">
        <v>30</v>
      </c>
      <c r="N942" s="923">
        <v>1</v>
      </c>
      <c r="O942" s="362"/>
    </row>
    <row r="943" spans="1:15" ht="15.75" customHeight="1">
      <c r="A943" s="395"/>
      <c r="B943" s="399"/>
      <c r="C943" s="920"/>
      <c r="D943" s="924"/>
      <c r="E943" s="920"/>
      <c r="F943" s="922"/>
      <c r="G943" s="922"/>
      <c r="H943" s="922"/>
      <c r="I943" s="922"/>
      <c r="J943" s="922"/>
      <c r="K943" s="924"/>
      <c r="L943" s="920"/>
      <c r="M943" s="922"/>
      <c r="N943" s="924"/>
      <c r="O943" s="362"/>
    </row>
    <row r="944" spans="1:15" ht="15.75" customHeight="1">
      <c r="A944" s="395"/>
      <c r="B944" s="399"/>
      <c r="C944" s="920"/>
      <c r="D944" s="924"/>
      <c r="E944" s="920"/>
      <c r="F944" s="922"/>
      <c r="G944" s="922"/>
      <c r="H944" s="922"/>
      <c r="I944" s="922"/>
      <c r="J944" s="922"/>
      <c r="K944" s="924"/>
      <c r="L944" s="925" t="s">
        <v>2</v>
      </c>
      <c r="M944" s="926"/>
      <c r="N944" s="927"/>
      <c r="O944" s="362"/>
    </row>
    <row r="945" spans="1:15" ht="15.75" customHeight="1">
      <c r="A945" s="395"/>
      <c r="B945" s="399"/>
      <c r="C945" s="920"/>
      <c r="D945" s="924"/>
      <c r="E945" s="407"/>
      <c r="F945" s="216"/>
      <c r="G945" s="216"/>
      <c r="H945" s="216"/>
      <c r="I945" s="216"/>
      <c r="J945" s="216"/>
      <c r="K945" s="216"/>
      <c r="L945" s="408" t="s">
        <v>3</v>
      </c>
      <c r="M945" s="409" t="s">
        <v>4</v>
      </c>
      <c r="N945" s="410" t="s">
        <v>5</v>
      </c>
      <c r="O945" s="362"/>
    </row>
    <row r="946" spans="1:15" ht="15.75" customHeight="1">
      <c r="A946" s="395"/>
      <c r="B946" s="399"/>
      <c r="C946" s="920"/>
      <c r="D946" s="924"/>
      <c r="E946" s="1125" t="s">
        <v>1186</v>
      </c>
      <c r="F946" s="945"/>
      <c r="G946" s="945"/>
      <c r="H946" s="945"/>
      <c r="I946" s="945"/>
      <c r="J946" s="945"/>
      <c r="K946" s="945"/>
      <c r="L946" s="928">
        <f>Datos!$C$7</f>
        <v>19</v>
      </c>
      <c r="M946" s="935">
        <f>Datos!$D$7</f>
        <v>6</v>
      </c>
      <c r="N946" s="937">
        <f>Datos!$E$7</f>
        <v>2026</v>
      </c>
      <c r="O946" s="362"/>
    </row>
    <row r="947" spans="1:15" ht="15.75" customHeight="1">
      <c r="A947" s="395"/>
      <c r="B947" s="399"/>
      <c r="C947" s="929"/>
      <c r="D947" s="938"/>
      <c r="E947" s="929"/>
      <c r="F947" s="936"/>
      <c r="G947" s="936"/>
      <c r="H947" s="936"/>
      <c r="I947" s="936"/>
      <c r="J947" s="936"/>
      <c r="K947" s="936"/>
      <c r="L947" s="929"/>
      <c r="M947" s="936"/>
      <c r="N947" s="938"/>
      <c r="O947" s="362"/>
    </row>
    <row r="948" spans="1:15" ht="15.75" customHeight="1">
      <c r="A948" s="395"/>
      <c r="B948" s="399"/>
      <c r="C948" s="404"/>
      <c r="D948" s="38"/>
      <c r="E948" s="38"/>
      <c r="F948" s="38"/>
      <c r="G948" s="38"/>
      <c r="H948" s="38"/>
      <c r="I948" s="38"/>
      <c r="J948" s="38"/>
      <c r="K948" s="38"/>
      <c r="L948" s="39"/>
      <c r="M948" s="39"/>
      <c r="N948" s="40"/>
      <c r="O948" s="362"/>
    </row>
    <row r="949" spans="1:15" ht="15.75" customHeight="1">
      <c r="A949" s="395"/>
      <c r="B949" s="399"/>
      <c r="C949" s="412" t="s">
        <v>1187</v>
      </c>
      <c r="D949" s="1199" t="str">
        <f>VLOOKUP(C954,ListaAct,2,0)</f>
        <v>OBRA CIVIL</v>
      </c>
      <c r="E949" s="922"/>
      <c r="F949" s="922"/>
      <c r="G949" s="922"/>
      <c r="H949" s="922"/>
      <c r="I949" s="922"/>
      <c r="J949" s="922"/>
      <c r="K949" s="922"/>
      <c r="L949" s="922"/>
      <c r="M949" s="1"/>
      <c r="N949" s="413"/>
      <c r="O949" s="362"/>
    </row>
    <row r="950" spans="1:15" ht="15.75" customHeight="1">
      <c r="A950" s="395"/>
      <c r="B950" s="399"/>
      <c r="C950" s="412" t="s">
        <v>1189</v>
      </c>
      <c r="D950" s="1199" t="str">
        <f>VLOOKUP(C954,ListaAct,3,0)</f>
        <v>PERFORACIONES</v>
      </c>
      <c r="E950" s="922"/>
      <c r="F950" s="922"/>
      <c r="G950" s="922"/>
      <c r="H950" s="922"/>
      <c r="I950" s="922"/>
      <c r="J950" s="922"/>
      <c r="K950" s="922"/>
      <c r="L950" s="922"/>
      <c r="M950" s="1"/>
      <c r="N950" s="413"/>
      <c r="O950" s="362"/>
    </row>
    <row r="951" spans="1:15" ht="15.75" customHeight="1">
      <c r="A951" s="395"/>
      <c r="B951" s="399"/>
      <c r="C951" s="925" t="s">
        <v>1191</v>
      </c>
      <c r="D951" s="926"/>
      <c r="E951" s="926"/>
      <c r="F951" s="926"/>
      <c r="G951" s="926"/>
      <c r="H951" s="926"/>
      <c r="I951" s="926"/>
      <c r="J951" s="926"/>
      <c r="K951" s="926"/>
      <c r="L951" s="926"/>
      <c r="M951" s="926"/>
      <c r="N951" s="927"/>
      <c r="O951" s="362"/>
    </row>
    <row r="952" spans="1:15" ht="15.75" customHeight="1">
      <c r="A952" s="395"/>
      <c r="B952" s="399"/>
      <c r="C952" s="418"/>
      <c r="D952" s="39"/>
      <c r="E952" s="39"/>
      <c r="F952" s="39"/>
      <c r="G952" s="39"/>
      <c r="H952" s="39"/>
      <c r="I952" s="39"/>
      <c r="J952" s="39"/>
      <c r="K952" s="39"/>
      <c r="L952" s="39"/>
      <c r="M952" s="39"/>
      <c r="N952" s="40"/>
      <c r="O952" s="362"/>
    </row>
    <row r="953" spans="1:15" ht="15.75" customHeight="1">
      <c r="A953" s="395"/>
      <c r="B953" s="399"/>
      <c r="C953" s="668" t="s">
        <v>965</v>
      </c>
      <c r="D953" s="1200" t="s">
        <v>17</v>
      </c>
      <c r="E953" s="1131"/>
      <c r="F953" s="1131"/>
      <c r="G953" s="1131"/>
      <c r="H953" s="1131"/>
      <c r="I953" s="1131"/>
      <c r="J953" s="1131"/>
      <c r="K953" s="1137"/>
      <c r="L953" s="1201" t="s">
        <v>1192</v>
      </c>
      <c r="M953" s="1137"/>
      <c r="N953" s="668" t="s">
        <v>950</v>
      </c>
      <c r="O953" s="362"/>
    </row>
    <row r="954" spans="1:15" ht="15.75" customHeight="1">
      <c r="A954" s="395"/>
      <c r="B954" s="421"/>
      <c r="C954" s="669" t="s">
        <v>1015</v>
      </c>
      <c r="D954" s="1202" t="str">
        <f>IF($C954&gt;0,(VLOOKUP($C954,ListaAct,4,FALSE)),"")</f>
        <v xml:space="preserve"> Perforaciones en muro de contención de 1" según plano con instalación de geodren NT 2000 o similar. </v>
      </c>
      <c r="E954" s="979"/>
      <c r="F954" s="979"/>
      <c r="G954" s="979"/>
      <c r="H954" s="979"/>
      <c r="I954" s="979"/>
      <c r="J954" s="979"/>
      <c r="K954" s="980"/>
      <c r="L954" s="1203" t="str">
        <f>IF($C954&gt;0,(VLOOKUP($C954,ListaAct,5,FALSE)),"")</f>
        <v>m2</v>
      </c>
      <c r="M954" s="980"/>
      <c r="N954" s="423">
        <f>IF($C954&gt;0,(VLOOKUP($C954,ListaAct,6,FALSE)),"")</f>
        <v>6.41</v>
      </c>
      <c r="O954" s="362"/>
    </row>
    <row r="955" spans="1:15" ht="15.75" customHeight="1">
      <c r="A955" s="395"/>
      <c r="B955" s="399"/>
      <c r="C955" s="1129" t="s">
        <v>1195</v>
      </c>
      <c r="D955" s="926"/>
      <c r="E955" s="926"/>
      <c r="F955" s="926"/>
      <c r="G955" s="926"/>
      <c r="H955" s="926"/>
      <c r="I955" s="926"/>
      <c r="J955" s="926"/>
      <c r="K955" s="926"/>
      <c r="L955" s="926"/>
      <c r="M955" s="926"/>
      <c r="N955" s="927"/>
      <c r="O955" s="362"/>
    </row>
    <row r="956" spans="1:15" ht="15.75" customHeight="1">
      <c r="A956" s="395"/>
      <c r="B956" s="399"/>
      <c r="C956" s="920"/>
      <c r="D956" s="922"/>
      <c r="E956" s="922"/>
      <c r="F956" s="922"/>
      <c r="G956" s="922"/>
      <c r="H956" s="922"/>
      <c r="I956" s="922"/>
      <c r="J956" s="922"/>
      <c r="K956" s="922"/>
      <c r="L956" s="922"/>
      <c r="M956" s="922"/>
      <c r="N956" s="924"/>
      <c r="O956" s="362"/>
    </row>
    <row r="957" spans="1:15" ht="15.75" customHeight="1">
      <c r="A957" s="395"/>
      <c r="B957" s="399"/>
      <c r="C957" s="929"/>
      <c r="D957" s="936"/>
      <c r="E957" s="936"/>
      <c r="F957" s="936"/>
      <c r="G957" s="936"/>
      <c r="H957" s="936"/>
      <c r="I957" s="936"/>
      <c r="J957" s="936"/>
      <c r="K957" s="936"/>
      <c r="L957" s="936"/>
      <c r="M957" s="936"/>
      <c r="N957" s="938"/>
      <c r="O957" s="362"/>
    </row>
    <row r="958" spans="1:15" ht="15.75" customHeight="1">
      <c r="A958" s="395"/>
      <c r="B958" s="399"/>
      <c r="C958" s="1201" t="s">
        <v>17</v>
      </c>
      <c r="D958" s="1131"/>
      <c r="E958" s="1131"/>
      <c r="F958" s="1000"/>
      <c r="G958" s="1204" t="s">
        <v>1196</v>
      </c>
      <c r="H958" s="1000"/>
      <c r="I958" s="1204" t="s">
        <v>1197</v>
      </c>
      <c r="J958" s="1000"/>
      <c r="K958" s="670" t="s">
        <v>1213</v>
      </c>
      <c r="L958" s="1204" t="s">
        <v>1199</v>
      </c>
      <c r="M958" s="1000"/>
      <c r="N958" s="671" t="s">
        <v>1200</v>
      </c>
      <c r="O958" s="362"/>
    </row>
    <row r="959" spans="1:15" ht="15.75" customHeight="1">
      <c r="A959" s="395"/>
      <c r="B959" s="399"/>
      <c r="C959" s="1128" t="s">
        <v>1201</v>
      </c>
      <c r="D959" s="940"/>
      <c r="E959" s="940"/>
      <c r="F959" s="941"/>
      <c r="G959" s="1142"/>
      <c r="H959" s="941"/>
      <c r="I959" s="1142"/>
      <c r="J959" s="941"/>
      <c r="K959" s="429"/>
      <c r="L959" s="1143">
        <v>0.05</v>
      </c>
      <c r="M959" s="941"/>
      <c r="N959" s="430">
        <f>+L959*N998</f>
        <v>1986.1954694802571</v>
      </c>
      <c r="O959" s="362"/>
    </row>
    <row r="960" spans="1:15" ht="15.75" customHeight="1">
      <c r="A960" s="395" t="str">
        <f t="array" ref="A960">IF(C960&lt;&gt;0,INDEX(CodEquipos,MATCH(C960,Equipos,0),),)</f>
        <v>EQ-25</v>
      </c>
      <c r="B960" s="399"/>
      <c r="C960" s="1128" t="s">
        <v>2504</v>
      </c>
      <c r="D960" s="940"/>
      <c r="E960" s="940"/>
      <c r="F960" s="941"/>
      <c r="G960" s="1142"/>
      <c r="H960" s="941"/>
      <c r="I960" s="1142"/>
      <c r="J960" s="941"/>
      <c r="K960" s="432">
        <f>IF($A960&gt;0,(VLOOKUP($A960,TablaEquipos,7,FALSE)),"")</f>
        <v>126499.99999999999</v>
      </c>
      <c r="L960" s="1146">
        <v>0.1</v>
      </c>
      <c r="M960" s="941"/>
      <c r="N960" s="430">
        <f>IF(L960&gt;0,K960*L960,"")</f>
        <v>12650</v>
      </c>
      <c r="O960" s="362"/>
    </row>
    <row r="961" spans="1:17" ht="15.75" customHeight="1">
      <c r="A961" s="395" t="str">
        <f t="array" ref="A961">IF(C961&lt;&gt;0,INDEX(CodEquipos,MATCH(C961,Equipos,0),),)</f>
        <v>EQ-18</v>
      </c>
      <c r="B961" s="399"/>
      <c r="C961" s="1128" t="s">
        <v>2510</v>
      </c>
      <c r="D961" s="940"/>
      <c r="E961" s="940"/>
      <c r="F961" s="941"/>
      <c r="G961" s="1142"/>
      <c r="H961" s="941"/>
      <c r="I961" s="1142"/>
      <c r="J961" s="941"/>
      <c r="K961" s="432">
        <f>IF($A961&gt;0,(VLOOKUP($A961,TablaEquipos,7,FALSE)),"")</f>
        <v>195499.99999999997</v>
      </c>
      <c r="L961" s="1141">
        <v>0.1</v>
      </c>
      <c r="M961" s="941"/>
      <c r="N961" s="430">
        <f>IF(L961&gt;0,K961*L961,"")</f>
        <v>19549.999999999996</v>
      </c>
      <c r="O961" s="362"/>
    </row>
    <row r="962" spans="1:17" ht="15.75" customHeight="1">
      <c r="A962" s="395">
        <f t="array" ref="A962">IF(C962&lt;&gt;0,INDEX(CodEquipos,MATCH(C962,Equipos,0),),)</f>
        <v>0</v>
      </c>
      <c r="B962" s="399"/>
      <c r="C962" s="1128"/>
      <c r="D962" s="940"/>
      <c r="E962" s="940"/>
      <c r="F962" s="941"/>
      <c r="G962" s="1142"/>
      <c r="H962" s="941"/>
      <c r="I962" s="1142"/>
      <c r="J962" s="941"/>
      <c r="K962" s="432"/>
      <c r="L962" s="1141"/>
      <c r="M962" s="941"/>
      <c r="N962" s="430"/>
      <c r="O962" s="362"/>
    </row>
    <row r="963" spans="1:17" ht="15.75" customHeight="1">
      <c r="A963" s="395">
        <f t="array" ref="A963">IF(C963&lt;&gt;0,INDEX(CodEquipos,MATCH(C963,Equipos,0),),)</f>
        <v>0</v>
      </c>
      <c r="B963" s="399"/>
      <c r="C963" s="1128"/>
      <c r="D963" s="940"/>
      <c r="E963" s="940"/>
      <c r="F963" s="941"/>
      <c r="G963" s="1142"/>
      <c r="H963" s="941"/>
      <c r="I963" s="1142"/>
      <c r="J963" s="941"/>
      <c r="K963" s="432" t="str">
        <f>IF($A963&gt;0,(VLOOKUP($A963,TablaEquipos,7,FALSE)),"")</f>
        <v/>
      </c>
      <c r="L963" s="1141"/>
      <c r="M963" s="941"/>
      <c r="N963" s="430" t="str">
        <f t="shared" ref="N963:N964" si="77">IF(L963&gt;0,K963/L963,"")</f>
        <v/>
      </c>
      <c r="O963" s="362"/>
    </row>
    <row r="964" spans="1:17" ht="15.75" customHeight="1">
      <c r="A964" s="395">
        <f t="array" ref="A964">IF(C964&lt;&gt;0,INDEX(CodEquipos,MATCH(C964,Equipos,0),),)</f>
        <v>0</v>
      </c>
      <c r="B964" s="399"/>
      <c r="C964" s="1128"/>
      <c r="D964" s="940"/>
      <c r="E964" s="940"/>
      <c r="F964" s="941"/>
      <c r="G964" s="1144"/>
      <c r="H964" s="1145"/>
      <c r="I964" s="1144"/>
      <c r="J964" s="1145"/>
      <c r="K964" s="432" t="str">
        <f>IF($A964&gt;0,(VLOOKUP($A964,TablaEquipos,7,FALSE)),"")</f>
        <v/>
      </c>
      <c r="L964" s="1208"/>
      <c r="M964" s="1145"/>
      <c r="N964" s="430" t="str">
        <f t="shared" si="77"/>
        <v/>
      </c>
      <c r="O964" s="362"/>
    </row>
    <row r="965" spans="1:17" ht="15.75" customHeight="1">
      <c r="A965" s="395"/>
      <c r="B965" s="399"/>
      <c r="C965" s="1127" t="s">
        <v>1202</v>
      </c>
      <c r="D965" s="965"/>
      <c r="E965" s="965"/>
      <c r="F965" s="965"/>
      <c r="G965" s="965"/>
      <c r="H965" s="965"/>
      <c r="I965" s="965"/>
      <c r="J965" s="965"/>
      <c r="K965" s="965"/>
      <c r="L965" s="965"/>
      <c r="M965" s="966"/>
      <c r="N965" s="433">
        <f>+SUM(N959:N964)</f>
        <v>34186.195469480255</v>
      </c>
      <c r="O965" s="362"/>
    </row>
    <row r="966" spans="1:17" ht="15.75" customHeight="1">
      <c r="A966" s="395"/>
      <c r="B966" s="399"/>
      <c r="C966" s="1129" t="s">
        <v>1203</v>
      </c>
      <c r="D966" s="926"/>
      <c r="E966" s="926"/>
      <c r="F966" s="926"/>
      <c r="G966" s="926"/>
      <c r="H966" s="926"/>
      <c r="I966" s="926"/>
      <c r="J966" s="926"/>
      <c r="K966" s="926"/>
      <c r="L966" s="926"/>
      <c r="M966" s="926"/>
      <c r="N966" s="927"/>
      <c r="O966" s="362"/>
    </row>
    <row r="967" spans="1:17" ht="15.75" customHeight="1">
      <c r="A967" s="395"/>
      <c r="B967" s="399"/>
      <c r="C967" s="920"/>
      <c r="D967" s="922"/>
      <c r="E967" s="922"/>
      <c r="F967" s="922"/>
      <c r="G967" s="922"/>
      <c r="H967" s="922"/>
      <c r="I967" s="922"/>
      <c r="J967" s="922"/>
      <c r="K967" s="922"/>
      <c r="L967" s="922"/>
      <c r="M967" s="922"/>
      <c r="N967" s="924"/>
      <c r="O967" s="362"/>
    </row>
    <row r="968" spans="1:17" ht="15.75" customHeight="1">
      <c r="A968" s="395"/>
      <c r="B968" s="399"/>
      <c r="C968" s="929"/>
      <c r="D968" s="936"/>
      <c r="E968" s="936"/>
      <c r="F968" s="936"/>
      <c r="G968" s="936"/>
      <c r="H968" s="936"/>
      <c r="I968" s="936"/>
      <c r="J968" s="936"/>
      <c r="K968" s="936"/>
      <c r="L968" s="936"/>
      <c r="M968" s="936"/>
      <c r="N968" s="938"/>
      <c r="O968" s="362"/>
    </row>
    <row r="969" spans="1:17" ht="15.75" customHeight="1">
      <c r="A969" s="395"/>
      <c r="B969" s="399"/>
      <c r="C969" s="1201" t="s">
        <v>17</v>
      </c>
      <c r="D969" s="1131"/>
      <c r="E969" s="1131"/>
      <c r="F969" s="1131"/>
      <c r="G969" s="1131"/>
      <c r="H969" s="1131"/>
      <c r="I969" s="1000"/>
      <c r="J969" s="672" t="s">
        <v>1192</v>
      </c>
      <c r="K969" s="670" t="s">
        <v>950</v>
      </c>
      <c r="L969" s="1204" t="s">
        <v>1204</v>
      </c>
      <c r="M969" s="1000"/>
      <c r="N969" s="671" t="s">
        <v>1200</v>
      </c>
      <c r="O969" s="362"/>
    </row>
    <row r="970" spans="1:17" ht="15.75" customHeight="1">
      <c r="A970" s="395" t="str">
        <f t="array" ref="A970">IF(C970&lt;&gt;0,INDEX(CodMat,MATCH(C970,Materiales,0),),)</f>
        <v>MAT_EPYE-16</v>
      </c>
      <c r="B970" s="399"/>
      <c r="C970" s="1128" t="s">
        <v>2505</v>
      </c>
      <c r="D970" s="940"/>
      <c r="E970" s="940"/>
      <c r="F970" s="940"/>
      <c r="G970" s="940"/>
      <c r="H970" s="940"/>
      <c r="I970" s="941"/>
      <c r="J970" s="435" t="str">
        <f t="shared" ref="J970:J977" si="78">IF($A970&gt;0,(VLOOKUP($A970,TablaInsumos,5,FALSE)),"")</f>
        <v>M2</v>
      </c>
      <c r="K970" s="673">
        <v>1.05</v>
      </c>
      <c r="L970" s="1134">
        <f t="shared" ref="L970:L977" si="79">IF($A970&gt;0,(VLOOKUP($A970,TablaInsumos,7,FALSE)),"")</f>
        <v>30000</v>
      </c>
      <c r="M970" s="941"/>
      <c r="N970" s="430">
        <f t="shared" ref="N970:N977" si="80">IF(K970&gt;0,L970*K970,"")</f>
        <v>31500</v>
      </c>
      <c r="O970" s="362"/>
    </row>
    <row r="971" spans="1:17" ht="15.75" customHeight="1">
      <c r="A971" s="395" t="str">
        <f t="array" ref="A971">IF(C971&lt;&gt;0,INDEX(CodMat,MATCH(C971,Materiales,0),),)</f>
        <v>MAT_H-117</v>
      </c>
      <c r="B971" s="399"/>
      <c r="C971" s="1128" t="s">
        <v>1744</v>
      </c>
      <c r="D971" s="940"/>
      <c r="E971" s="940"/>
      <c r="F971" s="940"/>
      <c r="G971" s="940"/>
      <c r="H971" s="940"/>
      <c r="I971" s="941"/>
      <c r="J971" s="435" t="str">
        <f t="shared" si="78"/>
        <v>UND</v>
      </c>
      <c r="K971" s="673">
        <v>1</v>
      </c>
      <c r="L971" s="1134">
        <f t="shared" si="79"/>
        <v>10000</v>
      </c>
      <c r="M971" s="941"/>
      <c r="N971" s="430">
        <f t="shared" si="80"/>
        <v>10000</v>
      </c>
      <c r="O971" s="362"/>
      <c r="Q971" s="688"/>
    </row>
    <row r="972" spans="1:17" ht="15.75" customHeight="1">
      <c r="A972" s="395">
        <f t="array" ref="A972">IF(C972&lt;&gt;0,INDEX(CodMat,MATCH(C972,Materiales,0),),)</f>
        <v>0</v>
      </c>
      <c r="B972" s="399"/>
      <c r="C972" s="1128"/>
      <c r="D972" s="940"/>
      <c r="E972" s="940"/>
      <c r="F972" s="940"/>
      <c r="G972" s="940"/>
      <c r="H972" s="940"/>
      <c r="I972" s="941"/>
      <c r="J972" s="435" t="str">
        <f t="shared" si="78"/>
        <v/>
      </c>
      <c r="K972" s="673"/>
      <c r="L972" s="1134" t="str">
        <f t="shared" si="79"/>
        <v/>
      </c>
      <c r="M972" s="941"/>
      <c r="N972" s="430" t="str">
        <f t="shared" si="80"/>
        <v/>
      </c>
      <c r="O972" s="362"/>
      <c r="Q972" s="687"/>
    </row>
    <row r="973" spans="1:17" ht="15.75" customHeight="1">
      <c r="A973" s="395">
        <f t="array" ref="A973">IF(C973&lt;&gt;0,INDEX(CodMat,MATCH(C973,Materiales,0),),)</f>
        <v>0</v>
      </c>
      <c r="B973" s="399"/>
      <c r="C973" s="1128"/>
      <c r="D973" s="940"/>
      <c r="E973" s="940"/>
      <c r="F973" s="940"/>
      <c r="G973" s="940"/>
      <c r="H973" s="940"/>
      <c r="I973" s="941"/>
      <c r="J973" s="435" t="str">
        <f t="shared" si="78"/>
        <v/>
      </c>
      <c r="K973" s="673"/>
      <c r="L973" s="1134" t="str">
        <f t="shared" si="79"/>
        <v/>
      </c>
      <c r="M973" s="941"/>
      <c r="N973" s="430" t="str">
        <f t="shared" si="80"/>
        <v/>
      </c>
      <c r="O973" s="362"/>
    </row>
    <row r="974" spans="1:17" ht="15.75" customHeight="1">
      <c r="A974" s="395">
        <f t="array" ref="A974">IF(C974&lt;&gt;0,INDEX(CodMat,MATCH(C974,Materiales,0),),)</f>
        <v>0</v>
      </c>
      <c r="B974" s="399"/>
      <c r="C974" s="1128"/>
      <c r="D974" s="940"/>
      <c r="E974" s="940"/>
      <c r="F974" s="940"/>
      <c r="G974" s="940"/>
      <c r="H974" s="940"/>
      <c r="I974" s="941"/>
      <c r="J974" s="435" t="str">
        <f t="shared" si="78"/>
        <v/>
      </c>
      <c r="K974" s="436"/>
      <c r="L974" s="1134" t="str">
        <f t="shared" si="79"/>
        <v/>
      </c>
      <c r="M974" s="941"/>
      <c r="N974" s="430" t="str">
        <f t="shared" si="80"/>
        <v/>
      </c>
      <c r="O974" s="362"/>
    </row>
    <row r="975" spans="1:17" ht="15.75" customHeight="1">
      <c r="A975" s="395">
        <f t="array" ref="A975">IF(C975&lt;&gt;0,INDEX(CodMat,MATCH(C975,Materiales,0),),)</f>
        <v>0</v>
      </c>
      <c r="B975" s="399"/>
      <c r="C975" s="1128"/>
      <c r="D975" s="940"/>
      <c r="E975" s="940"/>
      <c r="F975" s="940"/>
      <c r="G975" s="940"/>
      <c r="H975" s="940"/>
      <c r="I975" s="941"/>
      <c r="J975" s="435" t="str">
        <f t="shared" si="78"/>
        <v/>
      </c>
      <c r="K975" s="436"/>
      <c r="L975" s="1134" t="str">
        <f t="shared" si="79"/>
        <v/>
      </c>
      <c r="M975" s="941"/>
      <c r="N975" s="430" t="str">
        <f t="shared" si="80"/>
        <v/>
      </c>
      <c r="O975" s="362"/>
    </row>
    <row r="976" spans="1:17" ht="15.75" customHeight="1">
      <c r="A976" s="395">
        <f t="array" ref="A976">IF(C976&lt;&gt;0,INDEX(CodMat,MATCH(C976,Materiales,0),),)</f>
        <v>0</v>
      </c>
      <c r="B976" s="399"/>
      <c r="C976" s="1128"/>
      <c r="D976" s="940"/>
      <c r="E976" s="940"/>
      <c r="F976" s="940"/>
      <c r="G976" s="940"/>
      <c r="H976" s="940"/>
      <c r="I976" s="941"/>
      <c r="J976" s="435" t="str">
        <f t="shared" si="78"/>
        <v/>
      </c>
      <c r="K976" s="436"/>
      <c r="L976" s="1134" t="str">
        <f t="shared" si="79"/>
        <v/>
      </c>
      <c r="M976" s="941"/>
      <c r="N976" s="430" t="str">
        <f t="shared" si="80"/>
        <v/>
      </c>
      <c r="O976" s="362"/>
    </row>
    <row r="977" spans="1:15" ht="15.75" customHeight="1">
      <c r="A977" s="395">
        <f t="array" ref="A977">IF(C977&lt;&gt;0,INDEX(CodMat,MATCH(C977,Materiales,0),),)</f>
        <v>0</v>
      </c>
      <c r="B977" s="399"/>
      <c r="C977" s="1128"/>
      <c r="D977" s="940"/>
      <c r="E977" s="940"/>
      <c r="F977" s="940"/>
      <c r="G977" s="940"/>
      <c r="H977" s="940"/>
      <c r="I977" s="941"/>
      <c r="J977" s="435" t="str">
        <f t="shared" si="78"/>
        <v/>
      </c>
      <c r="K977" s="436"/>
      <c r="L977" s="1205" t="str">
        <f t="shared" si="79"/>
        <v/>
      </c>
      <c r="M977" s="1145"/>
      <c r="N977" s="430" t="str">
        <f t="shared" si="80"/>
        <v/>
      </c>
      <c r="O977" s="362"/>
    </row>
    <row r="978" spans="1:15" ht="15.75" customHeight="1">
      <c r="A978" s="395"/>
      <c r="B978" s="399"/>
      <c r="C978" s="1127" t="s">
        <v>1202</v>
      </c>
      <c r="D978" s="965"/>
      <c r="E978" s="965"/>
      <c r="F978" s="965"/>
      <c r="G978" s="965"/>
      <c r="H978" s="965"/>
      <c r="I978" s="965"/>
      <c r="J978" s="965"/>
      <c r="K978" s="965"/>
      <c r="L978" s="965"/>
      <c r="M978" s="966"/>
      <c r="N978" s="433">
        <f>+SUM(N970:N977)</f>
        <v>41500</v>
      </c>
      <c r="O978" s="362"/>
    </row>
    <row r="979" spans="1:15" ht="15.75" customHeight="1">
      <c r="A979" s="395"/>
      <c r="B979" s="399"/>
      <c r="C979" s="1129" t="s">
        <v>1208</v>
      </c>
      <c r="D979" s="926"/>
      <c r="E979" s="926"/>
      <c r="F979" s="926"/>
      <c r="G979" s="926"/>
      <c r="H979" s="926"/>
      <c r="I979" s="926"/>
      <c r="J979" s="926"/>
      <c r="K979" s="926"/>
      <c r="L979" s="926"/>
      <c r="M979" s="926"/>
      <c r="N979" s="927"/>
      <c r="O979" s="362"/>
    </row>
    <row r="980" spans="1:15" ht="15.75" customHeight="1">
      <c r="A980" s="395"/>
      <c r="B980" s="399"/>
      <c r="C980" s="920"/>
      <c r="D980" s="922"/>
      <c r="E980" s="922"/>
      <c r="F980" s="922"/>
      <c r="G980" s="922"/>
      <c r="H980" s="922"/>
      <c r="I980" s="922"/>
      <c r="J980" s="922"/>
      <c r="K980" s="922"/>
      <c r="L980" s="922"/>
      <c r="M980" s="922"/>
      <c r="N980" s="924"/>
      <c r="O980" s="362"/>
    </row>
    <row r="981" spans="1:15" ht="15.75" customHeight="1">
      <c r="A981" s="395"/>
      <c r="B981" s="399"/>
      <c r="C981" s="929"/>
      <c r="D981" s="936"/>
      <c r="E981" s="936"/>
      <c r="F981" s="936"/>
      <c r="G981" s="936"/>
      <c r="H981" s="936"/>
      <c r="I981" s="936"/>
      <c r="J981" s="936"/>
      <c r="K981" s="936"/>
      <c r="L981" s="936"/>
      <c r="M981" s="936"/>
      <c r="N981" s="938"/>
      <c r="O981" s="362"/>
    </row>
    <row r="982" spans="1:15" ht="15.75" customHeight="1">
      <c r="A982" s="395"/>
      <c r="B982" s="399"/>
      <c r="C982" s="1201" t="s">
        <v>1209</v>
      </c>
      <c r="D982" s="1131"/>
      <c r="E982" s="1131"/>
      <c r="F982" s="1131"/>
      <c r="G982" s="1131"/>
      <c r="H982" s="1000"/>
      <c r="I982" s="670" t="s">
        <v>1210</v>
      </c>
      <c r="J982" s="674" t="s">
        <v>1211</v>
      </c>
      <c r="K982" s="675" t="s">
        <v>2318</v>
      </c>
      <c r="L982" s="1204" t="s">
        <v>1213</v>
      </c>
      <c r="M982" s="1000"/>
      <c r="N982" s="671" t="s">
        <v>1200</v>
      </c>
      <c r="O982" s="362"/>
    </row>
    <row r="983" spans="1:15" ht="15.75" customHeight="1">
      <c r="A983" s="395">
        <f t="array" ref="A983">IF(C983&lt;&gt;0,INDEX(CodTransporte,MATCH(C983,Transporte,0),),)</f>
        <v>0</v>
      </c>
      <c r="B983" s="399"/>
      <c r="C983" s="1128"/>
      <c r="D983" s="940"/>
      <c r="E983" s="940"/>
      <c r="F983" s="940"/>
      <c r="G983" s="940"/>
      <c r="H983" s="940"/>
      <c r="I983" s="440"/>
      <c r="J983" s="441" t="str">
        <f>IF($A983&gt;0,(VLOOKUP($A983,TablaTransporte,6,FALSE)),"")</f>
        <v/>
      </c>
      <c r="K983" s="442" t="str">
        <f>IF($A983&gt;0,(VLOOKUP($A983,TablaTransporte,5,FALSE)),"")</f>
        <v/>
      </c>
      <c r="L983" s="1134" t="str">
        <f>IF($A983&gt;0,(VLOOKUP($A983,TablaTransporte,7,FALSE)),"")</f>
        <v/>
      </c>
      <c r="M983" s="941"/>
      <c r="N983" s="430" t="str">
        <f t="shared" ref="N983:N987" si="81">IF(I983&gt;0,J983*L983*I983,"")</f>
        <v/>
      </c>
      <c r="O983" s="362"/>
    </row>
    <row r="984" spans="1:15" ht="15.75" customHeight="1">
      <c r="A984" s="395">
        <f t="array" ref="A984">IF(C984&lt;&gt;0,INDEX(CodTransporte,MATCH(C984,Transporte,0),),)</f>
        <v>0</v>
      </c>
      <c r="B984" s="399"/>
      <c r="C984" s="1128"/>
      <c r="D984" s="940"/>
      <c r="E984" s="940"/>
      <c r="F984" s="940"/>
      <c r="G984" s="940"/>
      <c r="H984" s="940"/>
      <c r="I984" s="440"/>
      <c r="J984" s="441" t="str">
        <f>IF($A984&gt;0,(VLOOKUP($A984,TablaTransporte,6,FALSE)),"")</f>
        <v/>
      </c>
      <c r="K984" s="442" t="str">
        <f>IF($A984&gt;0,(VLOOKUP($A984,TablaTransporte,5,FALSE)),"")</f>
        <v/>
      </c>
      <c r="L984" s="1134" t="str">
        <f>IF($A984&gt;0,(VLOOKUP($A984,TablaTransporte,7,FALSE)),"")</f>
        <v/>
      </c>
      <c r="M984" s="941"/>
      <c r="N984" s="430" t="str">
        <f t="shared" si="81"/>
        <v/>
      </c>
      <c r="O984" s="362"/>
    </row>
    <row r="985" spans="1:15" ht="15.75" customHeight="1">
      <c r="A985" s="395">
        <f t="array" ref="A985">IF(C985&lt;&gt;0,INDEX(CodTransporte,MATCH(C985,Transporte,0),),)</f>
        <v>0</v>
      </c>
      <c r="B985" s="399"/>
      <c r="C985" s="1128"/>
      <c r="D985" s="940"/>
      <c r="E985" s="940"/>
      <c r="F985" s="940"/>
      <c r="G985" s="940"/>
      <c r="H985" s="940"/>
      <c r="I985" s="440"/>
      <c r="J985" s="441" t="str">
        <f>IF($A985&gt;0,(VLOOKUP($A985,TablaTransporte,6,FALSE)),"")</f>
        <v/>
      </c>
      <c r="K985" s="442" t="str">
        <f>IF($A985&gt;0,(VLOOKUP($A985,TablaTransporte,5,FALSE)),"")</f>
        <v/>
      </c>
      <c r="L985" s="1134" t="str">
        <f>IF($A985&gt;0,(VLOOKUP($A985,TablaTransporte,7,FALSE)),"")</f>
        <v/>
      </c>
      <c r="M985" s="941"/>
      <c r="N985" s="430" t="str">
        <f t="shared" si="81"/>
        <v/>
      </c>
      <c r="O985" s="362"/>
    </row>
    <row r="986" spans="1:15" ht="15.75" customHeight="1">
      <c r="A986" s="395">
        <f t="array" ref="A986">IF(C986&lt;&gt;0,INDEX(CodTransporte,MATCH(C986,Transporte,0),),)</f>
        <v>0</v>
      </c>
      <c r="B986" s="399"/>
      <c r="C986" s="1128"/>
      <c r="D986" s="940"/>
      <c r="E986" s="940"/>
      <c r="F986" s="940"/>
      <c r="G986" s="940"/>
      <c r="H986" s="940"/>
      <c r="I986" s="440"/>
      <c r="J986" s="441" t="str">
        <f>IF($A986&gt;0,(VLOOKUP($A986,TablaTransporte,6,FALSE)),"")</f>
        <v/>
      </c>
      <c r="K986" s="442" t="str">
        <f>IF($A986&gt;0,(VLOOKUP($A986,TablaTransporte,5,FALSE)),"")</f>
        <v/>
      </c>
      <c r="L986" s="1134" t="str">
        <f>IF($A986&gt;0,(VLOOKUP($A986,TablaTransporte,7,FALSE)),"")</f>
        <v/>
      </c>
      <c r="M986" s="941"/>
      <c r="N986" s="430" t="str">
        <f t="shared" si="81"/>
        <v/>
      </c>
      <c r="O986" s="362"/>
    </row>
    <row r="987" spans="1:15" ht="15.75" customHeight="1">
      <c r="A987" s="395">
        <f t="array" ref="A987">IF(C987&lt;&gt;0,INDEX(CodTransporte,MATCH(C987,Transporte,0),),)</f>
        <v>0</v>
      </c>
      <c r="B987" s="399"/>
      <c r="C987" s="1128"/>
      <c r="D987" s="940"/>
      <c r="E987" s="940"/>
      <c r="F987" s="940"/>
      <c r="G987" s="940"/>
      <c r="H987" s="940"/>
      <c r="I987" s="440"/>
      <c r="J987" s="441" t="str">
        <f>IF($A987&gt;0,(VLOOKUP($A987,TablaTransporte,6,FALSE)),"")</f>
        <v/>
      </c>
      <c r="K987" s="442" t="str">
        <f>IF($A987&gt;0,(VLOOKUP($A987,TablaTransporte,5,FALSE)),"")</f>
        <v/>
      </c>
      <c r="L987" s="1205" t="str">
        <f>IF($A987&gt;0,(VLOOKUP($A987,TablaTransporte,7,FALSE)),"")</f>
        <v/>
      </c>
      <c r="M987" s="1145"/>
      <c r="N987" s="430" t="str">
        <f t="shared" si="81"/>
        <v/>
      </c>
      <c r="O987" s="362"/>
    </row>
    <row r="988" spans="1:15" ht="15.75" customHeight="1">
      <c r="A988" s="395"/>
      <c r="B988" s="399"/>
      <c r="C988" s="1127" t="s">
        <v>1202</v>
      </c>
      <c r="D988" s="965"/>
      <c r="E988" s="965"/>
      <c r="F988" s="965"/>
      <c r="G988" s="965"/>
      <c r="H988" s="965"/>
      <c r="I988" s="965"/>
      <c r="J988" s="965"/>
      <c r="K988" s="965"/>
      <c r="L988" s="965"/>
      <c r="M988" s="966"/>
      <c r="N988" s="433">
        <f>+SUM(N983:N987)</f>
        <v>0</v>
      </c>
      <c r="O988" s="362"/>
    </row>
    <row r="989" spans="1:15" ht="15.75" customHeight="1">
      <c r="A989" s="395"/>
      <c r="B989" s="399"/>
      <c r="C989" s="1129" t="s">
        <v>1214</v>
      </c>
      <c r="D989" s="926"/>
      <c r="E989" s="926"/>
      <c r="F989" s="926"/>
      <c r="G989" s="926"/>
      <c r="H989" s="926"/>
      <c r="I989" s="926"/>
      <c r="J989" s="926"/>
      <c r="K989" s="926"/>
      <c r="L989" s="926"/>
      <c r="M989" s="926"/>
      <c r="N989" s="927"/>
      <c r="O989" s="362"/>
    </row>
    <row r="990" spans="1:15" ht="15.75" customHeight="1">
      <c r="A990" s="395"/>
      <c r="B990" s="399"/>
      <c r="C990" s="920"/>
      <c r="D990" s="922"/>
      <c r="E990" s="922"/>
      <c r="F990" s="922"/>
      <c r="G990" s="922"/>
      <c r="H990" s="922"/>
      <c r="I990" s="922"/>
      <c r="J990" s="922"/>
      <c r="K990" s="922"/>
      <c r="L990" s="922"/>
      <c r="M990" s="922"/>
      <c r="N990" s="924"/>
      <c r="O990" s="362"/>
    </row>
    <row r="991" spans="1:15" ht="15.75" customHeight="1">
      <c r="A991" s="395"/>
      <c r="B991" s="399"/>
      <c r="C991" s="929"/>
      <c r="D991" s="936"/>
      <c r="E991" s="936"/>
      <c r="F991" s="936"/>
      <c r="G991" s="936"/>
      <c r="H991" s="936"/>
      <c r="I991" s="936"/>
      <c r="J991" s="936"/>
      <c r="K991" s="936"/>
      <c r="L991" s="936"/>
      <c r="M991" s="936"/>
      <c r="N991" s="938"/>
      <c r="O991" s="362"/>
    </row>
    <row r="992" spans="1:15" ht="15.75" customHeight="1">
      <c r="A992" s="395"/>
      <c r="B992" s="399"/>
      <c r="C992" s="1201" t="s">
        <v>1215</v>
      </c>
      <c r="D992" s="1131"/>
      <c r="E992" s="1131"/>
      <c r="F992" s="1131"/>
      <c r="G992" s="1131"/>
      <c r="H992" s="1000"/>
      <c r="I992" s="670" t="s">
        <v>1216</v>
      </c>
      <c r="J992" s="676" t="s">
        <v>1217</v>
      </c>
      <c r="K992" s="677" t="s">
        <v>1218</v>
      </c>
      <c r="L992" s="1206" t="s">
        <v>1199</v>
      </c>
      <c r="M992" s="1000"/>
      <c r="N992" s="678" t="s">
        <v>1200</v>
      </c>
      <c r="O992" s="362"/>
    </row>
    <row r="993" spans="1:18" ht="15.75" customHeight="1">
      <c r="A993" s="395" t="str">
        <f t="array" ref="A993">IF(C993&lt;&gt;0,INDEX(CodMO,MATCH(C993,MO,0),),)</f>
        <v>M.O-05</v>
      </c>
      <c r="B993" s="399"/>
      <c r="C993" s="1128" t="s">
        <v>139</v>
      </c>
      <c r="D993" s="940"/>
      <c r="E993" s="940"/>
      <c r="F993" s="940"/>
      <c r="G993" s="940"/>
      <c r="H993" s="940"/>
      <c r="I993" s="447">
        <f>IF($A993&gt;0,(VLOOKUP($A993,TablaMO,8,FALSE)),"")</f>
        <v>125030.16666666667</v>
      </c>
      <c r="J993" s="448">
        <f>IF($A993&gt;0,(VLOOKUP($A993,TablaMO,10,FALSE)),"")</f>
        <v>0.67071666666666663</v>
      </c>
      <c r="K993" s="447">
        <f>IF($A993&gt;0,(VLOOKUP($A993,TablaMO,11,FALSE)),"")</f>
        <v>208890</v>
      </c>
      <c r="L993" s="1146">
        <v>8.3078932831912908</v>
      </c>
      <c r="M993" s="941"/>
      <c r="N993" s="430">
        <f t="shared" ref="N993:N997" si="82">IF(L993&gt;0,K993/L993,"")</f>
        <v>25143.55840639296</v>
      </c>
      <c r="O993" s="362"/>
    </row>
    <row r="994" spans="1:18" ht="15.75" customHeight="1">
      <c r="A994" s="395" t="str">
        <f t="array" ref="A994">IF(C994&lt;&gt;0,INDEX(CodMO,MATCH(C994,MO,0),),)</f>
        <v>M.O-01</v>
      </c>
      <c r="B994" s="399"/>
      <c r="C994" s="1128" t="s">
        <v>130</v>
      </c>
      <c r="D994" s="940"/>
      <c r="E994" s="940"/>
      <c r="F994" s="940"/>
      <c r="G994" s="940"/>
      <c r="H994" s="940"/>
      <c r="I994" s="447">
        <f>IF($A994&gt;0,(VLOOKUP($A994,TablaMO,8,FALSE)),"")</f>
        <v>72503.016666666677</v>
      </c>
      <c r="J994" s="448">
        <f>IF($A994&gt;0,(VLOOKUP($A994,TablaMO,10,FALSE)),"")</f>
        <v>0.67071666666666663</v>
      </c>
      <c r="K994" s="447">
        <f>IF($A994&gt;0,(VLOOKUP($A994,TablaMO,11,FALSE)),"")</f>
        <v>121132</v>
      </c>
      <c r="L994" s="1146">
        <f>L993</f>
        <v>8.3078932831912908</v>
      </c>
      <c r="M994" s="941"/>
      <c r="N994" s="430">
        <f t="shared" si="82"/>
        <v>14580.35098321218</v>
      </c>
      <c r="O994" s="362"/>
    </row>
    <row r="995" spans="1:18" ht="15.75" customHeight="1">
      <c r="A995" s="395">
        <f t="array" ref="A995">IF(C995&lt;&gt;0,INDEX(CodMO,MATCH(C995,MO,0),),)</f>
        <v>0</v>
      </c>
      <c r="B995" s="399"/>
      <c r="C995" s="1128"/>
      <c r="D995" s="940"/>
      <c r="E995" s="940"/>
      <c r="F995" s="940"/>
      <c r="G995" s="940"/>
      <c r="H995" s="940"/>
      <c r="I995" s="447" t="str">
        <f>IF($A995&gt;0,(VLOOKUP($A995,TablaMO,8,FALSE)),"")</f>
        <v/>
      </c>
      <c r="J995" s="448" t="str">
        <f>IF($A995&gt;0,(VLOOKUP($A995,TablaMO,10,FALSE)),"")</f>
        <v/>
      </c>
      <c r="K995" s="447" t="str">
        <f>IF($A995&gt;0,(VLOOKUP($A995,TablaMO,11,FALSE)),"")</f>
        <v/>
      </c>
      <c r="L995" s="1146"/>
      <c r="M995" s="941"/>
      <c r="N995" s="430" t="str">
        <f t="shared" si="82"/>
        <v/>
      </c>
      <c r="O995" s="362"/>
    </row>
    <row r="996" spans="1:18" ht="15.75" customHeight="1">
      <c r="A996" s="395">
        <f t="array" ref="A996">IF(C996&lt;&gt;0,INDEX(CodMO,MATCH(C996,MO,0),),)</f>
        <v>0</v>
      </c>
      <c r="B996" s="399"/>
      <c r="C996" s="1128"/>
      <c r="D996" s="940"/>
      <c r="E996" s="940"/>
      <c r="F996" s="940"/>
      <c r="G996" s="940"/>
      <c r="H996" s="940"/>
      <c r="I996" s="447" t="str">
        <f>IF($A996&gt;0,(VLOOKUP($A996,TablaMO,8,FALSE)),"")</f>
        <v/>
      </c>
      <c r="J996" s="448" t="str">
        <f>IF($A996&gt;0,(VLOOKUP($A996,TablaMO,10,FALSE)),"")</f>
        <v/>
      </c>
      <c r="K996" s="447" t="str">
        <f>IF($A996&gt;0,(VLOOKUP($A996,TablaMO,11,FALSE)),"")</f>
        <v/>
      </c>
      <c r="L996" s="1146"/>
      <c r="M996" s="941"/>
      <c r="N996" s="430" t="str">
        <f t="shared" si="82"/>
        <v/>
      </c>
      <c r="O996" s="362"/>
    </row>
    <row r="997" spans="1:18" ht="15.75" customHeight="1">
      <c r="A997" s="395">
        <f t="array" ref="A997">IF(C997&lt;&gt;0,INDEX(CodMO,MATCH(C997,MO,0),),)</f>
        <v>0</v>
      </c>
      <c r="B997" s="399"/>
      <c r="C997" s="1128"/>
      <c r="D997" s="940"/>
      <c r="E997" s="940"/>
      <c r="F997" s="940"/>
      <c r="G997" s="940"/>
      <c r="H997" s="940"/>
      <c r="I997" s="447" t="str">
        <f>IF($A997&gt;0,(VLOOKUP($A997,TablaMO,8,FALSE)),"")</f>
        <v/>
      </c>
      <c r="J997" s="448" t="str">
        <f>IF($A997&gt;0,(VLOOKUP($A997,TablaMO,10,FALSE)),"")</f>
        <v/>
      </c>
      <c r="K997" s="447" t="str">
        <f>IF($A997&gt;0,(VLOOKUP($A997,TablaMO,11,FALSE)),"")</f>
        <v/>
      </c>
      <c r="L997" s="1146"/>
      <c r="M997" s="941"/>
      <c r="N997" s="430" t="str">
        <f t="shared" si="82"/>
        <v/>
      </c>
      <c r="O997" s="362"/>
    </row>
    <row r="998" spans="1:18" ht="15.75" customHeight="1">
      <c r="A998" s="395"/>
      <c r="B998" s="399"/>
      <c r="C998" s="1127" t="s">
        <v>1202</v>
      </c>
      <c r="D998" s="965"/>
      <c r="E998" s="965"/>
      <c r="F998" s="965"/>
      <c r="G998" s="965"/>
      <c r="H998" s="965"/>
      <c r="I998" s="965"/>
      <c r="J998" s="965"/>
      <c r="K998" s="965"/>
      <c r="L998" s="965"/>
      <c r="M998" s="966"/>
      <c r="N998" s="433">
        <f>+SUM(N993:N997)</f>
        <v>39723.909389605142</v>
      </c>
      <c r="O998" s="362"/>
    </row>
    <row r="999" spans="1:18" ht="15.75" customHeight="1">
      <c r="B999" s="679"/>
      <c r="O999" s="362"/>
    </row>
    <row r="1000" spans="1:18" ht="15.75" customHeight="1">
      <c r="B1000" s="679"/>
      <c r="C1000" s="1198" t="s">
        <v>1219</v>
      </c>
      <c r="D1000" s="965"/>
      <c r="E1000" s="965"/>
      <c r="F1000" s="965"/>
      <c r="G1000" s="965"/>
      <c r="H1000" s="965"/>
      <c r="I1000" s="965"/>
      <c r="J1000" s="965"/>
      <c r="K1000" s="965"/>
      <c r="L1000" s="965"/>
      <c r="M1000" s="966"/>
      <c r="N1000" s="680">
        <f>ROUND(SUM(N998,N988,N978,N965),0)</f>
        <v>115410</v>
      </c>
      <c r="O1000" s="362"/>
      <c r="Q1000" s="681">
        <f>VLOOKUP(C954,PROPUESTASASERCO,8,FALSE)</f>
        <v>115410</v>
      </c>
      <c r="R1000" s="682">
        <f>Q1000-N1000</f>
        <v>0</v>
      </c>
    </row>
    <row r="1001" spans="1:18" ht="15.75" customHeight="1">
      <c r="B1001" s="679"/>
      <c r="C1001" s="1129" t="s">
        <v>1220</v>
      </c>
      <c r="D1001" s="926"/>
      <c r="E1001" s="926"/>
      <c r="F1001" s="926"/>
      <c r="G1001" s="926"/>
      <c r="H1001" s="926"/>
      <c r="I1001" s="926"/>
      <c r="J1001" s="926"/>
      <c r="K1001" s="926"/>
      <c r="L1001" s="926"/>
      <c r="M1001" s="926"/>
      <c r="N1001" s="927"/>
      <c r="O1001" s="362"/>
    </row>
    <row r="1002" spans="1:18" ht="15.75" customHeight="1">
      <c r="B1002" s="679"/>
      <c r="C1002" s="920"/>
      <c r="D1002" s="922"/>
      <c r="E1002" s="922"/>
      <c r="F1002" s="922"/>
      <c r="G1002" s="922"/>
      <c r="H1002" s="922"/>
      <c r="I1002" s="922"/>
      <c r="J1002" s="922"/>
      <c r="K1002" s="922"/>
      <c r="L1002" s="922"/>
      <c r="M1002" s="922"/>
      <c r="N1002" s="924"/>
      <c r="O1002" s="362"/>
    </row>
    <row r="1003" spans="1:18" ht="15.75" customHeight="1">
      <c r="B1003" s="679"/>
      <c r="C1003" s="929"/>
      <c r="D1003" s="936"/>
      <c r="E1003" s="936"/>
      <c r="F1003" s="936"/>
      <c r="G1003" s="936"/>
      <c r="H1003" s="936"/>
      <c r="I1003" s="936"/>
      <c r="J1003" s="936"/>
      <c r="K1003" s="936"/>
      <c r="L1003" s="936"/>
      <c r="M1003" s="936"/>
      <c r="N1003" s="938"/>
      <c r="O1003" s="362"/>
    </row>
    <row r="1004" spans="1:18" ht="15.75" customHeight="1">
      <c r="B1004" s="679"/>
      <c r="C1004" s="1201" t="s">
        <v>1221</v>
      </c>
      <c r="D1004" s="1131"/>
      <c r="E1004" s="1131"/>
      <c r="F1004" s="1131"/>
      <c r="G1004" s="1131"/>
      <c r="H1004" s="1132"/>
      <c r="I1004" s="674"/>
      <c r="J1004" s="674"/>
      <c r="K1004" s="674"/>
      <c r="L1004" s="1206" t="s">
        <v>1222</v>
      </c>
      <c r="M1004" s="1000"/>
      <c r="N1004" s="678" t="s">
        <v>1223</v>
      </c>
      <c r="O1004" s="362"/>
    </row>
    <row r="1005" spans="1:18" ht="15.75" customHeight="1">
      <c r="B1005" s="679"/>
      <c r="C1005" s="1128" t="s">
        <v>19</v>
      </c>
      <c r="D1005" s="940"/>
      <c r="E1005" s="940"/>
      <c r="F1005" s="940"/>
      <c r="G1005" s="940"/>
      <c r="H1005" s="940"/>
      <c r="I1005" s="452"/>
      <c r="J1005" s="452"/>
      <c r="K1005" s="452"/>
      <c r="L1005" s="1148">
        <f>+Datos!$E$18</f>
        <v>0.25</v>
      </c>
      <c r="M1005" s="941"/>
      <c r="N1005" s="430">
        <f>+L1005*N1000</f>
        <v>28852.5</v>
      </c>
      <c r="O1005" s="362"/>
    </row>
    <row r="1006" spans="1:18" ht="15.75" customHeight="1">
      <c r="B1006" s="679"/>
      <c r="C1006" s="454" t="s">
        <v>20</v>
      </c>
      <c r="D1006" s="455"/>
      <c r="E1006" s="455"/>
      <c r="F1006" s="455"/>
      <c r="G1006" s="455"/>
      <c r="H1006" s="455"/>
      <c r="I1006" s="452"/>
      <c r="J1006" s="452"/>
      <c r="K1006" s="452"/>
      <c r="L1006" s="1148">
        <f>+Datos!$E$19</f>
        <v>0.01</v>
      </c>
      <c r="M1006" s="941"/>
      <c r="N1006" s="430">
        <f>+L1006*N1000</f>
        <v>1154.1000000000001</v>
      </c>
      <c r="O1006" s="362"/>
    </row>
    <row r="1007" spans="1:18" ht="15.75" customHeight="1">
      <c r="B1007" s="679"/>
      <c r="C1007" s="456" t="s">
        <v>21</v>
      </c>
      <c r="D1007" s="457"/>
      <c r="E1007" s="457"/>
      <c r="F1007" s="457"/>
      <c r="G1007" s="457"/>
      <c r="H1007" s="457"/>
      <c r="I1007" s="458"/>
      <c r="J1007" s="458"/>
      <c r="K1007" s="458"/>
      <c r="L1007" s="1148">
        <f>+Datos!$E$20</f>
        <v>0.05</v>
      </c>
      <c r="M1007" s="941"/>
      <c r="N1007" s="430">
        <f>+L1007*N1000</f>
        <v>5770.5</v>
      </c>
      <c r="O1007" s="362"/>
    </row>
    <row r="1008" spans="1:18" ht="15.75" customHeight="1">
      <c r="B1008" s="679"/>
      <c r="C1008" s="1127" t="s">
        <v>1202</v>
      </c>
      <c r="D1008" s="965"/>
      <c r="E1008" s="965"/>
      <c r="F1008" s="965"/>
      <c r="G1008" s="965"/>
      <c r="H1008" s="965"/>
      <c r="I1008" s="965"/>
      <c r="J1008" s="965"/>
      <c r="K1008" s="965"/>
      <c r="L1008" s="965"/>
      <c r="M1008" s="966"/>
      <c r="N1008" s="433">
        <f>+SUM(N1005:N1007)</f>
        <v>35777.1</v>
      </c>
      <c r="O1008" s="362"/>
    </row>
    <row r="1009" spans="1:15" ht="15.75" customHeight="1">
      <c r="B1009" s="679"/>
      <c r="C1009" s="418"/>
      <c r="D1009" s="39"/>
      <c r="E1009" s="39"/>
      <c r="F1009" s="39"/>
      <c r="G1009" s="39"/>
      <c r="H1009" s="39"/>
      <c r="I1009" s="39"/>
      <c r="J1009" s="39"/>
      <c r="K1009" s="39"/>
      <c r="L1009" s="39"/>
      <c r="M1009" s="39"/>
      <c r="N1009" s="40"/>
      <c r="O1009" s="362"/>
    </row>
    <row r="1010" spans="1:15" ht="15.75" customHeight="1">
      <c r="B1010" s="679"/>
      <c r="C1010" s="1198" t="s">
        <v>1224</v>
      </c>
      <c r="D1010" s="965"/>
      <c r="E1010" s="965"/>
      <c r="F1010" s="965"/>
      <c r="G1010" s="965"/>
      <c r="H1010" s="965"/>
      <c r="I1010" s="965"/>
      <c r="J1010" s="965"/>
      <c r="K1010" s="965"/>
      <c r="L1010" s="965"/>
      <c r="M1010" s="966"/>
      <c r="N1010" s="683">
        <f>+ROUND(SUM(N1008,N1000),0)</f>
        <v>151187</v>
      </c>
      <c r="O1010" s="362"/>
    </row>
    <row r="1011" spans="1:15" ht="15.75" customHeight="1">
      <c r="B1011" s="679"/>
      <c r="C1011" s="418"/>
      <c r="D1011" s="39" t="s">
        <v>1225</v>
      </c>
      <c r="E1011" s="39"/>
      <c r="F1011" s="39"/>
      <c r="G1011" s="184"/>
      <c r="H1011" s="184"/>
      <c r="I1011" s="184"/>
      <c r="J1011" s="39" t="s">
        <v>1225</v>
      </c>
      <c r="K1011" s="39"/>
      <c r="L1011" s="39"/>
      <c r="M1011" s="39"/>
      <c r="N1011" s="40"/>
      <c r="O1011" s="362"/>
    </row>
    <row r="1012" spans="1:15" ht="15.75" customHeight="1">
      <c r="B1012" s="679"/>
      <c r="C1012" s="418"/>
      <c r="D1012" s="39" t="s">
        <v>1226</v>
      </c>
      <c r="E1012" s="39"/>
      <c r="F1012" s="39"/>
      <c r="G1012" s="184"/>
      <c r="H1012" s="184"/>
      <c r="I1012" s="184"/>
      <c r="J1012" s="39" t="s">
        <v>1227</v>
      </c>
      <c r="K1012" s="39"/>
      <c r="L1012" s="39"/>
      <c r="M1012" s="39"/>
      <c r="N1012" s="40"/>
      <c r="O1012" s="362"/>
    </row>
    <row r="1013" spans="1:15" ht="15.75" customHeight="1">
      <c r="B1013" s="679"/>
      <c r="C1013" s="404"/>
      <c r="D1013" s="39" t="s">
        <v>1228</v>
      </c>
      <c r="E1013" s="42"/>
      <c r="F1013" s="42"/>
      <c r="G1013" s="184"/>
      <c r="H1013" s="184"/>
      <c r="I1013" s="184"/>
      <c r="J1013" s="39" t="s">
        <v>1228</v>
      </c>
      <c r="K1013" s="42"/>
      <c r="L1013" s="42"/>
      <c r="M1013" s="42"/>
      <c r="N1013" s="43"/>
      <c r="O1013" s="362"/>
    </row>
    <row r="1014" spans="1:15" ht="15.75" customHeight="1">
      <c r="B1014" s="679"/>
      <c r="C1014" s="418"/>
      <c r="D1014" s="39"/>
      <c r="E1014" s="39"/>
      <c r="F1014" s="39"/>
      <c r="G1014" s="39" t="s">
        <v>1229</v>
      </c>
      <c r="H1014" s="39"/>
      <c r="I1014" s="39"/>
      <c r="J1014" s="39"/>
      <c r="K1014" s="39"/>
      <c r="L1014" s="39"/>
      <c r="M1014" s="39"/>
      <c r="N1014" s="40"/>
      <c r="O1014" s="362"/>
    </row>
    <row r="1015" spans="1:15" ht="15.75" customHeight="1">
      <c r="B1015" s="679"/>
      <c r="C1015" s="466"/>
      <c r="D1015" s="467"/>
      <c r="E1015" s="467"/>
      <c r="F1015" s="39"/>
      <c r="G1015" s="39"/>
      <c r="H1015" s="39"/>
      <c r="I1015" s="39"/>
      <c r="J1015" s="1149"/>
      <c r="K1015" s="922"/>
      <c r="L1015" s="922"/>
      <c r="M1015" s="922"/>
      <c r="N1015" s="924"/>
      <c r="O1015" s="362"/>
    </row>
    <row r="1016" spans="1:15" ht="15.75" customHeight="1">
      <c r="B1016" s="679"/>
      <c r="C1016" s="1150"/>
      <c r="D1016" s="936"/>
      <c r="E1016" s="936"/>
      <c r="F1016" s="416"/>
      <c r="G1016" s="416"/>
      <c r="H1016" s="416"/>
      <c r="I1016" s="416"/>
      <c r="J1016" s="936"/>
      <c r="K1016" s="936"/>
      <c r="L1016" s="936"/>
      <c r="M1016" s="936"/>
      <c r="N1016" s="938"/>
      <c r="O1016" s="362"/>
    </row>
    <row r="1017" spans="1:15" ht="15.75" customHeight="1">
      <c r="B1017" s="684"/>
      <c r="C1017" s="685"/>
      <c r="D1017" s="685"/>
      <c r="E1017" s="685"/>
      <c r="F1017" s="685"/>
      <c r="G1017" s="685"/>
      <c r="H1017" s="685"/>
      <c r="I1017" s="685"/>
      <c r="J1017" s="685"/>
      <c r="K1017" s="685"/>
      <c r="L1017" s="685"/>
      <c r="M1017" s="685"/>
      <c r="N1017" s="685"/>
      <c r="O1017" s="686"/>
    </row>
    <row r="1018" spans="1:15" ht="15.75" customHeight="1"/>
    <row r="1019" spans="1:15" ht="15.75" customHeight="1"/>
    <row r="1020" spans="1:15" ht="15.75" customHeight="1"/>
    <row r="1021" spans="1:15" ht="15.75" customHeight="1"/>
    <row r="1022" spans="1:15" ht="15.75" customHeight="1">
      <c r="A1022" s="395" t="s">
        <v>941</v>
      </c>
      <c r="B1022" s="184"/>
      <c r="C1022" s="184"/>
      <c r="D1022" s="184"/>
      <c r="E1022" s="184"/>
      <c r="F1022" s="184"/>
      <c r="G1022" s="184"/>
      <c r="H1022" s="184"/>
      <c r="I1022" s="184"/>
      <c r="J1022" s="184"/>
      <c r="K1022" s="184"/>
      <c r="L1022" s="184"/>
      <c r="M1022" s="184"/>
      <c r="N1022" s="184"/>
    </row>
    <row r="1023" spans="1:15" ht="15.75" customHeight="1">
      <c r="A1023" s="395"/>
      <c r="B1023" s="396"/>
      <c r="C1023" s="397"/>
      <c r="D1023" s="397"/>
      <c r="E1023" s="397"/>
      <c r="F1023" s="397"/>
      <c r="G1023" s="397"/>
      <c r="H1023" s="397"/>
      <c r="I1023" s="397"/>
      <c r="J1023" s="397"/>
      <c r="K1023" s="397"/>
      <c r="L1023" s="397"/>
      <c r="M1023" s="397"/>
      <c r="N1023" s="397"/>
      <c r="O1023" s="667"/>
    </row>
    <row r="1024" spans="1:15" ht="15.75" customHeight="1">
      <c r="A1024" s="395"/>
      <c r="B1024" s="399"/>
      <c r="C1024" s="1124"/>
      <c r="D1024" s="927"/>
      <c r="E1024" s="1207" t="str">
        <f>Datos!$C$9</f>
        <v>CONSEJO SUPERIOR  DE  JUDICATURA– DIRECCIÓN  EJECUTIVA  SECCIONAL  DE ADMINISTRACIÓN JUDICIAL DE BUCARAMANGA</v>
      </c>
      <c r="F1024" s="926"/>
      <c r="G1024" s="926"/>
      <c r="H1024" s="926"/>
      <c r="I1024" s="926"/>
      <c r="J1024" s="926"/>
      <c r="K1024" s="927"/>
      <c r="L1024" s="925" t="s">
        <v>1</v>
      </c>
      <c r="M1024" s="931"/>
      <c r="N1024" s="933">
        <v>1</v>
      </c>
      <c r="O1024" s="362"/>
    </row>
    <row r="1025" spans="1:15" ht="15.75" customHeight="1">
      <c r="A1025" s="395"/>
      <c r="B1025" s="399"/>
      <c r="C1025" s="920"/>
      <c r="D1025" s="924"/>
      <c r="E1025" s="920"/>
      <c r="F1025" s="922"/>
      <c r="G1025" s="922"/>
      <c r="H1025" s="922"/>
      <c r="I1025" s="922"/>
      <c r="J1025" s="922"/>
      <c r="K1025" s="924"/>
      <c r="L1025" s="920"/>
      <c r="M1025" s="932"/>
      <c r="N1025" s="934"/>
      <c r="O1025" s="362"/>
    </row>
    <row r="1026" spans="1:15" ht="15.75" customHeight="1">
      <c r="A1026" s="395"/>
      <c r="B1026" s="399"/>
      <c r="C1026" s="920"/>
      <c r="D1026" s="924"/>
      <c r="E1026" s="919" t="str">
        <f>Datos!$C$13</f>
        <v xml:space="preserve">BGA - 030 - 2026 </v>
      </c>
      <c r="F1026" s="922"/>
      <c r="G1026" s="922"/>
      <c r="H1026" s="922"/>
      <c r="I1026" s="922"/>
      <c r="J1026" s="922"/>
      <c r="K1026" s="922"/>
      <c r="L1026" s="925" t="s">
        <v>29</v>
      </c>
      <c r="M1026" s="926"/>
      <c r="N1026" s="927"/>
      <c r="O1026" s="362"/>
    </row>
    <row r="1027" spans="1:15" ht="15.75" customHeight="1">
      <c r="A1027" s="395"/>
      <c r="B1027" s="399"/>
      <c r="C1027" s="920"/>
      <c r="D1027" s="924"/>
      <c r="E102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027" s="922"/>
      <c r="G1027" s="922"/>
      <c r="H1027" s="922"/>
      <c r="I1027" s="922"/>
      <c r="J1027" s="922"/>
      <c r="K1027" s="924"/>
      <c r="L1027" s="919">
        <v>1</v>
      </c>
      <c r="M1027" s="921" t="s">
        <v>30</v>
      </c>
      <c r="N1027" s="923">
        <v>1</v>
      </c>
      <c r="O1027" s="362"/>
    </row>
    <row r="1028" spans="1:15" ht="15.75" customHeight="1">
      <c r="A1028" s="395"/>
      <c r="B1028" s="399"/>
      <c r="C1028" s="920"/>
      <c r="D1028" s="924"/>
      <c r="E1028" s="920"/>
      <c r="F1028" s="922"/>
      <c r="G1028" s="922"/>
      <c r="H1028" s="922"/>
      <c r="I1028" s="922"/>
      <c r="J1028" s="922"/>
      <c r="K1028" s="924"/>
      <c r="L1028" s="920"/>
      <c r="M1028" s="922"/>
      <c r="N1028" s="924"/>
      <c r="O1028" s="362"/>
    </row>
    <row r="1029" spans="1:15" ht="15.75" customHeight="1">
      <c r="A1029" s="395"/>
      <c r="B1029" s="399"/>
      <c r="C1029" s="920"/>
      <c r="D1029" s="924"/>
      <c r="E1029" s="920"/>
      <c r="F1029" s="922"/>
      <c r="G1029" s="922"/>
      <c r="H1029" s="922"/>
      <c r="I1029" s="922"/>
      <c r="J1029" s="922"/>
      <c r="K1029" s="924"/>
      <c r="L1029" s="925" t="s">
        <v>2</v>
      </c>
      <c r="M1029" s="926"/>
      <c r="N1029" s="927"/>
      <c r="O1029" s="362"/>
    </row>
    <row r="1030" spans="1:15" ht="15.75" customHeight="1">
      <c r="A1030" s="395"/>
      <c r="B1030" s="399"/>
      <c r="C1030" s="920"/>
      <c r="D1030" s="924"/>
      <c r="E1030" s="407"/>
      <c r="F1030" s="216"/>
      <c r="G1030" s="216"/>
      <c r="H1030" s="216"/>
      <c r="I1030" s="216"/>
      <c r="J1030" s="216"/>
      <c r="K1030" s="216"/>
      <c r="L1030" s="408" t="s">
        <v>3</v>
      </c>
      <c r="M1030" s="409" t="s">
        <v>4</v>
      </c>
      <c r="N1030" s="410" t="s">
        <v>5</v>
      </c>
      <c r="O1030" s="362"/>
    </row>
    <row r="1031" spans="1:15" ht="15.75" customHeight="1">
      <c r="A1031" s="395"/>
      <c r="B1031" s="399"/>
      <c r="C1031" s="920"/>
      <c r="D1031" s="924"/>
      <c r="E1031" s="1125" t="s">
        <v>1186</v>
      </c>
      <c r="F1031" s="945"/>
      <c r="G1031" s="945"/>
      <c r="H1031" s="945"/>
      <c r="I1031" s="945"/>
      <c r="J1031" s="945"/>
      <c r="K1031" s="945"/>
      <c r="L1031" s="928">
        <f>Datos!$C$7</f>
        <v>19</v>
      </c>
      <c r="M1031" s="935">
        <f>Datos!$D$7</f>
        <v>6</v>
      </c>
      <c r="N1031" s="937">
        <f>Datos!$E$7</f>
        <v>2026</v>
      </c>
      <c r="O1031" s="362"/>
    </row>
    <row r="1032" spans="1:15" ht="15.75" customHeight="1">
      <c r="A1032" s="395"/>
      <c r="B1032" s="399"/>
      <c r="C1032" s="929"/>
      <c r="D1032" s="938"/>
      <c r="E1032" s="929"/>
      <c r="F1032" s="936"/>
      <c r="G1032" s="936"/>
      <c r="H1032" s="936"/>
      <c r="I1032" s="936"/>
      <c r="J1032" s="936"/>
      <c r="K1032" s="936"/>
      <c r="L1032" s="929"/>
      <c r="M1032" s="936"/>
      <c r="N1032" s="938"/>
      <c r="O1032" s="362"/>
    </row>
    <row r="1033" spans="1:15" ht="15.75" customHeight="1">
      <c r="A1033" s="395"/>
      <c r="B1033" s="399"/>
      <c r="C1033" s="404"/>
      <c r="D1033" s="38"/>
      <c r="E1033" s="38"/>
      <c r="F1033" s="38"/>
      <c r="G1033" s="38"/>
      <c r="H1033" s="38"/>
      <c r="I1033" s="38"/>
      <c r="J1033" s="38"/>
      <c r="K1033" s="38"/>
      <c r="L1033" s="39"/>
      <c r="M1033" s="39"/>
      <c r="N1033" s="40"/>
      <c r="O1033" s="362"/>
    </row>
    <row r="1034" spans="1:15" ht="15.75" customHeight="1">
      <c r="A1034" s="395"/>
      <c r="B1034" s="399"/>
      <c r="C1034" s="412" t="s">
        <v>1187</v>
      </c>
      <c r="D1034" s="1199" t="str">
        <f>VLOOKUP(C1039,ListaAct,2,0)</f>
        <v>OBRA CIVIL</v>
      </c>
      <c r="E1034" s="922"/>
      <c r="F1034" s="922"/>
      <c r="G1034" s="922"/>
      <c r="H1034" s="922"/>
      <c r="I1034" s="922"/>
      <c r="J1034" s="922"/>
      <c r="K1034" s="922"/>
      <c r="L1034" s="922"/>
      <c r="M1034" s="1"/>
      <c r="N1034" s="413"/>
      <c r="O1034" s="362"/>
    </row>
    <row r="1035" spans="1:15" ht="15.75" customHeight="1">
      <c r="A1035" s="395"/>
      <c r="B1035" s="399"/>
      <c r="C1035" s="412" t="s">
        <v>1189</v>
      </c>
      <c r="D1035" s="1199" t="str">
        <f>VLOOKUP(C1039,ListaAct,3,0)</f>
        <v>PERFORACIONES</v>
      </c>
      <c r="E1035" s="922"/>
      <c r="F1035" s="922"/>
      <c r="G1035" s="922"/>
      <c r="H1035" s="922"/>
      <c r="I1035" s="922"/>
      <c r="J1035" s="922"/>
      <c r="K1035" s="922"/>
      <c r="L1035" s="922"/>
      <c r="M1035" s="1"/>
      <c r="N1035" s="413"/>
      <c r="O1035" s="362"/>
    </row>
    <row r="1036" spans="1:15" ht="15.75" customHeight="1">
      <c r="A1036" s="395"/>
      <c r="B1036" s="399"/>
      <c r="C1036" s="925" t="s">
        <v>1191</v>
      </c>
      <c r="D1036" s="926"/>
      <c r="E1036" s="926"/>
      <c r="F1036" s="926"/>
      <c r="G1036" s="926"/>
      <c r="H1036" s="926"/>
      <c r="I1036" s="926"/>
      <c r="J1036" s="926"/>
      <c r="K1036" s="926"/>
      <c r="L1036" s="926"/>
      <c r="M1036" s="926"/>
      <c r="N1036" s="927"/>
      <c r="O1036" s="362"/>
    </row>
    <row r="1037" spans="1:15" ht="15.75" customHeight="1">
      <c r="A1037" s="395"/>
      <c r="B1037" s="399"/>
      <c r="C1037" s="418"/>
      <c r="D1037" s="39"/>
      <c r="E1037" s="39"/>
      <c r="F1037" s="39"/>
      <c r="G1037" s="39"/>
      <c r="H1037" s="39"/>
      <c r="I1037" s="39"/>
      <c r="J1037" s="39"/>
      <c r="K1037" s="39"/>
      <c r="L1037" s="39"/>
      <c r="M1037" s="39"/>
      <c r="N1037" s="40"/>
      <c r="O1037" s="362"/>
    </row>
    <row r="1038" spans="1:15" ht="15.75" customHeight="1">
      <c r="A1038" s="395"/>
      <c r="B1038" s="399"/>
      <c r="C1038" s="668" t="s">
        <v>965</v>
      </c>
      <c r="D1038" s="1200" t="s">
        <v>17</v>
      </c>
      <c r="E1038" s="1131"/>
      <c r="F1038" s="1131"/>
      <c r="G1038" s="1131"/>
      <c r="H1038" s="1131"/>
      <c r="I1038" s="1131"/>
      <c r="J1038" s="1131"/>
      <c r="K1038" s="1137"/>
      <c r="L1038" s="1201" t="s">
        <v>1192</v>
      </c>
      <c r="M1038" s="1137"/>
      <c r="N1038" s="668" t="s">
        <v>950</v>
      </c>
      <c r="O1038" s="362"/>
    </row>
    <row r="1039" spans="1:15" ht="26.25" customHeight="1">
      <c r="A1039" s="395"/>
      <c r="B1039" s="421"/>
      <c r="C1039" s="669" t="s">
        <v>1018</v>
      </c>
      <c r="D1039" s="1202" t="str">
        <f>IF($C1039&gt;0,(VLOOKUP($C1039,ListaAct,4,FALSE)),"")</f>
        <v xml:space="preserve"> Perforaciones en muros de bahareque y tapia pisada con broca especial y tecnica de protección sin perdida o arrastre del material del muro con inyección de lechada tradicional. </v>
      </c>
      <c r="E1039" s="979"/>
      <c r="F1039" s="979"/>
      <c r="G1039" s="979"/>
      <c r="H1039" s="979"/>
      <c r="I1039" s="979"/>
      <c r="J1039" s="979"/>
      <c r="K1039" s="980"/>
      <c r="L1039" s="1203" t="str">
        <f>IF($C1039&gt;0,(VLOOKUP($C1039,ListaAct,5,FALSE)),"")</f>
        <v>m2</v>
      </c>
      <c r="M1039" s="980"/>
      <c r="N1039" s="423">
        <f>IF($C1039&gt;0,(VLOOKUP($C1039,ListaAct,6,FALSE)),"")</f>
        <v>152.78</v>
      </c>
      <c r="O1039" s="362"/>
    </row>
    <row r="1040" spans="1:15" ht="15.75" customHeight="1">
      <c r="A1040" s="395"/>
      <c r="B1040" s="399"/>
      <c r="C1040" s="1129" t="s">
        <v>1195</v>
      </c>
      <c r="D1040" s="926"/>
      <c r="E1040" s="926"/>
      <c r="F1040" s="926"/>
      <c r="G1040" s="926"/>
      <c r="H1040" s="926"/>
      <c r="I1040" s="926"/>
      <c r="J1040" s="926"/>
      <c r="K1040" s="926"/>
      <c r="L1040" s="926"/>
      <c r="M1040" s="926"/>
      <c r="N1040" s="927"/>
      <c r="O1040" s="362"/>
    </row>
    <row r="1041" spans="1:17" ht="15.75" customHeight="1">
      <c r="A1041" s="395"/>
      <c r="B1041" s="399"/>
      <c r="C1041" s="920"/>
      <c r="D1041" s="922"/>
      <c r="E1041" s="922"/>
      <c r="F1041" s="922"/>
      <c r="G1041" s="922"/>
      <c r="H1041" s="922"/>
      <c r="I1041" s="922"/>
      <c r="J1041" s="922"/>
      <c r="K1041" s="922"/>
      <c r="L1041" s="922"/>
      <c r="M1041" s="922"/>
      <c r="N1041" s="924"/>
      <c r="O1041" s="362"/>
    </row>
    <row r="1042" spans="1:17" ht="15.75" customHeight="1">
      <c r="A1042" s="395"/>
      <c r="B1042" s="399"/>
      <c r="C1042" s="929"/>
      <c r="D1042" s="936"/>
      <c r="E1042" s="936"/>
      <c r="F1042" s="936"/>
      <c r="G1042" s="936"/>
      <c r="H1042" s="936"/>
      <c r="I1042" s="936"/>
      <c r="J1042" s="936"/>
      <c r="K1042" s="936"/>
      <c r="L1042" s="936"/>
      <c r="M1042" s="936"/>
      <c r="N1042" s="938"/>
      <c r="O1042" s="362"/>
    </row>
    <row r="1043" spans="1:17" ht="15.75" customHeight="1">
      <c r="A1043" s="395"/>
      <c r="B1043" s="399"/>
      <c r="C1043" s="1201" t="s">
        <v>17</v>
      </c>
      <c r="D1043" s="1131"/>
      <c r="E1043" s="1131"/>
      <c r="F1043" s="1000"/>
      <c r="G1043" s="1204" t="s">
        <v>1196</v>
      </c>
      <c r="H1043" s="1000"/>
      <c r="I1043" s="1204" t="s">
        <v>1197</v>
      </c>
      <c r="J1043" s="1000"/>
      <c r="K1043" s="670" t="s">
        <v>1213</v>
      </c>
      <c r="L1043" s="1204" t="s">
        <v>1199</v>
      </c>
      <c r="M1043" s="1000"/>
      <c r="N1043" s="671" t="s">
        <v>1200</v>
      </c>
      <c r="O1043" s="362"/>
    </row>
    <row r="1044" spans="1:17" ht="15.75" customHeight="1">
      <c r="A1044" s="395"/>
      <c r="B1044" s="399"/>
      <c r="C1044" s="1128" t="s">
        <v>1201</v>
      </c>
      <c r="D1044" s="940"/>
      <c r="E1044" s="940"/>
      <c r="F1044" s="941"/>
      <c r="G1044" s="1142"/>
      <c r="H1044" s="941"/>
      <c r="I1044" s="1142"/>
      <c r="J1044" s="941"/>
      <c r="K1044" s="429"/>
      <c r="L1044" s="1143">
        <v>0.05</v>
      </c>
      <c r="M1044" s="941"/>
      <c r="N1044" s="430">
        <f>+L1044*N1083</f>
        <v>923.20649059027824</v>
      </c>
      <c r="O1044" s="362"/>
    </row>
    <row r="1045" spans="1:17" ht="15.75" customHeight="1">
      <c r="A1045" s="395" t="str">
        <f t="array" ref="A1045">IF(C1045&lt;&gt;0,INDEX(CodEquipos,MATCH(C1045,Equipos,0),),)</f>
        <v>MEQ-49</v>
      </c>
      <c r="B1045" s="399"/>
      <c r="C1045" s="1128" t="s">
        <v>2506</v>
      </c>
      <c r="D1045" s="940"/>
      <c r="E1045" s="940"/>
      <c r="F1045" s="941"/>
      <c r="G1045" s="1142"/>
      <c r="H1045" s="941"/>
      <c r="I1045" s="1142"/>
      <c r="J1045" s="941"/>
      <c r="K1045" s="432">
        <f>IF($A1045&gt;0,(VLOOKUP($A1045,TablaEquipos,7,FALSE)),"")</f>
        <v>42744.089239194</v>
      </c>
      <c r="L1045" s="1146">
        <v>0.05</v>
      </c>
      <c r="M1045" s="941"/>
      <c r="N1045" s="430">
        <f>IF(L1045&gt;0,K1045*L1045,"")</f>
        <v>2137.2044619597</v>
      </c>
      <c r="O1045" s="362"/>
    </row>
    <row r="1046" spans="1:17" ht="15.75" customHeight="1">
      <c r="A1046" s="395" t="str">
        <f t="array" ref="A1046">IF(C1046&lt;&gt;0,INDEX(CodEquipos,MATCH(C1046,Equipos,0),),)</f>
        <v>EQ-26</v>
      </c>
      <c r="B1046" s="399"/>
      <c r="C1046" s="1128" t="s">
        <v>2507</v>
      </c>
      <c r="D1046" s="940"/>
      <c r="E1046" s="940"/>
      <c r="F1046" s="941"/>
      <c r="G1046" s="1142"/>
      <c r="H1046" s="941"/>
      <c r="I1046" s="1142"/>
      <c r="J1046" s="941"/>
      <c r="K1046" s="432">
        <f>IF($A1046&gt;0,(VLOOKUP($A1046,TablaEquipos,7,FALSE)),"")</f>
        <v>69000</v>
      </c>
      <c r="L1046" s="1146">
        <f t="shared" ref="L1046" si="83">L1045</f>
        <v>0.05</v>
      </c>
      <c r="M1046" s="941"/>
      <c r="N1046" s="430">
        <f>IF(L1046&gt;0,K1046*L1046,"")</f>
        <v>3450</v>
      </c>
      <c r="O1046" s="362"/>
    </row>
    <row r="1047" spans="1:17" ht="15.75" customHeight="1">
      <c r="A1047" s="395" t="str">
        <f t="array" ref="A1047">IF(C1047&lt;&gt;0,INDEX(CodEquipos,MATCH(C1047,Equipos,0),),)</f>
        <v>EQ-18</v>
      </c>
      <c r="B1047" s="399"/>
      <c r="C1047" s="1128" t="s">
        <v>2510</v>
      </c>
      <c r="D1047" s="940"/>
      <c r="E1047" s="940"/>
      <c r="F1047" s="941"/>
      <c r="G1047" s="1142"/>
      <c r="H1047" s="941"/>
      <c r="I1047" s="1142"/>
      <c r="J1047" s="941"/>
      <c r="K1047" s="432">
        <f>IF($A1047&gt;0,(VLOOKUP($A1047,TablaEquipos,7,FALSE)),"")</f>
        <v>195499.99999999997</v>
      </c>
      <c r="L1047" s="1146">
        <v>0.1</v>
      </c>
      <c r="M1047" s="941"/>
      <c r="N1047" s="430">
        <f>IF(L1047&gt;0,K1047*L1047,"")</f>
        <v>19549.999999999996</v>
      </c>
      <c r="O1047" s="362"/>
    </row>
    <row r="1048" spans="1:17" ht="15.75" customHeight="1">
      <c r="A1048" s="395">
        <f t="array" ref="A1048">IF(C1048&lt;&gt;0,INDEX(CodEquipos,MATCH(C1048,Equipos,0),),)</f>
        <v>0</v>
      </c>
      <c r="B1048" s="399"/>
      <c r="C1048" s="1128"/>
      <c r="D1048" s="940"/>
      <c r="E1048" s="940"/>
      <c r="F1048" s="941"/>
      <c r="G1048" s="1142"/>
      <c r="H1048" s="941"/>
      <c r="I1048" s="1142"/>
      <c r="J1048" s="941"/>
      <c r="K1048" s="432" t="str">
        <f>IF($A1048&gt;0,(VLOOKUP($A1048,TablaEquipos,7,FALSE)),"")</f>
        <v/>
      </c>
      <c r="L1048" s="1141"/>
      <c r="M1048" s="941"/>
      <c r="N1048" s="430" t="str">
        <f t="shared" ref="N1048:N1049" si="84">IF(L1048&gt;0,K1048/L1048,"")</f>
        <v/>
      </c>
      <c r="O1048" s="362"/>
    </row>
    <row r="1049" spans="1:17" ht="15.75" customHeight="1">
      <c r="A1049" s="395">
        <f t="array" ref="A1049">IF(C1049&lt;&gt;0,INDEX(CodEquipos,MATCH(C1049,Equipos,0),),)</f>
        <v>0</v>
      </c>
      <c r="B1049" s="399"/>
      <c r="C1049" s="1128"/>
      <c r="D1049" s="940"/>
      <c r="E1049" s="940"/>
      <c r="F1049" s="941"/>
      <c r="G1049" s="1144"/>
      <c r="H1049" s="1145"/>
      <c r="I1049" s="1144"/>
      <c r="J1049" s="1145"/>
      <c r="K1049" s="432" t="str">
        <f>IF($A1049&gt;0,(VLOOKUP($A1049,TablaEquipos,7,FALSE)),"")</f>
        <v/>
      </c>
      <c r="L1049" s="1208"/>
      <c r="M1049" s="1145"/>
      <c r="N1049" s="430" t="str">
        <f t="shared" si="84"/>
        <v/>
      </c>
      <c r="O1049" s="362"/>
    </row>
    <row r="1050" spans="1:17" ht="15.75" customHeight="1">
      <c r="A1050" s="395"/>
      <c r="B1050" s="399"/>
      <c r="C1050" s="1127" t="s">
        <v>1202</v>
      </c>
      <c r="D1050" s="965"/>
      <c r="E1050" s="965"/>
      <c r="F1050" s="965"/>
      <c r="G1050" s="965"/>
      <c r="H1050" s="965"/>
      <c r="I1050" s="965"/>
      <c r="J1050" s="965"/>
      <c r="K1050" s="965"/>
      <c r="L1050" s="965"/>
      <c r="M1050" s="966"/>
      <c r="N1050" s="433">
        <f>+SUM(N1044:N1049)</f>
        <v>26060.410952549973</v>
      </c>
      <c r="O1050" s="362"/>
    </row>
    <row r="1051" spans="1:17" ht="15.75" customHeight="1">
      <c r="A1051" s="395"/>
      <c r="B1051" s="399"/>
      <c r="C1051" s="1129" t="s">
        <v>1203</v>
      </c>
      <c r="D1051" s="926"/>
      <c r="E1051" s="926"/>
      <c r="F1051" s="926"/>
      <c r="G1051" s="926"/>
      <c r="H1051" s="926"/>
      <c r="I1051" s="926"/>
      <c r="J1051" s="926"/>
      <c r="K1051" s="926"/>
      <c r="L1051" s="926"/>
      <c r="M1051" s="926"/>
      <c r="N1051" s="927"/>
      <c r="O1051" s="362"/>
    </row>
    <row r="1052" spans="1:17" ht="15.75" customHeight="1">
      <c r="A1052" s="395"/>
      <c r="B1052" s="399"/>
      <c r="C1052" s="920"/>
      <c r="D1052" s="922"/>
      <c r="E1052" s="922"/>
      <c r="F1052" s="922"/>
      <c r="G1052" s="922"/>
      <c r="H1052" s="922"/>
      <c r="I1052" s="922"/>
      <c r="J1052" s="922"/>
      <c r="K1052" s="922"/>
      <c r="L1052" s="922"/>
      <c r="M1052" s="922"/>
      <c r="N1052" s="924"/>
      <c r="O1052" s="362"/>
    </row>
    <row r="1053" spans="1:17" ht="15.75" customHeight="1">
      <c r="A1053" s="395"/>
      <c r="B1053" s="399"/>
      <c r="C1053" s="929"/>
      <c r="D1053" s="936"/>
      <c r="E1053" s="936"/>
      <c r="F1053" s="936"/>
      <c r="G1053" s="936"/>
      <c r="H1053" s="936"/>
      <c r="I1053" s="936"/>
      <c r="J1053" s="936"/>
      <c r="K1053" s="936"/>
      <c r="L1053" s="936"/>
      <c r="M1053" s="936"/>
      <c r="N1053" s="938"/>
      <c r="O1053" s="362"/>
    </row>
    <row r="1054" spans="1:17" ht="15.75" customHeight="1">
      <c r="A1054" s="395"/>
      <c r="B1054" s="399"/>
      <c r="C1054" s="1201" t="s">
        <v>17</v>
      </c>
      <c r="D1054" s="1131"/>
      <c r="E1054" s="1131"/>
      <c r="F1054" s="1131"/>
      <c r="G1054" s="1131"/>
      <c r="H1054" s="1131"/>
      <c r="I1054" s="1000"/>
      <c r="J1054" s="672" t="s">
        <v>1192</v>
      </c>
      <c r="K1054" s="670" t="s">
        <v>950</v>
      </c>
      <c r="L1054" s="1204" t="s">
        <v>1204</v>
      </c>
      <c r="M1054" s="1000"/>
      <c r="N1054" s="671" t="s">
        <v>1200</v>
      </c>
      <c r="O1054" s="362"/>
    </row>
    <row r="1055" spans="1:17" ht="15.75" customHeight="1">
      <c r="A1055" s="395" t="str">
        <f t="array" ref="A1055">IF(C1055&lt;&gt;0,INDEX(CodMat,MATCH(C1055,Materiales,0),),)</f>
        <v>MAT_C-80</v>
      </c>
      <c r="B1055" s="399"/>
      <c r="C1055" s="1128" t="s">
        <v>2508</v>
      </c>
      <c r="D1055" s="940"/>
      <c r="E1055" s="940"/>
      <c r="F1055" s="940"/>
      <c r="G1055" s="940"/>
      <c r="H1055" s="940"/>
      <c r="I1055" s="941"/>
      <c r="J1055" s="435" t="str">
        <f t="shared" ref="J1055:J1062" si="85">IF($A1055&gt;0,(VLOOKUP($A1055,TablaInsumos,5,FALSE)),"")</f>
        <v>KILO</v>
      </c>
      <c r="K1055" s="673">
        <v>1.05</v>
      </c>
      <c r="L1055" s="1134">
        <f t="shared" ref="L1055:L1062" si="86">IF($A1055&gt;0,(VLOOKUP($A1055,TablaInsumos,7,FALSE)),"")</f>
        <v>25300</v>
      </c>
      <c r="M1055" s="941"/>
      <c r="N1055" s="430">
        <f t="shared" ref="N1055:N1062" si="87">IF(K1055&gt;0,L1055*K1055,"")</f>
        <v>26565</v>
      </c>
      <c r="O1055" s="362"/>
    </row>
    <row r="1056" spans="1:17" ht="15.75" customHeight="1">
      <c r="A1056" s="395" t="str">
        <f t="array" ref="A1056">IF(C1056&lt;&gt;0,INDEX(CodMat,MATCH(C1056,Materiales,0),),)</f>
        <v>MAT_CON-13</v>
      </c>
      <c r="B1056" s="399"/>
      <c r="C1056" s="1128" t="s">
        <v>1982</v>
      </c>
      <c r="D1056" s="940"/>
      <c r="E1056" s="940"/>
      <c r="F1056" s="940"/>
      <c r="G1056" s="940"/>
      <c r="H1056" s="940"/>
      <c r="I1056" s="941"/>
      <c r="J1056" s="435" t="str">
        <f t="shared" si="85"/>
        <v xml:space="preserve">UND </v>
      </c>
      <c r="K1056" s="673">
        <v>0.03</v>
      </c>
      <c r="L1056" s="1134">
        <f t="shared" si="86"/>
        <v>36900</v>
      </c>
      <c r="M1056" s="941"/>
      <c r="N1056" s="430">
        <f t="shared" si="87"/>
        <v>1107</v>
      </c>
      <c r="O1056" s="362"/>
      <c r="Q1056" s="688"/>
    </row>
    <row r="1057" spans="1:17" ht="15.75" customHeight="1">
      <c r="A1057" s="395">
        <f t="array" ref="A1057">IF(C1057&lt;&gt;0,INDEX(CodMat,MATCH(C1057,Materiales,0),),)</f>
        <v>0</v>
      </c>
      <c r="B1057" s="399"/>
      <c r="C1057" s="1128"/>
      <c r="D1057" s="940"/>
      <c r="E1057" s="940"/>
      <c r="F1057" s="940"/>
      <c r="G1057" s="940"/>
      <c r="H1057" s="940"/>
      <c r="I1057" s="941"/>
      <c r="J1057" s="435" t="str">
        <f t="shared" si="85"/>
        <v/>
      </c>
      <c r="K1057" s="673"/>
      <c r="L1057" s="1134" t="str">
        <f t="shared" si="86"/>
        <v/>
      </c>
      <c r="M1057" s="941"/>
      <c r="N1057" s="430" t="str">
        <f t="shared" si="87"/>
        <v/>
      </c>
      <c r="O1057" s="362"/>
      <c r="Q1057" s="687"/>
    </row>
    <row r="1058" spans="1:17" ht="15.75" customHeight="1">
      <c r="A1058" s="395">
        <f t="array" ref="A1058">IF(C1058&lt;&gt;0,INDEX(CodMat,MATCH(C1058,Materiales,0),),)</f>
        <v>0</v>
      </c>
      <c r="B1058" s="399"/>
      <c r="C1058" s="1128"/>
      <c r="D1058" s="940"/>
      <c r="E1058" s="940"/>
      <c r="F1058" s="940"/>
      <c r="G1058" s="940"/>
      <c r="H1058" s="940"/>
      <c r="I1058" s="941"/>
      <c r="J1058" s="435" t="str">
        <f t="shared" si="85"/>
        <v/>
      </c>
      <c r="K1058" s="673"/>
      <c r="L1058" s="1134" t="str">
        <f t="shared" si="86"/>
        <v/>
      </c>
      <c r="M1058" s="941"/>
      <c r="N1058" s="430" t="str">
        <f t="shared" si="87"/>
        <v/>
      </c>
      <c r="O1058" s="362"/>
    </row>
    <row r="1059" spans="1:17" ht="15.75" customHeight="1">
      <c r="A1059" s="395">
        <f t="array" ref="A1059">IF(C1059&lt;&gt;0,INDEX(CodMat,MATCH(C1059,Materiales,0),),)</f>
        <v>0</v>
      </c>
      <c r="B1059" s="399"/>
      <c r="C1059" s="1128"/>
      <c r="D1059" s="940"/>
      <c r="E1059" s="940"/>
      <c r="F1059" s="940"/>
      <c r="G1059" s="940"/>
      <c r="H1059" s="940"/>
      <c r="I1059" s="941"/>
      <c r="J1059" s="435" t="str">
        <f t="shared" si="85"/>
        <v/>
      </c>
      <c r="K1059" s="436"/>
      <c r="L1059" s="1134" t="str">
        <f t="shared" si="86"/>
        <v/>
      </c>
      <c r="M1059" s="941"/>
      <c r="N1059" s="430" t="str">
        <f t="shared" si="87"/>
        <v/>
      </c>
      <c r="O1059" s="362"/>
    </row>
    <row r="1060" spans="1:17" ht="15.75" customHeight="1">
      <c r="A1060" s="395">
        <f t="array" ref="A1060">IF(C1060&lt;&gt;0,INDEX(CodMat,MATCH(C1060,Materiales,0),),)</f>
        <v>0</v>
      </c>
      <c r="B1060" s="399"/>
      <c r="C1060" s="1128"/>
      <c r="D1060" s="940"/>
      <c r="E1060" s="940"/>
      <c r="F1060" s="940"/>
      <c r="G1060" s="940"/>
      <c r="H1060" s="940"/>
      <c r="I1060" s="941"/>
      <c r="J1060" s="435" t="str">
        <f t="shared" si="85"/>
        <v/>
      </c>
      <c r="K1060" s="436"/>
      <c r="L1060" s="1134" t="str">
        <f t="shared" si="86"/>
        <v/>
      </c>
      <c r="M1060" s="941"/>
      <c r="N1060" s="430" t="str">
        <f t="shared" si="87"/>
        <v/>
      </c>
      <c r="O1060" s="362"/>
    </row>
    <row r="1061" spans="1:17" ht="15.75" customHeight="1">
      <c r="A1061" s="395">
        <f t="array" ref="A1061">IF(C1061&lt;&gt;0,INDEX(CodMat,MATCH(C1061,Materiales,0),),)</f>
        <v>0</v>
      </c>
      <c r="B1061" s="399"/>
      <c r="C1061" s="1128"/>
      <c r="D1061" s="940"/>
      <c r="E1061" s="940"/>
      <c r="F1061" s="940"/>
      <c r="G1061" s="940"/>
      <c r="H1061" s="940"/>
      <c r="I1061" s="941"/>
      <c r="J1061" s="435" t="str">
        <f t="shared" si="85"/>
        <v/>
      </c>
      <c r="K1061" s="436"/>
      <c r="L1061" s="1134" t="str">
        <f t="shared" si="86"/>
        <v/>
      </c>
      <c r="M1061" s="941"/>
      <c r="N1061" s="430" t="str">
        <f t="shared" si="87"/>
        <v/>
      </c>
      <c r="O1061" s="362"/>
    </row>
    <row r="1062" spans="1:17" ht="15.75" customHeight="1">
      <c r="A1062" s="395">
        <f t="array" ref="A1062">IF(C1062&lt;&gt;0,INDEX(CodMat,MATCH(C1062,Materiales,0),),)</f>
        <v>0</v>
      </c>
      <c r="B1062" s="399"/>
      <c r="C1062" s="1128"/>
      <c r="D1062" s="940"/>
      <c r="E1062" s="940"/>
      <c r="F1062" s="940"/>
      <c r="G1062" s="940"/>
      <c r="H1062" s="940"/>
      <c r="I1062" s="941"/>
      <c r="J1062" s="435" t="str">
        <f t="shared" si="85"/>
        <v/>
      </c>
      <c r="K1062" s="436"/>
      <c r="L1062" s="1205" t="str">
        <f t="shared" si="86"/>
        <v/>
      </c>
      <c r="M1062" s="1145"/>
      <c r="N1062" s="430" t="str">
        <f t="shared" si="87"/>
        <v/>
      </c>
      <c r="O1062" s="362"/>
    </row>
    <row r="1063" spans="1:17" ht="15.75" customHeight="1">
      <c r="A1063" s="395"/>
      <c r="B1063" s="399"/>
      <c r="C1063" s="1127" t="s">
        <v>1202</v>
      </c>
      <c r="D1063" s="965"/>
      <c r="E1063" s="965"/>
      <c r="F1063" s="965"/>
      <c r="G1063" s="965"/>
      <c r="H1063" s="965"/>
      <c r="I1063" s="965"/>
      <c r="J1063" s="965"/>
      <c r="K1063" s="965"/>
      <c r="L1063" s="965"/>
      <c r="M1063" s="966"/>
      <c r="N1063" s="433">
        <f>+SUM(N1055:N1062)</f>
        <v>27672</v>
      </c>
      <c r="O1063" s="362"/>
    </row>
    <row r="1064" spans="1:17" ht="15.75" customHeight="1">
      <c r="A1064" s="395"/>
      <c r="B1064" s="399"/>
      <c r="C1064" s="1129" t="s">
        <v>1208</v>
      </c>
      <c r="D1064" s="926"/>
      <c r="E1064" s="926"/>
      <c r="F1064" s="926"/>
      <c r="G1064" s="926"/>
      <c r="H1064" s="926"/>
      <c r="I1064" s="926"/>
      <c r="J1064" s="926"/>
      <c r="K1064" s="926"/>
      <c r="L1064" s="926"/>
      <c r="M1064" s="926"/>
      <c r="N1064" s="927"/>
      <c r="O1064" s="362"/>
    </row>
    <row r="1065" spans="1:17" ht="15.75" customHeight="1">
      <c r="A1065" s="395"/>
      <c r="B1065" s="399"/>
      <c r="C1065" s="920"/>
      <c r="D1065" s="922"/>
      <c r="E1065" s="922"/>
      <c r="F1065" s="922"/>
      <c r="G1065" s="922"/>
      <c r="H1065" s="922"/>
      <c r="I1065" s="922"/>
      <c r="J1065" s="922"/>
      <c r="K1065" s="922"/>
      <c r="L1065" s="922"/>
      <c r="M1065" s="922"/>
      <c r="N1065" s="924"/>
      <c r="O1065" s="362"/>
    </row>
    <row r="1066" spans="1:17" ht="15.75" customHeight="1">
      <c r="A1066" s="395"/>
      <c r="B1066" s="399"/>
      <c r="C1066" s="929"/>
      <c r="D1066" s="936"/>
      <c r="E1066" s="936"/>
      <c r="F1066" s="936"/>
      <c r="G1066" s="936"/>
      <c r="H1066" s="936"/>
      <c r="I1066" s="936"/>
      <c r="J1066" s="936"/>
      <c r="K1066" s="936"/>
      <c r="L1066" s="936"/>
      <c r="M1066" s="936"/>
      <c r="N1066" s="938"/>
      <c r="O1066" s="362"/>
    </row>
    <row r="1067" spans="1:17" ht="15.75" customHeight="1">
      <c r="A1067" s="395"/>
      <c r="B1067" s="399"/>
      <c r="C1067" s="1201" t="s">
        <v>1209</v>
      </c>
      <c r="D1067" s="1131"/>
      <c r="E1067" s="1131"/>
      <c r="F1067" s="1131"/>
      <c r="G1067" s="1131"/>
      <c r="H1067" s="1000"/>
      <c r="I1067" s="670" t="s">
        <v>1210</v>
      </c>
      <c r="J1067" s="674" t="s">
        <v>1211</v>
      </c>
      <c r="K1067" s="675" t="s">
        <v>2318</v>
      </c>
      <c r="L1067" s="1204" t="s">
        <v>1213</v>
      </c>
      <c r="M1067" s="1000"/>
      <c r="N1067" s="671" t="s">
        <v>1200</v>
      </c>
      <c r="O1067" s="362"/>
    </row>
    <row r="1068" spans="1:17" ht="15.75" customHeight="1">
      <c r="A1068" s="395">
        <f t="array" ref="A1068">IF(C1068&lt;&gt;0,INDEX(CodTransporte,MATCH(C1068,Transporte,0),),)</f>
        <v>0</v>
      </c>
      <c r="B1068" s="399"/>
      <c r="C1068" s="1128"/>
      <c r="D1068" s="940"/>
      <c r="E1068" s="940"/>
      <c r="F1068" s="940"/>
      <c r="G1068" s="940"/>
      <c r="H1068" s="940"/>
      <c r="I1068" s="440"/>
      <c r="J1068" s="441" t="str">
        <f>IF($A1068&gt;0,(VLOOKUP($A1068,TablaTransporte,6,FALSE)),"")</f>
        <v/>
      </c>
      <c r="K1068" s="442" t="str">
        <f>IF($A1068&gt;0,(VLOOKUP($A1068,TablaTransporte,5,FALSE)),"")</f>
        <v/>
      </c>
      <c r="L1068" s="1134" t="str">
        <f>IF($A1068&gt;0,(VLOOKUP($A1068,TablaTransporte,7,FALSE)),"")</f>
        <v/>
      </c>
      <c r="M1068" s="941"/>
      <c r="N1068" s="430" t="str">
        <f t="shared" ref="N1068:N1072" si="88">IF(I1068&gt;0,J1068*L1068*I1068,"")</f>
        <v/>
      </c>
      <c r="O1068" s="362"/>
    </row>
    <row r="1069" spans="1:17" ht="15.75" customHeight="1">
      <c r="A1069" s="395">
        <f t="array" ref="A1069">IF(C1069&lt;&gt;0,INDEX(CodTransporte,MATCH(C1069,Transporte,0),),)</f>
        <v>0</v>
      </c>
      <c r="B1069" s="399"/>
      <c r="C1069" s="1128"/>
      <c r="D1069" s="940"/>
      <c r="E1069" s="940"/>
      <c r="F1069" s="940"/>
      <c r="G1069" s="940"/>
      <c r="H1069" s="940"/>
      <c r="I1069" s="440"/>
      <c r="J1069" s="441" t="str">
        <f>IF($A1069&gt;0,(VLOOKUP($A1069,TablaTransporte,6,FALSE)),"")</f>
        <v/>
      </c>
      <c r="K1069" s="442" t="str">
        <f>IF($A1069&gt;0,(VLOOKUP($A1069,TablaTransporte,5,FALSE)),"")</f>
        <v/>
      </c>
      <c r="L1069" s="1134" t="str">
        <f>IF($A1069&gt;0,(VLOOKUP($A1069,TablaTransporte,7,FALSE)),"")</f>
        <v/>
      </c>
      <c r="M1069" s="941"/>
      <c r="N1069" s="430" t="str">
        <f t="shared" si="88"/>
        <v/>
      </c>
      <c r="O1069" s="362"/>
    </row>
    <row r="1070" spans="1:17" ht="15.75" customHeight="1">
      <c r="A1070" s="395">
        <f t="array" ref="A1070">IF(C1070&lt;&gt;0,INDEX(CodTransporte,MATCH(C1070,Transporte,0),),)</f>
        <v>0</v>
      </c>
      <c r="B1070" s="399"/>
      <c r="C1070" s="1128"/>
      <c r="D1070" s="940"/>
      <c r="E1070" s="940"/>
      <c r="F1070" s="940"/>
      <c r="G1070" s="940"/>
      <c r="H1070" s="940"/>
      <c r="I1070" s="440"/>
      <c r="J1070" s="441" t="str">
        <f>IF($A1070&gt;0,(VLOOKUP($A1070,TablaTransporte,6,FALSE)),"")</f>
        <v/>
      </c>
      <c r="K1070" s="442" t="str">
        <f>IF($A1070&gt;0,(VLOOKUP($A1070,TablaTransporte,5,FALSE)),"")</f>
        <v/>
      </c>
      <c r="L1070" s="1134" t="str">
        <f>IF($A1070&gt;0,(VLOOKUP($A1070,TablaTransporte,7,FALSE)),"")</f>
        <v/>
      </c>
      <c r="M1070" s="941"/>
      <c r="N1070" s="430" t="str">
        <f t="shared" si="88"/>
        <v/>
      </c>
      <c r="O1070" s="362"/>
    </row>
    <row r="1071" spans="1:17" ht="15.75" customHeight="1">
      <c r="A1071" s="395">
        <f t="array" ref="A1071">IF(C1071&lt;&gt;0,INDEX(CodTransporte,MATCH(C1071,Transporte,0),),)</f>
        <v>0</v>
      </c>
      <c r="B1071" s="399"/>
      <c r="C1071" s="1128"/>
      <c r="D1071" s="940"/>
      <c r="E1071" s="940"/>
      <c r="F1071" s="940"/>
      <c r="G1071" s="940"/>
      <c r="H1071" s="940"/>
      <c r="I1071" s="440"/>
      <c r="J1071" s="441" t="str">
        <f>IF($A1071&gt;0,(VLOOKUP($A1071,TablaTransporte,6,FALSE)),"")</f>
        <v/>
      </c>
      <c r="K1071" s="442" t="str">
        <f>IF($A1071&gt;0,(VLOOKUP($A1071,TablaTransporte,5,FALSE)),"")</f>
        <v/>
      </c>
      <c r="L1071" s="1134" t="str">
        <f>IF($A1071&gt;0,(VLOOKUP($A1071,TablaTransporte,7,FALSE)),"")</f>
        <v/>
      </c>
      <c r="M1071" s="941"/>
      <c r="N1071" s="430" t="str">
        <f t="shared" si="88"/>
        <v/>
      </c>
      <c r="O1071" s="362"/>
    </row>
    <row r="1072" spans="1:17" ht="15.75" customHeight="1">
      <c r="A1072" s="395">
        <f t="array" ref="A1072">IF(C1072&lt;&gt;0,INDEX(CodTransporte,MATCH(C1072,Transporte,0),),)</f>
        <v>0</v>
      </c>
      <c r="B1072" s="399"/>
      <c r="C1072" s="1128"/>
      <c r="D1072" s="940"/>
      <c r="E1072" s="940"/>
      <c r="F1072" s="940"/>
      <c r="G1072" s="940"/>
      <c r="H1072" s="940"/>
      <c r="I1072" s="440"/>
      <c r="J1072" s="441" t="str">
        <f>IF($A1072&gt;0,(VLOOKUP($A1072,TablaTransporte,6,FALSE)),"")</f>
        <v/>
      </c>
      <c r="K1072" s="442" t="str">
        <f>IF($A1072&gt;0,(VLOOKUP($A1072,TablaTransporte,5,FALSE)),"")</f>
        <v/>
      </c>
      <c r="L1072" s="1205" t="str">
        <f>IF($A1072&gt;0,(VLOOKUP($A1072,TablaTransporte,7,FALSE)),"")</f>
        <v/>
      </c>
      <c r="M1072" s="1145"/>
      <c r="N1072" s="430" t="str">
        <f t="shared" si="88"/>
        <v/>
      </c>
      <c r="O1072" s="362"/>
    </row>
    <row r="1073" spans="1:18" ht="15.75" customHeight="1">
      <c r="A1073" s="395"/>
      <c r="B1073" s="399"/>
      <c r="C1073" s="1127" t="s">
        <v>1202</v>
      </c>
      <c r="D1073" s="965"/>
      <c r="E1073" s="965"/>
      <c r="F1073" s="965"/>
      <c r="G1073" s="965"/>
      <c r="H1073" s="965"/>
      <c r="I1073" s="965"/>
      <c r="J1073" s="965"/>
      <c r="K1073" s="965"/>
      <c r="L1073" s="965"/>
      <c r="M1073" s="966"/>
      <c r="N1073" s="433">
        <f>+SUM(N1068:N1072)</f>
        <v>0</v>
      </c>
      <c r="O1073" s="362"/>
    </row>
    <row r="1074" spans="1:18" ht="15.75" customHeight="1">
      <c r="A1074" s="395"/>
      <c r="B1074" s="399"/>
      <c r="C1074" s="1129" t="s">
        <v>1214</v>
      </c>
      <c r="D1074" s="926"/>
      <c r="E1074" s="926"/>
      <c r="F1074" s="926"/>
      <c r="G1074" s="926"/>
      <c r="H1074" s="926"/>
      <c r="I1074" s="926"/>
      <c r="J1074" s="926"/>
      <c r="K1074" s="926"/>
      <c r="L1074" s="926"/>
      <c r="M1074" s="926"/>
      <c r="N1074" s="927"/>
      <c r="O1074" s="362"/>
    </row>
    <row r="1075" spans="1:18" ht="15.75" customHeight="1">
      <c r="A1075" s="395"/>
      <c r="B1075" s="399"/>
      <c r="C1075" s="920"/>
      <c r="D1075" s="922"/>
      <c r="E1075" s="922"/>
      <c r="F1075" s="922"/>
      <c r="G1075" s="922"/>
      <c r="H1075" s="922"/>
      <c r="I1075" s="922"/>
      <c r="J1075" s="922"/>
      <c r="K1075" s="922"/>
      <c r="L1075" s="922"/>
      <c r="M1075" s="922"/>
      <c r="N1075" s="924"/>
      <c r="O1075" s="362"/>
    </row>
    <row r="1076" spans="1:18" ht="15.75" customHeight="1">
      <c r="A1076" s="395"/>
      <c r="B1076" s="399"/>
      <c r="C1076" s="929"/>
      <c r="D1076" s="936"/>
      <c r="E1076" s="936"/>
      <c r="F1076" s="936"/>
      <c r="G1076" s="936"/>
      <c r="H1076" s="936"/>
      <c r="I1076" s="936"/>
      <c r="J1076" s="936"/>
      <c r="K1076" s="936"/>
      <c r="L1076" s="936"/>
      <c r="M1076" s="936"/>
      <c r="N1076" s="938"/>
      <c r="O1076" s="362"/>
    </row>
    <row r="1077" spans="1:18" ht="15.75" customHeight="1">
      <c r="A1077" s="395"/>
      <c r="B1077" s="399"/>
      <c r="C1077" s="1201" t="s">
        <v>1215</v>
      </c>
      <c r="D1077" s="1131"/>
      <c r="E1077" s="1131"/>
      <c r="F1077" s="1131"/>
      <c r="G1077" s="1131"/>
      <c r="H1077" s="1000"/>
      <c r="I1077" s="670" t="s">
        <v>1216</v>
      </c>
      <c r="J1077" s="676" t="s">
        <v>1217</v>
      </c>
      <c r="K1077" s="677" t="s">
        <v>1218</v>
      </c>
      <c r="L1077" s="1206" t="s">
        <v>1199</v>
      </c>
      <c r="M1077" s="1000"/>
      <c r="N1077" s="678" t="s">
        <v>1200</v>
      </c>
      <c r="O1077" s="362"/>
    </row>
    <row r="1078" spans="1:18" ht="15.75" customHeight="1">
      <c r="A1078" s="395" t="str">
        <f t="array" ref="A1078">IF(C1078&lt;&gt;0,INDEX(CodMO,MATCH(C1078,MO,0),),)</f>
        <v>M.O-05</v>
      </c>
      <c r="B1078" s="399"/>
      <c r="C1078" s="1128" t="s">
        <v>139</v>
      </c>
      <c r="D1078" s="940"/>
      <c r="E1078" s="940"/>
      <c r="F1078" s="940"/>
      <c r="G1078" s="940"/>
      <c r="H1078" s="940"/>
      <c r="I1078" s="447">
        <f>IF($A1078&gt;0,(VLOOKUP($A1078,TablaMO,8,FALSE)),"")</f>
        <v>125030.16666666667</v>
      </c>
      <c r="J1078" s="448">
        <f>IF($A1078&gt;0,(VLOOKUP($A1078,TablaMO,10,FALSE)),"")</f>
        <v>0.67071666666666663</v>
      </c>
      <c r="K1078" s="447">
        <f>IF($A1078&gt;0,(VLOOKUP($A1078,TablaMO,11,FALSE)),"")</f>
        <v>208890</v>
      </c>
      <c r="L1078" s="1146">
        <v>17.873682830641229</v>
      </c>
      <c r="M1078" s="941"/>
      <c r="N1078" s="430">
        <f t="shared" ref="N1078:N1082" si="89">IF(L1078&gt;0,K1078/L1078,"")</f>
        <v>11687.015036537154</v>
      </c>
      <c r="O1078" s="362"/>
    </row>
    <row r="1079" spans="1:18" ht="15.75" customHeight="1">
      <c r="A1079" s="395" t="str">
        <f t="array" ref="A1079">IF(C1079&lt;&gt;0,INDEX(CodMO,MATCH(C1079,MO,0),),)</f>
        <v>M.O-01</v>
      </c>
      <c r="B1079" s="399"/>
      <c r="C1079" s="1128" t="s">
        <v>130</v>
      </c>
      <c r="D1079" s="940"/>
      <c r="E1079" s="940"/>
      <c r="F1079" s="940"/>
      <c r="G1079" s="940"/>
      <c r="H1079" s="940"/>
      <c r="I1079" s="447">
        <f>IF($A1079&gt;0,(VLOOKUP($A1079,TablaMO,8,FALSE)),"")</f>
        <v>72503.016666666677</v>
      </c>
      <c r="J1079" s="448">
        <f>IF($A1079&gt;0,(VLOOKUP($A1079,TablaMO,10,FALSE)),"")</f>
        <v>0.67071666666666663</v>
      </c>
      <c r="K1079" s="447">
        <f>IF($A1079&gt;0,(VLOOKUP($A1079,TablaMO,11,FALSE)),"")</f>
        <v>121132</v>
      </c>
      <c r="L1079" s="1146">
        <f>L1078</f>
        <v>17.873682830641229</v>
      </c>
      <c r="M1079" s="941"/>
      <c r="N1079" s="430">
        <f t="shared" si="89"/>
        <v>6777.1147752684119</v>
      </c>
      <c r="O1079" s="362"/>
    </row>
    <row r="1080" spans="1:18" ht="15.75" customHeight="1">
      <c r="A1080" s="395">
        <f t="array" ref="A1080">IF(C1080&lt;&gt;0,INDEX(CodMO,MATCH(C1080,MO,0),),)</f>
        <v>0</v>
      </c>
      <c r="B1080" s="399"/>
      <c r="C1080" s="1128"/>
      <c r="D1080" s="940"/>
      <c r="E1080" s="940"/>
      <c r="F1080" s="940"/>
      <c r="G1080" s="940"/>
      <c r="H1080" s="940"/>
      <c r="I1080" s="447" t="str">
        <f>IF($A1080&gt;0,(VLOOKUP($A1080,TablaMO,8,FALSE)),"")</f>
        <v/>
      </c>
      <c r="J1080" s="448" t="str">
        <f>IF($A1080&gt;0,(VLOOKUP($A1080,TablaMO,10,FALSE)),"")</f>
        <v/>
      </c>
      <c r="K1080" s="447" t="str">
        <f>IF($A1080&gt;0,(VLOOKUP($A1080,TablaMO,11,FALSE)),"")</f>
        <v/>
      </c>
      <c r="L1080" s="1146"/>
      <c r="M1080" s="941"/>
      <c r="N1080" s="430" t="str">
        <f t="shared" si="89"/>
        <v/>
      </c>
      <c r="O1080" s="362"/>
    </row>
    <row r="1081" spans="1:18" ht="15.75" customHeight="1">
      <c r="A1081" s="395">
        <f t="array" ref="A1081">IF(C1081&lt;&gt;0,INDEX(CodMO,MATCH(C1081,MO,0),),)</f>
        <v>0</v>
      </c>
      <c r="B1081" s="399"/>
      <c r="C1081" s="1128"/>
      <c r="D1081" s="940"/>
      <c r="E1081" s="940"/>
      <c r="F1081" s="940"/>
      <c r="G1081" s="940"/>
      <c r="H1081" s="940"/>
      <c r="I1081" s="447" t="str">
        <f>IF($A1081&gt;0,(VLOOKUP($A1081,TablaMO,8,FALSE)),"")</f>
        <v/>
      </c>
      <c r="J1081" s="448" t="str">
        <f>IF($A1081&gt;0,(VLOOKUP($A1081,TablaMO,10,FALSE)),"")</f>
        <v/>
      </c>
      <c r="K1081" s="447" t="str">
        <f>IF($A1081&gt;0,(VLOOKUP($A1081,TablaMO,11,FALSE)),"")</f>
        <v/>
      </c>
      <c r="L1081" s="1146"/>
      <c r="M1081" s="941"/>
      <c r="N1081" s="430" t="str">
        <f t="shared" si="89"/>
        <v/>
      </c>
      <c r="O1081" s="362"/>
    </row>
    <row r="1082" spans="1:18" ht="15.75" customHeight="1">
      <c r="A1082" s="395">
        <f t="array" ref="A1082">IF(C1082&lt;&gt;0,INDEX(CodMO,MATCH(C1082,MO,0),),)</f>
        <v>0</v>
      </c>
      <c r="B1082" s="399"/>
      <c r="C1082" s="1128"/>
      <c r="D1082" s="940"/>
      <c r="E1082" s="940"/>
      <c r="F1082" s="940"/>
      <c r="G1082" s="940"/>
      <c r="H1082" s="940"/>
      <c r="I1082" s="447" t="str">
        <f>IF($A1082&gt;0,(VLOOKUP($A1082,TablaMO,8,FALSE)),"")</f>
        <v/>
      </c>
      <c r="J1082" s="448" t="str">
        <f>IF($A1082&gt;0,(VLOOKUP($A1082,TablaMO,10,FALSE)),"")</f>
        <v/>
      </c>
      <c r="K1082" s="447" t="str">
        <f>IF($A1082&gt;0,(VLOOKUP($A1082,TablaMO,11,FALSE)),"")</f>
        <v/>
      </c>
      <c r="L1082" s="1146"/>
      <c r="M1082" s="941"/>
      <c r="N1082" s="430" t="str">
        <f t="shared" si="89"/>
        <v/>
      </c>
      <c r="O1082" s="362"/>
    </row>
    <row r="1083" spans="1:18" ht="15.75" customHeight="1">
      <c r="A1083" s="395"/>
      <c r="B1083" s="399"/>
      <c r="C1083" s="1127" t="s">
        <v>1202</v>
      </c>
      <c r="D1083" s="965"/>
      <c r="E1083" s="965"/>
      <c r="F1083" s="965"/>
      <c r="G1083" s="965"/>
      <c r="H1083" s="965"/>
      <c r="I1083" s="965"/>
      <c r="J1083" s="965"/>
      <c r="K1083" s="965"/>
      <c r="L1083" s="965"/>
      <c r="M1083" s="966"/>
      <c r="N1083" s="433">
        <f>+SUM(N1078:N1082)</f>
        <v>18464.129811805564</v>
      </c>
      <c r="O1083" s="362"/>
    </row>
    <row r="1084" spans="1:18" ht="15.75" customHeight="1">
      <c r="B1084" s="679"/>
      <c r="O1084" s="362"/>
    </row>
    <row r="1085" spans="1:18" ht="15.75" customHeight="1">
      <c r="B1085" s="679"/>
      <c r="C1085" s="1198" t="s">
        <v>1219</v>
      </c>
      <c r="D1085" s="965"/>
      <c r="E1085" s="965"/>
      <c r="F1085" s="965"/>
      <c r="G1085" s="965"/>
      <c r="H1085" s="965"/>
      <c r="I1085" s="965"/>
      <c r="J1085" s="965"/>
      <c r="K1085" s="965"/>
      <c r="L1085" s="965"/>
      <c r="M1085" s="966"/>
      <c r="N1085" s="680">
        <f>ROUND(SUM(N1083,N1073,N1063,N1050),0)</f>
        <v>72197</v>
      </c>
      <c r="O1085" s="362"/>
      <c r="Q1085" s="681">
        <f>VLOOKUP(C1039,PROPUESTASASERCO,8,FALSE)</f>
        <v>72197</v>
      </c>
      <c r="R1085" s="682">
        <f>Q1085-N1085</f>
        <v>0</v>
      </c>
    </row>
    <row r="1086" spans="1:18" ht="15.75" customHeight="1">
      <c r="B1086" s="679"/>
      <c r="C1086" s="1129" t="s">
        <v>1220</v>
      </c>
      <c r="D1086" s="926"/>
      <c r="E1086" s="926"/>
      <c r="F1086" s="926"/>
      <c r="G1086" s="926"/>
      <c r="H1086" s="926"/>
      <c r="I1086" s="926"/>
      <c r="J1086" s="926"/>
      <c r="K1086" s="926"/>
      <c r="L1086" s="926"/>
      <c r="M1086" s="926"/>
      <c r="N1086" s="927"/>
      <c r="O1086" s="362"/>
    </row>
    <row r="1087" spans="1:18" ht="15.75" customHeight="1">
      <c r="B1087" s="679"/>
      <c r="C1087" s="920"/>
      <c r="D1087" s="922"/>
      <c r="E1087" s="922"/>
      <c r="F1087" s="922"/>
      <c r="G1087" s="922"/>
      <c r="H1087" s="922"/>
      <c r="I1087" s="922"/>
      <c r="J1087" s="922"/>
      <c r="K1087" s="922"/>
      <c r="L1087" s="922"/>
      <c r="M1087" s="922"/>
      <c r="N1087" s="924"/>
      <c r="O1087" s="362"/>
    </row>
    <row r="1088" spans="1:18" ht="15.75" customHeight="1">
      <c r="B1088" s="679"/>
      <c r="C1088" s="929"/>
      <c r="D1088" s="936"/>
      <c r="E1088" s="936"/>
      <c r="F1088" s="936"/>
      <c r="G1088" s="936"/>
      <c r="H1088" s="936"/>
      <c r="I1088" s="936"/>
      <c r="J1088" s="936"/>
      <c r="K1088" s="936"/>
      <c r="L1088" s="936"/>
      <c r="M1088" s="936"/>
      <c r="N1088" s="938"/>
      <c r="O1088" s="362"/>
    </row>
    <row r="1089" spans="2:15" ht="15.75" customHeight="1">
      <c r="B1089" s="679"/>
      <c r="C1089" s="1201" t="s">
        <v>1221</v>
      </c>
      <c r="D1089" s="1131"/>
      <c r="E1089" s="1131"/>
      <c r="F1089" s="1131"/>
      <c r="G1089" s="1131"/>
      <c r="H1089" s="1132"/>
      <c r="I1089" s="674"/>
      <c r="J1089" s="674"/>
      <c r="K1089" s="674"/>
      <c r="L1089" s="1206" t="s">
        <v>1222</v>
      </c>
      <c r="M1089" s="1000"/>
      <c r="N1089" s="678" t="s">
        <v>1223</v>
      </c>
      <c r="O1089" s="362"/>
    </row>
    <row r="1090" spans="2:15" ht="15.75" customHeight="1">
      <c r="B1090" s="679"/>
      <c r="C1090" s="1128" t="s">
        <v>19</v>
      </c>
      <c r="D1090" s="940"/>
      <c r="E1090" s="940"/>
      <c r="F1090" s="940"/>
      <c r="G1090" s="940"/>
      <c r="H1090" s="940"/>
      <c r="I1090" s="452"/>
      <c r="J1090" s="452"/>
      <c r="K1090" s="452"/>
      <c r="L1090" s="1148">
        <f>+Datos!$E$18</f>
        <v>0.25</v>
      </c>
      <c r="M1090" s="941"/>
      <c r="N1090" s="430">
        <f>+L1090*N1085</f>
        <v>18049.25</v>
      </c>
      <c r="O1090" s="362"/>
    </row>
    <row r="1091" spans="2:15" ht="15.75" customHeight="1">
      <c r="B1091" s="679"/>
      <c r="C1091" s="454" t="s">
        <v>20</v>
      </c>
      <c r="D1091" s="455"/>
      <c r="E1091" s="455"/>
      <c r="F1091" s="455"/>
      <c r="G1091" s="455"/>
      <c r="H1091" s="455"/>
      <c r="I1091" s="452"/>
      <c r="J1091" s="452"/>
      <c r="K1091" s="452"/>
      <c r="L1091" s="1148">
        <f>+Datos!$E$19</f>
        <v>0.01</v>
      </c>
      <c r="M1091" s="941"/>
      <c r="N1091" s="430">
        <f>+L1091*N1085</f>
        <v>721.97</v>
      </c>
      <c r="O1091" s="362"/>
    </row>
    <row r="1092" spans="2:15" ht="15.75" customHeight="1">
      <c r="B1092" s="679"/>
      <c r="C1092" s="456" t="s">
        <v>21</v>
      </c>
      <c r="D1092" s="457"/>
      <c r="E1092" s="457"/>
      <c r="F1092" s="457"/>
      <c r="G1092" s="457"/>
      <c r="H1092" s="457"/>
      <c r="I1092" s="458"/>
      <c r="J1092" s="458"/>
      <c r="K1092" s="458"/>
      <c r="L1092" s="1148">
        <f>+Datos!$E$20</f>
        <v>0.05</v>
      </c>
      <c r="M1092" s="941"/>
      <c r="N1092" s="430">
        <f>+L1092*N1085</f>
        <v>3609.8500000000004</v>
      </c>
      <c r="O1092" s="362"/>
    </row>
    <row r="1093" spans="2:15" ht="15.75" customHeight="1">
      <c r="B1093" s="679"/>
      <c r="C1093" s="1127" t="s">
        <v>1202</v>
      </c>
      <c r="D1093" s="965"/>
      <c r="E1093" s="965"/>
      <c r="F1093" s="965"/>
      <c r="G1093" s="965"/>
      <c r="H1093" s="965"/>
      <c r="I1093" s="965"/>
      <c r="J1093" s="965"/>
      <c r="K1093" s="965"/>
      <c r="L1093" s="965"/>
      <c r="M1093" s="966"/>
      <c r="N1093" s="433">
        <f>+SUM(N1090:N1092)</f>
        <v>22381.07</v>
      </c>
      <c r="O1093" s="362"/>
    </row>
    <row r="1094" spans="2:15" ht="15.75" customHeight="1">
      <c r="B1094" s="679"/>
      <c r="C1094" s="418"/>
      <c r="D1094" s="39"/>
      <c r="E1094" s="39"/>
      <c r="F1094" s="39"/>
      <c r="G1094" s="39"/>
      <c r="H1094" s="39"/>
      <c r="I1094" s="39"/>
      <c r="J1094" s="39"/>
      <c r="K1094" s="39"/>
      <c r="L1094" s="39"/>
      <c r="M1094" s="39"/>
      <c r="N1094" s="40"/>
      <c r="O1094" s="362"/>
    </row>
    <row r="1095" spans="2:15" ht="15.75" customHeight="1">
      <c r="B1095" s="679"/>
      <c r="C1095" s="1198" t="s">
        <v>1224</v>
      </c>
      <c r="D1095" s="965"/>
      <c r="E1095" s="965"/>
      <c r="F1095" s="965"/>
      <c r="G1095" s="965"/>
      <c r="H1095" s="965"/>
      <c r="I1095" s="965"/>
      <c r="J1095" s="965"/>
      <c r="K1095" s="965"/>
      <c r="L1095" s="965"/>
      <c r="M1095" s="966"/>
      <c r="N1095" s="683">
        <f>+ROUND(SUM(N1093,N1085),0)</f>
        <v>94578</v>
      </c>
      <c r="O1095" s="362"/>
    </row>
    <row r="1096" spans="2:15" ht="15.75" customHeight="1">
      <c r="B1096" s="679"/>
      <c r="C1096" s="418"/>
      <c r="D1096" s="39" t="s">
        <v>1225</v>
      </c>
      <c r="E1096" s="39"/>
      <c r="F1096" s="39"/>
      <c r="G1096" s="184"/>
      <c r="H1096" s="184"/>
      <c r="I1096" s="184"/>
      <c r="J1096" s="39" t="s">
        <v>1225</v>
      </c>
      <c r="K1096" s="39"/>
      <c r="L1096" s="39"/>
      <c r="M1096" s="39"/>
      <c r="N1096" s="40"/>
      <c r="O1096" s="362"/>
    </row>
    <row r="1097" spans="2:15" ht="15.75" customHeight="1">
      <c r="B1097" s="679"/>
      <c r="C1097" s="418"/>
      <c r="D1097" s="39" t="s">
        <v>1226</v>
      </c>
      <c r="E1097" s="39"/>
      <c r="F1097" s="39"/>
      <c r="G1097" s="184"/>
      <c r="H1097" s="184"/>
      <c r="I1097" s="184"/>
      <c r="J1097" s="39" t="s">
        <v>1227</v>
      </c>
      <c r="K1097" s="39"/>
      <c r="L1097" s="39"/>
      <c r="M1097" s="39"/>
      <c r="N1097" s="40"/>
      <c r="O1097" s="362"/>
    </row>
    <row r="1098" spans="2:15" ht="15.75" customHeight="1">
      <c r="B1098" s="679"/>
      <c r="C1098" s="404"/>
      <c r="D1098" s="39" t="s">
        <v>1228</v>
      </c>
      <c r="E1098" s="42"/>
      <c r="F1098" s="42"/>
      <c r="G1098" s="184"/>
      <c r="H1098" s="184"/>
      <c r="I1098" s="184"/>
      <c r="J1098" s="39" t="s">
        <v>1228</v>
      </c>
      <c r="K1098" s="42"/>
      <c r="L1098" s="42"/>
      <c r="M1098" s="42"/>
      <c r="N1098" s="43"/>
      <c r="O1098" s="362"/>
    </row>
    <row r="1099" spans="2:15" ht="15.75" customHeight="1">
      <c r="B1099" s="679"/>
      <c r="C1099" s="418"/>
      <c r="D1099" s="39"/>
      <c r="E1099" s="39"/>
      <c r="F1099" s="39"/>
      <c r="G1099" s="39" t="s">
        <v>1229</v>
      </c>
      <c r="H1099" s="39"/>
      <c r="I1099" s="39"/>
      <c r="J1099" s="39"/>
      <c r="K1099" s="39"/>
      <c r="L1099" s="39"/>
      <c r="M1099" s="39"/>
      <c r="N1099" s="40"/>
      <c r="O1099" s="362"/>
    </row>
    <row r="1100" spans="2:15" ht="15.75" customHeight="1">
      <c r="B1100" s="679"/>
      <c r="C1100" s="466"/>
      <c r="D1100" s="467"/>
      <c r="E1100" s="467"/>
      <c r="F1100" s="39"/>
      <c r="G1100" s="39"/>
      <c r="H1100" s="39"/>
      <c r="I1100" s="39"/>
      <c r="J1100" s="1149"/>
      <c r="K1100" s="922"/>
      <c r="L1100" s="922"/>
      <c r="M1100" s="922"/>
      <c r="N1100" s="924"/>
      <c r="O1100" s="362"/>
    </row>
    <row r="1101" spans="2:15" ht="15.75" customHeight="1">
      <c r="B1101" s="679"/>
      <c r="C1101" s="1150"/>
      <c r="D1101" s="936"/>
      <c r="E1101" s="936"/>
      <c r="F1101" s="416"/>
      <c r="G1101" s="416"/>
      <c r="H1101" s="416"/>
      <c r="I1101" s="416"/>
      <c r="J1101" s="936"/>
      <c r="K1101" s="936"/>
      <c r="L1101" s="936"/>
      <c r="M1101" s="936"/>
      <c r="N1101" s="938"/>
      <c r="O1101" s="362"/>
    </row>
    <row r="1102" spans="2:15" ht="15.75" customHeight="1">
      <c r="B1102" s="684"/>
      <c r="C1102" s="685"/>
      <c r="D1102" s="685"/>
      <c r="E1102" s="685"/>
      <c r="F1102" s="685"/>
      <c r="G1102" s="685"/>
      <c r="H1102" s="685"/>
      <c r="I1102" s="685"/>
      <c r="J1102" s="685"/>
      <c r="K1102" s="685"/>
      <c r="L1102" s="685"/>
      <c r="M1102" s="685"/>
      <c r="N1102" s="685"/>
      <c r="O1102" s="686"/>
    </row>
    <row r="1103" spans="2:15" ht="15.75" customHeight="1"/>
    <row r="1104" spans="2:15" ht="15.75" customHeight="1"/>
    <row r="1105" spans="1:15" ht="15.75" customHeight="1"/>
    <row r="1106" spans="1:15" ht="15.75" customHeight="1"/>
    <row r="1107" spans="1:15" ht="15.75" customHeight="1">
      <c r="A1107" s="395" t="s">
        <v>941</v>
      </c>
      <c r="B1107" s="184"/>
      <c r="C1107" s="184"/>
      <c r="D1107" s="184"/>
      <c r="E1107" s="184"/>
      <c r="F1107" s="184"/>
      <c r="G1107" s="184"/>
      <c r="H1107" s="184"/>
      <c r="I1107" s="184"/>
      <c r="J1107" s="184"/>
      <c r="K1107" s="184"/>
      <c r="L1107" s="184"/>
      <c r="M1107" s="184"/>
      <c r="N1107" s="184"/>
    </row>
    <row r="1108" spans="1:15" ht="15.75" customHeight="1">
      <c r="A1108" s="395"/>
      <c r="B1108" s="396"/>
      <c r="C1108" s="397"/>
      <c r="D1108" s="397"/>
      <c r="E1108" s="397"/>
      <c r="F1108" s="397"/>
      <c r="G1108" s="397"/>
      <c r="H1108" s="397"/>
      <c r="I1108" s="397"/>
      <c r="J1108" s="397"/>
      <c r="K1108" s="397"/>
      <c r="L1108" s="397"/>
      <c r="M1108" s="397"/>
      <c r="N1108" s="397"/>
      <c r="O1108" s="667"/>
    </row>
    <row r="1109" spans="1:15" ht="15.75" customHeight="1">
      <c r="A1109" s="395"/>
      <c r="B1109" s="399"/>
      <c r="C1109" s="1124"/>
      <c r="D1109" s="927"/>
      <c r="E1109" s="1207" t="str">
        <f>Datos!$C$9</f>
        <v>CONSEJO SUPERIOR  DE  JUDICATURA– DIRECCIÓN  EJECUTIVA  SECCIONAL  DE ADMINISTRACIÓN JUDICIAL DE BUCARAMANGA</v>
      </c>
      <c r="F1109" s="926"/>
      <c r="G1109" s="926"/>
      <c r="H1109" s="926"/>
      <c r="I1109" s="926"/>
      <c r="J1109" s="926"/>
      <c r="K1109" s="927"/>
      <c r="L1109" s="925" t="s">
        <v>1</v>
      </c>
      <c r="M1109" s="931"/>
      <c r="N1109" s="933">
        <v>1</v>
      </c>
      <c r="O1109" s="362"/>
    </row>
    <row r="1110" spans="1:15" ht="15.75" customHeight="1">
      <c r="A1110" s="395"/>
      <c r="B1110" s="399"/>
      <c r="C1110" s="920"/>
      <c r="D1110" s="924"/>
      <c r="E1110" s="920"/>
      <c r="F1110" s="922"/>
      <c r="G1110" s="922"/>
      <c r="H1110" s="922"/>
      <c r="I1110" s="922"/>
      <c r="J1110" s="922"/>
      <c r="K1110" s="924"/>
      <c r="L1110" s="920"/>
      <c r="M1110" s="932"/>
      <c r="N1110" s="934"/>
      <c r="O1110" s="362"/>
    </row>
    <row r="1111" spans="1:15" ht="15.75" customHeight="1">
      <c r="A1111" s="395"/>
      <c r="B1111" s="399"/>
      <c r="C1111" s="920"/>
      <c r="D1111" s="924"/>
      <c r="E1111" s="919" t="str">
        <f>Datos!$C$13</f>
        <v xml:space="preserve">BGA - 030 - 2026 </v>
      </c>
      <c r="F1111" s="922"/>
      <c r="G1111" s="922"/>
      <c r="H1111" s="922"/>
      <c r="I1111" s="922"/>
      <c r="J1111" s="922"/>
      <c r="K1111" s="922"/>
      <c r="L1111" s="925" t="s">
        <v>29</v>
      </c>
      <c r="M1111" s="926"/>
      <c r="N1111" s="927"/>
      <c r="O1111" s="362"/>
    </row>
    <row r="1112" spans="1:15" ht="15.75" customHeight="1">
      <c r="A1112" s="395"/>
      <c r="B1112" s="399"/>
      <c r="C1112" s="920"/>
      <c r="D1112" s="924"/>
      <c r="E111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112" s="922"/>
      <c r="G1112" s="922"/>
      <c r="H1112" s="922"/>
      <c r="I1112" s="922"/>
      <c r="J1112" s="922"/>
      <c r="K1112" s="924"/>
      <c r="L1112" s="919">
        <v>1</v>
      </c>
      <c r="M1112" s="921" t="s">
        <v>30</v>
      </c>
      <c r="N1112" s="923">
        <v>1</v>
      </c>
      <c r="O1112" s="362"/>
    </row>
    <row r="1113" spans="1:15" ht="15.75" customHeight="1">
      <c r="A1113" s="395"/>
      <c r="B1113" s="399"/>
      <c r="C1113" s="920"/>
      <c r="D1113" s="924"/>
      <c r="E1113" s="920"/>
      <c r="F1113" s="922"/>
      <c r="G1113" s="922"/>
      <c r="H1113" s="922"/>
      <c r="I1113" s="922"/>
      <c r="J1113" s="922"/>
      <c r="K1113" s="924"/>
      <c r="L1113" s="920"/>
      <c r="M1113" s="922"/>
      <c r="N1113" s="924"/>
      <c r="O1113" s="362"/>
    </row>
    <row r="1114" spans="1:15" ht="15.75" customHeight="1">
      <c r="A1114" s="395"/>
      <c r="B1114" s="399"/>
      <c r="C1114" s="920"/>
      <c r="D1114" s="924"/>
      <c r="E1114" s="920"/>
      <c r="F1114" s="922"/>
      <c r="G1114" s="922"/>
      <c r="H1114" s="922"/>
      <c r="I1114" s="922"/>
      <c r="J1114" s="922"/>
      <c r="K1114" s="924"/>
      <c r="L1114" s="925" t="s">
        <v>2</v>
      </c>
      <c r="M1114" s="926"/>
      <c r="N1114" s="927"/>
      <c r="O1114" s="362"/>
    </row>
    <row r="1115" spans="1:15" ht="15.75" customHeight="1">
      <c r="A1115" s="395"/>
      <c r="B1115" s="399"/>
      <c r="C1115" s="920"/>
      <c r="D1115" s="924"/>
      <c r="E1115" s="407"/>
      <c r="F1115" s="216"/>
      <c r="G1115" s="216"/>
      <c r="H1115" s="216"/>
      <c r="I1115" s="216"/>
      <c r="J1115" s="216"/>
      <c r="K1115" s="216"/>
      <c r="L1115" s="408" t="s">
        <v>3</v>
      </c>
      <c r="M1115" s="409" t="s">
        <v>4</v>
      </c>
      <c r="N1115" s="410" t="s">
        <v>5</v>
      </c>
      <c r="O1115" s="362"/>
    </row>
    <row r="1116" spans="1:15" ht="15.75" customHeight="1">
      <c r="A1116" s="395"/>
      <c r="B1116" s="399"/>
      <c r="C1116" s="920"/>
      <c r="D1116" s="924"/>
      <c r="E1116" s="1125" t="s">
        <v>1186</v>
      </c>
      <c r="F1116" s="945"/>
      <c r="G1116" s="945"/>
      <c r="H1116" s="945"/>
      <c r="I1116" s="945"/>
      <c r="J1116" s="945"/>
      <c r="K1116" s="945"/>
      <c r="L1116" s="928">
        <f>Datos!$C$7</f>
        <v>19</v>
      </c>
      <c r="M1116" s="935">
        <f>Datos!$D$7</f>
        <v>6</v>
      </c>
      <c r="N1116" s="937">
        <f>Datos!$E$7</f>
        <v>2026</v>
      </c>
      <c r="O1116" s="362"/>
    </row>
    <row r="1117" spans="1:15" ht="15.75" customHeight="1">
      <c r="A1117" s="395"/>
      <c r="B1117" s="399"/>
      <c r="C1117" s="929"/>
      <c r="D1117" s="938"/>
      <c r="E1117" s="929"/>
      <c r="F1117" s="936"/>
      <c r="G1117" s="936"/>
      <c r="H1117" s="936"/>
      <c r="I1117" s="936"/>
      <c r="J1117" s="936"/>
      <c r="K1117" s="936"/>
      <c r="L1117" s="929"/>
      <c r="M1117" s="936"/>
      <c r="N1117" s="938"/>
      <c r="O1117" s="362"/>
    </row>
    <row r="1118" spans="1:15" ht="15.75" customHeight="1">
      <c r="A1118" s="395"/>
      <c r="B1118" s="399"/>
      <c r="C1118" s="404"/>
      <c r="D1118" s="38"/>
      <c r="E1118" s="38"/>
      <c r="F1118" s="38"/>
      <c r="G1118" s="38"/>
      <c r="H1118" s="38"/>
      <c r="I1118" s="38"/>
      <c r="J1118" s="38"/>
      <c r="K1118" s="38"/>
      <c r="L1118" s="39"/>
      <c r="M1118" s="39"/>
      <c r="N1118" s="40"/>
      <c r="O1118" s="362"/>
    </row>
    <row r="1119" spans="1:15" ht="15.75" customHeight="1">
      <c r="A1119" s="395"/>
      <c r="B1119" s="399"/>
      <c r="C1119" s="412" t="s">
        <v>1187</v>
      </c>
      <c r="D1119" s="1199" t="str">
        <f>VLOOKUP(C1124,ListaAct,2,0)</f>
        <v>OBRA CIVIL</v>
      </c>
      <c r="E1119" s="922"/>
      <c r="F1119" s="922"/>
      <c r="G1119" s="922"/>
      <c r="H1119" s="922"/>
      <c r="I1119" s="922"/>
      <c r="J1119" s="922"/>
      <c r="K1119" s="922"/>
      <c r="L1119" s="922"/>
      <c r="M1119" s="1"/>
      <c r="N1119" s="413"/>
      <c r="O1119" s="362"/>
    </row>
    <row r="1120" spans="1:15" ht="15.75" customHeight="1">
      <c r="A1120" s="395"/>
      <c r="B1120" s="399"/>
      <c r="C1120" s="412" t="s">
        <v>1189</v>
      </c>
      <c r="D1120" s="1199" t="str">
        <f>VLOOKUP(C1124,ListaAct,3,0)</f>
        <v>RELLENOS</v>
      </c>
      <c r="E1120" s="922"/>
      <c r="F1120" s="922"/>
      <c r="G1120" s="922"/>
      <c r="H1120" s="922"/>
      <c r="I1120" s="922"/>
      <c r="J1120" s="922"/>
      <c r="K1120" s="922"/>
      <c r="L1120" s="922"/>
      <c r="M1120" s="1"/>
      <c r="N1120" s="413"/>
      <c r="O1120" s="362"/>
    </row>
    <row r="1121" spans="1:15" ht="15.75" customHeight="1">
      <c r="A1121" s="395"/>
      <c r="B1121" s="399"/>
      <c r="C1121" s="925" t="s">
        <v>1191</v>
      </c>
      <c r="D1121" s="926"/>
      <c r="E1121" s="926"/>
      <c r="F1121" s="926"/>
      <c r="G1121" s="926"/>
      <c r="H1121" s="926"/>
      <c r="I1121" s="926"/>
      <c r="J1121" s="926"/>
      <c r="K1121" s="926"/>
      <c r="L1121" s="926"/>
      <c r="M1121" s="926"/>
      <c r="N1121" s="927"/>
      <c r="O1121" s="362"/>
    </row>
    <row r="1122" spans="1:15" ht="15.75" customHeight="1">
      <c r="A1122" s="395"/>
      <c r="B1122" s="399"/>
      <c r="C1122" s="418"/>
      <c r="D1122" s="39"/>
      <c r="E1122" s="39"/>
      <c r="F1122" s="39"/>
      <c r="G1122" s="39"/>
      <c r="H1122" s="39"/>
      <c r="I1122" s="39"/>
      <c r="J1122" s="39"/>
      <c r="K1122" s="39"/>
      <c r="L1122" s="39"/>
      <c r="M1122" s="39"/>
      <c r="N1122" s="40"/>
      <c r="O1122" s="362"/>
    </row>
    <row r="1123" spans="1:15" ht="15.75" customHeight="1">
      <c r="A1123" s="395"/>
      <c r="B1123" s="399"/>
      <c r="C1123" s="668" t="s">
        <v>965</v>
      </c>
      <c r="D1123" s="1200" t="s">
        <v>17</v>
      </c>
      <c r="E1123" s="1131"/>
      <c r="F1123" s="1131"/>
      <c r="G1123" s="1131"/>
      <c r="H1123" s="1131"/>
      <c r="I1123" s="1131"/>
      <c r="J1123" s="1131"/>
      <c r="K1123" s="1137"/>
      <c r="L1123" s="1201" t="s">
        <v>1192</v>
      </c>
      <c r="M1123" s="1137"/>
      <c r="N1123" s="668" t="s">
        <v>950</v>
      </c>
      <c r="O1123" s="362"/>
    </row>
    <row r="1124" spans="1:15" ht="15.75" customHeight="1">
      <c r="A1124" s="395"/>
      <c r="B1124" s="421"/>
      <c r="C1124" s="669" t="s">
        <v>1022</v>
      </c>
      <c r="D1124" s="1202" t="str">
        <f>IF($C1124&gt;0,(VLOOKUP($C1124,ListaAct,4,FALSE)),"")</f>
        <v xml:space="preserve"> Relleno con material seleccionado y compactado  </v>
      </c>
      <c r="E1124" s="979"/>
      <c r="F1124" s="979"/>
      <c r="G1124" s="979"/>
      <c r="H1124" s="979"/>
      <c r="I1124" s="979"/>
      <c r="J1124" s="979"/>
      <c r="K1124" s="980"/>
      <c r="L1124" s="1203" t="str">
        <f>IF($C1124&gt;0,(VLOOKUP($C1124,ListaAct,5,FALSE)),"")</f>
        <v>m3</v>
      </c>
      <c r="M1124" s="980"/>
      <c r="N1124" s="423">
        <f>IF($C1124&gt;0,(VLOOKUP($C1124,ListaAct,6,FALSE)),"")</f>
        <v>12.52</v>
      </c>
      <c r="O1124" s="362"/>
    </row>
    <row r="1125" spans="1:15" ht="15.75" customHeight="1">
      <c r="A1125" s="395"/>
      <c r="B1125" s="399"/>
      <c r="C1125" s="1129" t="s">
        <v>1195</v>
      </c>
      <c r="D1125" s="926"/>
      <c r="E1125" s="926"/>
      <c r="F1125" s="926"/>
      <c r="G1125" s="926"/>
      <c r="H1125" s="926"/>
      <c r="I1125" s="926"/>
      <c r="J1125" s="926"/>
      <c r="K1125" s="926"/>
      <c r="L1125" s="926"/>
      <c r="M1125" s="926"/>
      <c r="N1125" s="927"/>
      <c r="O1125" s="362"/>
    </row>
    <row r="1126" spans="1:15" ht="15.75" customHeight="1">
      <c r="A1126" s="395"/>
      <c r="B1126" s="399"/>
      <c r="C1126" s="920"/>
      <c r="D1126" s="922"/>
      <c r="E1126" s="922"/>
      <c r="F1126" s="922"/>
      <c r="G1126" s="922"/>
      <c r="H1126" s="922"/>
      <c r="I1126" s="922"/>
      <c r="J1126" s="922"/>
      <c r="K1126" s="922"/>
      <c r="L1126" s="922"/>
      <c r="M1126" s="922"/>
      <c r="N1126" s="924"/>
      <c r="O1126" s="362"/>
    </row>
    <row r="1127" spans="1:15" ht="15.75" customHeight="1">
      <c r="A1127" s="395"/>
      <c r="B1127" s="399"/>
      <c r="C1127" s="929"/>
      <c r="D1127" s="936"/>
      <c r="E1127" s="936"/>
      <c r="F1127" s="936"/>
      <c r="G1127" s="936"/>
      <c r="H1127" s="936"/>
      <c r="I1127" s="936"/>
      <c r="J1127" s="936"/>
      <c r="K1127" s="936"/>
      <c r="L1127" s="936"/>
      <c r="M1127" s="936"/>
      <c r="N1127" s="938"/>
      <c r="O1127" s="362"/>
    </row>
    <row r="1128" spans="1:15" ht="15.75" customHeight="1">
      <c r="A1128" s="395"/>
      <c r="B1128" s="399"/>
      <c r="C1128" s="1201" t="s">
        <v>17</v>
      </c>
      <c r="D1128" s="1131"/>
      <c r="E1128" s="1131"/>
      <c r="F1128" s="1000"/>
      <c r="G1128" s="1204" t="s">
        <v>1196</v>
      </c>
      <c r="H1128" s="1000"/>
      <c r="I1128" s="1204" t="s">
        <v>1197</v>
      </c>
      <c r="J1128" s="1000"/>
      <c r="K1128" s="670" t="s">
        <v>1213</v>
      </c>
      <c r="L1128" s="1204" t="s">
        <v>1199</v>
      </c>
      <c r="M1128" s="1000"/>
      <c r="N1128" s="671" t="s">
        <v>1200</v>
      </c>
      <c r="O1128" s="362"/>
    </row>
    <row r="1129" spans="1:15" ht="15.75" customHeight="1">
      <c r="A1129" s="395"/>
      <c r="B1129" s="399"/>
      <c r="C1129" s="1128" t="s">
        <v>1201</v>
      </c>
      <c r="D1129" s="940"/>
      <c r="E1129" s="940"/>
      <c r="F1129" s="941"/>
      <c r="G1129" s="1142"/>
      <c r="H1129" s="941"/>
      <c r="I1129" s="1142"/>
      <c r="J1129" s="941"/>
      <c r="K1129" s="429"/>
      <c r="L1129" s="1143">
        <v>0.06</v>
      </c>
      <c r="M1129" s="941"/>
      <c r="N1129" s="430">
        <f>+L1129*N1168</f>
        <v>348.32566495730583</v>
      </c>
      <c r="O1129" s="362"/>
    </row>
    <row r="1130" spans="1:15" ht="15.75" customHeight="1">
      <c r="A1130" s="395" t="str">
        <f t="array" ref="A1130">IF(C1130&lt;&gt;0,INDEX(CodEquipos,MATCH(C1130,Equipos,0),),)</f>
        <v>MEQ-38</v>
      </c>
      <c r="B1130" s="399"/>
      <c r="C1130" s="1128" t="s">
        <v>2512</v>
      </c>
      <c r="D1130" s="940"/>
      <c r="E1130" s="940"/>
      <c r="F1130" s="941"/>
      <c r="G1130" s="1142"/>
      <c r="H1130" s="941"/>
      <c r="I1130" s="1142"/>
      <c r="J1130" s="941"/>
      <c r="K1130" s="432">
        <f>IF($A1130&gt;0,(VLOOKUP($A1130,TablaEquipos,7,FALSE)),"")</f>
        <v>80000</v>
      </c>
      <c r="L1130" s="1146">
        <v>0.08</v>
      </c>
      <c r="M1130" s="941"/>
      <c r="N1130" s="430">
        <f>IF(L1130&gt;0,K1130*L1130,"")</f>
        <v>6400</v>
      </c>
      <c r="O1130" s="362"/>
    </row>
    <row r="1131" spans="1:15" ht="15.75" customHeight="1">
      <c r="A1131" s="395">
        <f t="array" ref="A1131">IF(C1131&lt;&gt;0,INDEX(CodEquipos,MATCH(C1131,Equipos,0),),)</f>
        <v>0</v>
      </c>
      <c r="B1131" s="399"/>
      <c r="C1131" s="1128"/>
      <c r="D1131" s="940"/>
      <c r="E1131" s="940"/>
      <c r="F1131" s="941"/>
      <c r="G1131" s="1142"/>
      <c r="H1131" s="941"/>
      <c r="I1131" s="1142"/>
      <c r="J1131" s="941"/>
      <c r="K1131" s="432" t="str">
        <f>IF($A1131&gt;0,(VLOOKUP($A1131,TablaEquipos,7,FALSE)),"")</f>
        <v/>
      </c>
      <c r="L1131" s="1146"/>
      <c r="M1131" s="941"/>
      <c r="N1131" s="430" t="str">
        <f t="shared" ref="N1131:N1134" si="90">IF(L1131&gt;0,K1131/L1131,"")</f>
        <v/>
      </c>
      <c r="O1131" s="362"/>
    </row>
    <row r="1132" spans="1:15" ht="15.75" customHeight="1">
      <c r="A1132" s="395">
        <f t="array" ref="A1132">IF(C1132&lt;&gt;0,INDEX(CodEquipos,MATCH(C1132,Equipos,0),),)</f>
        <v>0</v>
      </c>
      <c r="B1132" s="399"/>
      <c r="C1132" s="1128"/>
      <c r="D1132" s="940"/>
      <c r="E1132" s="940"/>
      <c r="F1132" s="941"/>
      <c r="G1132" s="1142"/>
      <c r="H1132" s="941"/>
      <c r="I1132" s="1142"/>
      <c r="J1132" s="941"/>
      <c r="K1132" s="432" t="str">
        <f>IF($A1132&gt;0,(VLOOKUP($A1132,TablaEquipos,7,FALSE)),"")</f>
        <v/>
      </c>
      <c r="L1132" s="1146"/>
      <c r="M1132" s="941"/>
      <c r="N1132" s="430" t="str">
        <f t="shared" si="90"/>
        <v/>
      </c>
      <c r="O1132" s="362"/>
    </row>
    <row r="1133" spans="1:15" ht="15.75" customHeight="1">
      <c r="A1133" s="395">
        <f t="array" ref="A1133">IF(C1133&lt;&gt;0,INDEX(CodEquipos,MATCH(C1133,Equipos,0),),)</f>
        <v>0</v>
      </c>
      <c r="B1133" s="399"/>
      <c r="C1133" s="1128"/>
      <c r="D1133" s="940"/>
      <c r="E1133" s="940"/>
      <c r="F1133" s="941"/>
      <c r="G1133" s="1142"/>
      <c r="H1133" s="941"/>
      <c r="I1133" s="1142"/>
      <c r="J1133" s="941"/>
      <c r="K1133" s="432" t="str">
        <f>IF($A1133&gt;0,(VLOOKUP($A1133,TablaEquipos,7,FALSE)),"")</f>
        <v/>
      </c>
      <c r="L1133" s="1141"/>
      <c r="M1133" s="941"/>
      <c r="N1133" s="430" t="str">
        <f t="shared" si="90"/>
        <v/>
      </c>
      <c r="O1133" s="362"/>
    </row>
    <row r="1134" spans="1:15" ht="15.75" customHeight="1">
      <c r="A1134" s="395">
        <f t="array" ref="A1134">IF(C1134&lt;&gt;0,INDEX(CodEquipos,MATCH(C1134,Equipos,0),),)</f>
        <v>0</v>
      </c>
      <c r="B1134" s="399"/>
      <c r="C1134" s="1128"/>
      <c r="D1134" s="940"/>
      <c r="E1134" s="940"/>
      <c r="F1134" s="941"/>
      <c r="G1134" s="1144"/>
      <c r="H1134" s="1145"/>
      <c r="I1134" s="1144"/>
      <c r="J1134" s="1145"/>
      <c r="K1134" s="432" t="str">
        <f>IF($A1134&gt;0,(VLOOKUP($A1134,TablaEquipos,7,FALSE)),"")</f>
        <v/>
      </c>
      <c r="L1134" s="1208"/>
      <c r="M1134" s="1145"/>
      <c r="N1134" s="430" t="str">
        <f t="shared" si="90"/>
        <v/>
      </c>
      <c r="O1134" s="362"/>
    </row>
    <row r="1135" spans="1:15" ht="15.75" customHeight="1">
      <c r="A1135" s="395"/>
      <c r="B1135" s="399"/>
      <c r="C1135" s="1127" t="s">
        <v>1202</v>
      </c>
      <c r="D1135" s="965"/>
      <c r="E1135" s="965"/>
      <c r="F1135" s="965"/>
      <c r="G1135" s="965"/>
      <c r="H1135" s="965"/>
      <c r="I1135" s="965"/>
      <c r="J1135" s="965"/>
      <c r="K1135" s="965"/>
      <c r="L1135" s="965"/>
      <c r="M1135" s="966"/>
      <c r="N1135" s="433">
        <f>+SUM(N1129:N1134)</f>
        <v>6748.3256649573059</v>
      </c>
      <c r="O1135" s="362"/>
    </row>
    <row r="1136" spans="1:15" ht="15.75" customHeight="1">
      <c r="A1136" s="395"/>
      <c r="B1136" s="399"/>
      <c r="C1136" s="1129" t="s">
        <v>1203</v>
      </c>
      <c r="D1136" s="926"/>
      <c r="E1136" s="926"/>
      <c r="F1136" s="926"/>
      <c r="G1136" s="926"/>
      <c r="H1136" s="926"/>
      <c r="I1136" s="926"/>
      <c r="J1136" s="926"/>
      <c r="K1136" s="926"/>
      <c r="L1136" s="926"/>
      <c r="M1136" s="926"/>
      <c r="N1136" s="927"/>
      <c r="O1136" s="362"/>
    </row>
    <row r="1137" spans="1:17" ht="15.75" customHeight="1">
      <c r="A1137" s="395"/>
      <c r="B1137" s="399"/>
      <c r="C1137" s="920"/>
      <c r="D1137" s="922"/>
      <c r="E1137" s="922"/>
      <c r="F1137" s="922"/>
      <c r="G1137" s="922"/>
      <c r="H1137" s="922"/>
      <c r="I1137" s="922"/>
      <c r="J1137" s="922"/>
      <c r="K1137" s="922"/>
      <c r="L1137" s="922"/>
      <c r="M1137" s="922"/>
      <c r="N1137" s="924"/>
      <c r="O1137" s="362"/>
    </row>
    <row r="1138" spans="1:17" ht="15.75" customHeight="1">
      <c r="A1138" s="395"/>
      <c r="B1138" s="399"/>
      <c r="C1138" s="929"/>
      <c r="D1138" s="936"/>
      <c r="E1138" s="936"/>
      <c r="F1138" s="936"/>
      <c r="G1138" s="936"/>
      <c r="H1138" s="936"/>
      <c r="I1138" s="936"/>
      <c r="J1138" s="936"/>
      <c r="K1138" s="936"/>
      <c r="L1138" s="936"/>
      <c r="M1138" s="936"/>
      <c r="N1138" s="938"/>
      <c r="O1138" s="362"/>
    </row>
    <row r="1139" spans="1:17" ht="15.75" customHeight="1">
      <c r="A1139" s="395"/>
      <c r="B1139" s="399"/>
      <c r="C1139" s="1201" t="s">
        <v>17</v>
      </c>
      <c r="D1139" s="1131"/>
      <c r="E1139" s="1131"/>
      <c r="F1139" s="1131"/>
      <c r="G1139" s="1131"/>
      <c r="H1139" s="1131"/>
      <c r="I1139" s="1000"/>
      <c r="J1139" s="672" t="s">
        <v>1192</v>
      </c>
      <c r="K1139" s="670" t="s">
        <v>950</v>
      </c>
      <c r="L1139" s="1204" t="s">
        <v>1204</v>
      </c>
      <c r="M1139" s="1000"/>
      <c r="N1139" s="671" t="s">
        <v>1200</v>
      </c>
      <c r="O1139" s="362"/>
    </row>
    <row r="1140" spans="1:17" ht="15.75" customHeight="1">
      <c r="A1140" s="395" t="str">
        <f t="array" ref="A1140">IF(C1140&lt;&gt;0,INDEX(CodMat,MATCH(C1140,Materiales,0),),)</f>
        <v>MAT_C-34</v>
      </c>
      <c r="B1140" s="399"/>
      <c r="C1140" s="1128" t="s">
        <v>2511</v>
      </c>
      <c r="D1140" s="940"/>
      <c r="E1140" s="940"/>
      <c r="F1140" s="940"/>
      <c r="G1140" s="940"/>
      <c r="H1140" s="940"/>
      <c r="I1140" s="941"/>
      <c r="J1140" s="435" t="str">
        <f t="shared" ref="J1140:J1147" si="91">IF($A1140&gt;0,(VLOOKUP($A1140,TablaInsumos,5,FALSE)),"")</f>
        <v>M3</v>
      </c>
      <c r="K1140" s="673">
        <v>1.25</v>
      </c>
      <c r="L1140" s="1134">
        <f t="shared" ref="L1140:L1147" si="92">IF($A1140&gt;0,(VLOOKUP($A1140,TablaInsumos,7,FALSE)),"")</f>
        <v>110000</v>
      </c>
      <c r="M1140" s="941"/>
      <c r="N1140" s="430">
        <f t="shared" ref="N1140:N1147" si="93">IF(K1140&gt;0,L1140*K1140,"")</f>
        <v>137500</v>
      </c>
      <c r="O1140" s="362"/>
    </row>
    <row r="1141" spans="1:17" ht="15.75" customHeight="1">
      <c r="A1141" s="395">
        <f t="array" ref="A1141">IF(C1141&lt;&gt;0,INDEX(CodMat,MATCH(C1141,Materiales,0),),)</f>
        <v>0</v>
      </c>
      <c r="B1141" s="399"/>
      <c r="C1141" s="1128"/>
      <c r="D1141" s="940"/>
      <c r="E1141" s="940"/>
      <c r="F1141" s="940"/>
      <c r="G1141" s="940"/>
      <c r="H1141" s="940"/>
      <c r="I1141" s="941"/>
      <c r="J1141" s="435" t="str">
        <f t="shared" si="91"/>
        <v/>
      </c>
      <c r="K1141" s="673"/>
      <c r="L1141" s="1134" t="str">
        <f t="shared" si="92"/>
        <v/>
      </c>
      <c r="M1141" s="941"/>
      <c r="N1141" s="430" t="str">
        <f t="shared" si="93"/>
        <v/>
      </c>
      <c r="O1141" s="362"/>
      <c r="Q1141" s="688"/>
    </row>
    <row r="1142" spans="1:17" ht="15.75" customHeight="1">
      <c r="A1142" s="395">
        <f t="array" ref="A1142">IF(C1142&lt;&gt;0,INDEX(CodMat,MATCH(C1142,Materiales,0),),)</f>
        <v>0</v>
      </c>
      <c r="B1142" s="399"/>
      <c r="C1142" s="1128"/>
      <c r="D1142" s="940"/>
      <c r="E1142" s="940"/>
      <c r="F1142" s="940"/>
      <c r="G1142" s="940"/>
      <c r="H1142" s="940"/>
      <c r="I1142" s="941"/>
      <c r="J1142" s="435" t="str">
        <f t="shared" si="91"/>
        <v/>
      </c>
      <c r="K1142" s="673"/>
      <c r="L1142" s="1134" t="str">
        <f t="shared" si="92"/>
        <v/>
      </c>
      <c r="M1142" s="941"/>
      <c r="N1142" s="430" t="str">
        <f t="shared" si="93"/>
        <v/>
      </c>
      <c r="O1142" s="362"/>
      <c r="Q1142" s="687"/>
    </row>
    <row r="1143" spans="1:17" ht="15.75" customHeight="1">
      <c r="A1143" s="395">
        <f t="array" ref="A1143">IF(C1143&lt;&gt;0,INDEX(CodMat,MATCH(C1143,Materiales,0),),)</f>
        <v>0</v>
      </c>
      <c r="B1143" s="399"/>
      <c r="C1143" s="1128"/>
      <c r="D1143" s="940"/>
      <c r="E1143" s="940"/>
      <c r="F1143" s="940"/>
      <c r="G1143" s="940"/>
      <c r="H1143" s="940"/>
      <c r="I1143" s="941"/>
      <c r="J1143" s="435" t="str">
        <f t="shared" si="91"/>
        <v/>
      </c>
      <c r="K1143" s="673"/>
      <c r="L1143" s="1134" t="str">
        <f t="shared" si="92"/>
        <v/>
      </c>
      <c r="M1143" s="941"/>
      <c r="N1143" s="430" t="str">
        <f t="shared" si="93"/>
        <v/>
      </c>
      <c r="O1143" s="362"/>
    </row>
    <row r="1144" spans="1:17" ht="15.75" customHeight="1">
      <c r="A1144" s="395">
        <f t="array" ref="A1144">IF(C1144&lt;&gt;0,INDEX(CodMat,MATCH(C1144,Materiales,0),),)</f>
        <v>0</v>
      </c>
      <c r="B1144" s="399"/>
      <c r="C1144" s="1128"/>
      <c r="D1144" s="940"/>
      <c r="E1144" s="940"/>
      <c r="F1144" s="940"/>
      <c r="G1144" s="940"/>
      <c r="H1144" s="940"/>
      <c r="I1144" s="941"/>
      <c r="J1144" s="435" t="str">
        <f t="shared" si="91"/>
        <v/>
      </c>
      <c r="K1144" s="436"/>
      <c r="L1144" s="1134" t="str">
        <f t="shared" si="92"/>
        <v/>
      </c>
      <c r="M1144" s="941"/>
      <c r="N1144" s="430" t="str">
        <f t="shared" si="93"/>
        <v/>
      </c>
      <c r="O1144" s="362"/>
    </row>
    <row r="1145" spans="1:17" ht="15.75" customHeight="1">
      <c r="A1145" s="395">
        <f t="array" ref="A1145">IF(C1145&lt;&gt;0,INDEX(CodMat,MATCH(C1145,Materiales,0),),)</f>
        <v>0</v>
      </c>
      <c r="B1145" s="399"/>
      <c r="C1145" s="1128"/>
      <c r="D1145" s="940"/>
      <c r="E1145" s="940"/>
      <c r="F1145" s="940"/>
      <c r="G1145" s="940"/>
      <c r="H1145" s="940"/>
      <c r="I1145" s="941"/>
      <c r="J1145" s="435" t="str">
        <f t="shared" si="91"/>
        <v/>
      </c>
      <c r="K1145" s="436"/>
      <c r="L1145" s="1134" t="str">
        <f t="shared" si="92"/>
        <v/>
      </c>
      <c r="M1145" s="941"/>
      <c r="N1145" s="430" t="str">
        <f t="shared" si="93"/>
        <v/>
      </c>
      <c r="O1145" s="362"/>
    </row>
    <row r="1146" spans="1:17" ht="15.75" customHeight="1">
      <c r="A1146" s="395">
        <f t="array" ref="A1146">IF(C1146&lt;&gt;0,INDEX(CodMat,MATCH(C1146,Materiales,0),),)</f>
        <v>0</v>
      </c>
      <c r="B1146" s="399"/>
      <c r="C1146" s="1128"/>
      <c r="D1146" s="940"/>
      <c r="E1146" s="940"/>
      <c r="F1146" s="940"/>
      <c r="G1146" s="940"/>
      <c r="H1146" s="940"/>
      <c r="I1146" s="941"/>
      <c r="J1146" s="435" t="str">
        <f t="shared" si="91"/>
        <v/>
      </c>
      <c r="K1146" s="436"/>
      <c r="L1146" s="1134" t="str">
        <f t="shared" si="92"/>
        <v/>
      </c>
      <c r="M1146" s="941"/>
      <c r="N1146" s="430" t="str">
        <f t="shared" si="93"/>
        <v/>
      </c>
      <c r="O1146" s="362"/>
    </row>
    <row r="1147" spans="1:17" ht="15.75" customHeight="1">
      <c r="A1147" s="395">
        <f t="array" ref="A1147">IF(C1147&lt;&gt;0,INDEX(CodMat,MATCH(C1147,Materiales,0),),)</f>
        <v>0</v>
      </c>
      <c r="B1147" s="399"/>
      <c r="C1147" s="1128"/>
      <c r="D1147" s="940"/>
      <c r="E1147" s="940"/>
      <c r="F1147" s="940"/>
      <c r="G1147" s="940"/>
      <c r="H1147" s="940"/>
      <c r="I1147" s="941"/>
      <c r="J1147" s="435" t="str">
        <f t="shared" si="91"/>
        <v/>
      </c>
      <c r="K1147" s="436"/>
      <c r="L1147" s="1205" t="str">
        <f t="shared" si="92"/>
        <v/>
      </c>
      <c r="M1147" s="1145"/>
      <c r="N1147" s="430" t="str">
        <f t="shared" si="93"/>
        <v/>
      </c>
      <c r="O1147" s="362"/>
    </row>
    <row r="1148" spans="1:17" ht="15.75" customHeight="1">
      <c r="A1148" s="395"/>
      <c r="B1148" s="399"/>
      <c r="C1148" s="1127" t="s">
        <v>1202</v>
      </c>
      <c r="D1148" s="965"/>
      <c r="E1148" s="965"/>
      <c r="F1148" s="965"/>
      <c r="G1148" s="965"/>
      <c r="H1148" s="965"/>
      <c r="I1148" s="965"/>
      <c r="J1148" s="965"/>
      <c r="K1148" s="965"/>
      <c r="L1148" s="965"/>
      <c r="M1148" s="966"/>
      <c r="N1148" s="433">
        <f>+SUM(N1140:N1147)</f>
        <v>137500</v>
      </c>
      <c r="O1148" s="362"/>
    </row>
    <row r="1149" spans="1:17" ht="15.75" customHeight="1">
      <c r="A1149" s="395"/>
      <c r="B1149" s="399"/>
      <c r="C1149" s="1129" t="s">
        <v>1208</v>
      </c>
      <c r="D1149" s="926"/>
      <c r="E1149" s="926"/>
      <c r="F1149" s="926"/>
      <c r="G1149" s="926"/>
      <c r="H1149" s="926"/>
      <c r="I1149" s="926"/>
      <c r="J1149" s="926"/>
      <c r="K1149" s="926"/>
      <c r="L1149" s="926"/>
      <c r="M1149" s="926"/>
      <c r="N1149" s="927"/>
      <c r="O1149" s="362"/>
    </row>
    <row r="1150" spans="1:17" ht="15.75" customHeight="1">
      <c r="A1150" s="395"/>
      <c r="B1150" s="399"/>
      <c r="C1150" s="920"/>
      <c r="D1150" s="922"/>
      <c r="E1150" s="922"/>
      <c r="F1150" s="922"/>
      <c r="G1150" s="922"/>
      <c r="H1150" s="922"/>
      <c r="I1150" s="922"/>
      <c r="J1150" s="922"/>
      <c r="K1150" s="922"/>
      <c r="L1150" s="922"/>
      <c r="M1150" s="922"/>
      <c r="N1150" s="924"/>
      <c r="O1150" s="362"/>
    </row>
    <row r="1151" spans="1:17" ht="15.75" customHeight="1">
      <c r="A1151" s="395"/>
      <c r="B1151" s="399"/>
      <c r="C1151" s="929"/>
      <c r="D1151" s="936"/>
      <c r="E1151" s="936"/>
      <c r="F1151" s="936"/>
      <c r="G1151" s="936"/>
      <c r="H1151" s="936"/>
      <c r="I1151" s="936"/>
      <c r="J1151" s="936"/>
      <c r="K1151" s="936"/>
      <c r="L1151" s="936"/>
      <c r="M1151" s="936"/>
      <c r="N1151" s="938"/>
      <c r="O1151" s="362"/>
    </row>
    <row r="1152" spans="1:17" ht="15.75" customHeight="1">
      <c r="A1152" s="395"/>
      <c r="B1152" s="399"/>
      <c r="C1152" s="1201" t="s">
        <v>1209</v>
      </c>
      <c r="D1152" s="1131"/>
      <c r="E1152" s="1131"/>
      <c r="F1152" s="1131"/>
      <c r="G1152" s="1131"/>
      <c r="H1152" s="1000"/>
      <c r="I1152" s="670" t="s">
        <v>1210</v>
      </c>
      <c r="J1152" s="674" t="s">
        <v>1211</v>
      </c>
      <c r="K1152" s="675" t="s">
        <v>2318</v>
      </c>
      <c r="L1152" s="1204" t="s">
        <v>1213</v>
      </c>
      <c r="M1152" s="1000"/>
      <c r="N1152" s="671" t="s">
        <v>1200</v>
      </c>
      <c r="O1152" s="362"/>
    </row>
    <row r="1153" spans="1:15" ht="15.75" customHeight="1">
      <c r="A1153" s="395">
        <f t="array" ref="A1153">IF(C1153&lt;&gt;0,INDEX(CodTransporte,MATCH(C1153,Transporte,0),),)</f>
        <v>0</v>
      </c>
      <c r="B1153" s="399"/>
      <c r="C1153" s="1128"/>
      <c r="D1153" s="940"/>
      <c r="E1153" s="940"/>
      <c r="F1153" s="940"/>
      <c r="G1153" s="940"/>
      <c r="H1153" s="940"/>
      <c r="I1153" s="440"/>
      <c r="J1153" s="441" t="str">
        <f>IF($A1153&gt;0,(VLOOKUP($A1153,TablaTransporte,6,FALSE)),"")</f>
        <v/>
      </c>
      <c r="K1153" s="442" t="str">
        <f>IF($A1153&gt;0,(VLOOKUP($A1153,TablaTransporte,5,FALSE)),"")</f>
        <v/>
      </c>
      <c r="L1153" s="1134" t="str">
        <f>IF($A1153&gt;0,(VLOOKUP($A1153,TablaTransporte,7,FALSE)),"")</f>
        <v/>
      </c>
      <c r="M1153" s="941"/>
      <c r="N1153" s="430" t="str">
        <f t="shared" ref="N1153:N1157" si="94">IF(I1153&gt;0,J1153*L1153*I1153,"")</f>
        <v/>
      </c>
      <c r="O1153" s="362"/>
    </row>
    <row r="1154" spans="1:15" ht="15.75" customHeight="1">
      <c r="A1154" s="395">
        <f t="array" ref="A1154">IF(C1154&lt;&gt;0,INDEX(CodTransporte,MATCH(C1154,Transporte,0),),)</f>
        <v>0</v>
      </c>
      <c r="B1154" s="399"/>
      <c r="C1154" s="1128"/>
      <c r="D1154" s="940"/>
      <c r="E1154" s="940"/>
      <c r="F1154" s="940"/>
      <c r="G1154" s="940"/>
      <c r="H1154" s="940"/>
      <c r="I1154" s="440"/>
      <c r="J1154" s="441" t="str">
        <f>IF($A1154&gt;0,(VLOOKUP($A1154,TablaTransporte,6,FALSE)),"")</f>
        <v/>
      </c>
      <c r="K1154" s="442" t="str">
        <f>IF($A1154&gt;0,(VLOOKUP($A1154,TablaTransporte,5,FALSE)),"")</f>
        <v/>
      </c>
      <c r="L1154" s="1134" t="str">
        <f>IF($A1154&gt;0,(VLOOKUP($A1154,TablaTransporte,7,FALSE)),"")</f>
        <v/>
      </c>
      <c r="M1154" s="941"/>
      <c r="N1154" s="430" t="str">
        <f t="shared" si="94"/>
        <v/>
      </c>
      <c r="O1154" s="362"/>
    </row>
    <row r="1155" spans="1:15" ht="15.75" customHeight="1">
      <c r="A1155" s="395">
        <f t="array" ref="A1155">IF(C1155&lt;&gt;0,INDEX(CodTransporte,MATCH(C1155,Transporte,0),),)</f>
        <v>0</v>
      </c>
      <c r="B1155" s="399"/>
      <c r="C1155" s="1128"/>
      <c r="D1155" s="940"/>
      <c r="E1155" s="940"/>
      <c r="F1155" s="940"/>
      <c r="G1155" s="940"/>
      <c r="H1155" s="940"/>
      <c r="I1155" s="440"/>
      <c r="J1155" s="441" t="str">
        <f>IF($A1155&gt;0,(VLOOKUP($A1155,TablaTransporte,6,FALSE)),"")</f>
        <v/>
      </c>
      <c r="K1155" s="442" t="str">
        <f>IF($A1155&gt;0,(VLOOKUP($A1155,TablaTransporte,5,FALSE)),"")</f>
        <v/>
      </c>
      <c r="L1155" s="1134" t="str">
        <f>IF($A1155&gt;0,(VLOOKUP($A1155,TablaTransporte,7,FALSE)),"")</f>
        <v/>
      </c>
      <c r="M1155" s="941"/>
      <c r="N1155" s="430" t="str">
        <f t="shared" si="94"/>
        <v/>
      </c>
      <c r="O1155" s="362"/>
    </row>
    <row r="1156" spans="1:15" ht="15.75" customHeight="1">
      <c r="A1156" s="395">
        <f t="array" ref="A1156">IF(C1156&lt;&gt;0,INDEX(CodTransporte,MATCH(C1156,Transporte,0),),)</f>
        <v>0</v>
      </c>
      <c r="B1156" s="399"/>
      <c r="C1156" s="1128"/>
      <c r="D1156" s="940"/>
      <c r="E1156" s="940"/>
      <c r="F1156" s="940"/>
      <c r="G1156" s="940"/>
      <c r="H1156" s="940"/>
      <c r="I1156" s="440"/>
      <c r="J1156" s="441" t="str">
        <f>IF($A1156&gt;0,(VLOOKUP($A1156,TablaTransporte,6,FALSE)),"")</f>
        <v/>
      </c>
      <c r="K1156" s="442" t="str">
        <f>IF($A1156&gt;0,(VLOOKUP($A1156,TablaTransporte,5,FALSE)),"")</f>
        <v/>
      </c>
      <c r="L1156" s="1134" t="str">
        <f>IF($A1156&gt;0,(VLOOKUP($A1156,TablaTransporte,7,FALSE)),"")</f>
        <v/>
      </c>
      <c r="M1156" s="941"/>
      <c r="N1156" s="430" t="str">
        <f t="shared" si="94"/>
        <v/>
      </c>
      <c r="O1156" s="362"/>
    </row>
    <row r="1157" spans="1:15" ht="15.75" customHeight="1">
      <c r="A1157" s="395">
        <f t="array" ref="A1157">IF(C1157&lt;&gt;0,INDEX(CodTransporte,MATCH(C1157,Transporte,0),),)</f>
        <v>0</v>
      </c>
      <c r="B1157" s="399"/>
      <c r="C1157" s="1128"/>
      <c r="D1157" s="940"/>
      <c r="E1157" s="940"/>
      <c r="F1157" s="940"/>
      <c r="G1157" s="940"/>
      <c r="H1157" s="940"/>
      <c r="I1157" s="440"/>
      <c r="J1157" s="441" t="str">
        <f>IF($A1157&gt;0,(VLOOKUP($A1157,TablaTransporte,6,FALSE)),"")</f>
        <v/>
      </c>
      <c r="K1157" s="442" t="str">
        <f>IF($A1157&gt;0,(VLOOKUP($A1157,TablaTransporte,5,FALSE)),"")</f>
        <v/>
      </c>
      <c r="L1157" s="1205" t="str">
        <f>IF($A1157&gt;0,(VLOOKUP($A1157,TablaTransporte,7,FALSE)),"")</f>
        <v/>
      </c>
      <c r="M1157" s="1145"/>
      <c r="N1157" s="430" t="str">
        <f t="shared" si="94"/>
        <v/>
      </c>
      <c r="O1157" s="362"/>
    </row>
    <row r="1158" spans="1:15" ht="15.75" customHeight="1">
      <c r="A1158" s="395"/>
      <c r="B1158" s="399"/>
      <c r="C1158" s="1127" t="s">
        <v>1202</v>
      </c>
      <c r="D1158" s="965"/>
      <c r="E1158" s="965"/>
      <c r="F1158" s="965"/>
      <c r="G1158" s="965"/>
      <c r="H1158" s="965"/>
      <c r="I1158" s="965"/>
      <c r="J1158" s="965"/>
      <c r="K1158" s="965"/>
      <c r="L1158" s="965"/>
      <c r="M1158" s="966"/>
      <c r="N1158" s="433">
        <f>+SUM(N1153:N1157)</f>
        <v>0</v>
      </c>
      <c r="O1158" s="362"/>
    </row>
    <row r="1159" spans="1:15" ht="15.75" customHeight="1">
      <c r="A1159" s="395"/>
      <c r="B1159" s="399"/>
      <c r="C1159" s="1129" t="s">
        <v>1214</v>
      </c>
      <c r="D1159" s="926"/>
      <c r="E1159" s="926"/>
      <c r="F1159" s="926"/>
      <c r="G1159" s="926"/>
      <c r="H1159" s="926"/>
      <c r="I1159" s="926"/>
      <c r="J1159" s="926"/>
      <c r="K1159" s="926"/>
      <c r="L1159" s="926"/>
      <c r="M1159" s="926"/>
      <c r="N1159" s="927"/>
      <c r="O1159" s="362"/>
    </row>
    <row r="1160" spans="1:15" ht="15.75" customHeight="1">
      <c r="A1160" s="395"/>
      <c r="B1160" s="399"/>
      <c r="C1160" s="920"/>
      <c r="D1160" s="922"/>
      <c r="E1160" s="922"/>
      <c r="F1160" s="922"/>
      <c r="G1160" s="922"/>
      <c r="H1160" s="922"/>
      <c r="I1160" s="922"/>
      <c r="J1160" s="922"/>
      <c r="K1160" s="922"/>
      <c r="L1160" s="922"/>
      <c r="M1160" s="922"/>
      <c r="N1160" s="924"/>
      <c r="O1160" s="362"/>
    </row>
    <row r="1161" spans="1:15" ht="15.75" customHeight="1">
      <c r="A1161" s="395"/>
      <c r="B1161" s="399"/>
      <c r="C1161" s="929"/>
      <c r="D1161" s="936"/>
      <c r="E1161" s="936"/>
      <c r="F1161" s="936"/>
      <c r="G1161" s="936"/>
      <c r="H1161" s="936"/>
      <c r="I1161" s="936"/>
      <c r="J1161" s="936"/>
      <c r="K1161" s="936"/>
      <c r="L1161" s="936"/>
      <c r="M1161" s="936"/>
      <c r="N1161" s="938"/>
      <c r="O1161" s="362"/>
    </row>
    <row r="1162" spans="1:15" ht="15.75" customHeight="1">
      <c r="A1162" s="395"/>
      <c r="B1162" s="399"/>
      <c r="C1162" s="1201" t="s">
        <v>1215</v>
      </c>
      <c r="D1162" s="1131"/>
      <c r="E1162" s="1131"/>
      <c r="F1162" s="1131"/>
      <c r="G1162" s="1131"/>
      <c r="H1162" s="1000"/>
      <c r="I1162" s="670" t="s">
        <v>1216</v>
      </c>
      <c r="J1162" s="676" t="s">
        <v>1217</v>
      </c>
      <c r="K1162" s="677" t="s">
        <v>1218</v>
      </c>
      <c r="L1162" s="1206" t="s">
        <v>1199</v>
      </c>
      <c r="M1162" s="1000"/>
      <c r="N1162" s="678" t="s">
        <v>1200</v>
      </c>
      <c r="O1162" s="362"/>
    </row>
    <row r="1163" spans="1:15" ht="15.75" customHeight="1">
      <c r="A1163" s="395" t="str">
        <f t="array" ref="A1163">IF(C1163&lt;&gt;0,INDEX(CodMO,MATCH(C1163,MO,0),),)</f>
        <v>M.O-05</v>
      </c>
      <c r="B1163" s="399"/>
      <c r="C1163" s="1128" t="s">
        <v>139</v>
      </c>
      <c r="D1163" s="940"/>
      <c r="E1163" s="940"/>
      <c r="F1163" s="940"/>
      <c r="G1163" s="940"/>
      <c r="H1163" s="940"/>
      <c r="I1163" s="447">
        <f>IF($A1163&gt;0,(VLOOKUP($A1163,TablaMO,8,FALSE)),"")</f>
        <v>125030.16666666667</v>
      </c>
      <c r="J1163" s="448">
        <f>IF($A1163&gt;0,(VLOOKUP($A1163,TablaMO,10,FALSE)),"")</f>
        <v>0.67071666666666663</v>
      </c>
      <c r="K1163" s="447">
        <f>IF($A1163&gt;0,(VLOOKUP($A1163,TablaMO,11,FALSE)),"")</f>
        <v>208890</v>
      </c>
      <c r="L1163" s="1146">
        <v>56.847146197013764</v>
      </c>
      <c r="M1163" s="941"/>
      <c r="N1163" s="430">
        <f t="shared" ref="N1163:N1167" si="95">IF(L1163&gt;0,K1163/L1163,"")</f>
        <v>3674.5907925800716</v>
      </c>
      <c r="O1163" s="362"/>
    </row>
    <row r="1164" spans="1:15" ht="15.75" customHeight="1">
      <c r="A1164" s="395" t="str">
        <f t="array" ref="A1164">IF(C1164&lt;&gt;0,INDEX(CodMO,MATCH(C1164,MO,0),),)</f>
        <v>M.O-01</v>
      </c>
      <c r="B1164" s="399"/>
      <c r="C1164" s="1128" t="s">
        <v>130</v>
      </c>
      <c r="D1164" s="940"/>
      <c r="E1164" s="940"/>
      <c r="F1164" s="940"/>
      <c r="G1164" s="940"/>
      <c r="H1164" s="940"/>
      <c r="I1164" s="447">
        <f>IF($A1164&gt;0,(VLOOKUP($A1164,TablaMO,8,FALSE)),"")</f>
        <v>72503.016666666677</v>
      </c>
      <c r="J1164" s="448">
        <f>IF($A1164&gt;0,(VLOOKUP($A1164,TablaMO,10,FALSE)),"")</f>
        <v>0.67071666666666663</v>
      </c>
      <c r="K1164" s="447">
        <f>IF($A1164&gt;0,(VLOOKUP($A1164,TablaMO,11,FALSE)),"")</f>
        <v>121132</v>
      </c>
      <c r="L1164" s="1146">
        <f>L1163</f>
        <v>56.847146197013764</v>
      </c>
      <c r="M1164" s="941"/>
      <c r="N1164" s="430">
        <f t="shared" si="95"/>
        <v>2130.8369567083596</v>
      </c>
      <c r="O1164" s="362"/>
    </row>
    <row r="1165" spans="1:15" ht="15.75" customHeight="1">
      <c r="A1165" s="395">
        <f t="array" ref="A1165">IF(C1165&lt;&gt;0,INDEX(CodMO,MATCH(C1165,MO,0),),)</f>
        <v>0</v>
      </c>
      <c r="B1165" s="399"/>
      <c r="C1165" s="1128"/>
      <c r="D1165" s="940"/>
      <c r="E1165" s="940"/>
      <c r="F1165" s="940"/>
      <c r="G1165" s="940"/>
      <c r="H1165" s="940"/>
      <c r="I1165" s="447" t="str">
        <f>IF($A1165&gt;0,(VLOOKUP($A1165,TablaMO,8,FALSE)),"")</f>
        <v/>
      </c>
      <c r="J1165" s="448" t="str">
        <f>IF($A1165&gt;0,(VLOOKUP($A1165,TablaMO,10,FALSE)),"")</f>
        <v/>
      </c>
      <c r="K1165" s="447" t="str">
        <f>IF($A1165&gt;0,(VLOOKUP($A1165,TablaMO,11,FALSE)),"")</f>
        <v/>
      </c>
      <c r="L1165" s="1146"/>
      <c r="M1165" s="941"/>
      <c r="N1165" s="430" t="str">
        <f t="shared" si="95"/>
        <v/>
      </c>
      <c r="O1165" s="362"/>
    </row>
    <row r="1166" spans="1:15" ht="15.75" customHeight="1">
      <c r="A1166" s="395">
        <f t="array" ref="A1166">IF(C1166&lt;&gt;0,INDEX(CodMO,MATCH(C1166,MO,0),),)</f>
        <v>0</v>
      </c>
      <c r="B1166" s="399"/>
      <c r="C1166" s="1128"/>
      <c r="D1166" s="940"/>
      <c r="E1166" s="940"/>
      <c r="F1166" s="940"/>
      <c r="G1166" s="940"/>
      <c r="H1166" s="940"/>
      <c r="I1166" s="447" t="str">
        <f>IF($A1166&gt;0,(VLOOKUP($A1166,TablaMO,8,FALSE)),"")</f>
        <v/>
      </c>
      <c r="J1166" s="448" t="str">
        <f>IF($A1166&gt;0,(VLOOKUP($A1166,TablaMO,10,FALSE)),"")</f>
        <v/>
      </c>
      <c r="K1166" s="447" t="str">
        <f>IF($A1166&gt;0,(VLOOKUP($A1166,TablaMO,11,FALSE)),"")</f>
        <v/>
      </c>
      <c r="L1166" s="1146"/>
      <c r="M1166" s="941"/>
      <c r="N1166" s="430" t="str">
        <f t="shared" si="95"/>
        <v/>
      </c>
      <c r="O1166" s="362"/>
    </row>
    <row r="1167" spans="1:15" ht="15.75" customHeight="1">
      <c r="A1167" s="395">
        <f t="array" ref="A1167">IF(C1167&lt;&gt;0,INDEX(CodMO,MATCH(C1167,MO,0),),)</f>
        <v>0</v>
      </c>
      <c r="B1167" s="399"/>
      <c r="C1167" s="1128"/>
      <c r="D1167" s="940"/>
      <c r="E1167" s="940"/>
      <c r="F1167" s="940"/>
      <c r="G1167" s="940"/>
      <c r="H1167" s="940"/>
      <c r="I1167" s="447" t="str">
        <f>IF($A1167&gt;0,(VLOOKUP($A1167,TablaMO,8,FALSE)),"")</f>
        <v/>
      </c>
      <c r="J1167" s="448" t="str">
        <f>IF($A1167&gt;0,(VLOOKUP($A1167,TablaMO,10,FALSE)),"")</f>
        <v/>
      </c>
      <c r="K1167" s="447" t="str">
        <f>IF($A1167&gt;0,(VLOOKUP($A1167,TablaMO,11,FALSE)),"")</f>
        <v/>
      </c>
      <c r="L1167" s="1146"/>
      <c r="M1167" s="941"/>
      <c r="N1167" s="430" t="str">
        <f t="shared" si="95"/>
        <v/>
      </c>
      <c r="O1167" s="362"/>
    </row>
    <row r="1168" spans="1:15" ht="15.75" customHeight="1">
      <c r="A1168" s="395"/>
      <c r="B1168" s="399"/>
      <c r="C1168" s="1127" t="s">
        <v>1202</v>
      </c>
      <c r="D1168" s="965"/>
      <c r="E1168" s="965"/>
      <c r="F1168" s="965"/>
      <c r="G1168" s="965"/>
      <c r="H1168" s="965"/>
      <c r="I1168" s="965"/>
      <c r="J1168" s="965"/>
      <c r="K1168" s="965"/>
      <c r="L1168" s="965"/>
      <c r="M1168" s="966"/>
      <c r="N1168" s="433">
        <f>+SUM(N1163:N1167)</f>
        <v>5805.4277492884312</v>
      </c>
      <c r="O1168" s="362"/>
    </row>
    <row r="1169" spans="2:18" ht="15.75" customHeight="1">
      <c r="B1169" s="679"/>
      <c r="O1169" s="362"/>
    </row>
    <row r="1170" spans="2:18" ht="15.75" customHeight="1">
      <c r="B1170" s="679"/>
      <c r="C1170" s="1198" t="s">
        <v>1219</v>
      </c>
      <c r="D1170" s="965"/>
      <c r="E1170" s="965"/>
      <c r="F1170" s="965"/>
      <c r="G1170" s="965"/>
      <c r="H1170" s="965"/>
      <c r="I1170" s="965"/>
      <c r="J1170" s="965"/>
      <c r="K1170" s="965"/>
      <c r="L1170" s="965"/>
      <c r="M1170" s="966"/>
      <c r="N1170" s="680">
        <f>ROUND(SUM(N1168,N1158,N1148,N1135),0)</f>
        <v>150054</v>
      </c>
      <c r="O1170" s="362"/>
      <c r="Q1170" s="681">
        <f>VLOOKUP(C1124,PROPUESTASASERCO,8,FALSE)</f>
        <v>150054</v>
      </c>
      <c r="R1170" s="682">
        <f>Q1170-N1170</f>
        <v>0</v>
      </c>
    </row>
    <row r="1171" spans="2:18" ht="15.75" customHeight="1">
      <c r="B1171" s="679"/>
      <c r="C1171" s="1129" t="s">
        <v>1220</v>
      </c>
      <c r="D1171" s="926"/>
      <c r="E1171" s="926"/>
      <c r="F1171" s="926"/>
      <c r="G1171" s="926"/>
      <c r="H1171" s="926"/>
      <c r="I1171" s="926"/>
      <c r="J1171" s="926"/>
      <c r="K1171" s="926"/>
      <c r="L1171" s="926"/>
      <c r="M1171" s="926"/>
      <c r="N1171" s="927"/>
      <c r="O1171" s="362"/>
    </row>
    <row r="1172" spans="2:18" ht="15.75" customHeight="1">
      <c r="B1172" s="679"/>
      <c r="C1172" s="920"/>
      <c r="D1172" s="922"/>
      <c r="E1172" s="922"/>
      <c r="F1172" s="922"/>
      <c r="G1172" s="922"/>
      <c r="H1172" s="922"/>
      <c r="I1172" s="922"/>
      <c r="J1172" s="922"/>
      <c r="K1172" s="922"/>
      <c r="L1172" s="922"/>
      <c r="M1172" s="922"/>
      <c r="N1172" s="924"/>
      <c r="O1172" s="362"/>
    </row>
    <row r="1173" spans="2:18" ht="15.75" customHeight="1">
      <c r="B1173" s="679"/>
      <c r="C1173" s="929"/>
      <c r="D1173" s="936"/>
      <c r="E1173" s="936"/>
      <c r="F1173" s="936"/>
      <c r="G1173" s="936"/>
      <c r="H1173" s="936"/>
      <c r="I1173" s="936"/>
      <c r="J1173" s="936"/>
      <c r="K1173" s="936"/>
      <c r="L1173" s="936"/>
      <c r="M1173" s="936"/>
      <c r="N1173" s="938"/>
      <c r="O1173" s="362"/>
    </row>
    <row r="1174" spans="2:18" ht="15.75" customHeight="1">
      <c r="B1174" s="679"/>
      <c r="C1174" s="1201" t="s">
        <v>1221</v>
      </c>
      <c r="D1174" s="1131"/>
      <c r="E1174" s="1131"/>
      <c r="F1174" s="1131"/>
      <c r="G1174" s="1131"/>
      <c r="H1174" s="1132"/>
      <c r="I1174" s="674"/>
      <c r="J1174" s="674"/>
      <c r="K1174" s="674"/>
      <c r="L1174" s="1206" t="s">
        <v>1222</v>
      </c>
      <c r="M1174" s="1000"/>
      <c r="N1174" s="678" t="s">
        <v>1223</v>
      </c>
      <c r="O1174" s="362"/>
    </row>
    <row r="1175" spans="2:18" ht="15.75" customHeight="1">
      <c r="B1175" s="679"/>
      <c r="C1175" s="1128" t="s">
        <v>19</v>
      </c>
      <c r="D1175" s="940"/>
      <c r="E1175" s="940"/>
      <c r="F1175" s="940"/>
      <c r="G1175" s="940"/>
      <c r="H1175" s="940"/>
      <c r="I1175" s="452"/>
      <c r="J1175" s="452"/>
      <c r="K1175" s="452"/>
      <c r="L1175" s="1148">
        <f>+Datos!$E$18</f>
        <v>0.25</v>
      </c>
      <c r="M1175" s="941"/>
      <c r="N1175" s="430">
        <f>+L1175*N1170</f>
        <v>37513.5</v>
      </c>
      <c r="O1175" s="362"/>
    </row>
    <row r="1176" spans="2:18" ht="15.75" customHeight="1">
      <c r="B1176" s="679"/>
      <c r="C1176" s="454" t="s">
        <v>20</v>
      </c>
      <c r="D1176" s="455"/>
      <c r="E1176" s="455"/>
      <c r="F1176" s="455"/>
      <c r="G1176" s="455"/>
      <c r="H1176" s="455"/>
      <c r="I1176" s="452"/>
      <c r="J1176" s="452"/>
      <c r="K1176" s="452"/>
      <c r="L1176" s="1148">
        <f>+Datos!$E$19</f>
        <v>0.01</v>
      </c>
      <c r="M1176" s="941"/>
      <c r="N1176" s="430">
        <f>+L1176*N1170</f>
        <v>1500.54</v>
      </c>
      <c r="O1176" s="362"/>
    </row>
    <row r="1177" spans="2:18" ht="15.75" customHeight="1">
      <c r="B1177" s="679"/>
      <c r="C1177" s="456" t="s">
        <v>21</v>
      </c>
      <c r="D1177" s="457"/>
      <c r="E1177" s="457"/>
      <c r="F1177" s="457"/>
      <c r="G1177" s="457"/>
      <c r="H1177" s="457"/>
      <c r="I1177" s="458"/>
      <c r="J1177" s="458"/>
      <c r="K1177" s="458"/>
      <c r="L1177" s="1148">
        <f>+Datos!$E$20</f>
        <v>0.05</v>
      </c>
      <c r="M1177" s="941"/>
      <c r="N1177" s="430">
        <f>+L1177*N1170</f>
        <v>7502.7000000000007</v>
      </c>
      <c r="O1177" s="362"/>
    </row>
    <row r="1178" spans="2:18" ht="15.75" customHeight="1">
      <c r="B1178" s="679"/>
      <c r="C1178" s="1127" t="s">
        <v>1202</v>
      </c>
      <c r="D1178" s="965"/>
      <c r="E1178" s="965"/>
      <c r="F1178" s="965"/>
      <c r="G1178" s="965"/>
      <c r="H1178" s="965"/>
      <c r="I1178" s="965"/>
      <c r="J1178" s="965"/>
      <c r="K1178" s="965"/>
      <c r="L1178" s="965"/>
      <c r="M1178" s="966"/>
      <c r="N1178" s="433">
        <f>+SUM(N1175:N1177)</f>
        <v>46516.740000000005</v>
      </c>
      <c r="O1178" s="362"/>
    </row>
    <row r="1179" spans="2:18" ht="15.75" customHeight="1">
      <c r="B1179" s="679"/>
      <c r="C1179" s="418"/>
      <c r="D1179" s="39"/>
      <c r="E1179" s="39"/>
      <c r="F1179" s="39"/>
      <c r="G1179" s="39"/>
      <c r="H1179" s="39"/>
      <c r="I1179" s="39"/>
      <c r="J1179" s="39"/>
      <c r="K1179" s="39"/>
      <c r="L1179" s="39"/>
      <c r="M1179" s="39"/>
      <c r="N1179" s="40"/>
      <c r="O1179" s="362"/>
    </row>
    <row r="1180" spans="2:18" ht="15.75" customHeight="1">
      <c r="B1180" s="679"/>
      <c r="C1180" s="1198" t="s">
        <v>1224</v>
      </c>
      <c r="D1180" s="965"/>
      <c r="E1180" s="965"/>
      <c r="F1180" s="965"/>
      <c r="G1180" s="965"/>
      <c r="H1180" s="965"/>
      <c r="I1180" s="965"/>
      <c r="J1180" s="965"/>
      <c r="K1180" s="965"/>
      <c r="L1180" s="965"/>
      <c r="M1180" s="966"/>
      <c r="N1180" s="683">
        <f>+ROUND(SUM(N1178,N1170),0)</f>
        <v>196571</v>
      </c>
      <c r="O1180" s="362"/>
    </row>
    <row r="1181" spans="2:18" ht="15.75" customHeight="1">
      <c r="B1181" s="679"/>
      <c r="C1181" s="418"/>
      <c r="D1181" s="39" t="s">
        <v>1225</v>
      </c>
      <c r="E1181" s="39"/>
      <c r="F1181" s="39"/>
      <c r="G1181" s="184"/>
      <c r="H1181" s="184"/>
      <c r="I1181" s="184"/>
      <c r="J1181" s="39" t="s">
        <v>1225</v>
      </c>
      <c r="K1181" s="39"/>
      <c r="L1181" s="39"/>
      <c r="M1181" s="39"/>
      <c r="N1181" s="40"/>
      <c r="O1181" s="362"/>
    </row>
    <row r="1182" spans="2:18" ht="15.75" customHeight="1">
      <c r="B1182" s="679"/>
      <c r="C1182" s="418"/>
      <c r="D1182" s="39" t="s">
        <v>1226</v>
      </c>
      <c r="E1182" s="39"/>
      <c r="F1182" s="39"/>
      <c r="G1182" s="184"/>
      <c r="H1182" s="184"/>
      <c r="I1182" s="184"/>
      <c r="J1182" s="39" t="s">
        <v>1227</v>
      </c>
      <c r="K1182" s="39"/>
      <c r="L1182" s="39"/>
      <c r="M1182" s="39"/>
      <c r="N1182" s="40"/>
      <c r="O1182" s="362"/>
    </row>
    <row r="1183" spans="2:18" ht="15.75" customHeight="1">
      <c r="B1183" s="679"/>
      <c r="C1183" s="404"/>
      <c r="D1183" s="39" t="s">
        <v>1228</v>
      </c>
      <c r="E1183" s="42"/>
      <c r="F1183" s="42"/>
      <c r="G1183" s="184"/>
      <c r="H1183" s="184"/>
      <c r="I1183" s="184"/>
      <c r="J1183" s="39" t="s">
        <v>1228</v>
      </c>
      <c r="K1183" s="42"/>
      <c r="L1183" s="42"/>
      <c r="M1183" s="42"/>
      <c r="N1183" s="43"/>
      <c r="O1183" s="362"/>
    </row>
    <row r="1184" spans="2:18" ht="15.75" customHeight="1">
      <c r="B1184" s="679"/>
      <c r="C1184" s="418"/>
      <c r="D1184" s="39"/>
      <c r="E1184" s="39"/>
      <c r="F1184" s="39"/>
      <c r="G1184" s="39" t="s">
        <v>1229</v>
      </c>
      <c r="H1184" s="39"/>
      <c r="I1184" s="39"/>
      <c r="J1184" s="39"/>
      <c r="K1184" s="39"/>
      <c r="L1184" s="39"/>
      <c r="M1184" s="39"/>
      <c r="N1184" s="40"/>
      <c r="O1184" s="362"/>
    </row>
    <row r="1185" spans="1:15" ht="15.75" customHeight="1">
      <c r="B1185" s="679"/>
      <c r="C1185" s="466"/>
      <c r="D1185" s="467"/>
      <c r="E1185" s="467"/>
      <c r="F1185" s="39"/>
      <c r="G1185" s="39"/>
      <c r="H1185" s="39"/>
      <c r="I1185" s="39"/>
      <c r="J1185" s="1149"/>
      <c r="K1185" s="922"/>
      <c r="L1185" s="922"/>
      <c r="M1185" s="922"/>
      <c r="N1185" s="924"/>
      <c r="O1185" s="362"/>
    </row>
    <row r="1186" spans="1:15" ht="15.75" customHeight="1">
      <c r="B1186" s="679"/>
      <c r="C1186" s="1150"/>
      <c r="D1186" s="936"/>
      <c r="E1186" s="936"/>
      <c r="F1186" s="416"/>
      <c r="G1186" s="416"/>
      <c r="H1186" s="416"/>
      <c r="I1186" s="416"/>
      <c r="J1186" s="936"/>
      <c r="K1186" s="936"/>
      <c r="L1186" s="936"/>
      <c r="M1186" s="936"/>
      <c r="N1186" s="938"/>
      <c r="O1186" s="362"/>
    </row>
    <row r="1187" spans="1:15" ht="15.75" customHeight="1">
      <c r="B1187" s="684"/>
      <c r="C1187" s="685"/>
      <c r="D1187" s="685"/>
      <c r="E1187" s="685"/>
      <c r="F1187" s="685"/>
      <c r="G1187" s="685"/>
      <c r="H1187" s="685"/>
      <c r="I1187" s="685"/>
      <c r="J1187" s="685"/>
      <c r="K1187" s="685"/>
      <c r="L1187" s="685"/>
      <c r="M1187" s="685"/>
      <c r="N1187" s="685"/>
      <c r="O1187" s="686"/>
    </row>
    <row r="1188" spans="1:15" ht="15.75" customHeight="1"/>
    <row r="1189" spans="1:15" ht="15.75" customHeight="1"/>
    <row r="1190" spans="1:15" ht="15.75" customHeight="1"/>
    <row r="1191" spans="1:15" ht="15.75" customHeight="1"/>
    <row r="1192" spans="1:15" ht="15.75" customHeight="1">
      <c r="A1192" s="395" t="s">
        <v>941</v>
      </c>
      <c r="B1192" s="184"/>
      <c r="C1192" s="184"/>
      <c r="D1192" s="184"/>
      <c r="E1192" s="184"/>
      <c r="F1192" s="184"/>
      <c r="G1192" s="184"/>
      <c r="H1192" s="184"/>
      <c r="I1192" s="184"/>
      <c r="J1192" s="184"/>
      <c r="K1192" s="184"/>
      <c r="L1192" s="184"/>
      <c r="M1192" s="184"/>
      <c r="N1192" s="184"/>
    </row>
    <row r="1193" spans="1:15" ht="15.75" customHeight="1">
      <c r="A1193" s="395"/>
      <c r="B1193" s="396"/>
      <c r="C1193" s="397"/>
      <c r="D1193" s="397"/>
      <c r="E1193" s="397"/>
      <c r="F1193" s="397"/>
      <c r="G1193" s="397"/>
      <c r="H1193" s="397"/>
      <c r="I1193" s="397"/>
      <c r="J1193" s="397"/>
      <c r="K1193" s="397"/>
      <c r="L1193" s="397"/>
      <c r="M1193" s="397"/>
      <c r="N1193" s="397"/>
      <c r="O1193" s="667"/>
    </row>
    <row r="1194" spans="1:15" ht="15.75" customHeight="1">
      <c r="A1194" s="395"/>
      <c r="B1194" s="399"/>
      <c r="C1194" s="1124"/>
      <c r="D1194" s="927"/>
      <c r="E1194" s="1207" t="str">
        <f>Datos!$C$9</f>
        <v>CONSEJO SUPERIOR  DE  JUDICATURA– DIRECCIÓN  EJECUTIVA  SECCIONAL  DE ADMINISTRACIÓN JUDICIAL DE BUCARAMANGA</v>
      </c>
      <c r="F1194" s="926"/>
      <c r="G1194" s="926"/>
      <c r="H1194" s="926"/>
      <c r="I1194" s="926"/>
      <c r="J1194" s="926"/>
      <c r="K1194" s="927"/>
      <c r="L1194" s="925" t="s">
        <v>1</v>
      </c>
      <c r="M1194" s="931"/>
      <c r="N1194" s="933">
        <v>1</v>
      </c>
      <c r="O1194" s="362"/>
    </row>
    <row r="1195" spans="1:15" ht="15.75" customHeight="1">
      <c r="A1195" s="395"/>
      <c r="B1195" s="399"/>
      <c r="C1195" s="920"/>
      <c r="D1195" s="924"/>
      <c r="E1195" s="920"/>
      <c r="F1195" s="922"/>
      <c r="G1195" s="922"/>
      <c r="H1195" s="922"/>
      <c r="I1195" s="922"/>
      <c r="J1195" s="922"/>
      <c r="K1195" s="924"/>
      <c r="L1195" s="920"/>
      <c r="M1195" s="932"/>
      <c r="N1195" s="934"/>
      <c r="O1195" s="362"/>
    </row>
    <row r="1196" spans="1:15" ht="15.75" customHeight="1">
      <c r="A1196" s="395"/>
      <c r="B1196" s="399"/>
      <c r="C1196" s="920"/>
      <c r="D1196" s="924"/>
      <c r="E1196" s="919" t="str">
        <f>Datos!$C$13</f>
        <v xml:space="preserve">BGA - 030 - 2026 </v>
      </c>
      <c r="F1196" s="922"/>
      <c r="G1196" s="922"/>
      <c r="H1196" s="922"/>
      <c r="I1196" s="922"/>
      <c r="J1196" s="922"/>
      <c r="K1196" s="922"/>
      <c r="L1196" s="925" t="s">
        <v>29</v>
      </c>
      <c r="M1196" s="926"/>
      <c r="N1196" s="927"/>
      <c r="O1196" s="362"/>
    </row>
    <row r="1197" spans="1:15" ht="15.75" customHeight="1">
      <c r="A1197" s="395"/>
      <c r="B1197" s="399"/>
      <c r="C1197" s="920"/>
      <c r="D1197" s="924"/>
      <c r="E119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197" s="922"/>
      <c r="G1197" s="922"/>
      <c r="H1197" s="922"/>
      <c r="I1197" s="922"/>
      <c r="J1197" s="922"/>
      <c r="K1197" s="924"/>
      <c r="L1197" s="919">
        <v>1</v>
      </c>
      <c r="M1197" s="921" t="s">
        <v>30</v>
      </c>
      <c r="N1197" s="923">
        <v>1</v>
      </c>
      <c r="O1197" s="362"/>
    </row>
    <row r="1198" spans="1:15" ht="15.75" customHeight="1">
      <c r="A1198" s="395"/>
      <c r="B1198" s="399"/>
      <c r="C1198" s="920"/>
      <c r="D1198" s="924"/>
      <c r="E1198" s="920"/>
      <c r="F1198" s="922"/>
      <c r="G1198" s="922"/>
      <c r="H1198" s="922"/>
      <c r="I1198" s="922"/>
      <c r="J1198" s="922"/>
      <c r="K1198" s="924"/>
      <c r="L1198" s="920"/>
      <c r="M1198" s="922"/>
      <c r="N1198" s="924"/>
      <c r="O1198" s="362"/>
    </row>
    <row r="1199" spans="1:15" ht="15.75" customHeight="1">
      <c r="A1199" s="395"/>
      <c r="B1199" s="399"/>
      <c r="C1199" s="920"/>
      <c r="D1199" s="924"/>
      <c r="E1199" s="920"/>
      <c r="F1199" s="922"/>
      <c r="G1199" s="922"/>
      <c r="H1199" s="922"/>
      <c r="I1199" s="922"/>
      <c r="J1199" s="922"/>
      <c r="K1199" s="924"/>
      <c r="L1199" s="925" t="s">
        <v>2</v>
      </c>
      <c r="M1199" s="926"/>
      <c r="N1199" s="927"/>
      <c r="O1199" s="362"/>
    </row>
    <row r="1200" spans="1:15" ht="15.75" customHeight="1">
      <c r="A1200" s="395"/>
      <c r="B1200" s="399"/>
      <c r="C1200" s="920"/>
      <c r="D1200" s="924"/>
      <c r="E1200" s="407"/>
      <c r="F1200" s="216"/>
      <c r="G1200" s="216"/>
      <c r="H1200" s="216"/>
      <c r="I1200" s="216"/>
      <c r="J1200" s="216"/>
      <c r="K1200" s="216"/>
      <c r="L1200" s="408" t="s">
        <v>3</v>
      </c>
      <c r="M1200" s="409" t="s">
        <v>4</v>
      </c>
      <c r="N1200" s="410" t="s">
        <v>5</v>
      </c>
      <c r="O1200" s="362"/>
    </row>
    <row r="1201" spans="1:15" ht="15.75" customHeight="1">
      <c r="A1201" s="395"/>
      <c r="B1201" s="399"/>
      <c r="C1201" s="920"/>
      <c r="D1201" s="924"/>
      <c r="E1201" s="1125" t="s">
        <v>1186</v>
      </c>
      <c r="F1201" s="945"/>
      <c r="G1201" s="945"/>
      <c r="H1201" s="945"/>
      <c r="I1201" s="945"/>
      <c r="J1201" s="945"/>
      <c r="K1201" s="945"/>
      <c r="L1201" s="928">
        <f>Datos!$C$7</f>
        <v>19</v>
      </c>
      <c r="M1201" s="935">
        <f>Datos!$D$7</f>
        <v>6</v>
      </c>
      <c r="N1201" s="937">
        <f>Datos!$E$7</f>
        <v>2026</v>
      </c>
      <c r="O1201" s="362"/>
    </row>
    <row r="1202" spans="1:15" ht="15.75" customHeight="1">
      <c r="A1202" s="395"/>
      <c r="B1202" s="399"/>
      <c r="C1202" s="929"/>
      <c r="D1202" s="938"/>
      <c r="E1202" s="929"/>
      <c r="F1202" s="936"/>
      <c r="G1202" s="936"/>
      <c r="H1202" s="936"/>
      <c r="I1202" s="936"/>
      <c r="J1202" s="936"/>
      <c r="K1202" s="936"/>
      <c r="L1202" s="929"/>
      <c r="M1202" s="936"/>
      <c r="N1202" s="938"/>
      <c r="O1202" s="362"/>
    </row>
    <row r="1203" spans="1:15" ht="15.75" customHeight="1">
      <c r="A1203" s="395"/>
      <c r="B1203" s="399"/>
      <c r="C1203" s="404"/>
      <c r="D1203" s="38"/>
      <c r="E1203" s="38"/>
      <c r="F1203" s="38"/>
      <c r="G1203" s="38"/>
      <c r="H1203" s="38"/>
      <c r="I1203" s="38"/>
      <c r="J1203" s="38"/>
      <c r="K1203" s="38"/>
      <c r="L1203" s="39"/>
      <c r="M1203" s="39"/>
      <c r="N1203" s="40"/>
      <c r="O1203" s="362"/>
    </row>
    <row r="1204" spans="1:15" ht="15.75" customHeight="1">
      <c r="A1204" s="395"/>
      <c r="B1204" s="399"/>
      <c r="C1204" s="412" t="s">
        <v>1187</v>
      </c>
      <c r="D1204" s="1199" t="str">
        <f>VLOOKUP(C1209,ListaAct,2,0)</f>
        <v>OBRA CIVIL</v>
      </c>
      <c r="E1204" s="922"/>
      <c r="F1204" s="922"/>
      <c r="G1204" s="922"/>
      <c r="H1204" s="922"/>
      <c r="I1204" s="922"/>
      <c r="J1204" s="922"/>
      <c r="K1204" s="922"/>
      <c r="L1204" s="922"/>
      <c r="M1204" s="1"/>
      <c r="N1204" s="413"/>
      <c r="O1204" s="362"/>
    </row>
    <row r="1205" spans="1:15" ht="15.75" customHeight="1">
      <c r="A1205" s="395"/>
      <c r="B1205" s="399"/>
      <c r="C1205" s="412" t="s">
        <v>1189</v>
      </c>
      <c r="D1205" s="1199" t="str">
        <f>VLOOKUP(C1209,ListaAct,3,0)</f>
        <v>REFORZAMIENTO ESTRUCTURAL</v>
      </c>
      <c r="E1205" s="922"/>
      <c r="F1205" s="922"/>
      <c r="G1205" s="922"/>
      <c r="H1205" s="922"/>
      <c r="I1205" s="922"/>
      <c r="J1205" s="922"/>
      <c r="K1205" s="922"/>
      <c r="L1205" s="922"/>
      <c r="M1205" s="1"/>
      <c r="N1205" s="413"/>
      <c r="O1205" s="362"/>
    </row>
    <row r="1206" spans="1:15" ht="15.75" customHeight="1">
      <c r="A1206" s="395"/>
      <c r="B1206" s="399"/>
      <c r="C1206" s="925" t="s">
        <v>1191</v>
      </c>
      <c r="D1206" s="926"/>
      <c r="E1206" s="926"/>
      <c r="F1206" s="926"/>
      <c r="G1206" s="926"/>
      <c r="H1206" s="926"/>
      <c r="I1206" s="926"/>
      <c r="J1206" s="926"/>
      <c r="K1206" s="926"/>
      <c r="L1206" s="926"/>
      <c r="M1206" s="926"/>
      <c r="N1206" s="927"/>
      <c r="O1206" s="362"/>
    </row>
    <row r="1207" spans="1:15" ht="15.75" customHeight="1">
      <c r="A1207" s="395"/>
      <c r="B1207" s="399"/>
      <c r="C1207" s="418"/>
      <c r="D1207" s="39"/>
      <c r="E1207" s="39"/>
      <c r="F1207" s="39"/>
      <c r="G1207" s="39"/>
      <c r="H1207" s="39"/>
      <c r="I1207" s="39"/>
      <c r="J1207" s="39"/>
      <c r="K1207" s="39"/>
      <c r="L1207" s="39"/>
      <c r="M1207" s="39"/>
      <c r="N1207" s="40"/>
      <c r="O1207" s="362"/>
    </row>
    <row r="1208" spans="1:15" ht="15.75" customHeight="1">
      <c r="A1208" s="395"/>
      <c r="B1208" s="399"/>
      <c r="C1208" s="668" t="s">
        <v>965</v>
      </c>
      <c r="D1208" s="1200" t="s">
        <v>17</v>
      </c>
      <c r="E1208" s="1131"/>
      <c r="F1208" s="1131"/>
      <c r="G1208" s="1131"/>
      <c r="H1208" s="1131"/>
      <c r="I1208" s="1131"/>
      <c r="J1208" s="1131"/>
      <c r="K1208" s="1137"/>
      <c r="L1208" s="1201" t="s">
        <v>1192</v>
      </c>
      <c r="M1208" s="1137"/>
      <c r="N1208" s="668" t="s">
        <v>950</v>
      </c>
      <c r="O1208" s="362"/>
    </row>
    <row r="1209" spans="1:15" ht="29.25" customHeight="1">
      <c r="A1209" s="395"/>
      <c r="B1209" s="421"/>
      <c r="C1209" s="669" t="s">
        <v>1026</v>
      </c>
      <c r="D1209" s="1202" t="str">
        <f>IF($C1209&gt;0,(VLOOKUP($C1209,ListaAct,4,FALSE)),"")</f>
        <v>Suministro e instalación de tabla en madera 20 x 2 cms en sapan o similar inmunizado y protegido con Profilan o simialr según diseño. Incluye cajas de traslapo, muescas de borde, avellanados y terminaciones</v>
      </c>
      <c r="E1209" s="979"/>
      <c r="F1209" s="979"/>
      <c r="G1209" s="979"/>
      <c r="H1209" s="979"/>
      <c r="I1209" s="979"/>
      <c r="J1209" s="979"/>
      <c r="K1209" s="980"/>
      <c r="L1209" s="1203" t="str">
        <f>IF($C1209&gt;0,(VLOOKUP($C1209,ListaAct,5,FALSE)),"")</f>
        <v>ml</v>
      </c>
      <c r="M1209" s="980"/>
      <c r="N1209" s="423">
        <f>IF($C1209&gt;0,(VLOOKUP($C1209,ListaAct,6,FALSE)),"")</f>
        <v>247.9</v>
      </c>
      <c r="O1209" s="362"/>
    </row>
    <row r="1210" spans="1:15" ht="15.75" customHeight="1">
      <c r="A1210" s="395"/>
      <c r="B1210" s="399"/>
      <c r="C1210" s="1129" t="s">
        <v>1195</v>
      </c>
      <c r="D1210" s="926"/>
      <c r="E1210" s="926"/>
      <c r="F1210" s="926"/>
      <c r="G1210" s="926"/>
      <c r="H1210" s="926"/>
      <c r="I1210" s="926"/>
      <c r="J1210" s="926"/>
      <c r="K1210" s="926"/>
      <c r="L1210" s="926"/>
      <c r="M1210" s="926"/>
      <c r="N1210" s="927"/>
      <c r="O1210" s="362"/>
    </row>
    <row r="1211" spans="1:15" ht="15.75" customHeight="1">
      <c r="A1211" s="395"/>
      <c r="B1211" s="399"/>
      <c r="C1211" s="920"/>
      <c r="D1211" s="922"/>
      <c r="E1211" s="922"/>
      <c r="F1211" s="922"/>
      <c r="G1211" s="922"/>
      <c r="H1211" s="922"/>
      <c r="I1211" s="922"/>
      <c r="J1211" s="922"/>
      <c r="K1211" s="922"/>
      <c r="L1211" s="922"/>
      <c r="M1211" s="922"/>
      <c r="N1211" s="924"/>
      <c r="O1211" s="362"/>
    </row>
    <row r="1212" spans="1:15" ht="15.75" customHeight="1">
      <c r="A1212" s="395"/>
      <c r="B1212" s="399"/>
      <c r="C1212" s="929"/>
      <c r="D1212" s="936"/>
      <c r="E1212" s="936"/>
      <c r="F1212" s="936"/>
      <c r="G1212" s="936"/>
      <c r="H1212" s="936"/>
      <c r="I1212" s="936"/>
      <c r="J1212" s="936"/>
      <c r="K1212" s="936"/>
      <c r="L1212" s="936"/>
      <c r="M1212" s="936"/>
      <c r="N1212" s="938"/>
      <c r="O1212" s="362"/>
    </row>
    <row r="1213" spans="1:15" ht="15.75" customHeight="1">
      <c r="A1213" s="395"/>
      <c r="B1213" s="399"/>
      <c r="C1213" s="1201" t="s">
        <v>17</v>
      </c>
      <c r="D1213" s="1131"/>
      <c r="E1213" s="1131"/>
      <c r="F1213" s="1000"/>
      <c r="G1213" s="1204" t="s">
        <v>1196</v>
      </c>
      <c r="H1213" s="1000"/>
      <c r="I1213" s="1204" t="s">
        <v>1197</v>
      </c>
      <c r="J1213" s="1000"/>
      <c r="K1213" s="670" t="s">
        <v>1213</v>
      </c>
      <c r="L1213" s="1204" t="s">
        <v>1199</v>
      </c>
      <c r="M1213" s="1000"/>
      <c r="N1213" s="671" t="s">
        <v>1200</v>
      </c>
      <c r="O1213" s="362"/>
    </row>
    <row r="1214" spans="1:15" ht="15.75" customHeight="1">
      <c r="A1214" s="395"/>
      <c r="B1214" s="399"/>
      <c r="C1214" s="1128" t="s">
        <v>1201</v>
      </c>
      <c r="D1214" s="940"/>
      <c r="E1214" s="940"/>
      <c r="F1214" s="941"/>
      <c r="G1214" s="1142"/>
      <c r="H1214" s="941"/>
      <c r="I1214" s="1142"/>
      <c r="J1214" s="941"/>
      <c r="K1214" s="429"/>
      <c r="L1214" s="1143">
        <v>0.06</v>
      </c>
      <c r="M1214" s="941"/>
      <c r="N1214" s="430">
        <f>+L1214*N1253</f>
        <v>1224.5413170119989</v>
      </c>
      <c r="O1214" s="362"/>
    </row>
    <row r="1215" spans="1:15" ht="15.75" customHeight="1">
      <c r="A1215" s="395" t="str">
        <f t="array" ref="A1215">IF(C1215&lt;&gt;0,INDEX(CodEquipos,MATCH(C1215,Equipos,0),),)</f>
        <v>MEQ-174</v>
      </c>
      <c r="B1215" s="399"/>
      <c r="C1215" s="1128" t="s">
        <v>2513</v>
      </c>
      <c r="D1215" s="940"/>
      <c r="E1215" s="940"/>
      <c r="F1215" s="941"/>
      <c r="G1215" s="1142"/>
      <c r="H1215" s="941"/>
      <c r="I1215" s="1142"/>
      <c r="J1215" s="941"/>
      <c r="K1215" s="432">
        <f>IF($A1215&gt;0,(VLOOKUP($A1215,TablaEquipos,7,FALSE)),"")</f>
        <v>103499.99999999999</v>
      </c>
      <c r="L1215" s="1146">
        <v>0.1</v>
      </c>
      <c r="M1215" s="941"/>
      <c r="N1215" s="430">
        <f>IF(L1215&gt;0,K1215*L1215,"")</f>
        <v>10350</v>
      </c>
      <c r="O1215" s="362"/>
    </row>
    <row r="1216" spans="1:15" ht="15.75" customHeight="1">
      <c r="A1216" s="395">
        <f t="array" ref="A1216">IF(C1216&lt;&gt;0,INDEX(CodEquipos,MATCH(C1216,Equipos,0),),)</f>
        <v>0</v>
      </c>
      <c r="B1216" s="399"/>
      <c r="C1216" s="1128"/>
      <c r="D1216" s="940"/>
      <c r="E1216" s="940"/>
      <c r="F1216" s="941"/>
      <c r="G1216" s="1142"/>
      <c r="H1216" s="941"/>
      <c r="I1216" s="1142"/>
      <c r="J1216" s="941"/>
      <c r="K1216" s="432" t="str">
        <f>IF($A1216&gt;0,(VLOOKUP($A1216,TablaEquipos,7,FALSE)),"")</f>
        <v/>
      </c>
      <c r="L1216" s="1146"/>
      <c r="M1216" s="941"/>
      <c r="N1216" s="430" t="str">
        <f t="shared" ref="N1216:N1219" si="96">IF(L1216&gt;0,K1216/L1216,"")</f>
        <v/>
      </c>
      <c r="O1216" s="362"/>
    </row>
    <row r="1217" spans="1:17" ht="15.75" customHeight="1">
      <c r="A1217" s="395">
        <f t="array" ref="A1217">IF(C1217&lt;&gt;0,INDEX(CodEquipos,MATCH(C1217,Equipos,0),),)</f>
        <v>0</v>
      </c>
      <c r="B1217" s="399"/>
      <c r="C1217" s="1128"/>
      <c r="D1217" s="940"/>
      <c r="E1217" s="940"/>
      <c r="F1217" s="941"/>
      <c r="G1217" s="1142"/>
      <c r="H1217" s="941"/>
      <c r="I1217" s="1142"/>
      <c r="J1217" s="941"/>
      <c r="K1217" s="432" t="str">
        <f>IF($A1217&gt;0,(VLOOKUP($A1217,TablaEquipos,7,FALSE)),"")</f>
        <v/>
      </c>
      <c r="L1217" s="1146"/>
      <c r="M1217" s="941"/>
      <c r="N1217" s="430" t="str">
        <f t="shared" si="96"/>
        <v/>
      </c>
      <c r="O1217" s="362"/>
    </row>
    <row r="1218" spans="1:17" ht="15.75" customHeight="1">
      <c r="A1218" s="395">
        <f t="array" ref="A1218">IF(C1218&lt;&gt;0,INDEX(CodEquipos,MATCH(C1218,Equipos,0),),)</f>
        <v>0</v>
      </c>
      <c r="B1218" s="399"/>
      <c r="C1218" s="1128"/>
      <c r="D1218" s="940"/>
      <c r="E1218" s="940"/>
      <c r="F1218" s="941"/>
      <c r="G1218" s="1142"/>
      <c r="H1218" s="941"/>
      <c r="I1218" s="1142"/>
      <c r="J1218" s="941"/>
      <c r="K1218" s="432" t="str">
        <f>IF($A1218&gt;0,(VLOOKUP($A1218,TablaEquipos,7,FALSE)),"")</f>
        <v/>
      </c>
      <c r="L1218" s="1141"/>
      <c r="M1218" s="941"/>
      <c r="N1218" s="430" t="str">
        <f t="shared" si="96"/>
        <v/>
      </c>
      <c r="O1218" s="362"/>
    </row>
    <row r="1219" spans="1:17" ht="15.75" customHeight="1">
      <c r="A1219" s="395">
        <f t="array" ref="A1219">IF(C1219&lt;&gt;0,INDEX(CodEquipos,MATCH(C1219,Equipos,0),),)</f>
        <v>0</v>
      </c>
      <c r="B1219" s="399"/>
      <c r="C1219" s="1128"/>
      <c r="D1219" s="940"/>
      <c r="E1219" s="940"/>
      <c r="F1219" s="941"/>
      <c r="G1219" s="1144"/>
      <c r="H1219" s="1145"/>
      <c r="I1219" s="1144"/>
      <c r="J1219" s="1145"/>
      <c r="K1219" s="432" t="str">
        <f>IF($A1219&gt;0,(VLOOKUP($A1219,TablaEquipos,7,FALSE)),"")</f>
        <v/>
      </c>
      <c r="L1219" s="1208"/>
      <c r="M1219" s="1145"/>
      <c r="N1219" s="430" t="str">
        <f t="shared" si="96"/>
        <v/>
      </c>
      <c r="O1219" s="362"/>
    </row>
    <row r="1220" spans="1:17" ht="15.75" customHeight="1">
      <c r="A1220" s="395"/>
      <c r="B1220" s="399"/>
      <c r="C1220" s="1127" t="s">
        <v>1202</v>
      </c>
      <c r="D1220" s="965"/>
      <c r="E1220" s="965"/>
      <c r="F1220" s="965"/>
      <c r="G1220" s="965"/>
      <c r="H1220" s="965"/>
      <c r="I1220" s="965"/>
      <c r="J1220" s="965"/>
      <c r="K1220" s="965"/>
      <c r="L1220" s="965"/>
      <c r="M1220" s="966"/>
      <c r="N1220" s="433">
        <f>+SUM(N1214:N1219)</f>
        <v>11574.541317011999</v>
      </c>
      <c r="O1220" s="362"/>
    </row>
    <row r="1221" spans="1:17" ht="15.75" customHeight="1">
      <c r="A1221" s="395"/>
      <c r="B1221" s="399"/>
      <c r="C1221" s="1129" t="s">
        <v>1203</v>
      </c>
      <c r="D1221" s="926"/>
      <c r="E1221" s="926"/>
      <c r="F1221" s="926"/>
      <c r="G1221" s="926"/>
      <c r="H1221" s="926"/>
      <c r="I1221" s="926"/>
      <c r="J1221" s="926"/>
      <c r="K1221" s="926"/>
      <c r="L1221" s="926"/>
      <c r="M1221" s="926"/>
      <c r="N1221" s="927"/>
      <c r="O1221" s="362"/>
    </row>
    <row r="1222" spans="1:17" ht="15.75" customHeight="1">
      <c r="A1222" s="395"/>
      <c r="B1222" s="399"/>
      <c r="C1222" s="920"/>
      <c r="D1222" s="922"/>
      <c r="E1222" s="922"/>
      <c r="F1222" s="922"/>
      <c r="G1222" s="922"/>
      <c r="H1222" s="922"/>
      <c r="I1222" s="922"/>
      <c r="J1222" s="922"/>
      <c r="K1222" s="922"/>
      <c r="L1222" s="922"/>
      <c r="M1222" s="922"/>
      <c r="N1222" s="924"/>
      <c r="O1222" s="362"/>
    </row>
    <row r="1223" spans="1:17" ht="15.75" customHeight="1">
      <c r="A1223" s="395"/>
      <c r="B1223" s="399"/>
      <c r="C1223" s="929"/>
      <c r="D1223" s="936"/>
      <c r="E1223" s="936"/>
      <c r="F1223" s="936"/>
      <c r="G1223" s="936"/>
      <c r="H1223" s="936"/>
      <c r="I1223" s="936"/>
      <c r="J1223" s="936"/>
      <c r="K1223" s="936"/>
      <c r="L1223" s="936"/>
      <c r="M1223" s="936"/>
      <c r="N1223" s="938"/>
      <c r="O1223" s="362"/>
    </row>
    <row r="1224" spans="1:17" ht="15.75" customHeight="1">
      <c r="A1224" s="395"/>
      <c r="B1224" s="399"/>
      <c r="C1224" s="1201" t="s">
        <v>17</v>
      </c>
      <c r="D1224" s="1131"/>
      <c r="E1224" s="1131"/>
      <c r="F1224" s="1131"/>
      <c r="G1224" s="1131"/>
      <c r="H1224" s="1131"/>
      <c r="I1224" s="1000"/>
      <c r="J1224" s="672" t="s">
        <v>1192</v>
      </c>
      <c r="K1224" s="670" t="s">
        <v>950</v>
      </c>
      <c r="L1224" s="1204" t="s">
        <v>1204</v>
      </c>
      <c r="M1224" s="1000"/>
      <c r="N1224" s="671" t="s">
        <v>1200</v>
      </c>
      <c r="O1224" s="362"/>
    </row>
    <row r="1225" spans="1:17" ht="15.75" customHeight="1">
      <c r="A1225" s="395" t="str">
        <f t="array" ref="A1225">IF(C1225&lt;&gt;0,INDEX(CodMat,MATCH(C1225,Materiales,0),),)</f>
        <v>MAT_C-55</v>
      </c>
      <c r="B1225" s="399"/>
      <c r="C1225" s="1128" t="s">
        <v>2514</v>
      </c>
      <c r="D1225" s="940"/>
      <c r="E1225" s="940"/>
      <c r="F1225" s="940"/>
      <c r="G1225" s="940"/>
      <c r="H1225" s="940"/>
      <c r="I1225" s="941"/>
      <c r="J1225" s="435" t="str">
        <f t="shared" ref="J1225:J1232" si="97">IF($A1225&gt;0,(VLOOKUP($A1225,TablaInsumos,5,FALSE)),"")</f>
        <v>UND</v>
      </c>
      <c r="K1225" s="673">
        <v>1.05</v>
      </c>
      <c r="L1225" s="1134">
        <f t="shared" ref="L1225:L1232" si="98">IF($A1225&gt;0,(VLOOKUP($A1225,TablaInsumos,7,FALSE)),"")</f>
        <v>86280</v>
      </c>
      <c r="M1225" s="941"/>
      <c r="N1225" s="430">
        <f t="shared" ref="N1225:N1232" si="99">IF(K1225&gt;0,L1225*K1225,"")</f>
        <v>90594</v>
      </c>
      <c r="O1225" s="362"/>
    </row>
    <row r="1226" spans="1:17" ht="15.75" customHeight="1">
      <c r="A1226" s="395" t="str">
        <f t="array" ref="A1226">IF(C1226&lt;&gt;0,INDEX(CodMat,MATCH(C1226,Materiales,0),),)</f>
        <v>MAT_CON-14</v>
      </c>
      <c r="B1226" s="399"/>
      <c r="C1226" s="1128" t="s">
        <v>1984</v>
      </c>
      <c r="D1226" s="940"/>
      <c r="E1226" s="940"/>
      <c r="F1226" s="940"/>
      <c r="G1226" s="940"/>
      <c r="H1226" s="940"/>
      <c r="I1226" s="941"/>
      <c r="J1226" s="435" t="str">
        <f t="shared" si="97"/>
        <v xml:space="preserve">UND </v>
      </c>
      <c r="K1226" s="673">
        <v>8</v>
      </c>
      <c r="L1226" s="1134">
        <f t="shared" si="98"/>
        <v>2600</v>
      </c>
      <c r="M1226" s="941"/>
      <c r="N1226" s="430">
        <f t="shared" si="99"/>
        <v>20800</v>
      </c>
      <c r="O1226" s="362"/>
      <c r="Q1226" s="688"/>
    </row>
    <row r="1227" spans="1:17" ht="15.75" customHeight="1">
      <c r="A1227" s="395" t="str">
        <f t="array" ref="A1227">IF(C1227&lt;&gt;0,INDEX(CodMat,MATCH(C1227,Materiales,0),),)</f>
        <v>MAT_CON-15</v>
      </c>
      <c r="B1227" s="399"/>
      <c r="C1227" s="1128" t="s">
        <v>1986</v>
      </c>
      <c r="D1227" s="940"/>
      <c r="E1227" s="940"/>
      <c r="F1227" s="940"/>
      <c r="G1227" s="940"/>
      <c r="H1227" s="940"/>
      <c r="I1227" s="941"/>
      <c r="J1227" s="435" t="str">
        <f t="shared" si="97"/>
        <v>M2</v>
      </c>
      <c r="K1227" s="673">
        <v>0.33</v>
      </c>
      <c r="L1227" s="1134">
        <f t="shared" si="98"/>
        <v>12900</v>
      </c>
      <c r="M1227" s="941"/>
      <c r="N1227" s="430">
        <f t="shared" si="99"/>
        <v>4257</v>
      </c>
      <c r="O1227" s="362"/>
      <c r="Q1227" s="687"/>
    </row>
    <row r="1228" spans="1:17" ht="15.75" customHeight="1">
      <c r="A1228" s="395" t="str">
        <f t="array" ref="A1228">IF(C1228&lt;&gt;0,INDEX(CodMat,MATCH(C1228,Materiales,0),),)</f>
        <v>MAT_CON-16</v>
      </c>
      <c r="B1228" s="399"/>
      <c r="C1228" s="1128" t="s">
        <v>1988</v>
      </c>
      <c r="D1228" s="940"/>
      <c r="E1228" s="940"/>
      <c r="F1228" s="940"/>
      <c r="G1228" s="940"/>
      <c r="H1228" s="940"/>
      <c r="I1228" s="941"/>
      <c r="J1228" s="435" t="str">
        <f t="shared" si="97"/>
        <v>M2</v>
      </c>
      <c r="K1228" s="673">
        <v>0.5</v>
      </c>
      <c r="L1228" s="1134">
        <f t="shared" si="98"/>
        <v>6000</v>
      </c>
      <c r="M1228" s="941"/>
      <c r="N1228" s="430">
        <f t="shared" si="99"/>
        <v>3000</v>
      </c>
      <c r="O1228" s="362"/>
    </row>
    <row r="1229" spans="1:17" ht="15.75" customHeight="1">
      <c r="A1229" s="395">
        <f t="array" ref="A1229">IF(C1229&lt;&gt;0,INDEX(CodMat,MATCH(C1229,Materiales,0),),)</f>
        <v>0</v>
      </c>
      <c r="B1229" s="399"/>
      <c r="C1229" s="1128"/>
      <c r="D1229" s="940"/>
      <c r="E1229" s="940"/>
      <c r="F1229" s="940"/>
      <c r="G1229" s="940"/>
      <c r="H1229" s="940"/>
      <c r="I1229" s="941"/>
      <c r="J1229" s="435" t="str">
        <f t="shared" si="97"/>
        <v/>
      </c>
      <c r="K1229" s="436"/>
      <c r="L1229" s="1134" t="str">
        <f t="shared" si="98"/>
        <v/>
      </c>
      <c r="M1229" s="941"/>
      <c r="N1229" s="430" t="str">
        <f t="shared" si="99"/>
        <v/>
      </c>
      <c r="O1229" s="362"/>
    </row>
    <row r="1230" spans="1:17" ht="15.75" customHeight="1">
      <c r="A1230" s="395">
        <f t="array" ref="A1230">IF(C1230&lt;&gt;0,INDEX(CodMat,MATCH(C1230,Materiales,0),),)</f>
        <v>0</v>
      </c>
      <c r="B1230" s="399"/>
      <c r="C1230" s="1128"/>
      <c r="D1230" s="940"/>
      <c r="E1230" s="940"/>
      <c r="F1230" s="940"/>
      <c r="G1230" s="940"/>
      <c r="H1230" s="940"/>
      <c r="I1230" s="941"/>
      <c r="J1230" s="435" t="str">
        <f t="shared" si="97"/>
        <v/>
      </c>
      <c r="K1230" s="436"/>
      <c r="L1230" s="1134" t="str">
        <f t="shared" si="98"/>
        <v/>
      </c>
      <c r="M1230" s="941"/>
      <c r="N1230" s="430" t="str">
        <f t="shared" si="99"/>
        <v/>
      </c>
      <c r="O1230" s="362"/>
    </row>
    <row r="1231" spans="1:17" ht="15.75" customHeight="1">
      <c r="A1231" s="395">
        <f t="array" ref="A1231">IF(C1231&lt;&gt;0,INDEX(CodMat,MATCH(C1231,Materiales,0),),)</f>
        <v>0</v>
      </c>
      <c r="B1231" s="399"/>
      <c r="C1231" s="1128"/>
      <c r="D1231" s="940"/>
      <c r="E1231" s="940"/>
      <c r="F1231" s="940"/>
      <c r="G1231" s="940"/>
      <c r="H1231" s="940"/>
      <c r="I1231" s="941"/>
      <c r="J1231" s="435" t="str">
        <f t="shared" si="97"/>
        <v/>
      </c>
      <c r="K1231" s="436"/>
      <c r="L1231" s="1134" t="str">
        <f t="shared" si="98"/>
        <v/>
      </c>
      <c r="M1231" s="941"/>
      <c r="N1231" s="430" t="str">
        <f t="shared" si="99"/>
        <v/>
      </c>
      <c r="O1231" s="362"/>
    </row>
    <row r="1232" spans="1:17" ht="15.75" customHeight="1">
      <c r="A1232" s="395">
        <f t="array" ref="A1232">IF(C1232&lt;&gt;0,INDEX(CodMat,MATCH(C1232,Materiales,0),),)</f>
        <v>0</v>
      </c>
      <c r="B1232" s="399"/>
      <c r="C1232" s="1128"/>
      <c r="D1232" s="940"/>
      <c r="E1232" s="940"/>
      <c r="F1232" s="940"/>
      <c r="G1232" s="940"/>
      <c r="H1232" s="940"/>
      <c r="I1232" s="941"/>
      <c r="J1232" s="435" t="str">
        <f t="shared" si="97"/>
        <v/>
      </c>
      <c r="K1232" s="436"/>
      <c r="L1232" s="1205" t="str">
        <f t="shared" si="98"/>
        <v/>
      </c>
      <c r="M1232" s="1145"/>
      <c r="N1232" s="430" t="str">
        <f t="shared" si="99"/>
        <v/>
      </c>
      <c r="O1232" s="362"/>
    </row>
    <row r="1233" spans="1:15" ht="15.75" customHeight="1">
      <c r="A1233" s="395"/>
      <c r="B1233" s="399"/>
      <c r="C1233" s="1127" t="s">
        <v>1202</v>
      </c>
      <c r="D1233" s="965"/>
      <c r="E1233" s="965"/>
      <c r="F1233" s="965"/>
      <c r="G1233" s="965"/>
      <c r="H1233" s="965"/>
      <c r="I1233" s="965"/>
      <c r="J1233" s="965"/>
      <c r="K1233" s="965"/>
      <c r="L1233" s="965"/>
      <c r="M1233" s="966"/>
      <c r="N1233" s="433">
        <f>+SUM(N1225:N1232)</f>
        <v>118651</v>
      </c>
      <c r="O1233" s="362"/>
    </row>
    <row r="1234" spans="1:15" ht="15.75" customHeight="1">
      <c r="A1234" s="395"/>
      <c r="B1234" s="399"/>
      <c r="C1234" s="1129" t="s">
        <v>1208</v>
      </c>
      <c r="D1234" s="926"/>
      <c r="E1234" s="926"/>
      <c r="F1234" s="926"/>
      <c r="G1234" s="926"/>
      <c r="H1234" s="926"/>
      <c r="I1234" s="926"/>
      <c r="J1234" s="926"/>
      <c r="K1234" s="926"/>
      <c r="L1234" s="926"/>
      <c r="M1234" s="926"/>
      <c r="N1234" s="927"/>
      <c r="O1234" s="362"/>
    </row>
    <row r="1235" spans="1:15" ht="15.75" customHeight="1">
      <c r="A1235" s="395"/>
      <c r="B1235" s="399"/>
      <c r="C1235" s="920"/>
      <c r="D1235" s="922"/>
      <c r="E1235" s="922"/>
      <c r="F1235" s="922"/>
      <c r="G1235" s="922"/>
      <c r="H1235" s="922"/>
      <c r="I1235" s="922"/>
      <c r="J1235" s="922"/>
      <c r="K1235" s="922"/>
      <c r="L1235" s="922"/>
      <c r="M1235" s="922"/>
      <c r="N1235" s="924"/>
      <c r="O1235" s="362"/>
    </row>
    <row r="1236" spans="1:15" ht="15.75" customHeight="1">
      <c r="A1236" s="395"/>
      <c r="B1236" s="399"/>
      <c r="C1236" s="929"/>
      <c r="D1236" s="936"/>
      <c r="E1236" s="936"/>
      <c r="F1236" s="936"/>
      <c r="G1236" s="936"/>
      <c r="H1236" s="936"/>
      <c r="I1236" s="936"/>
      <c r="J1236" s="936"/>
      <c r="K1236" s="936"/>
      <c r="L1236" s="936"/>
      <c r="M1236" s="936"/>
      <c r="N1236" s="938"/>
      <c r="O1236" s="362"/>
    </row>
    <row r="1237" spans="1:15" ht="15.75" customHeight="1">
      <c r="A1237" s="395"/>
      <c r="B1237" s="399"/>
      <c r="C1237" s="1201" t="s">
        <v>1209</v>
      </c>
      <c r="D1237" s="1131"/>
      <c r="E1237" s="1131"/>
      <c r="F1237" s="1131"/>
      <c r="G1237" s="1131"/>
      <c r="H1237" s="1000"/>
      <c r="I1237" s="670" t="s">
        <v>1210</v>
      </c>
      <c r="J1237" s="674" t="s">
        <v>1211</v>
      </c>
      <c r="K1237" s="675" t="s">
        <v>2318</v>
      </c>
      <c r="L1237" s="1204" t="s">
        <v>1213</v>
      </c>
      <c r="M1237" s="1000"/>
      <c r="N1237" s="671" t="s">
        <v>1200</v>
      </c>
      <c r="O1237" s="362"/>
    </row>
    <row r="1238" spans="1:15" ht="15.75" customHeight="1">
      <c r="A1238" s="395">
        <f t="array" ref="A1238">IF(C1238&lt;&gt;0,INDEX(CodTransporte,MATCH(C1238,Transporte,0),),)</f>
        <v>0</v>
      </c>
      <c r="B1238" s="399"/>
      <c r="C1238" s="1128"/>
      <c r="D1238" s="940"/>
      <c r="E1238" s="940"/>
      <c r="F1238" s="940"/>
      <c r="G1238" s="940"/>
      <c r="H1238" s="940"/>
      <c r="I1238" s="440"/>
      <c r="J1238" s="441" t="str">
        <f>IF($A1238&gt;0,(VLOOKUP($A1238,TablaTransporte,6,FALSE)),"")</f>
        <v/>
      </c>
      <c r="K1238" s="442" t="str">
        <f>IF($A1238&gt;0,(VLOOKUP($A1238,TablaTransporte,5,FALSE)),"")</f>
        <v/>
      </c>
      <c r="L1238" s="1134" t="str">
        <f>IF($A1238&gt;0,(VLOOKUP($A1238,TablaTransporte,7,FALSE)),"")</f>
        <v/>
      </c>
      <c r="M1238" s="941"/>
      <c r="N1238" s="430" t="str">
        <f t="shared" ref="N1238:N1242" si="100">IF(I1238&gt;0,J1238*L1238*I1238,"")</f>
        <v/>
      </c>
      <c r="O1238" s="362"/>
    </row>
    <row r="1239" spans="1:15" ht="15.75" customHeight="1">
      <c r="A1239" s="395">
        <f t="array" ref="A1239">IF(C1239&lt;&gt;0,INDEX(CodTransporte,MATCH(C1239,Transporte,0),),)</f>
        <v>0</v>
      </c>
      <c r="B1239" s="399"/>
      <c r="C1239" s="1128"/>
      <c r="D1239" s="940"/>
      <c r="E1239" s="940"/>
      <c r="F1239" s="940"/>
      <c r="G1239" s="940"/>
      <c r="H1239" s="940"/>
      <c r="I1239" s="440"/>
      <c r="J1239" s="441" t="str">
        <f>IF($A1239&gt;0,(VLOOKUP($A1239,TablaTransporte,6,FALSE)),"")</f>
        <v/>
      </c>
      <c r="K1239" s="442" t="str">
        <f>IF($A1239&gt;0,(VLOOKUP($A1239,TablaTransporte,5,FALSE)),"")</f>
        <v/>
      </c>
      <c r="L1239" s="1134" t="str">
        <f>IF($A1239&gt;0,(VLOOKUP($A1239,TablaTransporte,7,FALSE)),"")</f>
        <v/>
      </c>
      <c r="M1239" s="941"/>
      <c r="N1239" s="430" t="str">
        <f t="shared" si="100"/>
        <v/>
      </c>
      <c r="O1239" s="362"/>
    </row>
    <row r="1240" spans="1:15" ht="15.75" customHeight="1">
      <c r="A1240" s="395">
        <f t="array" ref="A1240">IF(C1240&lt;&gt;0,INDEX(CodTransporte,MATCH(C1240,Transporte,0),),)</f>
        <v>0</v>
      </c>
      <c r="B1240" s="399"/>
      <c r="C1240" s="1128"/>
      <c r="D1240" s="940"/>
      <c r="E1240" s="940"/>
      <c r="F1240" s="940"/>
      <c r="G1240" s="940"/>
      <c r="H1240" s="940"/>
      <c r="I1240" s="440"/>
      <c r="J1240" s="441" t="str">
        <f>IF($A1240&gt;0,(VLOOKUP($A1240,TablaTransporte,6,FALSE)),"")</f>
        <v/>
      </c>
      <c r="K1240" s="442" t="str">
        <f>IF($A1240&gt;0,(VLOOKUP($A1240,TablaTransporte,5,FALSE)),"")</f>
        <v/>
      </c>
      <c r="L1240" s="1134" t="str">
        <f>IF($A1240&gt;0,(VLOOKUP($A1240,TablaTransporte,7,FALSE)),"")</f>
        <v/>
      </c>
      <c r="M1240" s="941"/>
      <c r="N1240" s="430" t="str">
        <f t="shared" si="100"/>
        <v/>
      </c>
      <c r="O1240" s="362"/>
    </row>
    <row r="1241" spans="1:15" ht="15.75" customHeight="1">
      <c r="A1241" s="395">
        <f t="array" ref="A1241">IF(C1241&lt;&gt;0,INDEX(CodTransporte,MATCH(C1241,Transporte,0),),)</f>
        <v>0</v>
      </c>
      <c r="B1241" s="399"/>
      <c r="C1241" s="1128"/>
      <c r="D1241" s="940"/>
      <c r="E1241" s="940"/>
      <c r="F1241" s="940"/>
      <c r="G1241" s="940"/>
      <c r="H1241" s="940"/>
      <c r="I1241" s="440"/>
      <c r="J1241" s="441" t="str">
        <f>IF($A1241&gt;0,(VLOOKUP($A1241,TablaTransporte,6,FALSE)),"")</f>
        <v/>
      </c>
      <c r="K1241" s="442" t="str">
        <f>IF($A1241&gt;0,(VLOOKUP($A1241,TablaTransporte,5,FALSE)),"")</f>
        <v/>
      </c>
      <c r="L1241" s="1134" t="str">
        <f>IF($A1241&gt;0,(VLOOKUP($A1241,TablaTransporte,7,FALSE)),"")</f>
        <v/>
      </c>
      <c r="M1241" s="941"/>
      <c r="N1241" s="430" t="str">
        <f t="shared" si="100"/>
        <v/>
      </c>
      <c r="O1241" s="362"/>
    </row>
    <row r="1242" spans="1:15" ht="15.75" customHeight="1">
      <c r="A1242" s="395">
        <f t="array" ref="A1242">IF(C1242&lt;&gt;0,INDEX(CodTransporte,MATCH(C1242,Transporte,0),),)</f>
        <v>0</v>
      </c>
      <c r="B1242" s="399"/>
      <c r="C1242" s="1128"/>
      <c r="D1242" s="940"/>
      <c r="E1242" s="940"/>
      <c r="F1242" s="940"/>
      <c r="G1242" s="940"/>
      <c r="H1242" s="940"/>
      <c r="I1242" s="440"/>
      <c r="J1242" s="441" t="str">
        <f>IF($A1242&gt;0,(VLOOKUP($A1242,TablaTransporte,6,FALSE)),"")</f>
        <v/>
      </c>
      <c r="K1242" s="442" t="str">
        <f>IF($A1242&gt;0,(VLOOKUP($A1242,TablaTransporte,5,FALSE)),"")</f>
        <v/>
      </c>
      <c r="L1242" s="1205" t="str">
        <f>IF($A1242&gt;0,(VLOOKUP($A1242,TablaTransporte,7,FALSE)),"")</f>
        <v/>
      </c>
      <c r="M1242" s="1145"/>
      <c r="N1242" s="430" t="str">
        <f t="shared" si="100"/>
        <v/>
      </c>
      <c r="O1242" s="362"/>
    </row>
    <row r="1243" spans="1:15" ht="15.75" customHeight="1">
      <c r="A1243" s="395"/>
      <c r="B1243" s="399"/>
      <c r="C1243" s="1127" t="s">
        <v>1202</v>
      </c>
      <c r="D1243" s="965"/>
      <c r="E1243" s="965"/>
      <c r="F1243" s="965"/>
      <c r="G1243" s="965"/>
      <c r="H1243" s="965"/>
      <c r="I1243" s="965"/>
      <c r="J1243" s="965"/>
      <c r="K1243" s="965"/>
      <c r="L1243" s="965"/>
      <c r="M1243" s="966"/>
      <c r="N1243" s="433">
        <f>+SUM(N1238:N1242)</f>
        <v>0</v>
      </c>
      <c r="O1243" s="362"/>
    </row>
    <row r="1244" spans="1:15" ht="15.75" customHeight="1">
      <c r="A1244" s="395"/>
      <c r="B1244" s="399"/>
      <c r="C1244" s="1129" t="s">
        <v>1214</v>
      </c>
      <c r="D1244" s="926"/>
      <c r="E1244" s="926"/>
      <c r="F1244" s="926"/>
      <c r="G1244" s="926"/>
      <c r="H1244" s="926"/>
      <c r="I1244" s="926"/>
      <c r="J1244" s="926"/>
      <c r="K1244" s="926"/>
      <c r="L1244" s="926"/>
      <c r="M1244" s="926"/>
      <c r="N1244" s="927"/>
      <c r="O1244" s="362"/>
    </row>
    <row r="1245" spans="1:15" ht="15.75" customHeight="1">
      <c r="A1245" s="395"/>
      <c r="B1245" s="399"/>
      <c r="C1245" s="920"/>
      <c r="D1245" s="922"/>
      <c r="E1245" s="922"/>
      <c r="F1245" s="922"/>
      <c r="G1245" s="922"/>
      <c r="H1245" s="922"/>
      <c r="I1245" s="922"/>
      <c r="J1245" s="922"/>
      <c r="K1245" s="922"/>
      <c r="L1245" s="922"/>
      <c r="M1245" s="922"/>
      <c r="N1245" s="924"/>
      <c r="O1245" s="362"/>
    </row>
    <row r="1246" spans="1:15" ht="15.75" customHeight="1">
      <c r="A1246" s="395"/>
      <c r="B1246" s="399"/>
      <c r="C1246" s="929"/>
      <c r="D1246" s="936"/>
      <c r="E1246" s="936"/>
      <c r="F1246" s="936"/>
      <c r="G1246" s="936"/>
      <c r="H1246" s="936"/>
      <c r="I1246" s="936"/>
      <c r="J1246" s="936"/>
      <c r="K1246" s="936"/>
      <c r="L1246" s="936"/>
      <c r="M1246" s="936"/>
      <c r="N1246" s="938"/>
      <c r="O1246" s="362"/>
    </row>
    <row r="1247" spans="1:15" ht="15.75" customHeight="1">
      <c r="A1247" s="395"/>
      <c r="B1247" s="399"/>
      <c r="C1247" s="1201" t="s">
        <v>1215</v>
      </c>
      <c r="D1247" s="1131"/>
      <c r="E1247" s="1131"/>
      <c r="F1247" s="1131"/>
      <c r="G1247" s="1131"/>
      <c r="H1247" s="1000"/>
      <c r="I1247" s="670" t="s">
        <v>1216</v>
      </c>
      <c r="J1247" s="676" t="s">
        <v>1217</v>
      </c>
      <c r="K1247" s="677" t="s">
        <v>1218</v>
      </c>
      <c r="L1247" s="1206" t="s">
        <v>1199</v>
      </c>
      <c r="M1247" s="1000"/>
      <c r="N1247" s="678" t="s">
        <v>1200</v>
      </c>
      <c r="O1247" s="362"/>
    </row>
    <row r="1248" spans="1:15" ht="15.75" customHeight="1">
      <c r="A1248" s="395" t="str">
        <f t="array" ref="A1248">IF(C1248&lt;&gt;0,INDEX(CodMO,MATCH(C1248,MO,0),),)</f>
        <v>M.O-10</v>
      </c>
      <c r="B1248" s="399"/>
      <c r="C1248" s="1128" t="s">
        <v>149</v>
      </c>
      <c r="D1248" s="940"/>
      <c r="E1248" s="940"/>
      <c r="F1248" s="940"/>
      <c r="G1248" s="940"/>
      <c r="H1248" s="940"/>
      <c r="I1248" s="447">
        <f>IF($A1248&gt;0,(VLOOKUP($A1248,TablaMO,8,FALSE)),"")</f>
        <v>183393.66666666666</v>
      </c>
      <c r="J1248" s="448">
        <f>IF($A1248&gt;0,(VLOOKUP($A1248,TablaMO,10,FALSE)),"")</f>
        <v>0.67071666666666663</v>
      </c>
      <c r="K1248" s="447">
        <f>IF($A1248&gt;0,(VLOOKUP($A1248,TablaMO,11,FALSE)),"")</f>
        <v>306399</v>
      </c>
      <c r="L1248" s="1146">
        <v>25.248098672114509</v>
      </c>
      <c r="M1248" s="941"/>
      <c r="N1248" s="430">
        <f t="shared" ref="N1248:N1252" si="101">IF(L1248&gt;0,K1248/L1248,"")</f>
        <v>12135.527668006349</v>
      </c>
      <c r="O1248" s="362"/>
    </row>
    <row r="1249" spans="1:18" ht="15.75" customHeight="1">
      <c r="A1249" s="395" t="str">
        <f t="array" ref="A1249">IF(C1249&lt;&gt;0,INDEX(CodMO,MATCH(C1249,MO,0),),)</f>
        <v>M.O-05</v>
      </c>
      <c r="B1249" s="399"/>
      <c r="C1249" s="1128" t="s">
        <v>139</v>
      </c>
      <c r="D1249" s="940"/>
      <c r="E1249" s="940"/>
      <c r="F1249" s="940"/>
      <c r="G1249" s="940"/>
      <c r="H1249" s="940"/>
      <c r="I1249" s="447">
        <f>IF($A1249&gt;0,(VLOOKUP($A1249,TablaMO,8,FALSE)),"")</f>
        <v>125030.16666666667</v>
      </c>
      <c r="J1249" s="448">
        <f>IF($A1249&gt;0,(VLOOKUP($A1249,TablaMO,10,FALSE)),"")</f>
        <v>0.67071666666666663</v>
      </c>
      <c r="K1249" s="447">
        <f>IF($A1249&gt;0,(VLOOKUP($A1249,TablaMO,11,FALSE)),"")</f>
        <v>208890</v>
      </c>
      <c r="L1249" s="1146">
        <f>L1248</f>
        <v>25.248098672114509</v>
      </c>
      <c r="M1249" s="941"/>
      <c r="N1249" s="430">
        <f t="shared" si="101"/>
        <v>8273.4942821936311</v>
      </c>
      <c r="O1249" s="362"/>
    </row>
    <row r="1250" spans="1:18" ht="15.75" customHeight="1">
      <c r="A1250" s="395">
        <f t="array" ref="A1250">IF(C1250&lt;&gt;0,INDEX(CodMO,MATCH(C1250,MO,0),),)</f>
        <v>0</v>
      </c>
      <c r="B1250" s="399"/>
      <c r="C1250" s="1128"/>
      <c r="D1250" s="940"/>
      <c r="E1250" s="940"/>
      <c r="F1250" s="940"/>
      <c r="G1250" s="940"/>
      <c r="H1250" s="940"/>
      <c r="I1250" s="447" t="str">
        <f>IF($A1250&gt;0,(VLOOKUP($A1250,TablaMO,8,FALSE)),"")</f>
        <v/>
      </c>
      <c r="J1250" s="448" t="str">
        <f>IF($A1250&gt;0,(VLOOKUP($A1250,TablaMO,10,FALSE)),"")</f>
        <v/>
      </c>
      <c r="K1250" s="447" t="str">
        <f>IF($A1250&gt;0,(VLOOKUP($A1250,TablaMO,11,FALSE)),"")</f>
        <v/>
      </c>
      <c r="L1250" s="1146"/>
      <c r="M1250" s="941"/>
      <c r="N1250" s="430" t="str">
        <f t="shared" si="101"/>
        <v/>
      </c>
      <c r="O1250" s="362"/>
    </row>
    <row r="1251" spans="1:18" ht="15.75" customHeight="1">
      <c r="A1251" s="395">
        <f t="array" ref="A1251">IF(C1251&lt;&gt;0,INDEX(CodMO,MATCH(C1251,MO,0),),)</f>
        <v>0</v>
      </c>
      <c r="B1251" s="399"/>
      <c r="C1251" s="1128"/>
      <c r="D1251" s="940"/>
      <c r="E1251" s="940"/>
      <c r="F1251" s="940"/>
      <c r="G1251" s="940"/>
      <c r="H1251" s="940"/>
      <c r="I1251" s="447" t="str">
        <f>IF($A1251&gt;0,(VLOOKUP($A1251,TablaMO,8,FALSE)),"")</f>
        <v/>
      </c>
      <c r="J1251" s="448" t="str">
        <f>IF($A1251&gt;0,(VLOOKUP($A1251,TablaMO,10,FALSE)),"")</f>
        <v/>
      </c>
      <c r="K1251" s="447" t="str">
        <f>IF($A1251&gt;0,(VLOOKUP($A1251,TablaMO,11,FALSE)),"")</f>
        <v/>
      </c>
      <c r="L1251" s="1146"/>
      <c r="M1251" s="941"/>
      <c r="N1251" s="430" t="str">
        <f t="shared" si="101"/>
        <v/>
      </c>
      <c r="O1251" s="362"/>
    </row>
    <row r="1252" spans="1:18" ht="15.75" customHeight="1">
      <c r="A1252" s="395">
        <f t="array" ref="A1252">IF(C1252&lt;&gt;0,INDEX(CodMO,MATCH(C1252,MO,0),),)</f>
        <v>0</v>
      </c>
      <c r="B1252" s="399"/>
      <c r="C1252" s="1128"/>
      <c r="D1252" s="940"/>
      <c r="E1252" s="940"/>
      <c r="F1252" s="940"/>
      <c r="G1252" s="940"/>
      <c r="H1252" s="940"/>
      <c r="I1252" s="447" t="str">
        <f>IF($A1252&gt;0,(VLOOKUP($A1252,TablaMO,8,FALSE)),"")</f>
        <v/>
      </c>
      <c r="J1252" s="448" t="str">
        <f>IF($A1252&gt;0,(VLOOKUP($A1252,TablaMO,10,FALSE)),"")</f>
        <v/>
      </c>
      <c r="K1252" s="447" t="str">
        <f>IF($A1252&gt;0,(VLOOKUP($A1252,TablaMO,11,FALSE)),"")</f>
        <v/>
      </c>
      <c r="L1252" s="1146"/>
      <c r="M1252" s="941"/>
      <c r="N1252" s="430" t="str">
        <f t="shared" si="101"/>
        <v/>
      </c>
      <c r="O1252" s="362"/>
    </row>
    <row r="1253" spans="1:18" ht="15.75" customHeight="1">
      <c r="A1253" s="395"/>
      <c r="B1253" s="399"/>
      <c r="C1253" s="1127" t="s">
        <v>1202</v>
      </c>
      <c r="D1253" s="965"/>
      <c r="E1253" s="965"/>
      <c r="F1253" s="965"/>
      <c r="G1253" s="965"/>
      <c r="H1253" s="965"/>
      <c r="I1253" s="965"/>
      <c r="J1253" s="965"/>
      <c r="K1253" s="965"/>
      <c r="L1253" s="965"/>
      <c r="M1253" s="966"/>
      <c r="N1253" s="433">
        <f>+SUM(N1248:N1252)</f>
        <v>20409.021950199982</v>
      </c>
      <c r="O1253" s="362"/>
    </row>
    <row r="1254" spans="1:18" ht="15.75" customHeight="1">
      <c r="B1254" s="679"/>
      <c r="O1254" s="362"/>
    </row>
    <row r="1255" spans="1:18" ht="15.75" customHeight="1">
      <c r="B1255" s="679"/>
      <c r="C1255" s="1198" t="s">
        <v>1219</v>
      </c>
      <c r="D1255" s="965"/>
      <c r="E1255" s="965"/>
      <c r="F1255" s="965"/>
      <c r="G1255" s="965"/>
      <c r="H1255" s="965"/>
      <c r="I1255" s="965"/>
      <c r="J1255" s="965"/>
      <c r="K1255" s="965"/>
      <c r="L1255" s="965"/>
      <c r="M1255" s="966"/>
      <c r="N1255" s="680">
        <f>ROUND(SUM(N1253,N1243,N1233,N1220),0)</f>
        <v>150635</v>
      </c>
      <c r="O1255" s="362"/>
      <c r="Q1255" s="681">
        <f>VLOOKUP(C1209,PROPUESTASASERCO,8,FALSE)</f>
        <v>150635</v>
      </c>
      <c r="R1255" s="682">
        <f>Q1255-N1255</f>
        <v>0</v>
      </c>
    </row>
    <row r="1256" spans="1:18" ht="15.75" customHeight="1">
      <c r="B1256" s="679"/>
      <c r="C1256" s="1129" t="s">
        <v>1220</v>
      </c>
      <c r="D1256" s="926"/>
      <c r="E1256" s="926"/>
      <c r="F1256" s="926"/>
      <c r="G1256" s="926"/>
      <c r="H1256" s="926"/>
      <c r="I1256" s="926"/>
      <c r="J1256" s="926"/>
      <c r="K1256" s="926"/>
      <c r="L1256" s="926"/>
      <c r="M1256" s="926"/>
      <c r="N1256" s="927"/>
      <c r="O1256" s="362"/>
    </row>
    <row r="1257" spans="1:18" ht="15.75" customHeight="1">
      <c r="B1257" s="679"/>
      <c r="C1257" s="920"/>
      <c r="D1257" s="922"/>
      <c r="E1257" s="922"/>
      <c r="F1257" s="922"/>
      <c r="G1257" s="922"/>
      <c r="H1257" s="922"/>
      <c r="I1257" s="922"/>
      <c r="J1257" s="922"/>
      <c r="K1257" s="922"/>
      <c r="L1257" s="922"/>
      <c r="M1257" s="922"/>
      <c r="N1257" s="924"/>
      <c r="O1257" s="362"/>
    </row>
    <row r="1258" spans="1:18" ht="15.75" customHeight="1">
      <c r="B1258" s="679"/>
      <c r="C1258" s="929"/>
      <c r="D1258" s="936"/>
      <c r="E1258" s="936"/>
      <c r="F1258" s="936"/>
      <c r="G1258" s="936"/>
      <c r="H1258" s="936"/>
      <c r="I1258" s="936"/>
      <c r="J1258" s="936"/>
      <c r="K1258" s="936"/>
      <c r="L1258" s="936"/>
      <c r="M1258" s="936"/>
      <c r="N1258" s="938"/>
      <c r="O1258" s="362"/>
    </row>
    <row r="1259" spans="1:18" ht="15.75" customHeight="1">
      <c r="B1259" s="679"/>
      <c r="C1259" s="1201" t="s">
        <v>1221</v>
      </c>
      <c r="D1259" s="1131"/>
      <c r="E1259" s="1131"/>
      <c r="F1259" s="1131"/>
      <c r="G1259" s="1131"/>
      <c r="H1259" s="1132"/>
      <c r="I1259" s="674"/>
      <c r="J1259" s="674"/>
      <c r="K1259" s="674"/>
      <c r="L1259" s="1206" t="s">
        <v>1222</v>
      </c>
      <c r="M1259" s="1000"/>
      <c r="N1259" s="678" t="s">
        <v>1223</v>
      </c>
      <c r="O1259" s="362"/>
    </row>
    <row r="1260" spans="1:18" ht="15.75" customHeight="1">
      <c r="B1260" s="679"/>
      <c r="C1260" s="1128" t="s">
        <v>19</v>
      </c>
      <c r="D1260" s="940"/>
      <c r="E1260" s="940"/>
      <c r="F1260" s="940"/>
      <c r="G1260" s="940"/>
      <c r="H1260" s="940"/>
      <c r="I1260" s="452"/>
      <c r="J1260" s="452"/>
      <c r="K1260" s="452"/>
      <c r="L1260" s="1148">
        <f>+Datos!$E$18</f>
        <v>0.25</v>
      </c>
      <c r="M1260" s="941"/>
      <c r="N1260" s="430">
        <f>+L1260*N1255</f>
        <v>37658.75</v>
      </c>
      <c r="O1260" s="362"/>
    </row>
    <row r="1261" spans="1:18" ht="15.75" customHeight="1">
      <c r="B1261" s="679"/>
      <c r="C1261" s="454" t="s">
        <v>20</v>
      </c>
      <c r="D1261" s="455"/>
      <c r="E1261" s="455"/>
      <c r="F1261" s="455"/>
      <c r="G1261" s="455"/>
      <c r="H1261" s="455"/>
      <c r="I1261" s="452"/>
      <c r="J1261" s="452"/>
      <c r="K1261" s="452"/>
      <c r="L1261" s="1148">
        <f>+Datos!$E$19</f>
        <v>0.01</v>
      </c>
      <c r="M1261" s="941"/>
      <c r="N1261" s="430">
        <f>+L1261*N1255</f>
        <v>1506.3500000000001</v>
      </c>
      <c r="O1261" s="362"/>
    </row>
    <row r="1262" spans="1:18" ht="15.75" customHeight="1">
      <c r="B1262" s="679"/>
      <c r="C1262" s="456" t="s">
        <v>21</v>
      </c>
      <c r="D1262" s="457"/>
      <c r="E1262" s="457"/>
      <c r="F1262" s="457"/>
      <c r="G1262" s="457"/>
      <c r="H1262" s="457"/>
      <c r="I1262" s="458"/>
      <c r="J1262" s="458"/>
      <c r="K1262" s="458"/>
      <c r="L1262" s="1148">
        <f>+Datos!$E$20</f>
        <v>0.05</v>
      </c>
      <c r="M1262" s="941"/>
      <c r="N1262" s="430">
        <f>+L1262*N1255</f>
        <v>7531.75</v>
      </c>
      <c r="O1262" s="362"/>
    </row>
    <row r="1263" spans="1:18" ht="15.75" customHeight="1">
      <c r="B1263" s="679"/>
      <c r="C1263" s="1127" t="s">
        <v>1202</v>
      </c>
      <c r="D1263" s="965"/>
      <c r="E1263" s="965"/>
      <c r="F1263" s="965"/>
      <c r="G1263" s="965"/>
      <c r="H1263" s="965"/>
      <c r="I1263" s="965"/>
      <c r="J1263" s="965"/>
      <c r="K1263" s="965"/>
      <c r="L1263" s="965"/>
      <c r="M1263" s="966"/>
      <c r="N1263" s="433">
        <f>+SUM(N1260:N1262)</f>
        <v>46696.85</v>
      </c>
      <c r="O1263" s="362"/>
    </row>
    <row r="1264" spans="1:18" ht="15.75" customHeight="1">
      <c r="B1264" s="679"/>
      <c r="C1264" s="418"/>
      <c r="D1264" s="39"/>
      <c r="E1264" s="39"/>
      <c r="F1264" s="39"/>
      <c r="G1264" s="39"/>
      <c r="H1264" s="39"/>
      <c r="I1264" s="39"/>
      <c r="J1264" s="39"/>
      <c r="K1264" s="39"/>
      <c r="L1264" s="39"/>
      <c r="M1264" s="39"/>
      <c r="N1264" s="40"/>
      <c r="O1264" s="362"/>
    </row>
    <row r="1265" spans="1:15" ht="15.75" customHeight="1">
      <c r="B1265" s="679"/>
      <c r="C1265" s="1198" t="s">
        <v>1224</v>
      </c>
      <c r="D1265" s="965"/>
      <c r="E1265" s="965"/>
      <c r="F1265" s="965"/>
      <c r="G1265" s="965"/>
      <c r="H1265" s="965"/>
      <c r="I1265" s="965"/>
      <c r="J1265" s="965"/>
      <c r="K1265" s="965"/>
      <c r="L1265" s="965"/>
      <c r="M1265" s="966"/>
      <c r="N1265" s="683">
        <f>+ROUND(SUM(N1263,N1255),0)</f>
        <v>197332</v>
      </c>
      <c r="O1265" s="362"/>
    </row>
    <row r="1266" spans="1:15" ht="15.75" customHeight="1">
      <c r="B1266" s="679"/>
      <c r="C1266" s="418"/>
      <c r="D1266" s="39" t="s">
        <v>1225</v>
      </c>
      <c r="E1266" s="39"/>
      <c r="F1266" s="39"/>
      <c r="G1266" s="184"/>
      <c r="H1266" s="184"/>
      <c r="I1266" s="184"/>
      <c r="J1266" s="39" t="s">
        <v>1225</v>
      </c>
      <c r="K1266" s="39"/>
      <c r="L1266" s="39"/>
      <c r="M1266" s="39"/>
      <c r="N1266" s="40"/>
      <c r="O1266" s="362"/>
    </row>
    <row r="1267" spans="1:15" ht="15.75" customHeight="1">
      <c r="B1267" s="679"/>
      <c r="C1267" s="418"/>
      <c r="D1267" s="39" t="s">
        <v>1226</v>
      </c>
      <c r="E1267" s="39"/>
      <c r="F1267" s="39"/>
      <c r="G1267" s="184"/>
      <c r="H1267" s="184"/>
      <c r="I1267" s="184"/>
      <c r="J1267" s="39" t="s">
        <v>1227</v>
      </c>
      <c r="K1267" s="39"/>
      <c r="L1267" s="39"/>
      <c r="M1267" s="39"/>
      <c r="N1267" s="40"/>
      <c r="O1267" s="362"/>
    </row>
    <row r="1268" spans="1:15" ht="15.75" customHeight="1">
      <c r="B1268" s="679"/>
      <c r="C1268" s="404"/>
      <c r="D1268" s="39" t="s">
        <v>1228</v>
      </c>
      <c r="E1268" s="42"/>
      <c r="F1268" s="42"/>
      <c r="G1268" s="184"/>
      <c r="H1268" s="184"/>
      <c r="I1268" s="184"/>
      <c r="J1268" s="39" t="s">
        <v>1228</v>
      </c>
      <c r="K1268" s="42"/>
      <c r="L1268" s="42"/>
      <c r="M1268" s="42"/>
      <c r="N1268" s="43"/>
      <c r="O1268" s="362"/>
    </row>
    <row r="1269" spans="1:15" ht="15.75" customHeight="1">
      <c r="B1269" s="679"/>
      <c r="C1269" s="418"/>
      <c r="D1269" s="39"/>
      <c r="E1269" s="39"/>
      <c r="F1269" s="39"/>
      <c r="G1269" s="39" t="s">
        <v>1229</v>
      </c>
      <c r="H1269" s="39"/>
      <c r="I1269" s="39"/>
      <c r="J1269" s="39"/>
      <c r="K1269" s="39"/>
      <c r="L1269" s="39"/>
      <c r="M1269" s="39"/>
      <c r="N1269" s="40"/>
      <c r="O1269" s="362"/>
    </row>
    <row r="1270" spans="1:15" ht="15.75" customHeight="1">
      <c r="B1270" s="679"/>
      <c r="C1270" s="466"/>
      <c r="D1270" s="467"/>
      <c r="E1270" s="467"/>
      <c r="F1270" s="39"/>
      <c r="G1270" s="39"/>
      <c r="H1270" s="39"/>
      <c r="I1270" s="39"/>
      <c r="J1270" s="1149"/>
      <c r="K1270" s="922"/>
      <c r="L1270" s="922"/>
      <c r="M1270" s="922"/>
      <c r="N1270" s="924"/>
      <c r="O1270" s="362"/>
    </row>
    <row r="1271" spans="1:15" ht="15.75" customHeight="1">
      <c r="B1271" s="679"/>
      <c r="C1271" s="1150"/>
      <c r="D1271" s="936"/>
      <c r="E1271" s="936"/>
      <c r="F1271" s="416"/>
      <c r="G1271" s="416"/>
      <c r="H1271" s="416"/>
      <c r="I1271" s="416"/>
      <c r="J1271" s="936"/>
      <c r="K1271" s="936"/>
      <c r="L1271" s="936"/>
      <c r="M1271" s="936"/>
      <c r="N1271" s="938"/>
      <c r="O1271" s="362"/>
    </row>
    <row r="1272" spans="1:15" ht="15.75" customHeight="1">
      <c r="B1272" s="684"/>
      <c r="C1272" s="685"/>
      <c r="D1272" s="685"/>
      <c r="E1272" s="685"/>
      <c r="F1272" s="685"/>
      <c r="G1272" s="685"/>
      <c r="H1272" s="685"/>
      <c r="I1272" s="685"/>
      <c r="J1272" s="685"/>
      <c r="K1272" s="685"/>
      <c r="L1272" s="685"/>
      <c r="M1272" s="685"/>
      <c r="N1272" s="685"/>
      <c r="O1272" s="686"/>
    </row>
    <row r="1273" spans="1:15" ht="15.75" customHeight="1"/>
    <row r="1274" spans="1:15" ht="15.75" customHeight="1"/>
    <row r="1275" spans="1:15" ht="15.75" customHeight="1"/>
    <row r="1276" spans="1:15" ht="15.75" customHeight="1"/>
    <row r="1277" spans="1:15" ht="15.75" customHeight="1">
      <c r="A1277" s="395" t="s">
        <v>941</v>
      </c>
      <c r="B1277" s="184"/>
      <c r="C1277" s="184"/>
      <c r="D1277" s="184"/>
      <c r="E1277" s="184"/>
      <c r="F1277" s="184"/>
      <c r="G1277" s="184"/>
      <c r="H1277" s="184"/>
      <c r="I1277" s="184"/>
      <c r="J1277" s="184"/>
      <c r="K1277" s="184"/>
      <c r="L1277" s="184"/>
      <c r="M1277" s="184"/>
      <c r="N1277" s="184"/>
    </row>
    <row r="1278" spans="1:15" ht="15.75" customHeight="1">
      <c r="A1278" s="395"/>
      <c r="B1278" s="396"/>
      <c r="C1278" s="397"/>
      <c r="D1278" s="397"/>
      <c r="E1278" s="397"/>
      <c r="F1278" s="397"/>
      <c r="G1278" s="397"/>
      <c r="H1278" s="397"/>
      <c r="I1278" s="397"/>
      <c r="J1278" s="397"/>
      <c r="K1278" s="397"/>
      <c r="L1278" s="397"/>
      <c r="M1278" s="397"/>
      <c r="N1278" s="397"/>
      <c r="O1278" s="667"/>
    </row>
    <row r="1279" spans="1:15" ht="15.75" customHeight="1">
      <c r="A1279" s="395"/>
      <c r="B1279" s="399"/>
      <c r="C1279" s="1124"/>
      <c r="D1279" s="927"/>
      <c r="E1279" s="1207" t="str">
        <f>Datos!$C$9</f>
        <v>CONSEJO SUPERIOR  DE  JUDICATURA– DIRECCIÓN  EJECUTIVA  SECCIONAL  DE ADMINISTRACIÓN JUDICIAL DE BUCARAMANGA</v>
      </c>
      <c r="F1279" s="926"/>
      <c r="G1279" s="926"/>
      <c r="H1279" s="926"/>
      <c r="I1279" s="926"/>
      <c r="J1279" s="926"/>
      <c r="K1279" s="927"/>
      <c r="L1279" s="925" t="s">
        <v>1</v>
      </c>
      <c r="M1279" s="931"/>
      <c r="N1279" s="933">
        <v>1</v>
      </c>
      <c r="O1279" s="362"/>
    </row>
    <row r="1280" spans="1:15" ht="15.75" customHeight="1">
      <c r="A1280" s="395"/>
      <c r="B1280" s="399"/>
      <c r="C1280" s="920"/>
      <c r="D1280" s="924"/>
      <c r="E1280" s="920"/>
      <c r="F1280" s="922"/>
      <c r="G1280" s="922"/>
      <c r="H1280" s="922"/>
      <c r="I1280" s="922"/>
      <c r="J1280" s="922"/>
      <c r="K1280" s="924"/>
      <c r="L1280" s="920"/>
      <c r="M1280" s="932"/>
      <c r="N1280" s="934"/>
      <c r="O1280" s="362"/>
    </row>
    <row r="1281" spans="1:15" ht="15.75" customHeight="1">
      <c r="A1281" s="395"/>
      <c r="B1281" s="399"/>
      <c r="C1281" s="920"/>
      <c r="D1281" s="924"/>
      <c r="E1281" s="919" t="str">
        <f>Datos!$C$13</f>
        <v xml:space="preserve">BGA - 030 - 2026 </v>
      </c>
      <c r="F1281" s="922"/>
      <c r="G1281" s="922"/>
      <c r="H1281" s="922"/>
      <c r="I1281" s="922"/>
      <c r="J1281" s="922"/>
      <c r="K1281" s="922"/>
      <c r="L1281" s="925" t="s">
        <v>29</v>
      </c>
      <c r="M1281" s="926"/>
      <c r="N1281" s="927"/>
      <c r="O1281" s="362"/>
    </row>
    <row r="1282" spans="1:15" ht="15.75" customHeight="1">
      <c r="A1282" s="395"/>
      <c r="B1282" s="399"/>
      <c r="C1282" s="920"/>
      <c r="D1282" s="924"/>
      <c r="E128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282" s="922"/>
      <c r="G1282" s="922"/>
      <c r="H1282" s="922"/>
      <c r="I1282" s="922"/>
      <c r="J1282" s="922"/>
      <c r="K1282" s="924"/>
      <c r="L1282" s="919">
        <v>1</v>
      </c>
      <c r="M1282" s="921" t="s">
        <v>30</v>
      </c>
      <c r="N1282" s="923">
        <v>1</v>
      </c>
      <c r="O1282" s="362"/>
    </row>
    <row r="1283" spans="1:15" ht="15.75" customHeight="1">
      <c r="A1283" s="395"/>
      <c r="B1283" s="399"/>
      <c r="C1283" s="920"/>
      <c r="D1283" s="924"/>
      <c r="E1283" s="920"/>
      <c r="F1283" s="922"/>
      <c r="G1283" s="922"/>
      <c r="H1283" s="922"/>
      <c r="I1283" s="922"/>
      <c r="J1283" s="922"/>
      <c r="K1283" s="924"/>
      <c r="L1283" s="920"/>
      <c r="M1283" s="922"/>
      <c r="N1283" s="924"/>
      <c r="O1283" s="362"/>
    </row>
    <row r="1284" spans="1:15" ht="15.75" customHeight="1">
      <c r="A1284" s="395"/>
      <c r="B1284" s="399"/>
      <c r="C1284" s="920"/>
      <c r="D1284" s="924"/>
      <c r="E1284" s="920"/>
      <c r="F1284" s="922"/>
      <c r="G1284" s="922"/>
      <c r="H1284" s="922"/>
      <c r="I1284" s="922"/>
      <c r="J1284" s="922"/>
      <c r="K1284" s="924"/>
      <c r="L1284" s="925" t="s">
        <v>2</v>
      </c>
      <c r="M1284" s="926"/>
      <c r="N1284" s="927"/>
      <c r="O1284" s="362"/>
    </row>
    <row r="1285" spans="1:15" ht="15.75" customHeight="1">
      <c r="A1285" s="395"/>
      <c r="B1285" s="399"/>
      <c r="C1285" s="920"/>
      <c r="D1285" s="924"/>
      <c r="E1285" s="407"/>
      <c r="F1285" s="216"/>
      <c r="G1285" s="216"/>
      <c r="H1285" s="216"/>
      <c r="I1285" s="216"/>
      <c r="J1285" s="216"/>
      <c r="K1285" s="216"/>
      <c r="L1285" s="408" t="s">
        <v>3</v>
      </c>
      <c r="M1285" s="409" t="s">
        <v>4</v>
      </c>
      <c r="N1285" s="410" t="s">
        <v>5</v>
      </c>
      <c r="O1285" s="362"/>
    </row>
    <row r="1286" spans="1:15" ht="15.75" customHeight="1">
      <c r="A1286" s="395"/>
      <c r="B1286" s="399"/>
      <c r="C1286" s="920"/>
      <c r="D1286" s="924"/>
      <c r="E1286" s="1125" t="s">
        <v>1186</v>
      </c>
      <c r="F1286" s="945"/>
      <c r="G1286" s="945"/>
      <c r="H1286" s="945"/>
      <c r="I1286" s="945"/>
      <c r="J1286" s="945"/>
      <c r="K1286" s="945"/>
      <c r="L1286" s="928">
        <f>Datos!$C$7</f>
        <v>19</v>
      </c>
      <c r="M1286" s="935">
        <f>Datos!$D$7</f>
        <v>6</v>
      </c>
      <c r="N1286" s="937">
        <f>Datos!$E$7</f>
        <v>2026</v>
      </c>
      <c r="O1286" s="362"/>
    </row>
    <row r="1287" spans="1:15" ht="15.75" customHeight="1">
      <c r="A1287" s="395"/>
      <c r="B1287" s="399"/>
      <c r="C1287" s="929"/>
      <c r="D1287" s="938"/>
      <c r="E1287" s="929"/>
      <c r="F1287" s="936"/>
      <c r="G1287" s="936"/>
      <c r="H1287" s="936"/>
      <c r="I1287" s="936"/>
      <c r="J1287" s="936"/>
      <c r="K1287" s="936"/>
      <c r="L1287" s="929"/>
      <c r="M1287" s="936"/>
      <c r="N1287" s="938"/>
      <c r="O1287" s="362"/>
    </row>
    <row r="1288" spans="1:15" ht="15.75" customHeight="1">
      <c r="A1288" s="395"/>
      <c r="B1288" s="399"/>
      <c r="C1288" s="404"/>
      <c r="D1288" s="38"/>
      <c r="E1288" s="38"/>
      <c r="F1288" s="38"/>
      <c r="G1288" s="38"/>
      <c r="H1288" s="38"/>
      <c r="I1288" s="38"/>
      <c r="J1288" s="38"/>
      <c r="K1288" s="38"/>
      <c r="L1288" s="39"/>
      <c r="M1288" s="39"/>
      <c r="N1288" s="40"/>
      <c r="O1288" s="362"/>
    </row>
    <row r="1289" spans="1:15" ht="15.75" customHeight="1">
      <c r="A1289" s="395"/>
      <c r="B1289" s="399"/>
      <c r="C1289" s="412" t="s">
        <v>1187</v>
      </c>
      <c r="D1289" s="1199" t="str">
        <f>VLOOKUP(C1294,ListaAct,2,0)</f>
        <v>OBRA CIVIL</v>
      </c>
      <c r="E1289" s="922"/>
      <c r="F1289" s="922"/>
      <c r="G1289" s="922"/>
      <c r="H1289" s="922"/>
      <c r="I1289" s="922"/>
      <c r="J1289" s="922"/>
      <c r="K1289" s="922"/>
      <c r="L1289" s="922"/>
      <c r="M1289" s="1"/>
      <c r="N1289" s="413"/>
      <c r="O1289" s="362"/>
    </row>
    <row r="1290" spans="1:15" ht="15.75" customHeight="1">
      <c r="A1290" s="395"/>
      <c r="B1290" s="399"/>
      <c r="C1290" s="412" t="s">
        <v>1189</v>
      </c>
      <c r="D1290" s="1199" t="str">
        <f>VLOOKUP(C1294,ListaAct,3,0)</f>
        <v>REFORZAMIENTO ESTRUCTURAL</v>
      </c>
      <c r="E1290" s="922"/>
      <c r="F1290" s="922"/>
      <c r="G1290" s="922"/>
      <c r="H1290" s="922"/>
      <c r="I1290" s="922"/>
      <c r="J1290" s="922"/>
      <c r="K1290" s="922"/>
      <c r="L1290" s="922"/>
      <c r="M1290" s="1"/>
      <c r="N1290" s="413"/>
      <c r="O1290" s="362"/>
    </row>
    <row r="1291" spans="1:15" ht="15.75" customHeight="1">
      <c r="A1291" s="395"/>
      <c r="B1291" s="399"/>
      <c r="C1291" s="925" t="s">
        <v>1191</v>
      </c>
      <c r="D1291" s="926"/>
      <c r="E1291" s="926"/>
      <c r="F1291" s="926"/>
      <c r="G1291" s="926"/>
      <c r="H1291" s="926"/>
      <c r="I1291" s="926"/>
      <c r="J1291" s="926"/>
      <c r="K1291" s="926"/>
      <c r="L1291" s="926"/>
      <c r="M1291" s="926"/>
      <c r="N1291" s="927"/>
      <c r="O1291" s="362"/>
    </row>
    <row r="1292" spans="1:15" ht="15.75" customHeight="1">
      <c r="A1292" s="395"/>
      <c r="B1292" s="399"/>
      <c r="C1292" s="418"/>
      <c r="D1292" s="39"/>
      <c r="E1292" s="39"/>
      <c r="F1292" s="39"/>
      <c r="G1292" s="39"/>
      <c r="H1292" s="39"/>
      <c r="I1292" s="39"/>
      <c r="J1292" s="39"/>
      <c r="K1292" s="39"/>
      <c r="L1292" s="39"/>
      <c r="M1292" s="39"/>
      <c r="N1292" s="40"/>
      <c r="O1292" s="362"/>
    </row>
    <row r="1293" spans="1:15" ht="15.75" customHeight="1">
      <c r="A1293" s="395"/>
      <c r="B1293" s="399"/>
      <c r="C1293" s="668" t="s">
        <v>965</v>
      </c>
      <c r="D1293" s="1200" t="s">
        <v>17</v>
      </c>
      <c r="E1293" s="1131"/>
      <c r="F1293" s="1131"/>
      <c r="G1293" s="1131"/>
      <c r="H1293" s="1131"/>
      <c r="I1293" s="1131"/>
      <c r="J1293" s="1131"/>
      <c r="K1293" s="1137"/>
      <c r="L1293" s="1201" t="s">
        <v>1192</v>
      </c>
      <c r="M1293" s="1137"/>
      <c r="N1293" s="668" t="s">
        <v>950</v>
      </c>
      <c r="O1293" s="362"/>
    </row>
    <row r="1294" spans="1:15" ht="33.75" customHeight="1">
      <c r="A1294" s="395"/>
      <c r="B1294" s="421"/>
      <c r="C1294" s="669" t="s">
        <v>1029</v>
      </c>
      <c r="D1294" s="1202" t="str">
        <f>IF($C1294&gt;0,(VLOOKUP($C1294,ListaAct,4,FALSE)),"")</f>
        <v>Suministro e instalación de tornillo roscado de 1/2" con arandelas y tuercas, según diseño, para junta de confinamiento, incluye lechada tradicional de cal y arena o ladrillo con cuña de madera en los extremos.</v>
      </c>
      <c r="E1294" s="979"/>
      <c r="F1294" s="979"/>
      <c r="G1294" s="979"/>
      <c r="H1294" s="979"/>
      <c r="I1294" s="979"/>
      <c r="J1294" s="979"/>
      <c r="K1294" s="980"/>
      <c r="L1294" s="1203" t="str">
        <f>IF($C1294&gt;0,(VLOOKUP($C1294,ListaAct,5,FALSE)),"")</f>
        <v>m2</v>
      </c>
      <c r="M1294" s="980"/>
      <c r="N1294" s="423">
        <f>IF($C1294&gt;0,(VLOOKUP($C1294,ListaAct,6,FALSE)),"")</f>
        <v>155</v>
      </c>
      <c r="O1294" s="362"/>
    </row>
    <row r="1295" spans="1:15" ht="15.75" customHeight="1">
      <c r="A1295" s="395"/>
      <c r="B1295" s="399"/>
      <c r="C1295" s="1129" t="s">
        <v>1195</v>
      </c>
      <c r="D1295" s="926"/>
      <c r="E1295" s="926"/>
      <c r="F1295" s="926"/>
      <c r="G1295" s="926"/>
      <c r="H1295" s="926"/>
      <c r="I1295" s="926"/>
      <c r="J1295" s="926"/>
      <c r="K1295" s="926"/>
      <c r="L1295" s="926"/>
      <c r="M1295" s="926"/>
      <c r="N1295" s="927"/>
      <c r="O1295" s="362"/>
    </row>
    <row r="1296" spans="1:15" ht="15.75" customHeight="1">
      <c r="A1296" s="395"/>
      <c r="B1296" s="399"/>
      <c r="C1296" s="920"/>
      <c r="D1296" s="922"/>
      <c r="E1296" s="922"/>
      <c r="F1296" s="922"/>
      <c r="G1296" s="922"/>
      <c r="H1296" s="922"/>
      <c r="I1296" s="922"/>
      <c r="J1296" s="922"/>
      <c r="K1296" s="922"/>
      <c r="L1296" s="922"/>
      <c r="M1296" s="922"/>
      <c r="N1296" s="924"/>
      <c r="O1296" s="362"/>
    </row>
    <row r="1297" spans="1:17" ht="15.75" customHeight="1">
      <c r="A1297" s="395"/>
      <c r="B1297" s="399"/>
      <c r="C1297" s="929"/>
      <c r="D1297" s="936"/>
      <c r="E1297" s="936"/>
      <c r="F1297" s="936"/>
      <c r="G1297" s="936"/>
      <c r="H1297" s="936"/>
      <c r="I1297" s="936"/>
      <c r="J1297" s="936"/>
      <c r="K1297" s="936"/>
      <c r="L1297" s="936"/>
      <c r="M1297" s="936"/>
      <c r="N1297" s="938"/>
      <c r="O1297" s="362"/>
    </row>
    <row r="1298" spans="1:17" ht="15.75" customHeight="1">
      <c r="A1298" s="395"/>
      <c r="B1298" s="399"/>
      <c r="C1298" s="1201" t="s">
        <v>17</v>
      </c>
      <c r="D1298" s="1131"/>
      <c r="E1298" s="1131"/>
      <c r="F1298" s="1000"/>
      <c r="G1298" s="1204" t="s">
        <v>1196</v>
      </c>
      <c r="H1298" s="1000"/>
      <c r="I1298" s="1204" t="s">
        <v>1197</v>
      </c>
      <c r="J1298" s="1000"/>
      <c r="K1298" s="670" t="s">
        <v>1213</v>
      </c>
      <c r="L1298" s="1204" t="s">
        <v>1199</v>
      </c>
      <c r="M1298" s="1000"/>
      <c r="N1298" s="671" t="s">
        <v>1200</v>
      </c>
      <c r="O1298" s="362"/>
    </row>
    <row r="1299" spans="1:17" ht="15.75" customHeight="1">
      <c r="A1299" s="395"/>
      <c r="B1299" s="399"/>
      <c r="C1299" s="1128" t="s">
        <v>1201</v>
      </c>
      <c r="D1299" s="940"/>
      <c r="E1299" s="940"/>
      <c r="F1299" s="941"/>
      <c r="G1299" s="1142"/>
      <c r="H1299" s="941"/>
      <c r="I1299" s="1142"/>
      <c r="J1299" s="941"/>
      <c r="K1299" s="429"/>
      <c r="L1299" s="1143">
        <v>0.06</v>
      </c>
      <c r="M1299" s="941"/>
      <c r="N1299" s="430">
        <f>+L1299*N1338</f>
        <v>1756.7744102106431</v>
      </c>
      <c r="O1299" s="362"/>
    </row>
    <row r="1300" spans="1:17" ht="15.75" customHeight="1">
      <c r="A1300" s="395">
        <f t="array" ref="A1300">IF(C1300&lt;&gt;0,INDEX(CodEquipos,MATCH(C1300,Equipos,0),),)</f>
        <v>0</v>
      </c>
      <c r="B1300" s="399"/>
      <c r="C1300" s="1128"/>
      <c r="D1300" s="940"/>
      <c r="E1300" s="940"/>
      <c r="F1300" s="941"/>
      <c r="G1300" s="1142"/>
      <c r="H1300" s="941"/>
      <c r="I1300" s="1142"/>
      <c r="J1300" s="941"/>
      <c r="K1300" s="432" t="str">
        <f>IF($A1300&gt;0,(VLOOKUP($A1300,TablaEquipos,7,FALSE)),"")</f>
        <v/>
      </c>
      <c r="L1300" s="1146"/>
      <c r="M1300" s="941"/>
      <c r="N1300" s="430" t="str">
        <f t="shared" ref="N1300:N1304" si="102">IF(L1300&gt;0,K1300/L1300,"")</f>
        <v/>
      </c>
      <c r="O1300" s="362"/>
    </row>
    <row r="1301" spans="1:17" ht="15.75" customHeight="1">
      <c r="A1301" s="395">
        <f t="array" ref="A1301">IF(C1301&lt;&gt;0,INDEX(CodEquipos,MATCH(C1301,Equipos,0),),)</f>
        <v>0</v>
      </c>
      <c r="B1301" s="399"/>
      <c r="C1301" s="1128"/>
      <c r="D1301" s="940"/>
      <c r="E1301" s="940"/>
      <c r="F1301" s="941"/>
      <c r="G1301" s="1142"/>
      <c r="H1301" s="941"/>
      <c r="I1301" s="1142"/>
      <c r="J1301" s="941"/>
      <c r="K1301" s="432" t="str">
        <f>IF($A1301&gt;0,(VLOOKUP($A1301,TablaEquipos,7,FALSE)),"")</f>
        <v/>
      </c>
      <c r="L1301" s="1146"/>
      <c r="M1301" s="941"/>
      <c r="N1301" s="430" t="str">
        <f t="shared" si="102"/>
        <v/>
      </c>
      <c r="O1301" s="362"/>
    </row>
    <row r="1302" spans="1:17" ht="15.75" customHeight="1">
      <c r="A1302" s="395">
        <f t="array" ref="A1302">IF(C1302&lt;&gt;0,INDEX(CodEquipos,MATCH(C1302,Equipos,0),),)</f>
        <v>0</v>
      </c>
      <c r="B1302" s="399"/>
      <c r="C1302" s="1128"/>
      <c r="D1302" s="940"/>
      <c r="E1302" s="940"/>
      <c r="F1302" s="941"/>
      <c r="G1302" s="1142"/>
      <c r="H1302" s="941"/>
      <c r="I1302" s="1142"/>
      <c r="J1302" s="941"/>
      <c r="K1302" s="432" t="str">
        <f>IF($A1302&gt;0,(VLOOKUP($A1302,TablaEquipos,7,FALSE)),"")</f>
        <v/>
      </c>
      <c r="L1302" s="1146"/>
      <c r="M1302" s="941"/>
      <c r="N1302" s="430" t="str">
        <f t="shared" si="102"/>
        <v/>
      </c>
      <c r="O1302" s="362"/>
    </row>
    <row r="1303" spans="1:17" ht="15.75" customHeight="1">
      <c r="A1303" s="395">
        <f t="array" ref="A1303">IF(C1303&lt;&gt;0,INDEX(CodEquipos,MATCH(C1303,Equipos,0),),)</f>
        <v>0</v>
      </c>
      <c r="B1303" s="399"/>
      <c r="C1303" s="1128"/>
      <c r="D1303" s="940"/>
      <c r="E1303" s="940"/>
      <c r="F1303" s="941"/>
      <c r="G1303" s="1142"/>
      <c r="H1303" s="941"/>
      <c r="I1303" s="1142"/>
      <c r="J1303" s="941"/>
      <c r="K1303" s="432" t="str">
        <f>IF($A1303&gt;0,(VLOOKUP($A1303,TablaEquipos,7,FALSE)),"")</f>
        <v/>
      </c>
      <c r="L1303" s="1141"/>
      <c r="M1303" s="941"/>
      <c r="N1303" s="430" t="str">
        <f t="shared" si="102"/>
        <v/>
      </c>
      <c r="O1303" s="362"/>
    </row>
    <row r="1304" spans="1:17" ht="15.75" customHeight="1">
      <c r="A1304" s="395">
        <f t="array" ref="A1304">IF(C1304&lt;&gt;0,INDEX(CodEquipos,MATCH(C1304,Equipos,0),),)</f>
        <v>0</v>
      </c>
      <c r="B1304" s="399"/>
      <c r="C1304" s="1128"/>
      <c r="D1304" s="940"/>
      <c r="E1304" s="940"/>
      <c r="F1304" s="941"/>
      <c r="G1304" s="1144"/>
      <c r="H1304" s="1145"/>
      <c r="I1304" s="1144"/>
      <c r="J1304" s="1145"/>
      <c r="K1304" s="432" t="str">
        <f>IF($A1304&gt;0,(VLOOKUP($A1304,TablaEquipos,7,FALSE)),"")</f>
        <v/>
      </c>
      <c r="L1304" s="1208"/>
      <c r="M1304" s="1145"/>
      <c r="N1304" s="430" t="str">
        <f t="shared" si="102"/>
        <v/>
      </c>
      <c r="O1304" s="362"/>
    </row>
    <row r="1305" spans="1:17" ht="15.75" customHeight="1">
      <c r="A1305" s="395"/>
      <c r="B1305" s="399"/>
      <c r="C1305" s="1127" t="s">
        <v>1202</v>
      </c>
      <c r="D1305" s="965"/>
      <c r="E1305" s="965"/>
      <c r="F1305" s="965"/>
      <c r="G1305" s="965"/>
      <c r="H1305" s="965"/>
      <c r="I1305" s="965"/>
      <c r="J1305" s="965"/>
      <c r="K1305" s="965"/>
      <c r="L1305" s="965"/>
      <c r="M1305" s="966"/>
      <c r="N1305" s="433">
        <f>+SUM(N1299:N1304)</f>
        <v>1756.7744102106431</v>
      </c>
      <c r="O1305" s="362"/>
    </row>
    <row r="1306" spans="1:17" ht="15.75" customHeight="1">
      <c r="A1306" s="395"/>
      <c r="B1306" s="399"/>
      <c r="C1306" s="1129" t="s">
        <v>1203</v>
      </c>
      <c r="D1306" s="926"/>
      <c r="E1306" s="926"/>
      <c r="F1306" s="926"/>
      <c r="G1306" s="926"/>
      <c r="H1306" s="926"/>
      <c r="I1306" s="926"/>
      <c r="J1306" s="926"/>
      <c r="K1306" s="926"/>
      <c r="L1306" s="926"/>
      <c r="M1306" s="926"/>
      <c r="N1306" s="927"/>
      <c r="O1306" s="362"/>
    </row>
    <row r="1307" spans="1:17" ht="15.75" customHeight="1">
      <c r="A1307" s="395"/>
      <c r="B1307" s="399"/>
      <c r="C1307" s="920"/>
      <c r="D1307" s="922"/>
      <c r="E1307" s="922"/>
      <c r="F1307" s="922"/>
      <c r="G1307" s="922"/>
      <c r="H1307" s="922"/>
      <c r="I1307" s="922"/>
      <c r="J1307" s="922"/>
      <c r="K1307" s="922"/>
      <c r="L1307" s="922"/>
      <c r="M1307" s="922"/>
      <c r="N1307" s="924"/>
      <c r="O1307" s="362"/>
    </row>
    <row r="1308" spans="1:17" ht="15.75" customHeight="1">
      <c r="A1308" s="395"/>
      <c r="B1308" s="399"/>
      <c r="C1308" s="929"/>
      <c r="D1308" s="936"/>
      <c r="E1308" s="936"/>
      <c r="F1308" s="936"/>
      <c r="G1308" s="936"/>
      <c r="H1308" s="936"/>
      <c r="I1308" s="936"/>
      <c r="J1308" s="936"/>
      <c r="K1308" s="936"/>
      <c r="L1308" s="936"/>
      <c r="M1308" s="936"/>
      <c r="N1308" s="938"/>
      <c r="O1308" s="362"/>
    </row>
    <row r="1309" spans="1:17" ht="15.75" customHeight="1">
      <c r="A1309" s="395"/>
      <c r="B1309" s="399"/>
      <c r="C1309" s="1201" t="s">
        <v>17</v>
      </c>
      <c r="D1309" s="1131"/>
      <c r="E1309" s="1131"/>
      <c r="F1309" s="1131"/>
      <c r="G1309" s="1131"/>
      <c r="H1309" s="1131"/>
      <c r="I1309" s="1000"/>
      <c r="J1309" s="672" t="s">
        <v>1192</v>
      </c>
      <c r="K1309" s="670" t="s">
        <v>950</v>
      </c>
      <c r="L1309" s="1204" t="s">
        <v>1204</v>
      </c>
      <c r="M1309" s="1000"/>
      <c r="N1309" s="671" t="s">
        <v>1200</v>
      </c>
      <c r="O1309" s="362"/>
    </row>
    <row r="1310" spans="1:17" ht="15.75" customHeight="1">
      <c r="A1310" s="395" t="str">
        <f t="array" ref="A1310">IF(C1310&lt;&gt;0,INDEX(CodMat,MATCH(C1310,Materiales,0),),)</f>
        <v>MAT_C-56</v>
      </c>
      <c r="B1310" s="399"/>
      <c r="C1310" s="1128" t="s">
        <v>2515</v>
      </c>
      <c r="D1310" s="940"/>
      <c r="E1310" s="940"/>
      <c r="F1310" s="940"/>
      <c r="G1310" s="940"/>
      <c r="H1310" s="940"/>
      <c r="I1310" s="941"/>
      <c r="J1310" s="435" t="str">
        <f t="shared" ref="J1310:J1317" si="103">IF($A1310&gt;0,(VLOOKUP($A1310,TablaInsumos,5,FALSE)),"")</f>
        <v>UND</v>
      </c>
      <c r="K1310" s="673">
        <v>1</v>
      </c>
      <c r="L1310" s="1134">
        <f t="shared" ref="L1310:L1317" si="104">IF($A1310&gt;0,(VLOOKUP($A1310,TablaInsumos,7,FALSE)),"")</f>
        <v>1800</v>
      </c>
      <c r="M1310" s="941"/>
      <c r="N1310" s="430">
        <f t="shared" ref="N1310:N1317" si="105">IF(K1310&gt;0,L1310*K1310,"")</f>
        <v>1800</v>
      </c>
      <c r="O1310" s="362"/>
    </row>
    <row r="1311" spans="1:17" ht="15.75" customHeight="1">
      <c r="A1311" s="395" t="str">
        <f t="array" ref="A1311">IF(C1311&lt;&gt;0,INDEX(CodMat,MATCH(C1311,Materiales,0),),)</f>
        <v>MAT_C-57</v>
      </c>
      <c r="B1311" s="399"/>
      <c r="C1311" s="1128" t="s">
        <v>2516</v>
      </c>
      <c r="D1311" s="940"/>
      <c r="E1311" s="940"/>
      <c r="F1311" s="940"/>
      <c r="G1311" s="940"/>
      <c r="H1311" s="940"/>
      <c r="I1311" s="941"/>
      <c r="J1311" s="435" t="str">
        <f t="shared" si="103"/>
        <v>UND</v>
      </c>
      <c r="K1311" s="673">
        <v>2</v>
      </c>
      <c r="L1311" s="1134">
        <f t="shared" si="104"/>
        <v>960</v>
      </c>
      <c r="M1311" s="941"/>
      <c r="N1311" s="430">
        <f t="shared" si="105"/>
        <v>1920</v>
      </c>
      <c r="O1311" s="362"/>
      <c r="Q1311" s="688"/>
    </row>
    <row r="1312" spans="1:17" ht="15.75" customHeight="1">
      <c r="A1312" s="395" t="str">
        <f t="array" ref="A1312">IF(C1312&lt;&gt;0,INDEX(CodMat,MATCH(C1312,Materiales,0),),)</f>
        <v>MAT_C-58</v>
      </c>
      <c r="B1312" s="399"/>
      <c r="C1312" s="1128" t="s">
        <v>1396</v>
      </c>
      <c r="D1312" s="940"/>
      <c r="E1312" s="940"/>
      <c r="F1312" s="940"/>
      <c r="G1312" s="940"/>
      <c r="H1312" s="940"/>
      <c r="I1312" s="941"/>
      <c r="J1312" s="435" t="str">
        <f t="shared" si="103"/>
        <v>UND</v>
      </c>
      <c r="K1312" s="673">
        <v>2</v>
      </c>
      <c r="L1312" s="1134">
        <f t="shared" si="104"/>
        <v>960</v>
      </c>
      <c r="M1312" s="941"/>
      <c r="N1312" s="430">
        <f t="shared" si="105"/>
        <v>1920</v>
      </c>
      <c r="O1312" s="362"/>
      <c r="Q1312" s="687"/>
    </row>
    <row r="1313" spans="1:15" ht="15.75" customHeight="1">
      <c r="A1313" s="395" t="str">
        <f t="array" ref="A1313">IF(C1313&lt;&gt;0,INDEX(CodMat,MATCH(C1313,Materiales,0),),)</f>
        <v>MAT_C-59</v>
      </c>
      <c r="B1313" s="399"/>
      <c r="C1313" s="1128" t="s">
        <v>1398</v>
      </c>
      <c r="D1313" s="940"/>
      <c r="E1313" s="940"/>
      <c r="F1313" s="940"/>
      <c r="G1313" s="940"/>
      <c r="H1313" s="940"/>
      <c r="I1313" s="941"/>
      <c r="J1313" s="435" t="str">
        <f t="shared" si="103"/>
        <v>L</v>
      </c>
      <c r="K1313" s="673">
        <v>1</v>
      </c>
      <c r="L1313" s="1134">
        <f t="shared" si="104"/>
        <v>25300</v>
      </c>
      <c r="M1313" s="941"/>
      <c r="N1313" s="430">
        <f t="shared" si="105"/>
        <v>25300</v>
      </c>
      <c r="O1313" s="362"/>
    </row>
    <row r="1314" spans="1:15" ht="15.75" customHeight="1">
      <c r="A1314" s="395" t="str">
        <f t="array" ref="A1314">IF(C1314&lt;&gt;0,INDEX(CodMat,MATCH(C1314,Materiales,0),),)</f>
        <v>MAT_C-60</v>
      </c>
      <c r="B1314" s="399"/>
      <c r="C1314" s="1128" t="s">
        <v>1400</v>
      </c>
      <c r="D1314" s="940"/>
      <c r="E1314" s="940"/>
      <c r="F1314" s="940"/>
      <c r="G1314" s="940"/>
      <c r="H1314" s="940"/>
      <c r="I1314" s="941"/>
      <c r="J1314" s="435" t="str">
        <f t="shared" si="103"/>
        <v>UND</v>
      </c>
      <c r="K1314" s="436">
        <v>0.25</v>
      </c>
      <c r="L1314" s="1134">
        <f t="shared" si="104"/>
        <v>2875</v>
      </c>
      <c r="M1314" s="941"/>
      <c r="N1314" s="430">
        <f t="shared" si="105"/>
        <v>718.75</v>
      </c>
      <c r="O1314" s="362"/>
    </row>
    <row r="1315" spans="1:15" ht="15.75" customHeight="1">
      <c r="A1315" s="395">
        <f t="array" ref="A1315">IF(C1315&lt;&gt;0,INDEX(CodMat,MATCH(C1315,Materiales,0),),)</f>
        <v>0</v>
      </c>
      <c r="B1315" s="399"/>
      <c r="C1315" s="1128"/>
      <c r="D1315" s="940"/>
      <c r="E1315" s="940"/>
      <c r="F1315" s="940"/>
      <c r="G1315" s="940"/>
      <c r="H1315" s="940"/>
      <c r="I1315" s="941"/>
      <c r="J1315" s="435" t="str">
        <f t="shared" si="103"/>
        <v/>
      </c>
      <c r="K1315" s="436"/>
      <c r="L1315" s="1134" t="str">
        <f t="shared" si="104"/>
        <v/>
      </c>
      <c r="M1315" s="941"/>
      <c r="N1315" s="430" t="str">
        <f t="shared" si="105"/>
        <v/>
      </c>
      <c r="O1315" s="362"/>
    </row>
    <row r="1316" spans="1:15" ht="15.75" customHeight="1">
      <c r="A1316" s="395">
        <f t="array" ref="A1316">IF(C1316&lt;&gt;0,INDEX(CodMat,MATCH(C1316,Materiales,0),),)</f>
        <v>0</v>
      </c>
      <c r="B1316" s="399"/>
      <c r="C1316" s="1128"/>
      <c r="D1316" s="940"/>
      <c r="E1316" s="940"/>
      <c r="F1316" s="940"/>
      <c r="G1316" s="940"/>
      <c r="H1316" s="940"/>
      <c r="I1316" s="941"/>
      <c r="J1316" s="435" t="str">
        <f t="shared" si="103"/>
        <v/>
      </c>
      <c r="K1316" s="436"/>
      <c r="L1316" s="1134" t="str">
        <f t="shared" si="104"/>
        <v/>
      </c>
      <c r="M1316" s="941"/>
      <c r="N1316" s="430" t="str">
        <f t="shared" si="105"/>
        <v/>
      </c>
      <c r="O1316" s="362"/>
    </row>
    <row r="1317" spans="1:15" ht="15.75" customHeight="1">
      <c r="A1317" s="395">
        <f t="array" ref="A1317">IF(C1317&lt;&gt;0,INDEX(CodMat,MATCH(C1317,Materiales,0),),)</f>
        <v>0</v>
      </c>
      <c r="B1317" s="399"/>
      <c r="C1317" s="1128"/>
      <c r="D1317" s="940"/>
      <c r="E1317" s="940"/>
      <c r="F1317" s="940"/>
      <c r="G1317" s="940"/>
      <c r="H1317" s="940"/>
      <c r="I1317" s="941"/>
      <c r="J1317" s="435" t="str">
        <f t="shared" si="103"/>
        <v/>
      </c>
      <c r="K1317" s="436"/>
      <c r="L1317" s="1205" t="str">
        <f t="shared" si="104"/>
        <v/>
      </c>
      <c r="M1317" s="1145"/>
      <c r="N1317" s="430" t="str">
        <f t="shared" si="105"/>
        <v/>
      </c>
      <c r="O1317" s="362"/>
    </row>
    <row r="1318" spans="1:15" ht="15.75" customHeight="1">
      <c r="A1318" s="395"/>
      <c r="B1318" s="399"/>
      <c r="C1318" s="1127" t="s">
        <v>1202</v>
      </c>
      <c r="D1318" s="965"/>
      <c r="E1318" s="965"/>
      <c r="F1318" s="965"/>
      <c r="G1318" s="965"/>
      <c r="H1318" s="965"/>
      <c r="I1318" s="965"/>
      <c r="J1318" s="965"/>
      <c r="K1318" s="965"/>
      <c r="L1318" s="965"/>
      <c r="M1318" s="966"/>
      <c r="N1318" s="433">
        <f>+SUM(N1310:N1317)</f>
        <v>31658.75</v>
      </c>
      <c r="O1318" s="362"/>
    </row>
    <row r="1319" spans="1:15" ht="15.75" customHeight="1">
      <c r="A1319" s="395"/>
      <c r="B1319" s="399"/>
      <c r="C1319" s="1129" t="s">
        <v>1208</v>
      </c>
      <c r="D1319" s="926"/>
      <c r="E1319" s="926"/>
      <c r="F1319" s="926"/>
      <c r="G1319" s="926"/>
      <c r="H1319" s="926"/>
      <c r="I1319" s="926"/>
      <c r="J1319" s="926"/>
      <c r="K1319" s="926"/>
      <c r="L1319" s="926"/>
      <c r="M1319" s="926"/>
      <c r="N1319" s="927"/>
      <c r="O1319" s="362"/>
    </row>
    <row r="1320" spans="1:15" ht="15.75" customHeight="1">
      <c r="A1320" s="395"/>
      <c r="B1320" s="399"/>
      <c r="C1320" s="920"/>
      <c r="D1320" s="922"/>
      <c r="E1320" s="922"/>
      <c r="F1320" s="922"/>
      <c r="G1320" s="922"/>
      <c r="H1320" s="922"/>
      <c r="I1320" s="922"/>
      <c r="J1320" s="922"/>
      <c r="K1320" s="922"/>
      <c r="L1320" s="922"/>
      <c r="M1320" s="922"/>
      <c r="N1320" s="924"/>
      <c r="O1320" s="362"/>
    </row>
    <row r="1321" spans="1:15" ht="15.75" customHeight="1">
      <c r="A1321" s="395"/>
      <c r="B1321" s="399"/>
      <c r="C1321" s="929"/>
      <c r="D1321" s="936"/>
      <c r="E1321" s="936"/>
      <c r="F1321" s="936"/>
      <c r="G1321" s="936"/>
      <c r="H1321" s="936"/>
      <c r="I1321" s="936"/>
      <c r="J1321" s="936"/>
      <c r="K1321" s="936"/>
      <c r="L1321" s="936"/>
      <c r="M1321" s="936"/>
      <c r="N1321" s="938"/>
      <c r="O1321" s="362"/>
    </row>
    <row r="1322" spans="1:15" ht="15.75" customHeight="1">
      <c r="A1322" s="395"/>
      <c r="B1322" s="399"/>
      <c r="C1322" s="1201" t="s">
        <v>1209</v>
      </c>
      <c r="D1322" s="1131"/>
      <c r="E1322" s="1131"/>
      <c r="F1322" s="1131"/>
      <c r="G1322" s="1131"/>
      <c r="H1322" s="1000"/>
      <c r="I1322" s="670" t="s">
        <v>1210</v>
      </c>
      <c r="J1322" s="674" t="s">
        <v>1211</v>
      </c>
      <c r="K1322" s="675" t="s">
        <v>2318</v>
      </c>
      <c r="L1322" s="1204" t="s">
        <v>1213</v>
      </c>
      <c r="M1322" s="1000"/>
      <c r="N1322" s="671" t="s">
        <v>1200</v>
      </c>
      <c r="O1322" s="362"/>
    </row>
    <row r="1323" spans="1:15" ht="15.75" customHeight="1">
      <c r="A1323" s="395">
        <f t="array" ref="A1323">IF(C1323&lt;&gt;0,INDEX(CodTransporte,MATCH(C1323,Transporte,0),),)</f>
        <v>0</v>
      </c>
      <c r="B1323" s="399"/>
      <c r="C1323" s="1128"/>
      <c r="D1323" s="940"/>
      <c r="E1323" s="940"/>
      <c r="F1323" s="940"/>
      <c r="G1323" s="940"/>
      <c r="H1323" s="940"/>
      <c r="I1323" s="440"/>
      <c r="J1323" s="441" t="str">
        <f>IF($A1323&gt;0,(VLOOKUP($A1323,TablaTransporte,6,FALSE)),"")</f>
        <v/>
      </c>
      <c r="K1323" s="442" t="str">
        <f>IF($A1323&gt;0,(VLOOKUP($A1323,TablaTransporte,5,FALSE)),"")</f>
        <v/>
      </c>
      <c r="L1323" s="1134" t="str">
        <f>IF($A1323&gt;0,(VLOOKUP($A1323,TablaTransporte,7,FALSE)),"")</f>
        <v/>
      </c>
      <c r="M1323" s="941"/>
      <c r="N1323" s="430" t="str">
        <f t="shared" ref="N1323:N1327" si="106">IF(I1323&gt;0,J1323*L1323*I1323,"")</f>
        <v/>
      </c>
      <c r="O1323" s="362"/>
    </row>
    <row r="1324" spans="1:15" ht="15.75" customHeight="1">
      <c r="A1324" s="395">
        <f t="array" ref="A1324">IF(C1324&lt;&gt;0,INDEX(CodTransporte,MATCH(C1324,Transporte,0),),)</f>
        <v>0</v>
      </c>
      <c r="B1324" s="399"/>
      <c r="C1324" s="1128"/>
      <c r="D1324" s="940"/>
      <c r="E1324" s="940"/>
      <c r="F1324" s="940"/>
      <c r="G1324" s="940"/>
      <c r="H1324" s="940"/>
      <c r="I1324" s="440"/>
      <c r="J1324" s="441" t="str">
        <f>IF($A1324&gt;0,(VLOOKUP($A1324,TablaTransporte,6,FALSE)),"")</f>
        <v/>
      </c>
      <c r="K1324" s="442" t="str">
        <f>IF($A1324&gt;0,(VLOOKUP($A1324,TablaTransporte,5,FALSE)),"")</f>
        <v/>
      </c>
      <c r="L1324" s="1134" t="str">
        <f>IF($A1324&gt;0,(VLOOKUP($A1324,TablaTransporte,7,FALSE)),"")</f>
        <v/>
      </c>
      <c r="M1324" s="941"/>
      <c r="N1324" s="430" t="str">
        <f t="shared" si="106"/>
        <v/>
      </c>
      <c r="O1324" s="362"/>
    </row>
    <row r="1325" spans="1:15" ht="15.75" customHeight="1">
      <c r="A1325" s="395">
        <f t="array" ref="A1325">IF(C1325&lt;&gt;0,INDEX(CodTransporte,MATCH(C1325,Transporte,0),),)</f>
        <v>0</v>
      </c>
      <c r="B1325" s="399"/>
      <c r="C1325" s="1128"/>
      <c r="D1325" s="940"/>
      <c r="E1325" s="940"/>
      <c r="F1325" s="940"/>
      <c r="G1325" s="940"/>
      <c r="H1325" s="940"/>
      <c r="I1325" s="440"/>
      <c r="J1325" s="441" t="str">
        <f>IF($A1325&gt;0,(VLOOKUP($A1325,TablaTransporte,6,FALSE)),"")</f>
        <v/>
      </c>
      <c r="K1325" s="442" t="str">
        <f>IF($A1325&gt;0,(VLOOKUP($A1325,TablaTransporte,5,FALSE)),"")</f>
        <v/>
      </c>
      <c r="L1325" s="1134" t="str">
        <f>IF($A1325&gt;0,(VLOOKUP($A1325,TablaTransporte,7,FALSE)),"")</f>
        <v/>
      </c>
      <c r="M1325" s="941"/>
      <c r="N1325" s="430" t="str">
        <f t="shared" si="106"/>
        <v/>
      </c>
      <c r="O1325" s="362"/>
    </row>
    <row r="1326" spans="1:15" ht="15.75" customHeight="1">
      <c r="A1326" s="395">
        <f t="array" ref="A1326">IF(C1326&lt;&gt;0,INDEX(CodTransporte,MATCH(C1326,Transporte,0),),)</f>
        <v>0</v>
      </c>
      <c r="B1326" s="399"/>
      <c r="C1326" s="1128"/>
      <c r="D1326" s="940"/>
      <c r="E1326" s="940"/>
      <c r="F1326" s="940"/>
      <c r="G1326" s="940"/>
      <c r="H1326" s="940"/>
      <c r="I1326" s="440"/>
      <c r="J1326" s="441" t="str">
        <f>IF($A1326&gt;0,(VLOOKUP($A1326,TablaTransporte,6,FALSE)),"")</f>
        <v/>
      </c>
      <c r="K1326" s="442" t="str">
        <f>IF($A1326&gt;0,(VLOOKUP($A1326,TablaTransporte,5,FALSE)),"")</f>
        <v/>
      </c>
      <c r="L1326" s="1134" t="str">
        <f>IF($A1326&gt;0,(VLOOKUP($A1326,TablaTransporte,7,FALSE)),"")</f>
        <v/>
      </c>
      <c r="M1326" s="941"/>
      <c r="N1326" s="430" t="str">
        <f t="shared" si="106"/>
        <v/>
      </c>
      <c r="O1326" s="362"/>
    </row>
    <row r="1327" spans="1:15" ht="15.75" customHeight="1">
      <c r="A1327" s="395">
        <f t="array" ref="A1327">IF(C1327&lt;&gt;0,INDEX(CodTransporte,MATCH(C1327,Transporte,0),),)</f>
        <v>0</v>
      </c>
      <c r="B1327" s="399"/>
      <c r="C1327" s="1128"/>
      <c r="D1327" s="940"/>
      <c r="E1327" s="940"/>
      <c r="F1327" s="940"/>
      <c r="G1327" s="940"/>
      <c r="H1327" s="940"/>
      <c r="I1327" s="440"/>
      <c r="J1327" s="441" t="str">
        <f>IF($A1327&gt;0,(VLOOKUP($A1327,TablaTransporte,6,FALSE)),"")</f>
        <v/>
      </c>
      <c r="K1327" s="442" t="str">
        <f>IF($A1327&gt;0,(VLOOKUP($A1327,TablaTransporte,5,FALSE)),"")</f>
        <v/>
      </c>
      <c r="L1327" s="1205" t="str">
        <f>IF($A1327&gt;0,(VLOOKUP($A1327,TablaTransporte,7,FALSE)),"")</f>
        <v/>
      </c>
      <c r="M1327" s="1145"/>
      <c r="N1327" s="430" t="str">
        <f t="shared" si="106"/>
        <v/>
      </c>
      <c r="O1327" s="362"/>
    </row>
    <row r="1328" spans="1:15" ht="15.75" customHeight="1">
      <c r="A1328" s="395"/>
      <c r="B1328" s="399"/>
      <c r="C1328" s="1127" t="s">
        <v>1202</v>
      </c>
      <c r="D1328" s="965"/>
      <c r="E1328" s="965"/>
      <c r="F1328" s="965"/>
      <c r="G1328" s="965"/>
      <c r="H1328" s="965"/>
      <c r="I1328" s="965"/>
      <c r="J1328" s="965"/>
      <c r="K1328" s="965"/>
      <c r="L1328" s="965"/>
      <c r="M1328" s="966"/>
      <c r="N1328" s="433">
        <f>+SUM(N1323:N1327)</f>
        <v>0</v>
      </c>
      <c r="O1328" s="362"/>
    </row>
    <row r="1329" spans="1:18" ht="15.75" customHeight="1">
      <c r="A1329" s="395"/>
      <c r="B1329" s="399"/>
      <c r="C1329" s="1129" t="s">
        <v>1214</v>
      </c>
      <c r="D1329" s="926"/>
      <c r="E1329" s="926"/>
      <c r="F1329" s="926"/>
      <c r="G1329" s="926"/>
      <c r="H1329" s="926"/>
      <c r="I1329" s="926"/>
      <c r="J1329" s="926"/>
      <c r="K1329" s="926"/>
      <c r="L1329" s="926"/>
      <c r="M1329" s="926"/>
      <c r="N1329" s="927"/>
      <c r="O1329" s="362"/>
    </row>
    <row r="1330" spans="1:18" ht="15.75" customHeight="1">
      <c r="A1330" s="395"/>
      <c r="B1330" s="399"/>
      <c r="C1330" s="920"/>
      <c r="D1330" s="922"/>
      <c r="E1330" s="922"/>
      <c r="F1330" s="922"/>
      <c r="G1330" s="922"/>
      <c r="H1330" s="922"/>
      <c r="I1330" s="922"/>
      <c r="J1330" s="922"/>
      <c r="K1330" s="922"/>
      <c r="L1330" s="922"/>
      <c r="M1330" s="922"/>
      <c r="N1330" s="924"/>
      <c r="O1330" s="362"/>
    </row>
    <row r="1331" spans="1:18" ht="15.75" customHeight="1">
      <c r="A1331" s="395"/>
      <c r="B1331" s="399"/>
      <c r="C1331" s="929"/>
      <c r="D1331" s="936"/>
      <c r="E1331" s="936"/>
      <c r="F1331" s="936"/>
      <c r="G1331" s="936"/>
      <c r="H1331" s="936"/>
      <c r="I1331" s="936"/>
      <c r="J1331" s="936"/>
      <c r="K1331" s="936"/>
      <c r="L1331" s="936"/>
      <c r="M1331" s="936"/>
      <c r="N1331" s="938"/>
      <c r="O1331" s="362"/>
    </row>
    <row r="1332" spans="1:18" ht="15.75" customHeight="1">
      <c r="A1332" s="395"/>
      <c r="B1332" s="399"/>
      <c r="C1332" s="1201" t="s">
        <v>1215</v>
      </c>
      <c r="D1332" s="1131"/>
      <c r="E1332" s="1131"/>
      <c r="F1332" s="1131"/>
      <c r="G1332" s="1131"/>
      <c r="H1332" s="1000"/>
      <c r="I1332" s="670" t="s">
        <v>1216</v>
      </c>
      <c r="J1332" s="676" t="s">
        <v>1217</v>
      </c>
      <c r="K1332" s="677" t="s">
        <v>1218</v>
      </c>
      <c r="L1332" s="1206" t="s">
        <v>1199</v>
      </c>
      <c r="M1332" s="1000"/>
      <c r="N1332" s="678" t="s">
        <v>1200</v>
      </c>
      <c r="O1332" s="362"/>
    </row>
    <row r="1333" spans="1:18" ht="15.75" customHeight="1">
      <c r="A1333" s="395" t="str">
        <f t="array" ref="A1333">IF(C1333&lt;&gt;0,INDEX(CodMO,MATCH(C1333,MO,0),),)</f>
        <v>M.O-05</v>
      </c>
      <c r="B1333" s="399"/>
      <c r="C1333" s="1128" t="s">
        <v>139</v>
      </c>
      <c r="D1333" s="940"/>
      <c r="E1333" s="940"/>
      <c r="F1333" s="940"/>
      <c r="G1333" s="940"/>
      <c r="H1333" s="940"/>
      <c r="I1333" s="447">
        <f>IF($A1333&gt;0,(VLOOKUP($A1333,TablaMO,8,FALSE)),"")</f>
        <v>125030.16666666667</v>
      </c>
      <c r="J1333" s="448">
        <f>IF($A1333&gt;0,(VLOOKUP($A1333,TablaMO,10,FALSE)),"")</f>
        <v>0.67071666666666663</v>
      </c>
      <c r="K1333" s="447">
        <f>IF($A1333&gt;0,(VLOOKUP($A1333,TablaMO,11,FALSE)),"")</f>
        <v>208890</v>
      </c>
      <c r="L1333" s="1146">
        <v>11.271407350261754</v>
      </c>
      <c r="M1333" s="941"/>
      <c r="N1333" s="430">
        <f t="shared" ref="N1333:N1337" si="107">IF(L1333&gt;0,K1333/L1333,"")</f>
        <v>18532.734512088144</v>
      </c>
      <c r="O1333" s="362"/>
    </row>
    <row r="1334" spans="1:18" ht="15.75" customHeight="1">
      <c r="A1334" s="395" t="str">
        <f t="array" ref="A1334">IF(C1334&lt;&gt;0,INDEX(CodMO,MATCH(C1334,MO,0),),)</f>
        <v>M.O-01</v>
      </c>
      <c r="B1334" s="399"/>
      <c r="C1334" s="1128" t="s">
        <v>130</v>
      </c>
      <c r="D1334" s="940"/>
      <c r="E1334" s="940"/>
      <c r="F1334" s="940"/>
      <c r="G1334" s="940"/>
      <c r="H1334" s="940"/>
      <c r="I1334" s="447">
        <f>IF($A1334&gt;0,(VLOOKUP($A1334,TablaMO,8,FALSE)),"")</f>
        <v>72503.016666666677</v>
      </c>
      <c r="J1334" s="448">
        <f>IF($A1334&gt;0,(VLOOKUP($A1334,TablaMO,10,FALSE)),"")</f>
        <v>0.67071666666666663</v>
      </c>
      <c r="K1334" s="447">
        <f>IF($A1334&gt;0,(VLOOKUP($A1334,TablaMO,11,FALSE)),"")</f>
        <v>121132</v>
      </c>
      <c r="L1334" s="1146">
        <f>L1333</f>
        <v>11.271407350261754</v>
      </c>
      <c r="M1334" s="941"/>
      <c r="N1334" s="430">
        <f t="shared" si="107"/>
        <v>10746.838991422574</v>
      </c>
      <c r="O1334" s="362"/>
    </row>
    <row r="1335" spans="1:18" ht="15.75" customHeight="1">
      <c r="A1335" s="395">
        <f t="array" ref="A1335">IF(C1335&lt;&gt;0,INDEX(CodMO,MATCH(C1335,MO,0),),)</f>
        <v>0</v>
      </c>
      <c r="B1335" s="399"/>
      <c r="C1335" s="1128"/>
      <c r="D1335" s="940"/>
      <c r="E1335" s="940"/>
      <c r="F1335" s="940"/>
      <c r="G1335" s="940"/>
      <c r="H1335" s="940"/>
      <c r="I1335" s="447" t="str">
        <f>IF($A1335&gt;0,(VLOOKUP($A1335,TablaMO,8,FALSE)),"")</f>
        <v/>
      </c>
      <c r="J1335" s="448" t="str">
        <f>IF($A1335&gt;0,(VLOOKUP($A1335,TablaMO,10,FALSE)),"")</f>
        <v/>
      </c>
      <c r="K1335" s="447" t="str">
        <f>IF($A1335&gt;0,(VLOOKUP($A1335,TablaMO,11,FALSE)),"")</f>
        <v/>
      </c>
      <c r="L1335" s="1146"/>
      <c r="M1335" s="941"/>
      <c r="N1335" s="430" t="str">
        <f t="shared" si="107"/>
        <v/>
      </c>
      <c r="O1335" s="362"/>
    </row>
    <row r="1336" spans="1:18" ht="15.75" customHeight="1">
      <c r="A1336" s="395">
        <f t="array" ref="A1336">IF(C1336&lt;&gt;0,INDEX(CodMO,MATCH(C1336,MO,0),),)</f>
        <v>0</v>
      </c>
      <c r="B1336" s="399"/>
      <c r="C1336" s="1128"/>
      <c r="D1336" s="940"/>
      <c r="E1336" s="940"/>
      <c r="F1336" s="940"/>
      <c r="G1336" s="940"/>
      <c r="H1336" s="940"/>
      <c r="I1336" s="447" t="str">
        <f>IF($A1336&gt;0,(VLOOKUP($A1336,TablaMO,8,FALSE)),"")</f>
        <v/>
      </c>
      <c r="J1336" s="448" t="str">
        <f>IF($A1336&gt;0,(VLOOKUP($A1336,TablaMO,10,FALSE)),"")</f>
        <v/>
      </c>
      <c r="K1336" s="447" t="str">
        <f>IF($A1336&gt;0,(VLOOKUP($A1336,TablaMO,11,FALSE)),"")</f>
        <v/>
      </c>
      <c r="L1336" s="1146"/>
      <c r="M1336" s="941"/>
      <c r="N1336" s="430" t="str">
        <f t="shared" si="107"/>
        <v/>
      </c>
      <c r="O1336" s="362"/>
    </row>
    <row r="1337" spans="1:18" ht="15.75" customHeight="1">
      <c r="A1337" s="395">
        <f t="array" ref="A1337">IF(C1337&lt;&gt;0,INDEX(CodMO,MATCH(C1337,MO,0),),)</f>
        <v>0</v>
      </c>
      <c r="B1337" s="399"/>
      <c r="C1337" s="1128"/>
      <c r="D1337" s="940"/>
      <c r="E1337" s="940"/>
      <c r="F1337" s="940"/>
      <c r="G1337" s="940"/>
      <c r="H1337" s="940"/>
      <c r="I1337" s="447" t="str">
        <f>IF($A1337&gt;0,(VLOOKUP($A1337,TablaMO,8,FALSE)),"")</f>
        <v/>
      </c>
      <c r="J1337" s="448" t="str">
        <f>IF($A1337&gt;0,(VLOOKUP($A1337,TablaMO,10,FALSE)),"")</f>
        <v/>
      </c>
      <c r="K1337" s="447" t="str">
        <f>IF($A1337&gt;0,(VLOOKUP($A1337,TablaMO,11,FALSE)),"")</f>
        <v/>
      </c>
      <c r="L1337" s="1146"/>
      <c r="M1337" s="941"/>
      <c r="N1337" s="430" t="str">
        <f t="shared" si="107"/>
        <v/>
      </c>
      <c r="O1337" s="362"/>
    </row>
    <row r="1338" spans="1:18" ht="15.75" customHeight="1">
      <c r="A1338" s="395"/>
      <c r="B1338" s="399"/>
      <c r="C1338" s="1127" t="s">
        <v>1202</v>
      </c>
      <c r="D1338" s="965"/>
      <c r="E1338" s="965"/>
      <c r="F1338" s="965"/>
      <c r="G1338" s="965"/>
      <c r="H1338" s="965"/>
      <c r="I1338" s="965"/>
      <c r="J1338" s="965"/>
      <c r="K1338" s="965"/>
      <c r="L1338" s="965"/>
      <c r="M1338" s="966"/>
      <c r="N1338" s="433">
        <f>+SUM(N1333:N1337)</f>
        <v>29279.573503510717</v>
      </c>
      <c r="O1338" s="362"/>
    </row>
    <row r="1339" spans="1:18" ht="15.75" customHeight="1">
      <c r="B1339" s="679"/>
      <c r="O1339" s="362"/>
    </row>
    <row r="1340" spans="1:18" ht="15.75" customHeight="1">
      <c r="B1340" s="679"/>
      <c r="C1340" s="1198" t="s">
        <v>1219</v>
      </c>
      <c r="D1340" s="965"/>
      <c r="E1340" s="965"/>
      <c r="F1340" s="965"/>
      <c r="G1340" s="965"/>
      <c r="H1340" s="965"/>
      <c r="I1340" s="965"/>
      <c r="J1340" s="965"/>
      <c r="K1340" s="965"/>
      <c r="L1340" s="965"/>
      <c r="M1340" s="966"/>
      <c r="N1340" s="680">
        <f>ROUND(SUM(N1338,N1328,N1318,N1305),0)</f>
        <v>62695</v>
      </c>
      <c r="O1340" s="362"/>
      <c r="Q1340" s="681">
        <f>VLOOKUP(C1294,PROPUESTASASERCO,8,FALSE)</f>
        <v>62695</v>
      </c>
      <c r="R1340" s="682">
        <f>Q1340-N1340</f>
        <v>0</v>
      </c>
    </row>
    <row r="1341" spans="1:18" ht="15.75" customHeight="1">
      <c r="B1341" s="679"/>
      <c r="C1341" s="1129" t="s">
        <v>1220</v>
      </c>
      <c r="D1341" s="926"/>
      <c r="E1341" s="926"/>
      <c r="F1341" s="926"/>
      <c r="G1341" s="926"/>
      <c r="H1341" s="926"/>
      <c r="I1341" s="926"/>
      <c r="J1341" s="926"/>
      <c r="K1341" s="926"/>
      <c r="L1341" s="926"/>
      <c r="M1341" s="926"/>
      <c r="N1341" s="927"/>
      <c r="O1341" s="362"/>
    </row>
    <row r="1342" spans="1:18" ht="15.75" customHeight="1">
      <c r="B1342" s="679"/>
      <c r="C1342" s="920"/>
      <c r="D1342" s="922"/>
      <c r="E1342" s="922"/>
      <c r="F1342" s="922"/>
      <c r="G1342" s="922"/>
      <c r="H1342" s="922"/>
      <c r="I1342" s="922"/>
      <c r="J1342" s="922"/>
      <c r="K1342" s="922"/>
      <c r="L1342" s="922"/>
      <c r="M1342" s="922"/>
      <c r="N1342" s="924"/>
      <c r="O1342" s="362"/>
    </row>
    <row r="1343" spans="1:18" ht="15.75" customHeight="1">
      <c r="B1343" s="679"/>
      <c r="C1343" s="929"/>
      <c r="D1343" s="936"/>
      <c r="E1343" s="936"/>
      <c r="F1343" s="936"/>
      <c r="G1343" s="936"/>
      <c r="H1343" s="936"/>
      <c r="I1343" s="936"/>
      <c r="J1343" s="936"/>
      <c r="K1343" s="936"/>
      <c r="L1343" s="936"/>
      <c r="M1343" s="936"/>
      <c r="N1343" s="938"/>
      <c r="O1343" s="362"/>
    </row>
    <row r="1344" spans="1:18" ht="15.75" customHeight="1">
      <c r="B1344" s="679"/>
      <c r="C1344" s="1201" t="s">
        <v>1221</v>
      </c>
      <c r="D1344" s="1131"/>
      <c r="E1344" s="1131"/>
      <c r="F1344" s="1131"/>
      <c r="G1344" s="1131"/>
      <c r="H1344" s="1132"/>
      <c r="I1344" s="674"/>
      <c r="J1344" s="674"/>
      <c r="K1344" s="674"/>
      <c r="L1344" s="1206" t="s">
        <v>1222</v>
      </c>
      <c r="M1344" s="1000"/>
      <c r="N1344" s="678" t="s">
        <v>1223</v>
      </c>
      <c r="O1344" s="362"/>
    </row>
    <row r="1345" spans="2:15" ht="15.75" customHeight="1">
      <c r="B1345" s="679"/>
      <c r="C1345" s="1128" t="s">
        <v>19</v>
      </c>
      <c r="D1345" s="940"/>
      <c r="E1345" s="940"/>
      <c r="F1345" s="940"/>
      <c r="G1345" s="940"/>
      <c r="H1345" s="940"/>
      <c r="I1345" s="452"/>
      <c r="J1345" s="452"/>
      <c r="K1345" s="452"/>
      <c r="L1345" s="1148">
        <f>+Datos!$E$18</f>
        <v>0.25</v>
      </c>
      <c r="M1345" s="941"/>
      <c r="N1345" s="430">
        <f>+L1345*N1340</f>
        <v>15673.75</v>
      </c>
      <c r="O1345" s="362"/>
    </row>
    <row r="1346" spans="2:15" ht="15.75" customHeight="1">
      <c r="B1346" s="679"/>
      <c r="C1346" s="454" t="s">
        <v>20</v>
      </c>
      <c r="D1346" s="455"/>
      <c r="E1346" s="455"/>
      <c r="F1346" s="455"/>
      <c r="G1346" s="455"/>
      <c r="H1346" s="455"/>
      <c r="I1346" s="452"/>
      <c r="J1346" s="452"/>
      <c r="K1346" s="452"/>
      <c r="L1346" s="1148">
        <f>+Datos!$E$19</f>
        <v>0.01</v>
      </c>
      <c r="M1346" s="941"/>
      <c r="N1346" s="430">
        <f>+L1346*N1340</f>
        <v>626.95000000000005</v>
      </c>
      <c r="O1346" s="362"/>
    </row>
    <row r="1347" spans="2:15" ht="15.75" customHeight="1">
      <c r="B1347" s="679"/>
      <c r="C1347" s="456" t="s">
        <v>21</v>
      </c>
      <c r="D1347" s="457"/>
      <c r="E1347" s="457"/>
      <c r="F1347" s="457"/>
      <c r="G1347" s="457"/>
      <c r="H1347" s="457"/>
      <c r="I1347" s="458"/>
      <c r="J1347" s="458"/>
      <c r="K1347" s="458"/>
      <c r="L1347" s="1148">
        <f>+Datos!$E$20</f>
        <v>0.05</v>
      </c>
      <c r="M1347" s="941"/>
      <c r="N1347" s="430">
        <f>+L1347*N1340</f>
        <v>3134.75</v>
      </c>
      <c r="O1347" s="362"/>
    </row>
    <row r="1348" spans="2:15" ht="15.75" customHeight="1">
      <c r="B1348" s="679"/>
      <c r="C1348" s="1127" t="s">
        <v>1202</v>
      </c>
      <c r="D1348" s="965"/>
      <c r="E1348" s="965"/>
      <c r="F1348" s="965"/>
      <c r="G1348" s="965"/>
      <c r="H1348" s="965"/>
      <c r="I1348" s="965"/>
      <c r="J1348" s="965"/>
      <c r="K1348" s="965"/>
      <c r="L1348" s="965"/>
      <c r="M1348" s="966"/>
      <c r="N1348" s="433">
        <f>+SUM(N1345:N1347)</f>
        <v>19435.45</v>
      </c>
      <c r="O1348" s="362"/>
    </row>
    <row r="1349" spans="2:15" ht="15.75" customHeight="1">
      <c r="B1349" s="679"/>
      <c r="C1349" s="418"/>
      <c r="D1349" s="39"/>
      <c r="E1349" s="39"/>
      <c r="F1349" s="39"/>
      <c r="G1349" s="39"/>
      <c r="H1349" s="39"/>
      <c r="I1349" s="39"/>
      <c r="J1349" s="39"/>
      <c r="K1349" s="39"/>
      <c r="L1349" s="39"/>
      <c r="M1349" s="39"/>
      <c r="N1349" s="40"/>
      <c r="O1349" s="362"/>
    </row>
    <row r="1350" spans="2:15" ht="15.75" customHeight="1">
      <c r="B1350" s="679"/>
      <c r="C1350" s="1198" t="s">
        <v>1224</v>
      </c>
      <c r="D1350" s="965"/>
      <c r="E1350" s="965"/>
      <c r="F1350" s="965"/>
      <c r="G1350" s="965"/>
      <c r="H1350" s="965"/>
      <c r="I1350" s="965"/>
      <c r="J1350" s="965"/>
      <c r="K1350" s="965"/>
      <c r="L1350" s="965"/>
      <c r="M1350" s="966"/>
      <c r="N1350" s="683">
        <f>+ROUND(SUM(N1348,N1340),0)</f>
        <v>82130</v>
      </c>
      <c r="O1350" s="362"/>
    </row>
    <row r="1351" spans="2:15" ht="15.75" customHeight="1">
      <c r="B1351" s="679"/>
      <c r="C1351" s="418"/>
      <c r="D1351" s="39" t="s">
        <v>1225</v>
      </c>
      <c r="E1351" s="39"/>
      <c r="F1351" s="39"/>
      <c r="G1351" s="184"/>
      <c r="H1351" s="184"/>
      <c r="I1351" s="184"/>
      <c r="J1351" s="39" t="s">
        <v>1225</v>
      </c>
      <c r="K1351" s="39"/>
      <c r="L1351" s="39"/>
      <c r="M1351" s="39"/>
      <c r="N1351" s="40"/>
      <c r="O1351" s="362"/>
    </row>
    <row r="1352" spans="2:15" ht="15.75" customHeight="1">
      <c r="B1352" s="679"/>
      <c r="C1352" s="418"/>
      <c r="D1352" s="39" t="s">
        <v>1226</v>
      </c>
      <c r="E1352" s="39"/>
      <c r="F1352" s="39"/>
      <c r="G1352" s="184"/>
      <c r="H1352" s="184"/>
      <c r="I1352" s="184"/>
      <c r="J1352" s="39" t="s">
        <v>1227</v>
      </c>
      <c r="K1352" s="39"/>
      <c r="L1352" s="39"/>
      <c r="M1352" s="39"/>
      <c r="N1352" s="40"/>
      <c r="O1352" s="362"/>
    </row>
    <row r="1353" spans="2:15" ht="15.75" customHeight="1">
      <c r="B1353" s="679"/>
      <c r="C1353" s="404"/>
      <c r="D1353" s="39" t="s">
        <v>1228</v>
      </c>
      <c r="E1353" s="42"/>
      <c r="F1353" s="42"/>
      <c r="G1353" s="184"/>
      <c r="H1353" s="184"/>
      <c r="I1353" s="184"/>
      <c r="J1353" s="39" t="s">
        <v>1228</v>
      </c>
      <c r="K1353" s="42"/>
      <c r="L1353" s="42"/>
      <c r="M1353" s="42"/>
      <c r="N1353" s="43"/>
      <c r="O1353" s="362"/>
    </row>
    <row r="1354" spans="2:15" ht="15.75" customHeight="1">
      <c r="B1354" s="679"/>
      <c r="C1354" s="418"/>
      <c r="D1354" s="39"/>
      <c r="E1354" s="39"/>
      <c r="F1354" s="39"/>
      <c r="G1354" s="39" t="s">
        <v>1229</v>
      </c>
      <c r="H1354" s="39"/>
      <c r="I1354" s="39"/>
      <c r="J1354" s="39"/>
      <c r="K1354" s="39"/>
      <c r="L1354" s="39"/>
      <c r="M1354" s="39"/>
      <c r="N1354" s="40"/>
      <c r="O1354" s="362"/>
    </row>
    <row r="1355" spans="2:15" ht="15.75" customHeight="1">
      <c r="B1355" s="679"/>
      <c r="C1355" s="466"/>
      <c r="D1355" s="467"/>
      <c r="E1355" s="467"/>
      <c r="F1355" s="39"/>
      <c r="G1355" s="39"/>
      <c r="H1355" s="39"/>
      <c r="I1355" s="39"/>
      <c r="J1355" s="1149"/>
      <c r="K1355" s="922"/>
      <c r="L1355" s="922"/>
      <c r="M1355" s="922"/>
      <c r="N1355" s="924"/>
      <c r="O1355" s="362"/>
    </row>
    <row r="1356" spans="2:15" ht="15.75" customHeight="1">
      <c r="B1356" s="679"/>
      <c r="C1356" s="1150"/>
      <c r="D1356" s="936"/>
      <c r="E1356" s="936"/>
      <c r="F1356" s="416"/>
      <c r="G1356" s="416"/>
      <c r="H1356" s="416"/>
      <c r="I1356" s="416"/>
      <c r="J1356" s="936"/>
      <c r="K1356" s="936"/>
      <c r="L1356" s="936"/>
      <c r="M1356" s="936"/>
      <c r="N1356" s="938"/>
      <c r="O1356" s="362"/>
    </row>
    <row r="1357" spans="2:15" ht="15.75" customHeight="1">
      <c r="B1357" s="684"/>
      <c r="C1357" s="685"/>
      <c r="D1357" s="685"/>
      <c r="E1357" s="685"/>
      <c r="F1357" s="685"/>
      <c r="G1357" s="685"/>
      <c r="H1357" s="685"/>
      <c r="I1357" s="685"/>
      <c r="J1357" s="685"/>
      <c r="K1357" s="685"/>
      <c r="L1357" s="685"/>
      <c r="M1357" s="685"/>
      <c r="N1357" s="685"/>
      <c r="O1357" s="686"/>
    </row>
    <row r="1358" spans="2:15" ht="15.75" customHeight="1"/>
    <row r="1359" spans="2:15" ht="15.75" customHeight="1"/>
    <row r="1360" spans="2:15" ht="15.75" customHeight="1"/>
    <row r="1361" spans="1:15" ht="15.75" customHeight="1"/>
    <row r="1362" spans="1:15" ht="15.75" customHeight="1">
      <c r="A1362" s="395" t="s">
        <v>941</v>
      </c>
      <c r="B1362" s="184"/>
      <c r="C1362" s="184"/>
      <c r="D1362" s="184"/>
      <c r="E1362" s="184"/>
      <c r="F1362" s="184"/>
      <c r="G1362" s="184"/>
      <c r="H1362" s="184"/>
      <c r="I1362" s="184"/>
      <c r="J1362" s="184"/>
      <c r="K1362" s="184"/>
      <c r="L1362" s="184"/>
      <c r="M1362" s="184"/>
      <c r="N1362" s="184"/>
    </row>
    <row r="1363" spans="1:15" ht="15.75" customHeight="1">
      <c r="A1363" s="395"/>
      <c r="B1363" s="396"/>
      <c r="C1363" s="397"/>
      <c r="D1363" s="397"/>
      <c r="E1363" s="397"/>
      <c r="F1363" s="397"/>
      <c r="G1363" s="397"/>
      <c r="H1363" s="397"/>
      <c r="I1363" s="397"/>
      <c r="J1363" s="397"/>
      <c r="K1363" s="397"/>
      <c r="L1363" s="397"/>
      <c r="M1363" s="397"/>
      <c r="N1363" s="397"/>
      <c r="O1363" s="667"/>
    </row>
    <row r="1364" spans="1:15" ht="15.75" customHeight="1">
      <c r="A1364" s="395"/>
      <c r="B1364" s="399"/>
      <c r="C1364" s="1124"/>
      <c r="D1364" s="927"/>
      <c r="E1364" s="1207" t="str">
        <f>Datos!$C$9</f>
        <v>CONSEJO SUPERIOR  DE  JUDICATURA– DIRECCIÓN  EJECUTIVA  SECCIONAL  DE ADMINISTRACIÓN JUDICIAL DE BUCARAMANGA</v>
      </c>
      <c r="F1364" s="926"/>
      <c r="G1364" s="926"/>
      <c r="H1364" s="926"/>
      <c r="I1364" s="926"/>
      <c r="J1364" s="926"/>
      <c r="K1364" s="927"/>
      <c r="L1364" s="925" t="s">
        <v>1</v>
      </c>
      <c r="M1364" s="931"/>
      <c r="N1364" s="933">
        <v>1</v>
      </c>
      <c r="O1364" s="362"/>
    </row>
    <row r="1365" spans="1:15" ht="15.75" customHeight="1">
      <c r="A1365" s="395"/>
      <c r="B1365" s="399"/>
      <c r="C1365" s="920"/>
      <c r="D1365" s="924"/>
      <c r="E1365" s="920"/>
      <c r="F1365" s="922"/>
      <c r="G1365" s="922"/>
      <c r="H1365" s="922"/>
      <c r="I1365" s="922"/>
      <c r="J1365" s="922"/>
      <c r="K1365" s="924"/>
      <c r="L1365" s="920"/>
      <c r="M1365" s="932"/>
      <c r="N1365" s="934"/>
      <c r="O1365" s="362"/>
    </row>
    <row r="1366" spans="1:15" ht="15.75" customHeight="1">
      <c r="A1366" s="395"/>
      <c r="B1366" s="399"/>
      <c r="C1366" s="920"/>
      <c r="D1366" s="924"/>
      <c r="E1366" s="919" t="str">
        <f>Datos!$C$13</f>
        <v xml:space="preserve">BGA - 030 - 2026 </v>
      </c>
      <c r="F1366" s="922"/>
      <c r="G1366" s="922"/>
      <c r="H1366" s="922"/>
      <c r="I1366" s="922"/>
      <c r="J1366" s="922"/>
      <c r="K1366" s="922"/>
      <c r="L1366" s="925" t="s">
        <v>29</v>
      </c>
      <c r="M1366" s="926"/>
      <c r="N1366" s="927"/>
      <c r="O1366" s="362"/>
    </row>
    <row r="1367" spans="1:15" ht="15.75" customHeight="1">
      <c r="A1367" s="395"/>
      <c r="B1367" s="399"/>
      <c r="C1367" s="920"/>
      <c r="D1367" s="924"/>
      <c r="E136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367" s="922"/>
      <c r="G1367" s="922"/>
      <c r="H1367" s="922"/>
      <c r="I1367" s="922"/>
      <c r="J1367" s="922"/>
      <c r="K1367" s="924"/>
      <c r="L1367" s="919">
        <v>1</v>
      </c>
      <c r="M1367" s="921" t="s">
        <v>30</v>
      </c>
      <c r="N1367" s="923">
        <v>1</v>
      </c>
      <c r="O1367" s="362"/>
    </row>
    <row r="1368" spans="1:15" ht="15.75" customHeight="1">
      <c r="A1368" s="395"/>
      <c r="B1368" s="399"/>
      <c r="C1368" s="920"/>
      <c r="D1368" s="924"/>
      <c r="E1368" s="920"/>
      <c r="F1368" s="922"/>
      <c r="G1368" s="922"/>
      <c r="H1368" s="922"/>
      <c r="I1368" s="922"/>
      <c r="J1368" s="922"/>
      <c r="K1368" s="924"/>
      <c r="L1368" s="920"/>
      <c r="M1368" s="922"/>
      <c r="N1368" s="924"/>
      <c r="O1368" s="362"/>
    </row>
    <row r="1369" spans="1:15" ht="15.75" customHeight="1">
      <c r="A1369" s="395"/>
      <c r="B1369" s="399"/>
      <c r="C1369" s="920"/>
      <c r="D1369" s="924"/>
      <c r="E1369" s="920"/>
      <c r="F1369" s="922"/>
      <c r="G1369" s="922"/>
      <c r="H1369" s="922"/>
      <c r="I1369" s="922"/>
      <c r="J1369" s="922"/>
      <c r="K1369" s="924"/>
      <c r="L1369" s="925" t="s">
        <v>2</v>
      </c>
      <c r="M1369" s="926"/>
      <c r="N1369" s="927"/>
      <c r="O1369" s="362"/>
    </row>
    <row r="1370" spans="1:15" ht="15.75" customHeight="1">
      <c r="A1370" s="395"/>
      <c r="B1370" s="399"/>
      <c r="C1370" s="920"/>
      <c r="D1370" s="924"/>
      <c r="E1370" s="407"/>
      <c r="F1370" s="216"/>
      <c r="G1370" s="216"/>
      <c r="H1370" s="216"/>
      <c r="I1370" s="216"/>
      <c r="J1370" s="216"/>
      <c r="K1370" s="216"/>
      <c r="L1370" s="408" t="s">
        <v>3</v>
      </c>
      <c r="M1370" s="409" t="s">
        <v>4</v>
      </c>
      <c r="N1370" s="410" t="s">
        <v>5</v>
      </c>
      <c r="O1370" s="362"/>
    </row>
    <row r="1371" spans="1:15" ht="15.75" customHeight="1">
      <c r="A1371" s="395"/>
      <c r="B1371" s="399"/>
      <c r="C1371" s="920"/>
      <c r="D1371" s="924"/>
      <c r="E1371" s="1125" t="s">
        <v>1186</v>
      </c>
      <c r="F1371" s="945"/>
      <c r="G1371" s="945"/>
      <c r="H1371" s="945"/>
      <c r="I1371" s="945"/>
      <c r="J1371" s="945"/>
      <c r="K1371" s="945"/>
      <c r="L1371" s="928">
        <f>Datos!$C$7</f>
        <v>19</v>
      </c>
      <c r="M1371" s="935">
        <f>Datos!$D$7</f>
        <v>6</v>
      </c>
      <c r="N1371" s="937">
        <f>Datos!$E$7</f>
        <v>2026</v>
      </c>
      <c r="O1371" s="362"/>
    </row>
    <row r="1372" spans="1:15" ht="15.75" customHeight="1">
      <c r="A1372" s="395"/>
      <c r="B1372" s="399"/>
      <c r="C1372" s="929"/>
      <c r="D1372" s="938"/>
      <c r="E1372" s="929"/>
      <c r="F1372" s="936"/>
      <c r="G1372" s="936"/>
      <c r="H1372" s="936"/>
      <c r="I1372" s="936"/>
      <c r="J1372" s="936"/>
      <c r="K1372" s="936"/>
      <c r="L1372" s="929"/>
      <c r="M1372" s="936"/>
      <c r="N1372" s="938"/>
      <c r="O1372" s="362"/>
    </row>
    <row r="1373" spans="1:15" ht="15.75" customHeight="1">
      <c r="A1373" s="395"/>
      <c r="B1373" s="399"/>
      <c r="C1373" s="404"/>
      <c r="D1373" s="38"/>
      <c r="E1373" s="38"/>
      <c r="F1373" s="38"/>
      <c r="G1373" s="38"/>
      <c r="H1373" s="38"/>
      <c r="I1373" s="38"/>
      <c r="J1373" s="38"/>
      <c r="K1373" s="38"/>
      <c r="L1373" s="39"/>
      <c r="M1373" s="39"/>
      <c r="N1373" s="40"/>
      <c r="O1373" s="362"/>
    </row>
    <row r="1374" spans="1:15" ht="15.75" customHeight="1">
      <c r="A1374" s="395"/>
      <c r="B1374" s="399"/>
      <c r="C1374" s="412" t="s">
        <v>1187</v>
      </c>
      <c r="D1374" s="1199" t="str">
        <f>VLOOKUP(C1379,ListaAct,2,0)</f>
        <v>OBRA CIVIL</v>
      </c>
      <c r="E1374" s="922"/>
      <c r="F1374" s="922"/>
      <c r="G1374" s="922"/>
      <c r="H1374" s="922"/>
      <c r="I1374" s="922"/>
      <c r="J1374" s="922"/>
      <c r="K1374" s="922"/>
      <c r="L1374" s="922"/>
      <c r="M1374" s="1"/>
      <c r="N1374" s="413"/>
      <c r="O1374" s="362"/>
    </row>
    <row r="1375" spans="1:15" ht="15.75" customHeight="1">
      <c r="A1375" s="395"/>
      <c r="B1375" s="399"/>
      <c r="C1375" s="412" t="s">
        <v>1189</v>
      </c>
      <c r="D1375" s="1199" t="str">
        <f>VLOOKUP(C1379,ListaAct,3,0)</f>
        <v>REFORZAMIENTO ESTRUCTURAL</v>
      </c>
      <c r="E1375" s="922"/>
      <c r="F1375" s="922"/>
      <c r="G1375" s="922"/>
      <c r="H1375" s="922"/>
      <c r="I1375" s="922"/>
      <c r="J1375" s="922"/>
      <c r="K1375" s="922"/>
      <c r="L1375" s="922"/>
      <c r="M1375" s="1"/>
      <c r="N1375" s="413"/>
      <c r="O1375" s="362"/>
    </row>
    <row r="1376" spans="1:15" ht="15.75" customHeight="1">
      <c r="A1376" s="395"/>
      <c r="B1376" s="399"/>
      <c r="C1376" s="925" t="s">
        <v>1191</v>
      </c>
      <c r="D1376" s="926"/>
      <c r="E1376" s="926"/>
      <c r="F1376" s="926"/>
      <c r="G1376" s="926"/>
      <c r="H1376" s="926"/>
      <c r="I1376" s="926"/>
      <c r="J1376" s="926"/>
      <c r="K1376" s="926"/>
      <c r="L1376" s="926"/>
      <c r="M1376" s="926"/>
      <c r="N1376" s="927"/>
      <c r="O1376" s="362"/>
    </row>
    <row r="1377" spans="1:15" ht="15.75" customHeight="1">
      <c r="A1377" s="395"/>
      <c r="B1377" s="399"/>
      <c r="C1377" s="418"/>
      <c r="D1377" s="39"/>
      <c r="E1377" s="39"/>
      <c r="F1377" s="39"/>
      <c r="G1377" s="39"/>
      <c r="H1377" s="39"/>
      <c r="I1377" s="39"/>
      <c r="J1377" s="39"/>
      <c r="K1377" s="39"/>
      <c r="L1377" s="39"/>
      <c r="M1377" s="39"/>
      <c r="N1377" s="40"/>
      <c r="O1377" s="362"/>
    </row>
    <row r="1378" spans="1:15" ht="15.75" customHeight="1">
      <c r="A1378" s="395"/>
      <c r="B1378" s="399"/>
      <c r="C1378" s="668" t="s">
        <v>965</v>
      </c>
      <c r="D1378" s="1200" t="s">
        <v>17</v>
      </c>
      <c r="E1378" s="1131"/>
      <c r="F1378" s="1131"/>
      <c r="G1378" s="1131"/>
      <c r="H1378" s="1131"/>
      <c r="I1378" s="1131"/>
      <c r="J1378" s="1131"/>
      <c r="K1378" s="1137"/>
      <c r="L1378" s="1201" t="s">
        <v>1192</v>
      </c>
      <c r="M1378" s="1137"/>
      <c r="N1378" s="668" t="s">
        <v>950</v>
      </c>
      <c r="O1378" s="362"/>
    </row>
    <row r="1379" spans="1:15" ht="15.75" customHeight="1">
      <c r="A1379" s="395"/>
      <c r="B1379" s="421"/>
      <c r="C1379" s="669" t="s">
        <v>1032</v>
      </c>
      <c r="D1379" s="1202" t="str">
        <f>IF($C1379&gt;0,(VLOOKUP($C1379,ListaAct,4,FALSE)),"")</f>
        <v xml:space="preserve">Platina metalica de 1/8" para vanos, según especificaciones. Incluye tornillos </v>
      </c>
      <c r="E1379" s="979"/>
      <c r="F1379" s="979"/>
      <c r="G1379" s="979"/>
      <c r="H1379" s="979"/>
      <c r="I1379" s="979"/>
      <c r="J1379" s="979"/>
      <c r="K1379" s="980"/>
      <c r="L1379" s="1203" t="str">
        <f>IF($C1379&gt;0,(VLOOKUP($C1379,ListaAct,5,FALSE)),"")</f>
        <v>und</v>
      </c>
      <c r="M1379" s="980"/>
      <c r="N1379" s="423">
        <f>IF($C1379&gt;0,(VLOOKUP($C1379,ListaAct,6,FALSE)),"")</f>
        <v>22</v>
      </c>
      <c r="O1379" s="362"/>
    </row>
    <row r="1380" spans="1:15" ht="15.75" customHeight="1">
      <c r="A1380" s="395"/>
      <c r="B1380" s="399"/>
      <c r="C1380" s="1129" t="s">
        <v>1195</v>
      </c>
      <c r="D1380" s="926"/>
      <c r="E1380" s="926"/>
      <c r="F1380" s="926"/>
      <c r="G1380" s="926"/>
      <c r="H1380" s="926"/>
      <c r="I1380" s="926"/>
      <c r="J1380" s="926"/>
      <c r="K1380" s="926"/>
      <c r="L1380" s="926"/>
      <c r="M1380" s="926"/>
      <c r="N1380" s="927"/>
      <c r="O1380" s="362"/>
    </row>
    <row r="1381" spans="1:15" ht="15.75" customHeight="1">
      <c r="A1381" s="395"/>
      <c r="B1381" s="399"/>
      <c r="C1381" s="920"/>
      <c r="D1381" s="922"/>
      <c r="E1381" s="922"/>
      <c r="F1381" s="922"/>
      <c r="G1381" s="922"/>
      <c r="H1381" s="922"/>
      <c r="I1381" s="922"/>
      <c r="J1381" s="922"/>
      <c r="K1381" s="922"/>
      <c r="L1381" s="922"/>
      <c r="M1381" s="922"/>
      <c r="N1381" s="924"/>
      <c r="O1381" s="362"/>
    </row>
    <row r="1382" spans="1:15" ht="15.75" customHeight="1">
      <c r="A1382" s="395"/>
      <c r="B1382" s="399"/>
      <c r="C1382" s="929"/>
      <c r="D1382" s="936"/>
      <c r="E1382" s="936"/>
      <c r="F1382" s="936"/>
      <c r="G1382" s="936"/>
      <c r="H1382" s="936"/>
      <c r="I1382" s="936"/>
      <c r="J1382" s="936"/>
      <c r="K1382" s="936"/>
      <c r="L1382" s="936"/>
      <c r="M1382" s="936"/>
      <c r="N1382" s="938"/>
      <c r="O1382" s="362"/>
    </row>
    <row r="1383" spans="1:15" ht="15.75" customHeight="1">
      <c r="A1383" s="395"/>
      <c r="B1383" s="399"/>
      <c r="C1383" s="1201" t="s">
        <v>17</v>
      </c>
      <c r="D1383" s="1131"/>
      <c r="E1383" s="1131"/>
      <c r="F1383" s="1000"/>
      <c r="G1383" s="1204" t="s">
        <v>1196</v>
      </c>
      <c r="H1383" s="1000"/>
      <c r="I1383" s="1204" t="s">
        <v>1197</v>
      </c>
      <c r="J1383" s="1000"/>
      <c r="K1383" s="670" t="s">
        <v>1213</v>
      </c>
      <c r="L1383" s="1204" t="s">
        <v>1199</v>
      </c>
      <c r="M1383" s="1000"/>
      <c r="N1383" s="671" t="s">
        <v>1200</v>
      </c>
      <c r="O1383" s="362"/>
    </row>
    <row r="1384" spans="1:15" ht="15.75" customHeight="1">
      <c r="A1384" s="395"/>
      <c r="B1384" s="399"/>
      <c r="C1384" s="1128" t="s">
        <v>1201</v>
      </c>
      <c r="D1384" s="940"/>
      <c r="E1384" s="940"/>
      <c r="F1384" s="941"/>
      <c r="G1384" s="1142"/>
      <c r="H1384" s="941"/>
      <c r="I1384" s="1142"/>
      <c r="J1384" s="941"/>
      <c r="K1384" s="429"/>
      <c r="L1384" s="1143">
        <v>0.06</v>
      </c>
      <c r="M1384" s="941"/>
      <c r="N1384" s="430">
        <f>+L1384*N1423</f>
        <v>740.11568357101146</v>
      </c>
      <c r="O1384" s="362"/>
    </row>
    <row r="1385" spans="1:15" ht="15.75" customHeight="1">
      <c r="A1385" s="395">
        <f t="array" ref="A1385">IF(C1385&lt;&gt;0,INDEX(CodEquipos,MATCH(C1385,Equipos,0),),)</f>
        <v>0</v>
      </c>
      <c r="B1385" s="399"/>
      <c r="C1385" s="1128"/>
      <c r="D1385" s="940"/>
      <c r="E1385" s="940"/>
      <c r="F1385" s="941"/>
      <c r="G1385" s="1142"/>
      <c r="H1385" s="941"/>
      <c r="I1385" s="1142"/>
      <c r="J1385" s="941"/>
      <c r="K1385" s="432" t="str">
        <f>IF($A1385&gt;0,(VLOOKUP($A1385,TablaEquipos,7,FALSE)),"")</f>
        <v/>
      </c>
      <c r="L1385" s="1146"/>
      <c r="M1385" s="941"/>
      <c r="N1385" s="430" t="str">
        <f t="shared" ref="N1385:N1389" si="108">IF(L1385&gt;0,K1385/L1385,"")</f>
        <v/>
      </c>
      <c r="O1385" s="362"/>
    </row>
    <row r="1386" spans="1:15" ht="15.75" customHeight="1">
      <c r="A1386" s="395">
        <f t="array" ref="A1386">IF(C1386&lt;&gt;0,INDEX(CodEquipos,MATCH(C1386,Equipos,0),),)</f>
        <v>0</v>
      </c>
      <c r="B1386" s="399"/>
      <c r="C1386" s="1128"/>
      <c r="D1386" s="940"/>
      <c r="E1386" s="940"/>
      <c r="F1386" s="941"/>
      <c r="G1386" s="1142"/>
      <c r="H1386" s="941"/>
      <c r="I1386" s="1142"/>
      <c r="J1386" s="941"/>
      <c r="K1386" s="432" t="str">
        <f>IF($A1386&gt;0,(VLOOKUP($A1386,TablaEquipos,7,FALSE)),"")</f>
        <v/>
      </c>
      <c r="L1386" s="1146"/>
      <c r="M1386" s="941"/>
      <c r="N1386" s="430" t="str">
        <f t="shared" si="108"/>
        <v/>
      </c>
      <c r="O1386" s="362"/>
    </row>
    <row r="1387" spans="1:15" ht="15.75" customHeight="1">
      <c r="A1387" s="395">
        <f t="array" ref="A1387">IF(C1387&lt;&gt;0,INDEX(CodEquipos,MATCH(C1387,Equipos,0),),)</f>
        <v>0</v>
      </c>
      <c r="B1387" s="399"/>
      <c r="C1387" s="1128"/>
      <c r="D1387" s="940"/>
      <c r="E1387" s="940"/>
      <c r="F1387" s="941"/>
      <c r="G1387" s="1142"/>
      <c r="H1387" s="941"/>
      <c r="I1387" s="1142"/>
      <c r="J1387" s="941"/>
      <c r="K1387" s="432" t="str">
        <f>IF($A1387&gt;0,(VLOOKUP($A1387,TablaEquipos,7,FALSE)),"")</f>
        <v/>
      </c>
      <c r="L1387" s="1146"/>
      <c r="M1387" s="941"/>
      <c r="N1387" s="430" t="str">
        <f t="shared" si="108"/>
        <v/>
      </c>
      <c r="O1387" s="362"/>
    </row>
    <row r="1388" spans="1:15" ht="15.75" customHeight="1">
      <c r="A1388" s="395">
        <f t="array" ref="A1388">IF(C1388&lt;&gt;0,INDEX(CodEquipos,MATCH(C1388,Equipos,0),),)</f>
        <v>0</v>
      </c>
      <c r="B1388" s="399"/>
      <c r="C1388" s="1128"/>
      <c r="D1388" s="940"/>
      <c r="E1388" s="940"/>
      <c r="F1388" s="941"/>
      <c r="G1388" s="1142"/>
      <c r="H1388" s="941"/>
      <c r="I1388" s="1142"/>
      <c r="J1388" s="941"/>
      <c r="K1388" s="432" t="str">
        <f>IF($A1388&gt;0,(VLOOKUP($A1388,TablaEquipos,7,FALSE)),"")</f>
        <v/>
      </c>
      <c r="L1388" s="1141"/>
      <c r="M1388" s="941"/>
      <c r="N1388" s="430" t="str">
        <f t="shared" si="108"/>
        <v/>
      </c>
      <c r="O1388" s="362"/>
    </row>
    <row r="1389" spans="1:15" ht="15.75" customHeight="1">
      <c r="A1389" s="395">
        <f t="array" ref="A1389">IF(C1389&lt;&gt;0,INDEX(CodEquipos,MATCH(C1389,Equipos,0),),)</f>
        <v>0</v>
      </c>
      <c r="B1389" s="399"/>
      <c r="C1389" s="1128"/>
      <c r="D1389" s="940"/>
      <c r="E1389" s="940"/>
      <c r="F1389" s="941"/>
      <c r="G1389" s="1144"/>
      <c r="H1389" s="1145"/>
      <c r="I1389" s="1144"/>
      <c r="J1389" s="1145"/>
      <c r="K1389" s="432" t="str">
        <f>IF($A1389&gt;0,(VLOOKUP($A1389,TablaEquipos,7,FALSE)),"")</f>
        <v/>
      </c>
      <c r="L1389" s="1208"/>
      <c r="M1389" s="1145"/>
      <c r="N1389" s="430" t="str">
        <f t="shared" si="108"/>
        <v/>
      </c>
      <c r="O1389" s="362"/>
    </row>
    <row r="1390" spans="1:15" ht="15.75" customHeight="1">
      <c r="A1390" s="395"/>
      <c r="B1390" s="399"/>
      <c r="C1390" s="1127" t="s">
        <v>1202</v>
      </c>
      <c r="D1390" s="965"/>
      <c r="E1390" s="965"/>
      <c r="F1390" s="965"/>
      <c r="G1390" s="965"/>
      <c r="H1390" s="965"/>
      <c r="I1390" s="965"/>
      <c r="J1390" s="965"/>
      <c r="K1390" s="965"/>
      <c r="L1390" s="965"/>
      <c r="M1390" s="966"/>
      <c r="N1390" s="433">
        <f>+SUM(N1384:N1389)</f>
        <v>740.11568357101146</v>
      </c>
      <c r="O1390" s="362"/>
    </row>
    <row r="1391" spans="1:15" ht="15.75" customHeight="1">
      <c r="A1391" s="395"/>
      <c r="B1391" s="399"/>
      <c r="C1391" s="1129" t="s">
        <v>1203</v>
      </c>
      <c r="D1391" s="926"/>
      <c r="E1391" s="926"/>
      <c r="F1391" s="926"/>
      <c r="G1391" s="926"/>
      <c r="H1391" s="926"/>
      <c r="I1391" s="926"/>
      <c r="J1391" s="926"/>
      <c r="K1391" s="926"/>
      <c r="L1391" s="926"/>
      <c r="M1391" s="926"/>
      <c r="N1391" s="927"/>
      <c r="O1391" s="362"/>
    </row>
    <row r="1392" spans="1:15" ht="15.75" customHeight="1">
      <c r="A1392" s="395"/>
      <c r="B1392" s="399"/>
      <c r="C1392" s="920"/>
      <c r="D1392" s="922"/>
      <c r="E1392" s="922"/>
      <c r="F1392" s="922"/>
      <c r="G1392" s="922"/>
      <c r="H1392" s="922"/>
      <c r="I1392" s="922"/>
      <c r="J1392" s="922"/>
      <c r="K1392" s="922"/>
      <c r="L1392" s="922"/>
      <c r="M1392" s="922"/>
      <c r="N1392" s="924"/>
      <c r="O1392" s="362"/>
    </row>
    <row r="1393" spans="1:17" ht="15.75" customHeight="1">
      <c r="A1393" s="395"/>
      <c r="B1393" s="399"/>
      <c r="C1393" s="929"/>
      <c r="D1393" s="936"/>
      <c r="E1393" s="936"/>
      <c r="F1393" s="936"/>
      <c r="G1393" s="936"/>
      <c r="H1393" s="936"/>
      <c r="I1393" s="936"/>
      <c r="J1393" s="936"/>
      <c r="K1393" s="936"/>
      <c r="L1393" s="936"/>
      <c r="M1393" s="936"/>
      <c r="N1393" s="938"/>
      <c r="O1393" s="362"/>
    </row>
    <row r="1394" spans="1:17" ht="15.75" customHeight="1">
      <c r="A1394" s="395"/>
      <c r="B1394" s="399"/>
      <c r="C1394" s="1201" t="s">
        <v>17</v>
      </c>
      <c r="D1394" s="1131"/>
      <c r="E1394" s="1131"/>
      <c r="F1394" s="1131"/>
      <c r="G1394" s="1131"/>
      <c r="H1394" s="1131"/>
      <c r="I1394" s="1000"/>
      <c r="J1394" s="672" t="s">
        <v>1192</v>
      </c>
      <c r="K1394" s="670" t="s">
        <v>950</v>
      </c>
      <c r="L1394" s="1204" t="s">
        <v>1204</v>
      </c>
      <c r="M1394" s="1000"/>
      <c r="N1394" s="671" t="s">
        <v>1200</v>
      </c>
      <c r="O1394" s="362"/>
    </row>
    <row r="1395" spans="1:17" ht="15.75" customHeight="1">
      <c r="A1395" s="395" t="str">
        <f t="array" ref="A1395">IF(C1395&lt;&gt;0,INDEX(CodMat,MATCH(C1395,Materiales,0),),)</f>
        <v>MAT_M-28</v>
      </c>
      <c r="B1395" s="399"/>
      <c r="C1395" s="1128" t="s">
        <v>1509</v>
      </c>
      <c r="D1395" s="940"/>
      <c r="E1395" s="940"/>
      <c r="F1395" s="940"/>
      <c r="G1395" s="940"/>
      <c r="H1395" s="940"/>
      <c r="I1395" s="941"/>
      <c r="J1395" s="435" t="str">
        <f t="shared" ref="J1395:J1402" si="109">IF($A1395&gt;0,(VLOOKUP($A1395,TablaInsumos,5,FALSE)),"")</f>
        <v>UND</v>
      </c>
      <c r="K1395" s="673">
        <v>1</v>
      </c>
      <c r="L1395" s="1134">
        <f t="shared" ref="L1395:L1402" si="110">IF($A1395&gt;0,(VLOOKUP($A1395,TablaInsumos,7,FALSE)),"")</f>
        <v>117720</v>
      </c>
      <c r="M1395" s="941"/>
      <c r="N1395" s="430">
        <f t="shared" ref="N1395:N1402" si="111">IF(K1395&gt;0,L1395*K1395,"")</f>
        <v>117720</v>
      </c>
      <c r="O1395" s="362"/>
    </row>
    <row r="1396" spans="1:17" ht="15.75" customHeight="1">
      <c r="A1396" s="395">
        <f t="array" ref="A1396">IF(C1396&lt;&gt;0,INDEX(CodMat,MATCH(C1396,Materiales,0),),)</f>
        <v>0</v>
      </c>
      <c r="B1396" s="399"/>
      <c r="C1396" s="1128"/>
      <c r="D1396" s="940"/>
      <c r="E1396" s="940"/>
      <c r="F1396" s="940"/>
      <c r="G1396" s="940"/>
      <c r="H1396" s="940"/>
      <c r="I1396" s="941"/>
      <c r="J1396" s="435" t="str">
        <f t="shared" si="109"/>
        <v/>
      </c>
      <c r="K1396" s="673"/>
      <c r="L1396" s="1134" t="str">
        <f t="shared" si="110"/>
        <v/>
      </c>
      <c r="M1396" s="941"/>
      <c r="N1396" s="430" t="str">
        <f t="shared" si="111"/>
        <v/>
      </c>
      <c r="O1396" s="362"/>
      <c r="Q1396" s="688"/>
    </row>
    <row r="1397" spans="1:17" ht="15.75" customHeight="1">
      <c r="A1397" s="395">
        <f t="array" ref="A1397">IF(C1397&lt;&gt;0,INDEX(CodMat,MATCH(C1397,Materiales,0),),)</f>
        <v>0</v>
      </c>
      <c r="B1397" s="399"/>
      <c r="C1397" s="1128"/>
      <c r="D1397" s="940"/>
      <c r="E1397" s="940"/>
      <c r="F1397" s="940"/>
      <c r="G1397" s="940"/>
      <c r="H1397" s="940"/>
      <c r="I1397" s="941"/>
      <c r="J1397" s="435" t="str">
        <f t="shared" si="109"/>
        <v/>
      </c>
      <c r="K1397" s="673"/>
      <c r="L1397" s="1134" t="str">
        <f t="shared" si="110"/>
        <v/>
      </c>
      <c r="M1397" s="941"/>
      <c r="N1397" s="430" t="str">
        <f t="shared" si="111"/>
        <v/>
      </c>
      <c r="O1397" s="362"/>
      <c r="Q1397" s="687"/>
    </row>
    <row r="1398" spans="1:17" ht="15.75" customHeight="1">
      <c r="A1398" s="395">
        <f t="array" ref="A1398">IF(C1398&lt;&gt;0,INDEX(CodMat,MATCH(C1398,Materiales,0),),)</f>
        <v>0</v>
      </c>
      <c r="B1398" s="399"/>
      <c r="C1398" s="1128"/>
      <c r="D1398" s="940"/>
      <c r="E1398" s="940"/>
      <c r="F1398" s="940"/>
      <c r="G1398" s="940"/>
      <c r="H1398" s="940"/>
      <c r="I1398" s="941"/>
      <c r="J1398" s="435" t="str">
        <f t="shared" si="109"/>
        <v/>
      </c>
      <c r="K1398" s="673"/>
      <c r="L1398" s="1134" t="str">
        <f t="shared" si="110"/>
        <v/>
      </c>
      <c r="M1398" s="941"/>
      <c r="N1398" s="430" t="str">
        <f t="shared" si="111"/>
        <v/>
      </c>
      <c r="O1398" s="362"/>
    </row>
    <row r="1399" spans="1:17" ht="15.75" customHeight="1">
      <c r="A1399" s="395">
        <f t="array" ref="A1399">IF(C1399&lt;&gt;0,INDEX(CodMat,MATCH(C1399,Materiales,0),),)</f>
        <v>0</v>
      </c>
      <c r="B1399" s="399"/>
      <c r="C1399" s="1128"/>
      <c r="D1399" s="940"/>
      <c r="E1399" s="940"/>
      <c r="F1399" s="940"/>
      <c r="G1399" s="940"/>
      <c r="H1399" s="940"/>
      <c r="I1399" s="941"/>
      <c r="J1399" s="435" t="str">
        <f t="shared" si="109"/>
        <v/>
      </c>
      <c r="K1399" s="436"/>
      <c r="L1399" s="1134" t="str">
        <f t="shared" si="110"/>
        <v/>
      </c>
      <c r="M1399" s="941"/>
      <c r="N1399" s="430" t="str">
        <f t="shared" si="111"/>
        <v/>
      </c>
      <c r="O1399" s="362"/>
    </row>
    <row r="1400" spans="1:17" ht="15.75" customHeight="1">
      <c r="A1400" s="395">
        <f t="array" ref="A1400">IF(C1400&lt;&gt;0,INDEX(CodMat,MATCH(C1400,Materiales,0),),)</f>
        <v>0</v>
      </c>
      <c r="B1400" s="399"/>
      <c r="C1400" s="1128"/>
      <c r="D1400" s="940"/>
      <c r="E1400" s="940"/>
      <c r="F1400" s="940"/>
      <c r="G1400" s="940"/>
      <c r="H1400" s="940"/>
      <c r="I1400" s="941"/>
      <c r="J1400" s="435" t="str">
        <f t="shared" si="109"/>
        <v/>
      </c>
      <c r="K1400" s="436"/>
      <c r="L1400" s="1134" t="str">
        <f t="shared" si="110"/>
        <v/>
      </c>
      <c r="M1400" s="941"/>
      <c r="N1400" s="430" t="str">
        <f t="shared" si="111"/>
        <v/>
      </c>
      <c r="O1400" s="362"/>
    </row>
    <row r="1401" spans="1:17" ht="15.75" customHeight="1">
      <c r="A1401" s="395">
        <f t="array" ref="A1401">IF(C1401&lt;&gt;0,INDEX(CodMat,MATCH(C1401,Materiales,0),),)</f>
        <v>0</v>
      </c>
      <c r="B1401" s="399"/>
      <c r="C1401" s="1128"/>
      <c r="D1401" s="940"/>
      <c r="E1401" s="940"/>
      <c r="F1401" s="940"/>
      <c r="G1401" s="940"/>
      <c r="H1401" s="940"/>
      <c r="I1401" s="941"/>
      <c r="J1401" s="435" t="str">
        <f t="shared" si="109"/>
        <v/>
      </c>
      <c r="K1401" s="436"/>
      <c r="L1401" s="1134" t="str">
        <f t="shared" si="110"/>
        <v/>
      </c>
      <c r="M1401" s="941"/>
      <c r="N1401" s="430" t="str">
        <f t="shared" si="111"/>
        <v/>
      </c>
      <c r="O1401" s="362"/>
    </row>
    <row r="1402" spans="1:17" ht="15.75" customHeight="1">
      <c r="A1402" s="395">
        <f t="array" ref="A1402">IF(C1402&lt;&gt;0,INDEX(CodMat,MATCH(C1402,Materiales,0),),)</f>
        <v>0</v>
      </c>
      <c r="B1402" s="399"/>
      <c r="C1402" s="1128"/>
      <c r="D1402" s="940"/>
      <c r="E1402" s="940"/>
      <c r="F1402" s="940"/>
      <c r="G1402" s="940"/>
      <c r="H1402" s="940"/>
      <c r="I1402" s="941"/>
      <c r="J1402" s="435" t="str">
        <f t="shared" si="109"/>
        <v/>
      </c>
      <c r="K1402" s="436"/>
      <c r="L1402" s="1205" t="str">
        <f t="shared" si="110"/>
        <v/>
      </c>
      <c r="M1402" s="1145"/>
      <c r="N1402" s="430" t="str">
        <f t="shared" si="111"/>
        <v/>
      </c>
      <c r="O1402" s="362"/>
    </row>
    <row r="1403" spans="1:17" ht="15.75" customHeight="1">
      <c r="A1403" s="395"/>
      <c r="B1403" s="399"/>
      <c r="C1403" s="1127" t="s">
        <v>1202</v>
      </c>
      <c r="D1403" s="965"/>
      <c r="E1403" s="965"/>
      <c r="F1403" s="965"/>
      <c r="G1403" s="965"/>
      <c r="H1403" s="965"/>
      <c r="I1403" s="965"/>
      <c r="J1403" s="965"/>
      <c r="K1403" s="965"/>
      <c r="L1403" s="965"/>
      <c r="M1403" s="966"/>
      <c r="N1403" s="433">
        <f>+SUM(N1395:N1402)</f>
        <v>117720</v>
      </c>
      <c r="O1403" s="362"/>
    </row>
    <row r="1404" spans="1:17" ht="15.75" customHeight="1">
      <c r="A1404" s="395"/>
      <c r="B1404" s="399"/>
      <c r="C1404" s="1129" t="s">
        <v>1208</v>
      </c>
      <c r="D1404" s="926"/>
      <c r="E1404" s="926"/>
      <c r="F1404" s="926"/>
      <c r="G1404" s="926"/>
      <c r="H1404" s="926"/>
      <c r="I1404" s="926"/>
      <c r="J1404" s="926"/>
      <c r="K1404" s="926"/>
      <c r="L1404" s="926"/>
      <c r="M1404" s="926"/>
      <c r="N1404" s="927"/>
      <c r="O1404" s="362"/>
    </row>
    <row r="1405" spans="1:17" ht="15.75" customHeight="1">
      <c r="A1405" s="395"/>
      <c r="B1405" s="399"/>
      <c r="C1405" s="920"/>
      <c r="D1405" s="922"/>
      <c r="E1405" s="922"/>
      <c r="F1405" s="922"/>
      <c r="G1405" s="922"/>
      <c r="H1405" s="922"/>
      <c r="I1405" s="922"/>
      <c r="J1405" s="922"/>
      <c r="K1405" s="922"/>
      <c r="L1405" s="922"/>
      <c r="M1405" s="922"/>
      <c r="N1405" s="924"/>
      <c r="O1405" s="362"/>
    </row>
    <row r="1406" spans="1:17" ht="15.75" customHeight="1">
      <c r="A1406" s="395"/>
      <c r="B1406" s="399"/>
      <c r="C1406" s="929"/>
      <c r="D1406" s="936"/>
      <c r="E1406" s="936"/>
      <c r="F1406" s="936"/>
      <c r="G1406" s="936"/>
      <c r="H1406" s="936"/>
      <c r="I1406" s="936"/>
      <c r="J1406" s="936"/>
      <c r="K1406" s="936"/>
      <c r="L1406" s="936"/>
      <c r="M1406" s="936"/>
      <c r="N1406" s="938"/>
      <c r="O1406" s="362"/>
    </row>
    <row r="1407" spans="1:17" ht="15.75" customHeight="1">
      <c r="A1407" s="395"/>
      <c r="B1407" s="399"/>
      <c r="C1407" s="1201" t="s">
        <v>1209</v>
      </c>
      <c r="D1407" s="1131"/>
      <c r="E1407" s="1131"/>
      <c r="F1407" s="1131"/>
      <c r="G1407" s="1131"/>
      <c r="H1407" s="1000"/>
      <c r="I1407" s="670" t="s">
        <v>1210</v>
      </c>
      <c r="J1407" s="674" t="s">
        <v>1211</v>
      </c>
      <c r="K1407" s="675" t="s">
        <v>2318</v>
      </c>
      <c r="L1407" s="1204" t="s">
        <v>1213</v>
      </c>
      <c r="M1407" s="1000"/>
      <c r="N1407" s="671" t="s">
        <v>1200</v>
      </c>
      <c r="O1407" s="362"/>
    </row>
    <row r="1408" spans="1:17" ht="15.75" customHeight="1">
      <c r="A1408" s="395">
        <f t="array" ref="A1408">IF(C1408&lt;&gt;0,INDEX(CodTransporte,MATCH(C1408,Transporte,0),),)</f>
        <v>0</v>
      </c>
      <c r="B1408" s="399"/>
      <c r="C1408" s="1128"/>
      <c r="D1408" s="940"/>
      <c r="E1408" s="940"/>
      <c r="F1408" s="940"/>
      <c r="G1408" s="940"/>
      <c r="H1408" s="940"/>
      <c r="I1408" s="440"/>
      <c r="J1408" s="441" t="str">
        <f>IF($A1408&gt;0,(VLOOKUP($A1408,TablaTransporte,6,FALSE)),"")</f>
        <v/>
      </c>
      <c r="K1408" s="442" t="str">
        <f>IF($A1408&gt;0,(VLOOKUP($A1408,TablaTransporte,5,FALSE)),"")</f>
        <v/>
      </c>
      <c r="L1408" s="1134" t="str">
        <f>IF($A1408&gt;0,(VLOOKUP($A1408,TablaTransporte,7,FALSE)),"")</f>
        <v/>
      </c>
      <c r="M1408" s="941"/>
      <c r="N1408" s="430" t="str">
        <f t="shared" ref="N1408:N1412" si="112">IF(I1408&gt;0,J1408*L1408*I1408,"")</f>
        <v/>
      </c>
      <c r="O1408" s="362"/>
    </row>
    <row r="1409" spans="1:15" ht="15.75" customHeight="1">
      <c r="A1409" s="395">
        <f t="array" ref="A1409">IF(C1409&lt;&gt;0,INDEX(CodTransporte,MATCH(C1409,Transporte,0),),)</f>
        <v>0</v>
      </c>
      <c r="B1409" s="399"/>
      <c r="C1409" s="1128"/>
      <c r="D1409" s="940"/>
      <c r="E1409" s="940"/>
      <c r="F1409" s="940"/>
      <c r="G1409" s="940"/>
      <c r="H1409" s="940"/>
      <c r="I1409" s="440"/>
      <c r="J1409" s="441" t="str">
        <f>IF($A1409&gt;0,(VLOOKUP($A1409,TablaTransporte,6,FALSE)),"")</f>
        <v/>
      </c>
      <c r="K1409" s="442" t="str">
        <f>IF($A1409&gt;0,(VLOOKUP($A1409,TablaTransporte,5,FALSE)),"")</f>
        <v/>
      </c>
      <c r="L1409" s="1134" t="str">
        <f>IF($A1409&gt;0,(VLOOKUP($A1409,TablaTransporte,7,FALSE)),"")</f>
        <v/>
      </c>
      <c r="M1409" s="941"/>
      <c r="N1409" s="430" t="str">
        <f t="shared" si="112"/>
        <v/>
      </c>
      <c r="O1409" s="362"/>
    </row>
    <row r="1410" spans="1:15" ht="15.75" customHeight="1">
      <c r="A1410" s="395">
        <f t="array" ref="A1410">IF(C1410&lt;&gt;0,INDEX(CodTransporte,MATCH(C1410,Transporte,0),),)</f>
        <v>0</v>
      </c>
      <c r="B1410" s="399"/>
      <c r="C1410" s="1128"/>
      <c r="D1410" s="940"/>
      <c r="E1410" s="940"/>
      <c r="F1410" s="940"/>
      <c r="G1410" s="940"/>
      <c r="H1410" s="940"/>
      <c r="I1410" s="440"/>
      <c r="J1410" s="441" t="str">
        <f>IF($A1410&gt;0,(VLOOKUP($A1410,TablaTransporte,6,FALSE)),"")</f>
        <v/>
      </c>
      <c r="K1410" s="442" t="str">
        <f>IF($A1410&gt;0,(VLOOKUP($A1410,TablaTransporte,5,FALSE)),"")</f>
        <v/>
      </c>
      <c r="L1410" s="1134" t="str">
        <f>IF($A1410&gt;0,(VLOOKUP($A1410,TablaTransporte,7,FALSE)),"")</f>
        <v/>
      </c>
      <c r="M1410" s="941"/>
      <c r="N1410" s="430" t="str">
        <f t="shared" si="112"/>
        <v/>
      </c>
      <c r="O1410" s="362"/>
    </row>
    <row r="1411" spans="1:15" ht="15.75" customHeight="1">
      <c r="A1411" s="395">
        <f t="array" ref="A1411">IF(C1411&lt;&gt;0,INDEX(CodTransporte,MATCH(C1411,Transporte,0),),)</f>
        <v>0</v>
      </c>
      <c r="B1411" s="399"/>
      <c r="C1411" s="1128"/>
      <c r="D1411" s="940"/>
      <c r="E1411" s="940"/>
      <c r="F1411" s="940"/>
      <c r="G1411" s="940"/>
      <c r="H1411" s="940"/>
      <c r="I1411" s="440"/>
      <c r="J1411" s="441" t="str">
        <f>IF($A1411&gt;0,(VLOOKUP($A1411,TablaTransporte,6,FALSE)),"")</f>
        <v/>
      </c>
      <c r="K1411" s="442" t="str">
        <f>IF($A1411&gt;0,(VLOOKUP($A1411,TablaTransporte,5,FALSE)),"")</f>
        <v/>
      </c>
      <c r="L1411" s="1134" t="str">
        <f>IF($A1411&gt;0,(VLOOKUP($A1411,TablaTransporte,7,FALSE)),"")</f>
        <v/>
      </c>
      <c r="M1411" s="941"/>
      <c r="N1411" s="430" t="str">
        <f t="shared" si="112"/>
        <v/>
      </c>
      <c r="O1411" s="362"/>
    </row>
    <row r="1412" spans="1:15" ht="15.75" customHeight="1">
      <c r="A1412" s="395">
        <f t="array" ref="A1412">IF(C1412&lt;&gt;0,INDEX(CodTransporte,MATCH(C1412,Transporte,0),),)</f>
        <v>0</v>
      </c>
      <c r="B1412" s="399"/>
      <c r="C1412" s="1128"/>
      <c r="D1412" s="940"/>
      <c r="E1412" s="940"/>
      <c r="F1412" s="940"/>
      <c r="G1412" s="940"/>
      <c r="H1412" s="940"/>
      <c r="I1412" s="440"/>
      <c r="J1412" s="441" t="str">
        <f>IF($A1412&gt;0,(VLOOKUP($A1412,TablaTransporte,6,FALSE)),"")</f>
        <v/>
      </c>
      <c r="K1412" s="442" t="str">
        <f>IF($A1412&gt;0,(VLOOKUP($A1412,TablaTransporte,5,FALSE)),"")</f>
        <v/>
      </c>
      <c r="L1412" s="1205" t="str">
        <f>IF($A1412&gt;0,(VLOOKUP($A1412,TablaTransporte,7,FALSE)),"")</f>
        <v/>
      </c>
      <c r="M1412" s="1145"/>
      <c r="N1412" s="430" t="str">
        <f t="shared" si="112"/>
        <v/>
      </c>
      <c r="O1412" s="362"/>
    </row>
    <row r="1413" spans="1:15" ht="15.75" customHeight="1">
      <c r="A1413" s="395"/>
      <c r="B1413" s="399"/>
      <c r="C1413" s="1127" t="s">
        <v>1202</v>
      </c>
      <c r="D1413" s="965"/>
      <c r="E1413" s="965"/>
      <c r="F1413" s="965"/>
      <c r="G1413" s="965"/>
      <c r="H1413" s="965"/>
      <c r="I1413" s="965"/>
      <c r="J1413" s="965"/>
      <c r="K1413" s="965"/>
      <c r="L1413" s="965"/>
      <c r="M1413" s="966"/>
      <c r="N1413" s="433">
        <f>+SUM(N1408:N1412)</f>
        <v>0</v>
      </c>
      <c r="O1413" s="362"/>
    </row>
    <row r="1414" spans="1:15" ht="15.75" customHeight="1">
      <c r="A1414" s="395"/>
      <c r="B1414" s="399"/>
      <c r="C1414" s="1129" t="s">
        <v>1214</v>
      </c>
      <c r="D1414" s="926"/>
      <c r="E1414" s="926"/>
      <c r="F1414" s="926"/>
      <c r="G1414" s="926"/>
      <c r="H1414" s="926"/>
      <c r="I1414" s="926"/>
      <c r="J1414" s="926"/>
      <c r="K1414" s="926"/>
      <c r="L1414" s="926"/>
      <c r="M1414" s="926"/>
      <c r="N1414" s="927"/>
      <c r="O1414" s="362"/>
    </row>
    <row r="1415" spans="1:15" ht="15.75" customHeight="1">
      <c r="A1415" s="395"/>
      <c r="B1415" s="399"/>
      <c r="C1415" s="920"/>
      <c r="D1415" s="922"/>
      <c r="E1415" s="922"/>
      <c r="F1415" s="922"/>
      <c r="G1415" s="922"/>
      <c r="H1415" s="922"/>
      <c r="I1415" s="922"/>
      <c r="J1415" s="922"/>
      <c r="K1415" s="922"/>
      <c r="L1415" s="922"/>
      <c r="M1415" s="922"/>
      <c r="N1415" s="924"/>
      <c r="O1415" s="362"/>
    </row>
    <row r="1416" spans="1:15" ht="15.75" customHeight="1">
      <c r="A1416" s="395"/>
      <c r="B1416" s="399"/>
      <c r="C1416" s="929"/>
      <c r="D1416" s="936"/>
      <c r="E1416" s="936"/>
      <c r="F1416" s="936"/>
      <c r="G1416" s="936"/>
      <c r="H1416" s="936"/>
      <c r="I1416" s="936"/>
      <c r="J1416" s="936"/>
      <c r="K1416" s="936"/>
      <c r="L1416" s="936"/>
      <c r="M1416" s="936"/>
      <c r="N1416" s="938"/>
      <c r="O1416" s="362"/>
    </row>
    <row r="1417" spans="1:15" ht="15.75" customHeight="1">
      <c r="A1417" s="395"/>
      <c r="B1417" s="399"/>
      <c r="C1417" s="1201" t="s">
        <v>1215</v>
      </c>
      <c r="D1417" s="1131"/>
      <c r="E1417" s="1131"/>
      <c r="F1417" s="1131"/>
      <c r="G1417" s="1131"/>
      <c r="H1417" s="1000"/>
      <c r="I1417" s="670" t="s">
        <v>1216</v>
      </c>
      <c r="J1417" s="676" t="s">
        <v>1217</v>
      </c>
      <c r="K1417" s="677" t="s">
        <v>1218</v>
      </c>
      <c r="L1417" s="1206" t="s">
        <v>1199</v>
      </c>
      <c r="M1417" s="1000"/>
      <c r="N1417" s="678" t="s">
        <v>1200</v>
      </c>
      <c r="O1417" s="362"/>
    </row>
    <row r="1418" spans="1:15" ht="15.75" customHeight="1">
      <c r="A1418" s="395" t="str">
        <f t="array" ref="A1418">IF(C1418&lt;&gt;0,INDEX(CodMO,MATCH(C1418,MO,0),),)</f>
        <v>M.O-05</v>
      </c>
      <c r="B1418" s="399"/>
      <c r="C1418" s="1128" t="s">
        <v>139</v>
      </c>
      <c r="D1418" s="940"/>
      <c r="E1418" s="940"/>
      <c r="F1418" s="940"/>
      <c r="G1418" s="940"/>
      <c r="H1418" s="940"/>
      <c r="I1418" s="447">
        <f>IF($A1418&gt;0,(VLOOKUP($A1418,TablaMO,8,FALSE)),"")</f>
        <v>125030.16666666667</v>
      </c>
      <c r="J1418" s="448">
        <f>IF($A1418&gt;0,(VLOOKUP($A1418,TablaMO,10,FALSE)),"")</f>
        <v>0.67071666666666663</v>
      </c>
      <c r="K1418" s="447">
        <f>IF($A1418&gt;0,(VLOOKUP($A1418,TablaMO,11,FALSE)),"")</f>
        <v>208890</v>
      </c>
      <c r="L1418" s="1146">
        <v>26.754358054486669</v>
      </c>
      <c r="M1418" s="941"/>
      <c r="N1418" s="430">
        <f t="shared" ref="N1418:N1422" si="113">IF(L1418&gt;0,K1418/L1418,"")</f>
        <v>7807.6999483442823</v>
      </c>
      <c r="O1418" s="362"/>
    </row>
    <row r="1419" spans="1:15" ht="15.75" customHeight="1">
      <c r="A1419" s="395" t="str">
        <f t="array" ref="A1419">IF(C1419&lt;&gt;0,INDEX(CodMO,MATCH(C1419,MO,0),),)</f>
        <v>M.O-01</v>
      </c>
      <c r="B1419" s="399"/>
      <c r="C1419" s="1128" t="s">
        <v>130</v>
      </c>
      <c r="D1419" s="940"/>
      <c r="E1419" s="940"/>
      <c r="F1419" s="940"/>
      <c r="G1419" s="940"/>
      <c r="H1419" s="940"/>
      <c r="I1419" s="447">
        <f>IF($A1419&gt;0,(VLOOKUP($A1419,TablaMO,8,FALSE)),"")</f>
        <v>72503.016666666677</v>
      </c>
      <c r="J1419" s="448">
        <f>IF($A1419&gt;0,(VLOOKUP($A1419,TablaMO,10,FALSE)),"")</f>
        <v>0.67071666666666663</v>
      </c>
      <c r="K1419" s="447">
        <f>IF($A1419&gt;0,(VLOOKUP($A1419,TablaMO,11,FALSE)),"")</f>
        <v>121132</v>
      </c>
      <c r="L1419" s="1146">
        <f>L1418</f>
        <v>26.754358054486669</v>
      </c>
      <c r="M1419" s="941"/>
      <c r="N1419" s="430">
        <f t="shared" si="113"/>
        <v>4527.56144450591</v>
      </c>
      <c r="O1419" s="362"/>
    </row>
    <row r="1420" spans="1:15" ht="15.75" customHeight="1">
      <c r="A1420" s="395">
        <f t="array" ref="A1420">IF(C1420&lt;&gt;0,INDEX(CodMO,MATCH(C1420,MO,0),),)</f>
        <v>0</v>
      </c>
      <c r="B1420" s="399"/>
      <c r="C1420" s="1128"/>
      <c r="D1420" s="940"/>
      <c r="E1420" s="940"/>
      <c r="F1420" s="940"/>
      <c r="G1420" s="940"/>
      <c r="H1420" s="940"/>
      <c r="I1420" s="447" t="str">
        <f>IF($A1420&gt;0,(VLOOKUP($A1420,TablaMO,8,FALSE)),"")</f>
        <v/>
      </c>
      <c r="J1420" s="448" t="str">
        <f>IF($A1420&gt;0,(VLOOKUP($A1420,TablaMO,10,FALSE)),"")</f>
        <v/>
      </c>
      <c r="K1420" s="447" t="str">
        <f>IF($A1420&gt;0,(VLOOKUP($A1420,TablaMO,11,FALSE)),"")</f>
        <v/>
      </c>
      <c r="L1420" s="1146"/>
      <c r="M1420" s="941"/>
      <c r="N1420" s="430" t="str">
        <f t="shared" si="113"/>
        <v/>
      </c>
      <c r="O1420" s="362"/>
    </row>
    <row r="1421" spans="1:15" ht="15.75" customHeight="1">
      <c r="A1421" s="395">
        <f t="array" ref="A1421">IF(C1421&lt;&gt;0,INDEX(CodMO,MATCH(C1421,MO,0),),)</f>
        <v>0</v>
      </c>
      <c r="B1421" s="399"/>
      <c r="C1421" s="1128"/>
      <c r="D1421" s="940"/>
      <c r="E1421" s="940"/>
      <c r="F1421" s="940"/>
      <c r="G1421" s="940"/>
      <c r="H1421" s="940"/>
      <c r="I1421" s="447" t="str">
        <f>IF($A1421&gt;0,(VLOOKUP($A1421,TablaMO,8,FALSE)),"")</f>
        <v/>
      </c>
      <c r="J1421" s="448" t="str">
        <f>IF($A1421&gt;0,(VLOOKUP($A1421,TablaMO,10,FALSE)),"")</f>
        <v/>
      </c>
      <c r="K1421" s="447" t="str">
        <f>IF($A1421&gt;0,(VLOOKUP($A1421,TablaMO,11,FALSE)),"")</f>
        <v/>
      </c>
      <c r="L1421" s="1146"/>
      <c r="M1421" s="941"/>
      <c r="N1421" s="430" t="str">
        <f t="shared" si="113"/>
        <v/>
      </c>
      <c r="O1421" s="362"/>
    </row>
    <row r="1422" spans="1:15" ht="15.75" customHeight="1">
      <c r="A1422" s="395">
        <f t="array" ref="A1422">IF(C1422&lt;&gt;0,INDEX(CodMO,MATCH(C1422,MO,0),),)</f>
        <v>0</v>
      </c>
      <c r="B1422" s="399"/>
      <c r="C1422" s="1128"/>
      <c r="D1422" s="940"/>
      <c r="E1422" s="940"/>
      <c r="F1422" s="940"/>
      <c r="G1422" s="940"/>
      <c r="H1422" s="940"/>
      <c r="I1422" s="447" t="str">
        <f>IF($A1422&gt;0,(VLOOKUP($A1422,TablaMO,8,FALSE)),"")</f>
        <v/>
      </c>
      <c r="J1422" s="448" t="str">
        <f>IF($A1422&gt;0,(VLOOKUP($A1422,TablaMO,10,FALSE)),"")</f>
        <v/>
      </c>
      <c r="K1422" s="447" t="str">
        <f>IF($A1422&gt;0,(VLOOKUP($A1422,TablaMO,11,FALSE)),"")</f>
        <v/>
      </c>
      <c r="L1422" s="1146"/>
      <c r="M1422" s="941"/>
      <c r="N1422" s="430" t="str">
        <f t="shared" si="113"/>
        <v/>
      </c>
      <c r="O1422" s="362"/>
    </row>
    <row r="1423" spans="1:15" ht="15.75" customHeight="1">
      <c r="A1423" s="395"/>
      <c r="B1423" s="399"/>
      <c r="C1423" s="1127" t="s">
        <v>1202</v>
      </c>
      <c r="D1423" s="965"/>
      <c r="E1423" s="965"/>
      <c r="F1423" s="965"/>
      <c r="G1423" s="965"/>
      <c r="H1423" s="965"/>
      <c r="I1423" s="965"/>
      <c r="J1423" s="965"/>
      <c r="K1423" s="965"/>
      <c r="L1423" s="965"/>
      <c r="M1423" s="966"/>
      <c r="N1423" s="433">
        <f>+SUM(N1418:N1422)</f>
        <v>12335.261392850192</v>
      </c>
      <c r="O1423" s="362"/>
    </row>
    <row r="1424" spans="1:15" ht="15.75" customHeight="1">
      <c r="B1424" s="679"/>
      <c r="O1424" s="362"/>
    </row>
    <row r="1425" spans="2:18" ht="15.75" customHeight="1">
      <c r="B1425" s="679"/>
      <c r="C1425" s="1198" t="s">
        <v>1219</v>
      </c>
      <c r="D1425" s="965"/>
      <c r="E1425" s="965"/>
      <c r="F1425" s="965"/>
      <c r="G1425" s="965"/>
      <c r="H1425" s="965"/>
      <c r="I1425" s="965"/>
      <c r="J1425" s="965"/>
      <c r="K1425" s="965"/>
      <c r="L1425" s="965"/>
      <c r="M1425" s="966"/>
      <c r="N1425" s="680">
        <f>ROUND(SUM(N1423,N1413,N1403,N1390),0)</f>
        <v>130795</v>
      </c>
      <c r="O1425" s="362"/>
      <c r="Q1425" s="681">
        <f>VLOOKUP(C1379,PROPUESTASASERCO,8,FALSE)</f>
        <v>130795</v>
      </c>
      <c r="R1425" s="682">
        <f>Q1425-N1425</f>
        <v>0</v>
      </c>
    </row>
    <row r="1426" spans="2:18" ht="15.75" customHeight="1">
      <c r="B1426" s="679"/>
      <c r="C1426" s="1129" t="s">
        <v>1220</v>
      </c>
      <c r="D1426" s="926"/>
      <c r="E1426" s="926"/>
      <c r="F1426" s="926"/>
      <c r="G1426" s="926"/>
      <c r="H1426" s="926"/>
      <c r="I1426" s="926"/>
      <c r="J1426" s="926"/>
      <c r="K1426" s="926"/>
      <c r="L1426" s="926"/>
      <c r="M1426" s="926"/>
      <c r="N1426" s="927"/>
      <c r="O1426" s="362"/>
    </row>
    <row r="1427" spans="2:18" ht="15.75" customHeight="1">
      <c r="B1427" s="679"/>
      <c r="C1427" s="920"/>
      <c r="D1427" s="922"/>
      <c r="E1427" s="922"/>
      <c r="F1427" s="922"/>
      <c r="G1427" s="922"/>
      <c r="H1427" s="922"/>
      <c r="I1427" s="922"/>
      <c r="J1427" s="922"/>
      <c r="K1427" s="922"/>
      <c r="L1427" s="922"/>
      <c r="M1427" s="922"/>
      <c r="N1427" s="924"/>
      <c r="O1427" s="362"/>
    </row>
    <row r="1428" spans="2:18" ht="15.75" customHeight="1">
      <c r="B1428" s="679"/>
      <c r="C1428" s="929"/>
      <c r="D1428" s="936"/>
      <c r="E1428" s="936"/>
      <c r="F1428" s="936"/>
      <c r="G1428" s="936"/>
      <c r="H1428" s="936"/>
      <c r="I1428" s="936"/>
      <c r="J1428" s="936"/>
      <c r="K1428" s="936"/>
      <c r="L1428" s="936"/>
      <c r="M1428" s="936"/>
      <c r="N1428" s="938"/>
      <c r="O1428" s="362"/>
    </row>
    <row r="1429" spans="2:18" ht="15.75" customHeight="1">
      <c r="B1429" s="679"/>
      <c r="C1429" s="1201" t="s">
        <v>1221</v>
      </c>
      <c r="D1429" s="1131"/>
      <c r="E1429" s="1131"/>
      <c r="F1429" s="1131"/>
      <c r="G1429" s="1131"/>
      <c r="H1429" s="1132"/>
      <c r="I1429" s="674"/>
      <c r="J1429" s="674"/>
      <c r="K1429" s="674"/>
      <c r="L1429" s="1206" t="s">
        <v>1222</v>
      </c>
      <c r="M1429" s="1000"/>
      <c r="N1429" s="678" t="s">
        <v>1223</v>
      </c>
      <c r="O1429" s="362"/>
    </row>
    <row r="1430" spans="2:18" ht="15.75" customHeight="1">
      <c r="B1430" s="679"/>
      <c r="C1430" s="1128" t="s">
        <v>19</v>
      </c>
      <c r="D1430" s="940"/>
      <c r="E1430" s="940"/>
      <c r="F1430" s="940"/>
      <c r="G1430" s="940"/>
      <c r="H1430" s="940"/>
      <c r="I1430" s="452"/>
      <c r="J1430" s="452"/>
      <c r="K1430" s="452"/>
      <c r="L1430" s="1148">
        <f>+Datos!$E$18</f>
        <v>0.25</v>
      </c>
      <c r="M1430" s="941"/>
      <c r="N1430" s="430">
        <f>+L1430*N1425</f>
        <v>32698.75</v>
      </c>
      <c r="O1430" s="362"/>
    </row>
    <row r="1431" spans="2:18" ht="15.75" customHeight="1">
      <c r="B1431" s="679"/>
      <c r="C1431" s="454" t="s">
        <v>20</v>
      </c>
      <c r="D1431" s="455"/>
      <c r="E1431" s="455"/>
      <c r="F1431" s="455"/>
      <c r="G1431" s="455"/>
      <c r="H1431" s="455"/>
      <c r="I1431" s="452"/>
      <c r="J1431" s="452"/>
      <c r="K1431" s="452"/>
      <c r="L1431" s="1148">
        <f>+Datos!$E$19</f>
        <v>0.01</v>
      </c>
      <c r="M1431" s="941"/>
      <c r="N1431" s="430">
        <f>+L1431*N1425</f>
        <v>1307.95</v>
      </c>
      <c r="O1431" s="362"/>
    </row>
    <row r="1432" spans="2:18" ht="15.75" customHeight="1">
      <c r="B1432" s="679"/>
      <c r="C1432" s="456" t="s">
        <v>21</v>
      </c>
      <c r="D1432" s="457"/>
      <c r="E1432" s="457"/>
      <c r="F1432" s="457"/>
      <c r="G1432" s="457"/>
      <c r="H1432" s="457"/>
      <c r="I1432" s="458"/>
      <c r="J1432" s="458"/>
      <c r="K1432" s="458"/>
      <c r="L1432" s="1148">
        <f>+Datos!$E$20</f>
        <v>0.05</v>
      </c>
      <c r="M1432" s="941"/>
      <c r="N1432" s="430">
        <f>+L1432*N1425</f>
        <v>6539.75</v>
      </c>
      <c r="O1432" s="362"/>
    </row>
    <row r="1433" spans="2:18" ht="15.75" customHeight="1">
      <c r="B1433" s="679"/>
      <c r="C1433" s="1127" t="s">
        <v>1202</v>
      </c>
      <c r="D1433" s="965"/>
      <c r="E1433" s="965"/>
      <c r="F1433" s="965"/>
      <c r="G1433" s="965"/>
      <c r="H1433" s="965"/>
      <c r="I1433" s="965"/>
      <c r="J1433" s="965"/>
      <c r="K1433" s="965"/>
      <c r="L1433" s="965"/>
      <c r="M1433" s="966"/>
      <c r="N1433" s="433">
        <f>+SUM(N1430:N1432)</f>
        <v>40546.449999999997</v>
      </c>
      <c r="O1433" s="362"/>
    </row>
    <row r="1434" spans="2:18" ht="15.75" customHeight="1">
      <c r="B1434" s="679"/>
      <c r="C1434" s="418"/>
      <c r="D1434" s="39"/>
      <c r="E1434" s="39"/>
      <c r="F1434" s="39"/>
      <c r="G1434" s="39"/>
      <c r="H1434" s="39"/>
      <c r="I1434" s="39"/>
      <c r="J1434" s="39"/>
      <c r="K1434" s="39"/>
      <c r="L1434" s="39"/>
      <c r="M1434" s="39"/>
      <c r="N1434" s="40"/>
      <c r="O1434" s="362"/>
    </row>
    <row r="1435" spans="2:18" ht="15.75" customHeight="1">
      <c r="B1435" s="679"/>
      <c r="C1435" s="1198" t="s">
        <v>1224</v>
      </c>
      <c r="D1435" s="965"/>
      <c r="E1435" s="965"/>
      <c r="F1435" s="965"/>
      <c r="G1435" s="965"/>
      <c r="H1435" s="965"/>
      <c r="I1435" s="965"/>
      <c r="J1435" s="965"/>
      <c r="K1435" s="965"/>
      <c r="L1435" s="965"/>
      <c r="M1435" s="966"/>
      <c r="N1435" s="683">
        <f>+ROUND(SUM(N1433,N1425),0)</f>
        <v>171341</v>
      </c>
      <c r="O1435" s="362"/>
    </row>
    <row r="1436" spans="2:18" ht="15.75" customHeight="1">
      <c r="B1436" s="679"/>
      <c r="C1436" s="418"/>
      <c r="D1436" s="39" t="s">
        <v>1225</v>
      </c>
      <c r="E1436" s="39"/>
      <c r="F1436" s="39"/>
      <c r="G1436" s="184"/>
      <c r="H1436" s="184"/>
      <c r="I1436" s="184"/>
      <c r="J1436" s="39" t="s">
        <v>1225</v>
      </c>
      <c r="K1436" s="39"/>
      <c r="L1436" s="39"/>
      <c r="M1436" s="39"/>
      <c r="N1436" s="40"/>
      <c r="O1436" s="362"/>
    </row>
    <row r="1437" spans="2:18" ht="15.75" customHeight="1">
      <c r="B1437" s="679"/>
      <c r="C1437" s="418"/>
      <c r="D1437" s="39" t="s">
        <v>1226</v>
      </c>
      <c r="E1437" s="39"/>
      <c r="F1437" s="39"/>
      <c r="G1437" s="184"/>
      <c r="H1437" s="184"/>
      <c r="I1437" s="184"/>
      <c r="J1437" s="39" t="s">
        <v>1227</v>
      </c>
      <c r="K1437" s="39"/>
      <c r="L1437" s="39"/>
      <c r="M1437" s="39"/>
      <c r="N1437" s="40"/>
      <c r="O1437" s="362"/>
    </row>
    <row r="1438" spans="2:18" ht="15.75" customHeight="1">
      <c r="B1438" s="679"/>
      <c r="C1438" s="404"/>
      <c r="D1438" s="39" t="s">
        <v>1228</v>
      </c>
      <c r="E1438" s="42"/>
      <c r="F1438" s="42"/>
      <c r="G1438" s="184"/>
      <c r="H1438" s="184"/>
      <c r="I1438" s="184"/>
      <c r="J1438" s="39" t="s">
        <v>1228</v>
      </c>
      <c r="K1438" s="42"/>
      <c r="L1438" s="42"/>
      <c r="M1438" s="42"/>
      <c r="N1438" s="43"/>
      <c r="O1438" s="362"/>
    </row>
    <row r="1439" spans="2:18" ht="15.75" customHeight="1">
      <c r="B1439" s="679"/>
      <c r="C1439" s="418"/>
      <c r="D1439" s="39"/>
      <c r="E1439" s="39"/>
      <c r="F1439" s="39"/>
      <c r="G1439" s="39" t="s">
        <v>1229</v>
      </c>
      <c r="H1439" s="39"/>
      <c r="I1439" s="39"/>
      <c r="J1439" s="39"/>
      <c r="K1439" s="39"/>
      <c r="L1439" s="39"/>
      <c r="M1439" s="39"/>
      <c r="N1439" s="40"/>
      <c r="O1439" s="362"/>
    </row>
    <row r="1440" spans="2:18" ht="15.75" customHeight="1">
      <c r="B1440" s="679"/>
      <c r="C1440" s="466"/>
      <c r="D1440" s="467"/>
      <c r="E1440" s="467"/>
      <c r="F1440" s="39"/>
      <c r="G1440" s="39"/>
      <c r="H1440" s="39"/>
      <c r="I1440" s="39"/>
      <c r="J1440" s="1149"/>
      <c r="K1440" s="922"/>
      <c r="L1440" s="922"/>
      <c r="M1440" s="922"/>
      <c r="N1440" s="924"/>
      <c r="O1440" s="362"/>
    </row>
    <row r="1441" spans="1:15" ht="15.75" customHeight="1">
      <c r="B1441" s="679"/>
      <c r="C1441" s="1150"/>
      <c r="D1441" s="936"/>
      <c r="E1441" s="936"/>
      <c r="F1441" s="416"/>
      <c r="G1441" s="416"/>
      <c r="H1441" s="416"/>
      <c r="I1441" s="416"/>
      <c r="J1441" s="936"/>
      <c r="K1441" s="936"/>
      <c r="L1441" s="936"/>
      <c r="M1441" s="936"/>
      <c r="N1441" s="938"/>
      <c r="O1441" s="362"/>
    </row>
    <row r="1442" spans="1:15" ht="15.75" customHeight="1">
      <c r="B1442" s="684"/>
      <c r="C1442" s="685"/>
      <c r="D1442" s="685"/>
      <c r="E1442" s="685"/>
      <c r="F1442" s="685"/>
      <c r="G1442" s="685"/>
      <c r="H1442" s="685"/>
      <c r="I1442" s="685"/>
      <c r="J1442" s="685"/>
      <c r="K1442" s="685"/>
      <c r="L1442" s="685"/>
      <c r="M1442" s="685"/>
      <c r="N1442" s="685"/>
      <c r="O1442" s="686"/>
    </row>
    <row r="1443" spans="1:15" ht="15.75" customHeight="1"/>
    <row r="1444" spans="1:15" ht="15.75" customHeight="1"/>
    <row r="1445" spans="1:15" ht="15.75" customHeight="1"/>
    <row r="1446" spans="1:15" ht="15.75" customHeight="1"/>
    <row r="1447" spans="1:15" ht="15.75" customHeight="1">
      <c r="A1447" s="395" t="s">
        <v>941</v>
      </c>
      <c r="B1447" s="184"/>
      <c r="C1447" s="184"/>
      <c r="D1447" s="184"/>
      <c r="E1447" s="184"/>
      <c r="F1447" s="184"/>
      <c r="G1447" s="184"/>
      <c r="H1447" s="184"/>
      <c r="I1447" s="184"/>
      <c r="J1447" s="184"/>
      <c r="K1447" s="184"/>
      <c r="L1447" s="184"/>
      <c r="M1447" s="184"/>
      <c r="N1447" s="184"/>
    </row>
    <row r="1448" spans="1:15" ht="15.75" customHeight="1">
      <c r="A1448" s="395"/>
      <c r="B1448" s="396"/>
      <c r="C1448" s="397"/>
      <c r="D1448" s="397"/>
      <c r="E1448" s="397"/>
      <c r="F1448" s="397"/>
      <c r="G1448" s="397"/>
      <c r="H1448" s="397"/>
      <c r="I1448" s="397"/>
      <c r="J1448" s="397"/>
      <c r="K1448" s="397"/>
      <c r="L1448" s="397"/>
      <c r="M1448" s="397"/>
      <c r="N1448" s="397"/>
      <c r="O1448" s="667"/>
    </row>
    <row r="1449" spans="1:15" ht="15.75" customHeight="1">
      <c r="A1449" s="395"/>
      <c r="B1449" s="399"/>
      <c r="C1449" s="1124"/>
      <c r="D1449" s="927"/>
      <c r="E1449" s="1207" t="str">
        <f>Datos!$C$9</f>
        <v>CONSEJO SUPERIOR  DE  JUDICATURA– DIRECCIÓN  EJECUTIVA  SECCIONAL  DE ADMINISTRACIÓN JUDICIAL DE BUCARAMANGA</v>
      </c>
      <c r="F1449" s="926"/>
      <c r="G1449" s="926"/>
      <c r="H1449" s="926"/>
      <c r="I1449" s="926"/>
      <c r="J1449" s="926"/>
      <c r="K1449" s="927"/>
      <c r="L1449" s="925" t="s">
        <v>1</v>
      </c>
      <c r="M1449" s="931"/>
      <c r="N1449" s="933">
        <v>1</v>
      </c>
      <c r="O1449" s="362"/>
    </row>
    <row r="1450" spans="1:15" ht="15.75" customHeight="1">
      <c r="A1450" s="395"/>
      <c r="B1450" s="399"/>
      <c r="C1450" s="920"/>
      <c r="D1450" s="924"/>
      <c r="E1450" s="920"/>
      <c r="F1450" s="922"/>
      <c r="G1450" s="922"/>
      <c r="H1450" s="922"/>
      <c r="I1450" s="922"/>
      <c r="J1450" s="922"/>
      <c r="K1450" s="924"/>
      <c r="L1450" s="920"/>
      <c r="M1450" s="932"/>
      <c r="N1450" s="934"/>
      <c r="O1450" s="362"/>
    </row>
    <row r="1451" spans="1:15" ht="15.75" customHeight="1">
      <c r="A1451" s="395"/>
      <c r="B1451" s="399"/>
      <c r="C1451" s="920"/>
      <c r="D1451" s="924"/>
      <c r="E1451" s="919" t="str">
        <f>Datos!$C$13</f>
        <v xml:space="preserve">BGA - 030 - 2026 </v>
      </c>
      <c r="F1451" s="922"/>
      <c r="G1451" s="922"/>
      <c r="H1451" s="922"/>
      <c r="I1451" s="922"/>
      <c r="J1451" s="922"/>
      <c r="K1451" s="922"/>
      <c r="L1451" s="925" t="s">
        <v>29</v>
      </c>
      <c r="M1451" s="926"/>
      <c r="N1451" s="927"/>
      <c r="O1451" s="362"/>
    </row>
    <row r="1452" spans="1:15" ht="15.75" customHeight="1">
      <c r="A1452" s="395"/>
      <c r="B1452" s="399"/>
      <c r="C1452" s="920"/>
      <c r="D1452" s="924"/>
      <c r="E145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452" s="922"/>
      <c r="G1452" s="922"/>
      <c r="H1452" s="922"/>
      <c r="I1452" s="922"/>
      <c r="J1452" s="922"/>
      <c r="K1452" s="924"/>
      <c r="L1452" s="919">
        <v>1</v>
      </c>
      <c r="M1452" s="921" t="s">
        <v>30</v>
      </c>
      <c r="N1452" s="923">
        <v>1</v>
      </c>
      <c r="O1452" s="362"/>
    </row>
    <row r="1453" spans="1:15" ht="15.75" customHeight="1">
      <c r="A1453" s="395"/>
      <c r="B1453" s="399"/>
      <c r="C1453" s="920"/>
      <c r="D1453" s="924"/>
      <c r="E1453" s="920"/>
      <c r="F1453" s="922"/>
      <c r="G1453" s="922"/>
      <c r="H1453" s="922"/>
      <c r="I1453" s="922"/>
      <c r="J1453" s="922"/>
      <c r="K1453" s="924"/>
      <c r="L1453" s="920"/>
      <c r="M1453" s="922"/>
      <c r="N1453" s="924"/>
      <c r="O1453" s="362"/>
    </row>
    <row r="1454" spans="1:15" ht="15.75" customHeight="1">
      <c r="A1454" s="395"/>
      <c r="B1454" s="399"/>
      <c r="C1454" s="920"/>
      <c r="D1454" s="924"/>
      <c r="E1454" s="920"/>
      <c r="F1454" s="922"/>
      <c r="G1454" s="922"/>
      <c r="H1454" s="922"/>
      <c r="I1454" s="922"/>
      <c r="J1454" s="922"/>
      <c r="K1454" s="924"/>
      <c r="L1454" s="925" t="s">
        <v>2</v>
      </c>
      <c r="M1454" s="926"/>
      <c r="N1454" s="927"/>
      <c r="O1454" s="362"/>
    </row>
    <row r="1455" spans="1:15" ht="15.75" customHeight="1">
      <c r="A1455" s="395"/>
      <c r="B1455" s="399"/>
      <c r="C1455" s="920"/>
      <c r="D1455" s="924"/>
      <c r="E1455" s="407"/>
      <c r="F1455" s="216"/>
      <c r="G1455" s="216"/>
      <c r="H1455" s="216"/>
      <c r="I1455" s="216"/>
      <c r="J1455" s="216"/>
      <c r="K1455" s="216"/>
      <c r="L1455" s="408" t="s">
        <v>3</v>
      </c>
      <c r="M1455" s="409" t="s">
        <v>4</v>
      </c>
      <c r="N1455" s="410" t="s">
        <v>5</v>
      </c>
      <c r="O1455" s="362"/>
    </row>
    <row r="1456" spans="1:15" ht="15.75" customHeight="1">
      <c r="A1456" s="395"/>
      <c r="B1456" s="399"/>
      <c r="C1456" s="920"/>
      <c r="D1456" s="924"/>
      <c r="E1456" s="1125" t="s">
        <v>1186</v>
      </c>
      <c r="F1456" s="945"/>
      <c r="G1456" s="945"/>
      <c r="H1456" s="945"/>
      <c r="I1456" s="945"/>
      <c r="J1456" s="945"/>
      <c r="K1456" s="945"/>
      <c r="L1456" s="928">
        <f>Datos!$C$7</f>
        <v>19</v>
      </c>
      <c r="M1456" s="935">
        <f>Datos!$D$7</f>
        <v>6</v>
      </c>
      <c r="N1456" s="937">
        <f>Datos!$E$7</f>
        <v>2026</v>
      </c>
      <c r="O1456" s="362"/>
    </row>
    <row r="1457" spans="1:15" ht="15.75" customHeight="1">
      <c r="A1457" s="395"/>
      <c r="B1457" s="399"/>
      <c r="C1457" s="929"/>
      <c r="D1457" s="938"/>
      <c r="E1457" s="929"/>
      <c r="F1457" s="936"/>
      <c r="G1457" s="936"/>
      <c r="H1457" s="936"/>
      <c r="I1457" s="936"/>
      <c r="J1457" s="936"/>
      <c r="K1457" s="936"/>
      <c r="L1457" s="929"/>
      <c r="M1457" s="936"/>
      <c r="N1457" s="938"/>
      <c r="O1457" s="362"/>
    </row>
    <row r="1458" spans="1:15" ht="15.75" customHeight="1">
      <c r="A1458" s="395"/>
      <c r="B1458" s="399"/>
      <c r="C1458" s="404"/>
      <c r="D1458" s="38"/>
      <c r="E1458" s="38"/>
      <c r="F1458" s="38"/>
      <c r="G1458" s="38"/>
      <c r="H1458" s="38"/>
      <c r="I1458" s="38"/>
      <c r="J1458" s="38"/>
      <c r="K1458" s="38"/>
      <c r="L1458" s="39"/>
      <c r="M1458" s="39"/>
      <c r="N1458" s="40"/>
      <c r="O1458" s="362"/>
    </row>
    <row r="1459" spans="1:15" ht="15.75" customHeight="1">
      <c r="A1459" s="395"/>
      <c r="B1459" s="399"/>
      <c r="C1459" s="412" t="s">
        <v>1187</v>
      </c>
      <c r="D1459" s="1199" t="str">
        <f>VLOOKUP(C1464,ListaAct,2,0)</f>
        <v>OBRA CIVIL</v>
      </c>
      <c r="E1459" s="922"/>
      <c r="F1459" s="922"/>
      <c r="G1459" s="922"/>
      <c r="H1459" s="922"/>
      <c r="I1459" s="922"/>
      <c r="J1459" s="922"/>
      <c r="K1459" s="922"/>
      <c r="L1459" s="922"/>
      <c r="M1459" s="1"/>
      <c r="N1459" s="413"/>
      <c r="O1459" s="362"/>
    </row>
    <row r="1460" spans="1:15" ht="15.75" customHeight="1">
      <c r="A1460" s="395"/>
      <c r="B1460" s="399"/>
      <c r="C1460" s="412" t="s">
        <v>1189</v>
      </c>
      <c r="D1460" s="1199" t="str">
        <f>VLOOKUP(C1464,ListaAct,3,0)</f>
        <v>REFORZAMIENTO ESTRUCTURAL</v>
      </c>
      <c r="E1460" s="922"/>
      <c r="F1460" s="922"/>
      <c r="G1460" s="922"/>
      <c r="H1460" s="922"/>
      <c r="I1460" s="922"/>
      <c r="J1460" s="922"/>
      <c r="K1460" s="922"/>
      <c r="L1460" s="922"/>
      <c r="M1460" s="1"/>
      <c r="N1460" s="413"/>
      <c r="O1460" s="362"/>
    </row>
    <row r="1461" spans="1:15" ht="15.75" customHeight="1">
      <c r="A1461" s="395"/>
      <c r="B1461" s="399"/>
      <c r="C1461" s="925" t="s">
        <v>1191</v>
      </c>
      <c r="D1461" s="926"/>
      <c r="E1461" s="926"/>
      <c r="F1461" s="926"/>
      <c r="G1461" s="926"/>
      <c r="H1461" s="926"/>
      <c r="I1461" s="926"/>
      <c r="J1461" s="926"/>
      <c r="K1461" s="926"/>
      <c r="L1461" s="926"/>
      <c r="M1461" s="926"/>
      <c r="N1461" s="927"/>
      <c r="O1461" s="362"/>
    </row>
    <row r="1462" spans="1:15" ht="15.75" customHeight="1">
      <c r="A1462" s="395"/>
      <c r="B1462" s="399"/>
      <c r="C1462" s="418"/>
      <c r="D1462" s="39"/>
      <c r="E1462" s="39"/>
      <c r="F1462" s="39"/>
      <c r="G1462" s="39"/>
      <c r="H1462" s="39"/>
      <c r="I1462" s="39"/>
      <c r="J1462" s="39"/>
      <c r="K1462" s="39"/>
      <c r="L1462" s="39"/>
      <c r="M1462" s="39"/>
      <c r="N1462" s="40"/>
      <c r="O1462" s="362"/>
    </row>
    <row r="1463" spans="1:15" ht="15.75" customHeight="1">
      <c r="A1463" s="395"/>
      <c r="B1463" s="399"/>
      <c r="C1463" s="668" t="s">
        <v>965</v>
      </c>
      <c r="D1463" s="1200" t="s">
        <v>17</v>
      </c>
      <c r="E1463" s="1131"/>
      <c r="F1463" s="1131"/>
      <c r="G1463" s="1131"/>
      <c r="H1463" s="1131"/>
      <c r="I1463" s="1131"/>
      <c r="J1463" s="1131"/>
      <c r="K1463" s="1137"/>
      <c r="L1463" s="1201" t="s">
        <v>1192</v>
      </c>
      <c r="M1463" s="1137"/>
      <c r="N1463" s="668" t="s">
        <v>950</v>
      </c>
      <c r="O1463" s="362"/>
    </row>
    <row r="1464" spans="1:15" ht="15.75" customHeight="1">
      <c r="A1464" s="395"/>
      <c r="B1464" s="421"/>
      <c r="C1464" s="669" t="s">
        <v>1036</v>
      </c>
      <c r="D1464" s="1202" t="str">
        <f>IF($C1464&gt;0,(VLOOKUP($C1464,ListaAct,4,FALSE)),"")</f>
        <v>Platina metalica de 3/16" para esquinero, según especificaciones. Incluye tornillos.</v>
      </c>
      <c r="E1464" s="979"/>
      <c r="F1464" s="979"/>
      <c r="G1464" s="979"/>
      <c r="H1464" s="979"/>
      <c r="I1464" s="979"/>
      <c r="J1464" s="979"/>
      <c r="K1464" s="980"/>
      <c r="L1464" s="1203" t="str">
        <f>IF($C1464&gt;0,(VLOOKUP($C1464,ListaAct,5,FALSE)),"")</f>
        <v>und</v>
      </c>
      <c r="M1464" s="980"/>
      <c r="N1464" s="423">
        <f>IF($C1464&gt;0,(VLOOKUP($C1464,ListaAct,6,FALSE)),"")</f>
        <v>6</v>
      </c>
      <c r="O1464" s="362"/>
    </row>
    <row r="1465" spans="1:15" ht="15.75" customHeight="1">
      <c r="A1465" s="395"/>
      <c r="B1465" s="399"/>
      <c r="C1465" s="1129" t="s">
        <v>1195</v>
      </c>
      <c r="D1465" s="926"/>
      <c r="E1465" s="926"/>
      <c r="F1465" s="926"/>
      <c r="G1465" s="926"/>
      <c r="H1465" s="926"/>
      <c r="I1465" s="926"/>
      <c r="J1465" s="926"/>
      <c r="K1465" s="926"/>
      <c r="L1465" s="926"/>
      <c r="M1465" s="926"/>
      <c r="N1465" s="927"/>
      <c r="O1465" s="362"/>
    </row>
    <row r="1466" spans="1:15" ht="15.75" customHeight="1">
      <c r="A1466" s="395"/>
      <c r="B1466" s="399"/>
      <c r="C1466" s="920"/>
      <c r="D1466" s="922"/>
      <c r="E1466" s="922"/>
      <c r="F1466" s="922"/>
      <c r="G1466" s="922"/>
      <c r="H1466" s="922"/>
      <c r="I1466" s="922"/>
      <c r="J1466" s="922"/>
      <c r="K1466" s="922"/>
      <c r="L1466" s="922"/>
      <c r="M1466" s="922"/>
      <c r="N1466" s="924"/>
      <c r="O1466" s="362"/>
    </row>
    <row r="1467" spans="1:15" ht="15.75" customHeight="1">
      <c r="A1467" s="395"/>
      <c r="B1467" s="399"/>
      <c r="C1467" s="929"/>
      <c r="D1467" s="936"/>
      <c r="E1467" s="936"/>
      <c r="F1467" s="936"/>
      <c r="G1467" s="936"/>
      <c r="H1467" s="936"/>
      <c r="I1467" s="936"/>
      <c r="J1467" s="936"/>
      <c r="K1467" s="936"/>
      <c r="L1467" s="936"/>
      <c r="M1467" s="936"/>
      <c r="N1467" s="938"/>
      <c r="O1467" s="362"/>
    </row>
    <row r="1468" spans="1:15" ht="15.75" customHeight="1">
      <c r="A1468" s="395"/>
      <c r="B1468" s="399"/>
      <c r="C1468" s="1201" t="s">
        <v>17</v>
      </c>
      <c r="D1468" s="1131"/>
      <c r="E1468" s="1131"/>
      <c r="F1468" s="1000"/>
      <c r="G1468" s="1204" t="s">
        <v>1196</v>
      </c>
      <c r="H1468" s="1000"/>
      <c r="I1468" s="1204" t="s">
        <v>1197</v>
      </c>
      <c r="J1468" s="1000"/>
      <c r="K1468" s="670" t="s">
        <v>1213</v>
      </c>
      <c r="L1468" s="1204" t="s">
        <v>1199</v>
      </c>
      <c r="M1468" s="1000"/>
      <c r="N1468" s="671" t="s">
        <v>1200</v>
      </c>
      <c r="O1468" s="362"/>
    </row>
    <row r="1469" spans="1:15" ht="15.75" customHeight="1">
      <c r="A1469" s="395"/>
      <c r="B1469" s="399"/>
      <c r="C1469" s="1128" t="s">
        <v>1201</v>
      </c>
      <c r="D1469" s="940"/>
      <c r="E1469" s="940"/>
      <c r="F1469" s="941"/>
      <c r="G1469" s="1142"/>
      <c r="H1469" s="941"/>
      <c r="I1469" s="1142"/>
      <c r="J1469" s="941"/>
      <c r="K1469" s="429"/>
      <c r="L1469" s="1143">
        <v>0.06</v>
      </c>
      <c r="M1469" s="941"/>
      <c r="N1469" s="430">
        <f>+L1469*N1508</f>
        <v>659.4238373498896</v>
      </c>
      <c r="O1469" s="362"/>
    </row>
    <row r="1470" spans="1:15" ht="15.75" customHeight="1">
      <c r="A1470" s="395">
        <f t="array" ref="A1470">IF(C1470&lt;&gt;0,INDEX(CodEquipos,MATCH(C1470,Equipos,0),),)</f>
        <v>0</v>
      </c>
      <c r="B1470" s="399"/>
      <c r="C1470" s="1128"/>
      <c r="D1470" s="940"/>
      <c r="E1470" s="940"/>
      <c r="F1470" s="941"/>
      <c r="G1470" s="1142"/>
      <c r="H1470" s="941"/>
      <c r="I1470" s="1142"/>
      <c r="J1470" s="941"/>
      <c r="K1470" s="432" t="str">
        <f>IF($A1470&gt;0,(VLOOKUP($A1470,TablaEquipos,7,FALSE)),"")</f>
        <v/>
      </c>
      <c r="L1470" s="1146"/>
      <c r="M1470" s="941"/>
      <c r="N1470" s="430" t="str">
        <f t="shared" ref="N1470:N1474" si="114">IF(L1470&gt;0,K1470/L1470,"")</f>
        <v/>
      </c>
      <c r="O1470" s="362"/>
    </row>
    <row r="1471" spans="1:15" ht="15.75" customHeight="1">
      <c r="A1471" s="395">
        <f t="array" ref="A1471">IF(C1471&lt;&gt;0,INDEX(CodEquipos,MATCH(C1471,Equipos,0),),)</f>
        <v>0</v>
      </c>
      <c r="B1471" s="399"/>
      <c r="C1471" s="1128"/>
      <c r="D1471" s="940"/>
      <c r="E1471" s="940"/>
      <c r="F1471" s="941"/>
      <c r="G1471" s="1142"/>
      <c r="H1471" s="941"/>
      <c r="I1471" s="1142"/>
      <c r="J1471" s="941"/>
      <c r="K1471" s="432" t="str">
        <f>IF($A1471&gt;0,(VLOOKUP($A1471,TablaEquipos,7,FALSE)),"")</f>
        <v/>
      </c>
      <c r="L1471" s="1146"/>
      <c r="M1471" s="941"/>
      <c r="N1471" s="430" t="str">
        <f t="shared" si="114"/>
        <v/>
      </c>
      <c r="O1471" s="362"/>
    </row>
    <row r="1472" spans="1:15" ht="15.75" customHeight="1">
      <c r="A1472" s="395">
        <f t="array" ref="A1472">IF(C1472&lt;&gt;0,INDEX(CodEquipos,MATCH(C1472,Equipos,0),),)</f>
        <v>0</v>
      </c>
      <c r="B1472" s="399"/>
      <c r="C1472" s="1128"/>
      <c r="D1472" s="940"/>
      <c r="E1472" s="940"/>
      <c r="F1472" s="941"/>
      <c r="G1472" s="1142"/>
      <c r="H1472" s="941"/>
      <c r="I1472" s="1142"/>
      <c r="J1472" s="941"/>
      <c r="K1472" s="432" t="str">
        <f>IF($A1472&gt;0,(VLOOKUP($A1472,TablaEquipos,7,FALSE)),"")</f>
        <v/>
      </c>
      <c r="L1472" s="1146"/>
      <c r="M1472" s="941"/>
      <c r="N1472" s="430" t="str">
        <f t="shared" si="114"/>
        <v/>
      </c>
      <c r="O1472" s="362"/>
    </row>
    <row r="1473" spans="1:17" ht="15.75" customHeight="1">
      <c r="A1473" s="395">
        <f t="array" ref="A1473">IF(C1473&lt;&gt;0,INDEX(CodEquipos,MATCH(C1473,Equipos,0),),)</f>
        <v>0</v>
      </c>
      <c r="B1473" s="399"/>
      <c r="C1473" s="1128"/>
      <c r="D1473" s="940"/>
      <c r="E1473" s="940"/>
      <c r="F1473" s="941"/>
      <c r="G1473" s="1142"/>
      <c r="H1473" s="941"/>
      <c r="I1473" s="1142"/>
      <c r="J1473" s="941"/>
      <c r="K1473" s="432" t="str">
        <f>IF($A1473&gt;0,(VLOOKUP($A1473,TablaEquipos,7,FALSE)),"")</f>
        <v/>
      </c>
      <c r="L1473" s="1141"/>
      <c r="M1473" s="941"/>
      <c r="N1473" s="430" t="str">
        <f t="shared" si="114"/>
        <v/>
      </c>
      <c r="O1473" s="362"/>
    </row>
    <row r="1474" spans="1:17" ht="15.75" customHeight="1">
      <c r="A1474" s="395">
        <f t="array" ref="A1474">IF(C1474&lt;&gt;0,INDEX(CodEquipos,MATCH(C1474,Equipos,0),),)</f>
        <v>0</v>
      </c>
      <c r="B1474" s="399"/>
      <c r="C1474" s="1128"/>
      <c r="D1474" s="940"/>
      <c r="E1474" s="940"/>
      <c r="F1474" s="941"/>
      <c r="G1474" s="1144"/>
      <c r="H1474" s="1145"/>
      <c r="I1474" s="1144"/>
      <c r="J1474" s="1145"/>
      <c r="K1474" s="432" t="str">
        <f>IF($A1474&gt;0,(VLOOKUP($A1474,TablaEquipos,7,FALSE)),"")</f>
        <v/>
      </c>
      <c r="L1474" s="1208"/>
      <c r="M1474" s="1145"/>
      <c r="N1474" s="430" t="str">
        <f t="shared" si="114"/>
        <v/>
      </c>
      <c r="O1474" s="362"/>
    </row>
    <row r="1475" spans="1:17" ht="15.75" customHeight="1">
      <c r="A1475" s="395"/>
      <c r="B1475" s="399"/>
      <c r="C1475" s="1127" t="s">
        <v>1202</v>
      </c>
      <c r="D1475" s="965"/>
      <c r="E1475" s="965"/>
      <c r="F1475" s="965"/>
      <c r="G1475" s="965"/>
      <c r="H1475" s="965"/>
      <c r="I1475" s="965"/>
      <c r="J1475" s="965"/>
      <c r="K1475" s="965"/>
      <c r="L1475" s="965"/>
      <c r="M1475" s="966"/>
      <c r="N1475" s="433">
        <f>+SUM(N1469:N1474)</f>
        <v>659.4238373498896</v>
      </c>
      <c r="O1475" s="362"/>
    </row>
    <row r="1476" spans="1:17" ht="15.75" customHeight="1">
      <c r="A1476" s="395"/>
      <c r="B1476" s="399"/>
      <c r="C1476" s="1129" t="s">
        <v>1203</v>
      </c>
      <c r="D1476" s="926"/>
      <c r="E1476" s="926"/>
      <c r="F1476" s="926"/>
      <c r="G1476" s="926"/>
      <c r="H1476" s="926"/>
      <c r="I1476" s="926"/>
      <c r="J1476" s="926"/>
      <c r="K1476" s="926"/>
      <c r="L1476" s="926"/>
      <c r="M1476" s="926"/>
      <c r="N1476" s="927"/>
      <c r="O1476" s="362"/>
    </row>
    <row r="1477" spans="1:17" ht="15.75" customHeight="1">
      <c r="A1477" s="395"/>
      <c r="B1477" s="399"/>
      <c r="C1477" s="920"/>
      <c r="D1477" s="922"/>
      <c r="E1477" s="922"/>
      <c r="F1477" s="922"/>
      <c r="G1477" s="922"/>
      <c r="H1477" s="922"/>
      <c r="I1477" s="922"/>
      <c r="J1477" s="922"/>
      <c r="K1477" s="922"/>
      <c r="L1477" s="922"/>
      <c r="M1477" s="922"/>
      <c r="N1477" s="924"/>
      <c r="O1477" s="362"/>
    </row>
    <row r="1478" spans="1:17" ht="15.75" customHeight="1">
      <c r="A1478" s="395"/>
      <c r="B1478" s="399"/>
      <c r="C1478" s="929"/>
      <c r="D1478" s="936"/>
      <c r="E1478" s="936"/>
      <c r="F1478" s="936"/>
      <c r="G1478" s="936"/>
      <c r="H1478" s="936"/>
      <c r="I1478" s="936"/>
      <c r="J1478" s="936"/>
      <c r="K1478" s="936"/>
      <c r="L1478" s="936"/>
      <c r="M1478" s="936"/>
      <c r="N1478" s="938"/>
      <c r="O1478" s="362"/>
    </row>
    <row r="1479" spans="1:17" ht="15.75" customHeight="1">
      <c r="A1479" s="395"/>
      <c r="B1479" s="399"/>
      <c r="C1479" s="1201" t="s">
        <v>17</v>
      </c>
      <c r="D1479" s="1131"/>
      <c r="E1479" s="1131"/>
      <c r="F1479" s="1131"/>
      <c r="G1479" s="1131"/>
      <c r="H1479" s="1131"/>
      <c r="I1479" s="1000"/>
      <c r="J1479" s="672" t="s">
        <v>1192</v>
      </c>
      <c r="K1479" s="670" t="s">
        <v>950</v>
      </c>
      <c r="L1479" s="1204" t="s">
        <v>1204</v>
      </c>
      <c r="M1479" s="1000"/>
      <c r="N1479" s="671" t="s">
        <v>1200</v>
      </c>
      <c r="O1479" s="362"/>
    </row>
    <row r="1480" spans="1:17" ht="15.75" customHeight="1">
      <c r="A1480" s="395" t="str">
        <f t="array" ref="A1480">IF(C1480&lt;&gt;0,INDEX(CodMat,MATCH(C1480,Materiales,0),),)</f>
        <v>MAT_M-29</v>
      </c>
      <c r="B1480" s="399"/>
      <c r="C1480" s="1128" t="s">
        <v>1511</v>
      </c>
      <c r="D1480" s="940"/>
      <c r="E1480" s="940"/>
      <c r="F1480" s="940"/>
      <c r="G1480" s="940"/>
      <c r="H1480" s="940"/>
      <c r="I1480" s="941"/>
      <c r="J1480" s="435" t="str">
        <f t="shared" ref="J1480:J1487" si="115">IF($A1480&gt;0,(VLOOKUP($A1480,TablaInsumos,5,FALSE)),"")</f>
        <v>UND</v>
      </c>
      <c r="K1480" s="673">
        <v>1</v>
      </c>
      <c r="L1480" s="1134">
        <f t="shared" ref="L1480:L1487" si="116">IF($A1480&gt;0,(VLOOKUP($A1480,TablaInsumos,7,FALSE)),"")</f>
        <v>124908</v>
      </c>
      <c r="M1480" s="941"/>
      <c r="N1480" s="430">
        <f t="shared" ref="N1480:N1487" si="117">IF(K1480&gt;0,L1480*K1480,"")</f>
        <v>124908</v>
      </c>
      <c r="O1480" s="362"/>
    </row>
    <row r="1481" spans="1:17" ht="15.75" customHeight="1">
      <c r="A1481" s="395">
        <f t="array" ref="A1481">IF(C1481&lt;&gt;0,INDEX(CodMat,MATCH(C1481,Materiales,0),),)</f>
        <v>0</v>
      </c>
      <c r="B1481" s="399"/>
      <c r="C1481" s="1128"/>
      <c r="D1481" s="940"/>
      <c r="E1481" s="940"/>
      <c r="F1481" s="940"/>
      <c r="G1481" s="940"/>
      <c r="H1481" s="940"/>
      <c r="I1481" s="941"/>
      <c r="J1481" s="435" t="str">
        <f t="shared" si="115"/>
        <v/>
      </c>
      <c r="K1481" s="673"/>
      <c r="L1481" s="1134" t="str">
        <f t="shared" si="116"/>
        <v/>
      </c>
      <c r="M1481" s="941"/>
      <c r="N1481" s="430" t="str">
        <f t="shared" si="117"/>
        <v/>
      </c>
      <c r="O1481" s="362"/>
      <c r="Q1481" s="688"/>
    </row>
    <row r="1482" spans="1:17" ht="15.75" customHeight="1">
      <c r="A1482" s="395">
        <f t="array" ref="A1482">IF(C1482&lt;&gt;0,INDEX(CodMat,MATCH(C1482,Materiales,0),),)</f>
        <v>0</v>
      </c>
      <c r="B1482" s="399"/>
      <c r="C1482" s="1128"/>
      <c r="D1482" s="940"/>
      <c r="E1482" s="940"/>
      <c r="F1482" s="940"/>
      <c r="G1482" s="940"/>
      <c r="H1482" s="940"/>
      <c r="I1482" s="941"/>
      <c r="J1482" s="435" t="str">
        <f t="shared" si="115"/>
        <v/>
      </c>
      <c r="K1482" s="673"/>
      <c r="L1482" s="1134" t="str">
        <f t="shared" si="116"/>
        <v/>
      </c>
      <c r="M1482" s="941"/>
      <c r="N1482" s="430" t="str">
        <f t="shared" si="117"/>
        <v/>
      </c>
      <c r="O1482" s="362"/>
      <c r="Q1482" s="687"/>
    </row>
    <row r="1483" spans="1:17" ht="15.75" customHeight="1">
      <c r="A1483" s="395">
        <f t="array" ref="A1483">IF(C1483&lt;&gt;0,INDEX(CodMat,MATCH(C1483,Materiales,0),),)</f>
        <v>0</v>
      </c>
      <c r="B1483" s="399"/>
      <c r="C1483" s="1128"/>
      <c r="D1483" s="940"/>
      <c r="E1483" s="940"/>
      <c r="F1483" s="940"/>
      <c r="G1483" s="940"/>
      <c r="H1483" s="940"/>
      <c r="I1483" s="941"/>
      <c r="J1483" s="435" t="str">
        <f t="shared" si="115"/>
        <v/>
      </c>
      <c r="K1483" s="673"/>
      <c r="L1483" s="1134" t="str">
        <f t="shared" si="116"/>
        <v/>
      </c>
      <c r="M1483" s="941"/>
      <c r="N1483" s="430" t="str">
        <f t="shared" si="117"/>
        <v/>
      </c>
      <c r="O1483" s="362"/>
    </row>
    <row r="1484" spans="1:17" ht="15.75" customHeight="1">
      <c r="A1484" s="395">
        <f t="array" ref="A1484">IF(C1484&lt;&gt;0,INDEX(CodMat,MATCH(C1484,Materiales,0),),)</f>
        <v>0</v>
      </c>
      <c r="B1484" s="399"/>
      <c r="C1484" s="1128"/>
      <c r="D1484" s="940"/>
      <c r="E1484" s="940"/>
      <c r="F1484" s="940"/>
      <c r="G1484" s="940"/>
      <c r="H1484" s="940"/>
      <c r="I1484" s="941"/>
      <c r="J1484" s="435" t="str">
        <f t="shared" si="115"/>
        <v/>
      </c>
      <c r="K1484" s="436"/>
      <c r="L1484" s="1134" t="str">
        <f t="shared" si="116"/>
        <v/>
      </c>
      <c r="M1484" s="941"/>
      <c r="N1484" s="430" t="str">
        <f t="shared" si="117"/>
        <v/>
      </c>
      <c r="O1484" s="362"/>
    </row>
    <row r="1485" spans="1:17" ht="15.75" customHeight="1">
      <c r="A1485" s="395">
        <f t="array" ref="A1485">IF(C1485&lt;&gt;0,INDEX(CodMat,MATCH(C1485,Materiales,0),),)</f>
        <v>0</v>
      </c>
      <c r="B1485" s="399"/>
      <c r="C1485" s="1128"/>
      <c r="D1485" s="940"/>
      <c r="E1485" s="940"/>
      <c r="F1485" s="940"/>
      <c r="G1485" s="940"/>
      <c r="H1485" s="940"/>
      <c r="I1485" s="941"/>
      <c r="J1485" s="435" t="str">
        <f t="shared" si="115"/>
        <v/>
      </c>
      <c r="K1485" s="436"/>
      <c r="L1485" s="1134" t="str">
        <f t="shared" si="116"/>
        <v/>
      </c>
      <c r="M1485" s="941"/>
      <c r="N1485" s="430" t="str">
        <f t="shared" si="117"/>
        <v/>
      </c>
      <c r="O1485" s="362"/>
    </row>
    <row r="1486" spans="1:17" ht="15.75" customHeight="1">
      <c r="A1486" s="395">
        <f t="array" ref="A1486">IF(C1486&lt;&gt;0,INDEX(CodMat,MATCH(C1486,Materiales,0),),)</f>
        <v>0</v>
      </c>
      <c r="B1486" s="399"/>
      <c r="C1486" s="1128"/>
      <c r="D1486" s="940"/>
      <c r="E1486" s="940"/>
      <c r="F1486" s="940"/>
      <c r="G1486" s="940"/>
      <c r="H1486" s="940"/>
      <c r="I1486" s="941"/>
      <c r="J1486" s="435" t="str">
        <f t="shared" si="115"/>
        <v/>
      </c>
      <c r="K1486" s="436"/>
      <c r="L1486" s="1134" t="str">
        <f t="shared" si="116"/>
        <v/>
      </c>
      <c r="M1486" s="941"/>
      <c r="N1486" s="430" t="str">
        <f t="shared" si="117"/>
        <v/>
      </c>
      <c r="O1486" s="362"/>
    </row>
    <row r="1487" spans="1:17" ht="15.75" customHeight="1">
      <c r="A1487" s="395">
        <f t="array" ref="A1487">IF(C1487&lt;&gt;0,INDEX(CodMat,MATCH(C1487,Materiales,0),),)</f>
        <v>0</v>
      </c>
      <c r="B1487" s="399"/>
      <c r="C1487" s="1128"/>
      <c r="D1487" s="940"/>
      <c r="E1487" s="940"/>
      <c r="F1487" s="940"/>
      <c r="G1487" s="940"/>
      <c r="H1487" s="940"/>
      <c r="I1487" s="941"/>
      <c r="J1487" s="435" t="str">
        <f t="shared" si="115"/>
        <v/>
      </c>
      <c r="K1487" s="436"/>
      <c r="L1487" s="1205" t="str">
        <f t="shared" si="116"/>
        <v/>
      </c>
      <c r="M1487" s="1145"/>
      <c r="N1487" s="430" t="str">
        <f t="shared" si="117"/>
        <v/>
      </c>
      <c r="O1487" s="362"/>
    </row>
    <row r="1488" spans="1:17" ht="15.75" customHeight="1">
      <c r="A1488" s="395"/>
      <c r="B1488" s="399"/>
      <c r="C1488" s="1127" t="s">
        <v>1202</v>
      </c>
      <c r="D1488" s="965"/>
      <c r="E1488" s="965"/>
      <c r="F1488" s="965"/>
      <c r="G1488" s="965"/>
      <c r="H1488" s="965"/>
      <c r="I1488" s="965"/>
      <c r="J1488" s="965"/>
      <c r="K1488" s="965"/>
      <c r="L1488" s="965"/>
      <c r="M1488" s="966"/>
      <c r="N1488" s="433">
        <f>+SUM(N1480:N1487)</f>
        <v>124908</v>
      </c>
      <c r="O1488" s="362"/>
    </row>
    <row r="1489" spans="1:15" ht="15.75" customHeight="1">
      <c r="A1489" s="395"/>
      <c r="B1489" s="399"/>
      <c r="C1489" s="1129" t="s">
        <v>1208</v>
      </c>
      <c r="D1489" s="926"/>
      <c r="E1489" s="926"/>
      <c r="F1489" s="926"/>
      <c r="G1489" s="926"/>
      <c r="H1489" s="926"/>
      <c r="I1489" s="926"/>
      <c r="J1489" s="926"/>
      <c r="K1489" s="926"/>
      <c r="L1489" s="926"/>
      <c r="M1489" s="926"/>
      <c r="N1489" s="927"/>
      <c r="O1489" s="362"/>
    </row>
    <row r="1490" spans="1:15" ht="15.75" customHeight="1">
      <c r="A1490" s="395"/>
      <c r="B1490" s="399"/>
      <c r="C1490" s="920"/>
      <c r="D1490" s="922"/>
      <c r="E1490" s="922"/>
      <c r="F1490" s="922"/>
      <c r="G1490" s="922"/>
      <c r="H1490" s="922"/>
      <c r="I1490" s="922"/>
      <c r="J1490" s="922"/>
      <c r="K1490" s="922"/>
      <c r="L1490" s="922"/>
      <c r="M1490" s="922"/>
      <c r="N1490" s="924"/>
      <c r="O1490" s="362"/>
    </row>
    <row r="1491" spans="1:15" ht="15.75" customHeight="1">
      <c r="A1491" s="395"/>
      <c r="B1491" s="399"/>
      <c r="C1491" s="929"/>
      <c r="D1491" s="936"/>
      <c r="E1491" s="936"/>
      <c r="F1491" s="936"/>
      <c r="G1491" s="936"/>
      <c r="H1491" s="936"/>
      <c r="I1491" s="936"/>
      <c r="J1491" s="936"/>
      <c r="K1491" s="936"/>
      <c r="L1491" s="936"/>
      <c r="M1491" s="936"/>
      <c r="N1491" s="938"/>
      <c r="O1491" s="362"/>
    </row>
    <row r="1492" spans="1:15" ht="15.75" customHeight="1">
      <c r="A1492" s="395"/>
      <c r="B1492" s="399"/>
      <c r="C1492" s="1201" t="s">
        <v>1209</v>
      </c>
      <c r="D1492" s="1131"/>
      <c r="E1492" s="1131"/>
      <c r="F1492" s="1131"/>
      <c r="G1492" s="1131"/>
      <c r="H1492" s="1000"/>
      <c r="I1492" s="670" t="s">
        <v>1210</v>
      </c>
      <c r="J1492" s="674" t="s">
        <v>1211</v>
      </c>
      <c r="K1492" s="675" t="s">
        <v>2318</v>
      </c>
      <c r="L1492" s="1204" t="s">
        <v>1213</v>
      </c>
      <c r="M1492" s="1000"/>
      <c r="N1492" s="671" t="s">
        <v>1200</v>
      </c>
      <c r="O1492" s="362"/>
    </row>
    <row r="1493" spans="1:15" ht="15.75" customHeight="1">
      <c r="A1493" s="395">
        <f t="array" ref="A1493">IF(C1493&lt;&gt;0,INDEX(CodTransporte,MATCH(C1493,Transporte,0),),)</f>
        <v>0</v>
      </c>
      <c r="B1493" s="399"/>
      <c r="C1493" s="1128"/>
      <c r="D1493" s="940"/>
      <c r="E1493" s="940"/>
      <c r="F1493" s="940"/>
      <c r="G1493" s="940"/>
      <c r="H1493" s="940"/>
      <c r="I1493" s="440"/>
      <c r="J1493" s="441" t="str">
        <f>IF($A1493&gt;0,(VLOOKUP($A1493,TablaTransporte,6,FALSE)),"")</f>
        <v/>
      </c>
      <c r="K1493" s="442" t="str">
        <f>IF($A1493&gt;0,(VLOOKUP($A1493,TablaTransporte,5,FALSE)),"")</f>
        <v/>
      </c>
      <c r="L1493" s="1134" t="str">
        <f>IF($A1493&gt;0,(VLOOKUP($A1493,TablaTransporte,7,FALSE)),"")</f>
        <v/>
      </c>
      <c r="M1493" s="941"/>
      <c r="N1493" s="430" t="str">
        <f t="shared" ref="N1493:N1497" si="118">IF(I1493&gt;0,J1493*L1493*I1493,"")</f>
        <v/>
      </c>
      <c r="O1493" s="362"/>
    </row>
    <row r="1494" spans="1:15" ht="15.75" customHeight="1">
      <c r="A1494" s="395">
        <f t="array" ref="A1494">IF(C1494&lt;&gt;0,INDEX(CodTransporte,MATCH(C1494,Transporte,0),),)</f>
        <v>0</v>
      </c>
      <c r="B1494" s="399"/>
      <c r="C1494" s="1128"/>
      <c r="D1494" s="940"/>
      <c r="E1494" s="940"/>
      <c r="F1494" s="940"/>
      <c r="G1494" s="940"/>
      <c r="H1494" s="940"/>
      <c r="I1494" s="440"/>
      <c r="J1494" s="441" t="str">
        <f>IF($A1494&gt;0,(VLOOKUP($A1494,TablaTransporte,6,FALSE)),"")</f>
        <v/>
      </c>
      <c r="K1494" s="442" t="str">
        <f>IF($A1494&gt;0,(VLOOKUP($A1494,TablaTransporte,5,FALSE)),"")</f>
        <v/>
      </c>
      <c r="L1494" s="1134" t="str">
        <f>IF($A1494&gt;0,(VLOOKUP($A1494,TablaTransporte,7,FALSE)),"")</f>
        <v/>
      </c>
      <c r="M1494" s="941"/>
      <c r="N1494" s="430" t="str">
        <f t="shared" si="118"/>
        <v/>
      </c>
      <c r="O1494" s="362"/>
    </row>
    <row r="1495" spans="1:15" ht="15.75" customHeight="1">
      <c r="A1495" s="395">
        <f t="array" ref="A1495">IF(C1495&lt;&gt;0,INDEX(CodTransporte,MATCH(C1495,Transporte,0),),)</f>
        <v>0</v>
      </c>
      <c r="B1495" s="399"/>
      <c r="C1495" s="1128"/>
      <c r="D1495" s="940"/>
      <c r="E1495" s="940"/>
      <c r="F1495" s="940"/>
      <c r="G1495" s="940"/>
      <c r="H1495" s="940"/>
      <c r="I1495" s="440"/>
      <c r="J1495" s="441" t="str">
        <f>IF($A1495&gt;0,(VLOOKUP($A1495,TablaTransporte,6,FALSE)),"")</f>
        <v/>
      </c>
      <c r="K1495" s="442" t="str">
        <f>IF($A1495&gt;0,(VLOOKUP($A1495,TablaTransporte,5,FALSE)),"")</f>
        <v/>
      </c>
      <c r="L1495" s="1134" t="str">
        <f>IF($A1495&gt;0,(VLOOKUP($A1495,TablaTransporte,7,FALSE)),"")</f>
        <v/>
      </c>
      <c r="M1495" s="941"/>
      <c r="N1495" s="430" t="str">
        <f t="shared" si="118"/>
        <v/>
      </c>
      <c r="O1495" s="362"/>
    </row>
    <row r="1496" spans="1:15" ht="15.75" customHeight="1">
      <c r="A1496" s="395">
        <f t="array" ref="A1496">IF(C1496&lt;&gt;0,INDEX(CodTransporte,MATCH(C1496,Transporte,0),),)</f>
        <v>0</v>
      </c>
      <c r="B1496" s="399"/>
      <c r="C1496" s="1128"/>
      <c r="D1496" s="940"/>
      <c r="E1496" s="940"/>
      <c r="F1496" s="940"/>
      <c r="G1496" s="940"/>
      <c r="H1496" s="940"/>
      <c r="I1496" s="440"/>
      <c r="J1496" s="441" t="str">
        <f>IF($A1496&gt;0,(VLOOKUP($A1496,TablaTransporte,6,FALSE)),"")</f>
        <v/>
      </c>
      <c r="K1496" s="442" t="str">
        <f>IF($A1496&gt;0,(VLOOKUP($A1496,TablaTransporte,5,FALSE)),"")</f>
        <v/>
      </c>
      <c r="L1496" s="1134" t="str">
        <f>IF($A1496&gt;0,(VLOOKUP($A1496,TablaTransporte,7,FALSE)),"")</f>
        <v/>
      </c>
      <c r="M1496" s="941"/>
      <c r="N1496" s="430" t="str">
        <f t="shared" si="118"/>
        <v/>
      </c>
      <c r="O1496" s="362"/>
    </row>
    <row r="1497" spans="1:15" ht="15.75" customHeight="1">
      <c r="A1497" s="395">
        <f t="array" ref="A1497">IF(C1497&lt;&gt;0,INDEX(CodTransporte,MATCH(C1497,Transporte,0),),)</f>
        <v>0</v>
      </c>
      <c r="B1497" s="399"/>
      <c r="C1497" s="1128"/>
      <c r="D1497" s="940"/>
      <c r="E1497" s="940"/>
      <c r="F1497" s="940"/>
      <c r="G1497" s="940"/>
      <c r="H1497" s="940"/>
      <c r="I1497" s="440"/>
      <c r="J1497" s="441" t="str">
        <f>IF($A1497&gt;0,(VLOOKUP($A1497,TablaTransporte,6,FALSE)),"")</f>
        <v/>
      </c>
      <c r="K1497" s="442" t="str">
        <f>IF($A1497&gt;0,(VLOOKUP($A1497,TablaTransporte,5,FALSE)),"")</f>
        <v/>
      </c>
      <c r="L1497" s="1205" t="str">
        <f>IF($A1497&gt;0,(VLOOKUP($A1497,TablaTransporte,7,FALSE)),"")</f>
        <v/>
      </c>
      <c r="M1497" s="1145"/>
      <c r="N1497" s="430" t="str">
        <f t="shared" si="118"/>
        <v/>
      </c>
      <c r="O1497" s="362"/>
    </row>
    <row r="1498" spans="1:15" ht="15.75" customHeight="1">
      <c r="A1498" s="395"/>
      <c r="B1498" s="399"/>
      <c r="C1498" s="1127" t="s">
        <v>1202</v>
      </c>
      <c r="D1498" s="965"/>
      <c r="E1498" s="965"/>
      <c r="F1498" s="965"/>
      <c r="G1498" s="965"/>
      <c r="H1498" s="965"/>
      <c r="I1498" s="965"/>
      <c r="J1498" s="965"/>
      <c r="K1498" s="965"/>
      <c r="L1498" s="965"/>
      <c r="M1498" s="966"/>
      <c r="N1498" s="433">
        <f>+SUM(N1493:N1497)</f>
        <v>0</v>
      </c>
      <c r="O1498" s="362"/>
    </row>
    <row r="1499" spans="1:15" ht="15.75" customHeight="1">
      <c r="A1499" s="395"/>
      <c r="B1499" s="399"/>
      <c r="C1499" s="1129" t="s">
        <v>1214</v>
      </c>
      <c r="D1499" s="926"/>
      <c r="E1499" s="926"/>
      <c r="F1499" s="926"/>
      <c r="G1499" s="926"/>
      <c r="H1499" s="926"/>
      <c r="I1499" s="926"/>
      <c r="J1499" s="926"/>
      <c r="K1499" s="926"/>
      <c r="L1499" s="926"/>
      <c r="M1499" s="926"/>
      <c r="N1499" s="927"/>
      <c r="O1499" s="362"/>
    </row>
    <row r="1500" spans="1:15" ht="15.75" customHeight="1">
      <c r="A1500" s="395"/>
      <c r="B1500" s="399"/>
      <c r="C1500" s="920"/>
      <c r="D1500" s="922"/>
      <c r="E1500" s="922"/>
      <c r="F1500" s="922"/>
      <c r="G1500" s="922"/>
      <c r="H1500" s="922"/>
      <c r="I1500" s="922"/>
      <c r="J1500" s="922"/>
      <c r="K1500" s="922"/>
      <c r="L1500" s="922"/>
      <c r="M1500" s="922"/>
      <c r="N1500" s="924"/>
      <c r="O1500" s="362"/>
    </row>
    <row r="1501" spans="1:15" ht="15.75" customHeight="1">
      <c r="A1501" s="395"/>
      <c r="B1501" s="399"/>
      <c r="C1501" s="929"/>
      <c r="D1501" s="936"/>
      <c r="E1501" s="936"/>
      <c r="F1501" s="936"/>
      <c r="G1501" s="936"/>
      <c r="H1501" s="936"/>
      <c r="I1501" s="936"/>
      <c r="J1501" s="936"/>
      <c r="K1501" s="936"/>
      <c r="L1501" s="936"/>
      <c r="M1501" s="936"/>
      <c r="N1501" s="938"/>
      <c r="O1501" s="362"/>
    </row>
    <row r="1502" spans="1:15" ht="15.75" customHeight="1">
      <c r="A1502" s="395"/>
      <c r="B1502" s="399"/>
      <c r="C1502" s="1201" t="s">
        <v>1215</v>
      </c>
      <c r="D1502" s="1131"/>
      <c r="E1502" s="1131"/>
      <c r="F1502" s="1131"/>
      <c r="G1502" s="1131"/>
      <c r="H1502" s="1000"/>
      <c r="I1502" s="670" t="s">
        <v>1216</v>
      </c>
      <c r="J1502" s="676" t="s">
        <v>1217</v>
      </c>
      <c r="K1502" s="677" t="s">
        <v>1218</v>
      </c>
      <c r="L1502" s="1206" t="s">
        <v>1199</v>
      </c>
      <c r="M1502" s="1000"/>
      <c r="N1502" s="678" t="s">
        <v>1200</v>
      </c>
      <c r="O1502" s="362"/>
    </row>
    <row r="1503" spans="1:15" ht="15.75" customHeight="1">
      <c r="A1503" s="395" t="str">
        <f t="array" ref="A1503">IF(C1503&lt;&gt;0,INDEX(CodMO,MATCH(C1503,MO,0),),)</f>
        <v>M.O-05</v>
      </c>
      <c r="B1503" s="399"/>
      <c r="C1503" s="1128" t="s">
        <v>139</v>
      </c>
      <c r="D1503" s="940"/>
      <c r="E1503" s="940"/>
      <c r="F1503" s="940"/>
      <c r="G1503" s="940"/>
      <c r="H1503" s="940"/>
      <c r="I1503" s="447">
        <f>IF($A1503&gt;0,(VLOOKUP($A1503,TablaMO,8,FALSE)),"")</f>
        <v>125030.16666666667</v>
      </c>
      <c r="J1503" s="448">
        <f>IF($A1503&gt;0,(VLOOKUP($A1503,TablaMO,10,FALSE)),"")</f>
        <v>0.67071666666666663</v>
      </c>
      <c r="K1503" s="447">
        <f>IF($A1503&gt;0,(VLOOKUP($A1503,TablaMO,11,FALSE)),"")</f>
        <v>208890</v>
      </c>
      <c r="L1503" s="1146">
        <v>30.028213841310439</v>
      </c>
      <c r="M1503" s="941"/>
      <c r="N1503" s="430">
        <f t="shared" ref="N1503:N1507" si="119">IF(L1503&gt;0,K1503/L1503,"")</f>
        <v>6956.4577201933225</v>
      </c>
      <c r="O1503" s="362"/>
    </row>
    <row r="1504" spans="1:15" ht="15.75" customHeight="1">
      <c r="A1504" s="395" t="str">
        <f t="array" ref="A1504">IF(C1504&lt;&gt;0,INDEX(CodMO,MATCH(C1504,MO,0),),)</f>
        <v>M.O-01</v>
      </c>
      <c r="B1504" s="399"/>
      <c r="C1504" s="1128" t="s">
        <v>130</v>
      </c>
      <c r="D1504" s="940"/>
      <c r="E1504" s="940"/>
      <c r="F1504" s="940"/>
      <c r="G1504" s="940"/>
      <c r="H1504" s="940"/>
      <c r="I1504" s="447">
        <f>IF($A1504&gt;0,(VLOOKUP($A1504,TablaMO,8,FALSE)),"")</f>
        <v>72503.016666666677</v>
      </c>
      <c r="J1504" s="448">
        <f>IF($A1504&gt;0,(VLOOKUP($A1504,TablaMO,10,FALSE)),"")</f>
        <v>0.67071666666666663</v>
      </c>
      <c r="K1504" s="447">
        <f>IF($A1504&gt;0,(VLOOKUP($A1504,TablaMO,11,FALSE)),"")</f>
        <v>121132</v>
      </c>
      <c r="L1504" s="1146">
        <f>L1503</f>
        <v>30.028213841310439</v>
      </c>
      <c r="M1504" s="941"/>
      <c r="N1504" s="430">
        <f t="shared" si="119"/>
        <v>4033.9395689715047</v>
      </c>
      <c r="O1504" s="362"/>
    </row>
    <row r="1505" spans="1:18" ht="15.75" customHeight="1">
      <c r="A1505" s="395">
        <f t="array" ref="A1505">IF(C1505&lt;&gt;0,INDEX(CodMO,MATCH(C1505,MO,0),),)</f>
        <v>0</v>
      </c>
      <c r="B1505" s="399"/>
      <c r="C1505" s="1128"/>
      <c r="D1505" s="940"/>
      <c r="E1505" s="940"/>
      <c r="F1505" s="940"/>
      <c r="G1505" s="940"/>
      <c r="H1505" s="940"/>
      <c r="I1505" s="447" t="str">
        <f>IF($A1505&gt;0,(VLOOKUP($A1505,TablaMO,8,FALSE)),"")</f>
        <v/>
      </c>
      <c r="J1505" s="448" t="str">
        <f>IF($A1505&gt;0,(VLOOKUP($A1505,TablaMO,10,FALSE)),"")</f>
        <v/>
      </c>
      <c r="K1505" s="447" t="str">
        <f>IF($A1505&gt;0,(VLOOKUP($A1505,TablaMO,11,FALSE)),"")</f>
        <v/>
      </c>
      <c r="L1505" s="1146"/>
      <c r="M1505" s="941"/>
      <c r="N1505" s="430" t="str">
        <f t="shared" si="119"/>
        <v/>
      </c>
      <c r="O1505" s="362"/>
    </row>
    <row r="1506" spans="1:18" ht="15.75" customHeight="1">
      <c r="A1506" s="395">
        <f t="array" ref="A1506">IF(C1506&lt;&gt;0,INDEX(CodMO,MATCH(C1506,MO,0),),)</f>
        <v>0</v>
      </c>
      <c r="B1506" s="399"/>
      <c r="C1506" s="1128"/>
      <c r="D1506" s="940"/>
      <c r="E1506" s="940"/>
      <c r="F1506" s="940"/>
      <c r="G1506" s="940"/>
      <c r="H1506" s="940"/>
      <c r="I1506" s="447" t="str">
        <f>IF($A1506&gt;0,(VLOOKUP($A1506,TablaMO,8,FALSE)),"")</f>
        <v/>
      </c>
      <c r="J1506" s="448" t="str">
        <f>IF($A1506&gt;0,(VLOOKUP($A1506,TablaMO,10,FALSE)),"")</f>
        <v/>
      </c>
      <c r="K1506" s="447" t="str">
        <f>IF($A1506&gt;0,(VLOOKUP($A1506,TablaMO,11,FALSE)),"")</f>
        <v/>
      </c>
      <c r="L1506" s="1146"/>
      <c r="M1506" s="941"/>
      <c r="N1506" s="430" t="str">
        <f t="shared" si="119"/>
        <v/>
      </c>
      <c r="O1506" s="362"/>
    </row>
    <row r="1507" spans="1:18" ht="15.75" customHeight="1">
      <c r="A1507" s="395">
        <f t="array" ref="A1507">IF(C1507&lt;&gt;0,INDEX(CodMO,MATCH(C1507,MO,0),),)</f>
        <v>0</v>
      </c>
      <c r="B1507" s="399"/>
      <c r="C1507" s="1128"/>
      <c r="D1507" s="940"/>
      <c r="E1507" s="940"/>
      <c r="F1507" s="940"/>
      <c r="G1507" s="940"/>
      <c r="H1507" s="940"/>
      <c r="I1507" s="447" t="str">
        <f>IF($A1507&gt;0,(VLOOKUP($A1507,TablaMO,8,FALSE)),"")</f>
        <v/>
      </c>
      <c r="J1507" s="448" t="str">
        <f>IF($A1507&gt;0,(VLOOKUP($A1507,TablaMO,10,FALSE)),"")</f>
        <v/>
      </c>
      <c r="K1507" s="447" t="str">
        <f>IF($A1507&gt;0,(VLOOKUP($A1507,TablaMO,11,FALSE)),"")</f>
        <v/>
      </c>
      <c r="L1507" s="1146"/>
      <c r="M1507" s="941"/>
      <c r="N1507" s="430" t="str">
        <f t="shared" si="119"/>
        <v/>
      </c>
      <c r="O1507" s="362"/>
    </row>
    <row r="1508" spans="1:18" ht="15.75" customHeight="1">
      <c r="A1508" s="395"/>
      <c r="B1508" s="399"/>
      <c r="C1508" s="1127" t="s">
        <v>1202</v>
      </c>
      <c r="D1508" s="965"/>
      <c r="E1508" s="965"/>
      <c r="F1508" s="965"/>
      <c r="G1508" s="965"/>
      <c r="H1508" s="965"/>
      <c r="I1508" s="965"/>
      <c r="J1508" s="965"/>
      <c r="K1508" s="965"/>
      <c r="L1508" s="965"/>
      <c r="M1508" s="966"/>
      <c r="N1508" s="433">
        <f>+SUM(N1503:N1507)</f>
        <v>10990.397289164826</v>
      </c>
      <c r="O1508" s="362"/>
    </row>
    <row r="1509" spans="1:18" ht="15.75" customHeight="1">
      <c r="B1509" s="679"/>
      <c r="O1509" s="362"/>
    </row>
    <row r="1510" spans="1:18" ht="15.75" customHeight="1">
      <c r="B1510" s="679"/>
      <c r="C1510" s="1198" t="s">
        <v>1219</v>
      </c>
      <c r="D1510" s="965"/>
      <c r="E1510" s="965"/>
      <c r="F1510" s="965"/>
      <c r="G1510" s="965"/>
      <c r="H1510" s="965"/>
      <c r="I1510" s="965"/>
      <c r="J1510" s="965"/>
      <c r="K1510" s="965"/>
      <c r="L1510" s="965"/>
      <c r="M1510" s="966"/>
      <c r="N1510" s="680">
        <f>ROUND(SUM(N1508,N1498,N1488,N1475),0)</f>
        <v>136558</v>
      </c>
      <c r="O1510" s="362"/>
      <c r="Q1510" s="681">
        <f>VLOOKUP(C1464,PROPUESTASASERCO,8,FALSE)</f>
        <v>136558</v>
      </c>
      <c r="R1510" s="682">
        <f>Q1510-N1510</f>
        <v>0</v>
      </c>
    </row>
    <row r="1511" spans="1:18" ht="15.75" customHeight="1">
      <c r="B1511" s="679"/>
      <c r="C1511" s="1129" t="s">
        <v>1220</v>
      </c>
      <c r="D1511" s="926"/>
      <c r="E1511" s="926"/>
      <c r="F1511" s="926"/>
      <c r="G1511" s="926"/>
      <c r="H1511" s="926"/>
      <c r="I1511" s="926"/>
      <c r="J1511" s="926"/>
      <c r="K1511" s="926"/>
      <c r="L1511" s="926"/>
      <c r="M1511" s="926"/>
      <c r="N1511" s="927"/>
      <c r="O1511" s="362"/>
    </row>
    <row r="1512" spans="1:18" ht="15.75" customHeight="1">
      <c r="B1512" s="679"/>
      <c r="C1512" s="920"/>
      <c r="D1512" s="922"/>
      <c r="E1512" s="922"/>
      <c r="F1512" s="922"/>
      <c r="G1512" s="922"/>
      <c r="H1512" s="922"/>
      <c r="I1512" s="922"/>
      <c r="J1512" s="922"/>
      <c r="K1512" s="922"/>
      <c r="L1512" s="922"/>
      <c r="M1512" s="922"/>
      <c r="N1512" s="924"/>
      <c r="O1512" s="362"/>
    </row>
    <row r="1513" spans="1:18" ht="15.75" customHeight="1">
      <c r="B1513" s="679"/>
      <c r="C1513" s="929"/>
      <c r="D1513" s="936"/>
      <c r="E1513" s="936"/>
      <c r="F1513" s="936"/>
      <c r="G1513" s="936"/>
      <c r="H1513" s="936"/>
      <c r="I1513" s="936"/>
      <c r="J1513" s="936"/>
      <c r="K1513" s="936"/>
      <c r="L1513" s="936"/>
      <c r="M1513" s="936"/>
      <c r="N1513" s="938"/>
      <c r="O1513" s="362"/>
    </row>
    <row r="1514" spans="1:18" ht="15.75" customHeight="1">
      <c r="B1514" s="679"/>
      <c r="C1514" s="1201" t="s">
        <v>1221</v>
      </c>
      <c r="D1514" s="1131"/>
      <c r="E1514" s="1131"/>
      <c r="F1514" s="1131"/>
      <c r="G1514" s="1131"/>
      <c r="H1514" s="1132"/>
      <c r="I1514" s="674"/>
      <c r="J1514" s="674"/>
      <c r="K1514" s="674"/>
      <c r="L1514" s="1206" t="s">
        <v>1222</v>
      </c>
      <c r="M1514" s="1000"/>
      <c r="N1514" s="678" t="s">
        <v>1223</v>
      </c>
      <c r="O1514" s="362"/>
    </row>
    <row r="1515" spans="1:18" ht="15.75" customHeight="1">
      <c r="B1515" s="679"/>
      <c r="C1515" s="1128" t="s">
        <v>19</v>
      </c>
      <c r="D1515" s="940"/>
      <c r="E1515" s="940"/>
      <c r="F1515" s="940"/>
      <c r="G1515" s="940"/>
      <c r="H1515" s="940"/>
      <c r="I1515" s="452"/>
      <c r="J1515" s="452"/>
      <c r="K1515" s="452"/>
      <c r="L1515" s="1148">
        <f>+Datos!$E$18</f>
        <v>0.25</v>
      </c>
      <c r="M1515" s="941"/>
      <c r="N1515" s="430">
        <f>+L1515*N1510</f>
        <v>34139.5</v>
      </c>
      <c r="O1515" s="362"/>
    </row>
    <row r="1516" spans="1:18" ht="15.75" customHeight="1">
      <c r="B1516" s="679"/>
      <c r="C1516" s="454" t="s">
        <v>20</v>
      </c>
      <c r="D1516" s="455"/>
      <c r="E1516" s="455"/>
      <c r="F1516" s="455"/>
      <c r="G1516" s="455"/>
      <c r="H1516" s="455"/>
      <c r="I1516" s="452"/>
      <c r="J1516" s="452"/>
      <c r="K1516" s="452"/>
      <c r="L1516" s="1148">
        <f>+Datos!$E$19</f>
        <v>0.01</v>
      </c>
      <c r="M1516" s="941"/>
      <c r="N1516" s="430">
        <f>+L1516*N1510</f>
        <v>1365.58</v>
      </c>
      <c r="O1516" s="362"/>
    </row>
    <row r="1517" spans="1:18" ht="15.75" customHeight="1">
      <c r="B1517" s="679"/>
      <c r="C1517" s="456" t="s">
        <v>21</v>
      </c>
      <c r="D1517" s="457"/>
      <c r="E1517" s="457"/>
      <c r="F1517" s="457"/>
      <c r="G1517" s="457"/>
      <c r="H1517" s="457"/>
      <c r="I1517" s="458"/>
      <c r="J1517" s="458"/>
      <c r="K1517" s="458"/>
      <c r="L1517" s="1148">
        <f>+Datos!$E$20</f>
        <v>0.05</v>
      </c>
      <c r="M1517" s="941"/>
      <c r="N1517" s="430">
        <f>+L1517*N1510</f>
        <v>6827.9000000000005</v>
      </c>
      <c r="O1517" s="362"/>
    </row>
    <row r="1518" spans="1:18" ht="15.75" customHeight="1">
      <c r="B1518" s="679"/>
      <c r="C1518" s="1127" t="s">
        <v>1202</v>
      </c>
      <c r="D1518" s="965"/>
      <c r="E1518" s="965"/>
      <c r="F1518" s="965"/>
      <c r="G1518" s="965"/>
      <c r="H1518" s="965"/>
      <c r="I1518" s="965"/>
      <c r="J1518" s="965"/>
      <c r="K1518" s="965"/>
      <c r="L1518" s="965"/>
      <c r="M1518" s="966"/>
      <c r="N1518" s="433">
        <f>+SUM(N1515:N1517)</f>
        <v>42332.98</v>
      </c>
      <c r="O1518" s="362"/>
    </row>
    <row r="1519" spans="1:18" ht="15.75" customHeight="1">
      <c r="B1519" s="679"/>
      <c r="C1519" s="418"/>
      <c r="D1519" s="39"/>
      <c r="E1519" s="39"/>
      <c r="F1519" s="39"/>
      <c r="G1519" s="39"/>
      <c r="H1519" s="39"/>
      <c r="I1519" s="39"/>
      <c r="J1519" s="39"/>
      <c r="K1519" s="39"/>
      <c r="L1519" s="39"/>
      <c r="M1519" s="39"/>
      <c r="N1519" s="40"/>
      <c r="O1519" s="362"/>
    </row>
    <row r="1520" spans="1:18" ht="15.75" customHeight="1">
      <c r="B1520" s="679"/>
      <c r="C1520" s="1198" t="s">
        <v>1224</v>
      </c>
      <c r="D1520" s="965"/>
      <c r="E1520" s="965"/>
      <c r="F1520" s="965"/>
      <c r="G1520" s="965"/>
      <c r="H1520" s="965"/>
      <c r="I1520" s="965"/>
      <c r="J1520" s="965"/>
      <c r="K1520" s="965"/>
      <c r="L1520" s="965"/>
      <c r="M1520" s="966"/>
      <c r="N1520" s="683">
        <f>+ROUND(SUM(N1518,N1510),0)</f>
        <v>178891</v>
      </c>
      <c r="O1520" s="362"/>
    </row>
    <row r="1521" spans="1:15" ht="15.75" customHeight="1">
      <c r="B1521" s="679"/>
      <c r="C1521" s="418"/>
      <c r="D1521" s="39" t="s">
        <v>1225</v>
      </c>
      <c r="E1521" s="39"/>
      <c r="F1521" s="39"/>
      <c r="G1521" s="184"/>
      <c r="H1521" s="184"/>
      <c r="I1521" s="184"/>
      <c r="J1521" s="39" t="s">
        <v>1225</v>
      </c>
      <c r="K1521" s="39"/>
      <c r="L1521" s="39"/>
      <c r="M1521" s="39"/>
      <c r="N1521" s="40"/>
      <c r="O1521" s="362"/>
    </row>
    <row r="1522" spans="1:15" ht="15.75" customHeight="1">
      <c r="B1522" s="679"/>
      <c r="C1522" s="418"/>
      <c r="D1522" s="39" t="s">
        <v>1226</v>
      </c>
      <c r="E1522" s="39"/>
      <c r="F1522" s="39"/>
      <c r="G1522" s="184"/>
      <c r="H1522" s="184"/>
      <c r="I1522" s="184"/>
      <c r="J1522" s="39" t="s">
        <v>1227</v>
      </c>
      <c r="K1522" s="39"/>
      <c r="L1522" s="39"/>
      <c r="M1522" s="39"/>
      <c r="N1522" s="40"/>
      <c r="O1522" s="362"/>
    </row>
    <row r="1523" spans="1:15" ht="15.75" customHeight="1">
      <c r="B1523" s="679"/>
      <c r="C1523" s="404"/>
      <c r="D1523" s="39" t="s">
        <v>1228</v>
      </c>
      <c r="E1523" s="42"/>
      <c r="F1523" s="42"/>
      <c r="G1523" s="184"/>
      <c r="H1523" s="184"/>
      <c r="I1523" s="184"/>
      <c r="J1523" s="39" t="s">
        <v>1228</v>
      </c>
      <c r="K1523" s="42"/>
      <c r="L1523" s="42"/>
      <c r="M1523" s="42"/>
      <c r="N1523" s="43"/>
      <c r="O1523" s="362"/>
    </row>
    <row r="1524" spans="1:15" ht="15.75" customHeight="1">
      <c r="B1524" s="679"/>
      <c r="C1524" s="418"/>
      <c r="D1524" s="39"/>
      <c r="E1524" s="39"/>
      <c r="F1524" s="39"/>
      <c r="G1524" s="39" t="s">
        <v>1229</v>
      </c>
      <c r="H1524" s="39"/>
      <c r="I1524" s="39"/>
      <c r="J1524" s="39"/>
      <c r="K1524" s="39"/>
      <c r="L1524" s="39"/>
      <c r="M1524" s="39"/>
      <c r="N1524" s="40"/>
      <c r="O1524" s="362"/>
    </row>
    <row r="1525" spans="1:15" ht="15.75" customHeight="1">
      <c r="B1525" s="679"/>
      <c r="C1525" s="466"/>
      <c r="D1525" s="467"/>
      <c r="E1525" s="467"/>
      <c r="F1525" s="39"/>
      <c r="G1525" s="39"/>
      <c r="H1525" s="39"/>
      <c r="I1525" s="39"/>
      <c r="J1525" s="1149"/>
      <c r="K1525" s="922"/>
      <c r="L1525" s="922"/>
      <c r="M1525" s="922"/>
      <c r="N1525" s="924"/>
      <c r="O1525" s="362"/>
    </row>
    <row r="1526" spans="1:15" ht="15.75" customHeight="1">
      <c r="B1526" s="679"/>
      <c r="C1526" s="1150"/>
      <c r="D1526" s="936"/>
      <c r="E1526" s="936"/>
      <c r="F1526" s="416"/>
      <c r="G1526" s="416"/>
      <c r="H1526" s="416"/>
      <c r="I1526" s="416"/>
      <c r="J1526" s="936"/>
      <c r="K1526" s="936"/>
      <c r="L1526" s="936"/>
      <c r="M1526" s="936"/>
      <c r="N1526" s="938"/>
      <c r="O1526" s="362"/>
    </row>
    <row r="1527" spans="1:15" ht="15.75" customHeight="1">
      <c r="B1527" s="684"/>
      <c r="C1527" s="685"/>
      <c r="D1527" s="685"/>
      <c r="E1527" s="685"/>
      <c r="F1527" s="685"/>
      <c r="G1527" s="685"/>
      <c r="H1527" s="685"/>
      <c r="I1527" s="685"/>
      <c r="J1527" s="685"/>
      <c r="K1527" s="685"/>
      <c r="L1527" s="685"/>
      <c r="M1527" s="685"/>
      <c r="N1527" s="685"/>
      <c r="O1527" s="686"/>
    </row>
    <row r="1528" spans="1:15" ht="15.75" customHeight="1"/>
    <row r="1529" spans="1:15" ht="15.75" customHeight="1"/>
    <row r="1530" spans="1:15" ht="15.75" customHeight="1"/>
    <row r="1531" spans="1:15" ht="15.75" customHeight="1"/>
    <row r="1532" spans="1:15" ht="15.75" customHeight="1">
      <c r="A1532" s="395" t="s">
        <v>941</v>
      </c>
      <c r="B1532" s="184"/>
      <c r="C1532" s="184"/>
      <c r="D1532" s="184"/>
      <c r="E1532" s="184"/>
      <c r="F1532" s="184"/>
      <c r="G1532" s="184"/>
      <c r="H1532" s="184"/>
      <c r="I1532" s="184"/>
      <c r="J1532" s="184"/>
      <c r="K1532" s="184"/>
      <c r="L1532" s="184"/>
      <c r="M1532" s="184"/>
      <c r="N1532" s="184"/>
    </row>
    <row r="1533" spans="1:15" ht="15.75" customHeight="1">
      <c r="A1533" s="395"/>
      <c r="B1533" s="396"/>
      <c r="C1533" s="397"/>
      <c r="D1533" s="397"/>
      <c r="E1533" s="397"/>
      <c r="F1533" s="397"/>
      <c r="G1533" s="397"/>
      <c r="H1533" s="397"/>
      <c r="I1533" s="397"/>
      <c r="J1533" s="397"/>
      <c r="K1533" s="397"/>
      <c r="L1533" s="397"/>
      <c r="M1533" s="397"/>
      <c r="N1533" s="397"/>
      <c r="O1533" s="667"/>
    </row>
    <row r="1534" spans="1:15" ht="15.75" customHeight="1">
      <c r="A1534" s="395"/>
      <c r="B1534" s="399"/>
      <c r="C1534" s="1124"/>
      <c r="D1534" s="927"/>
      <c r="E1534" s="1207" t="str">
        <f>Datos!$C$9</f>
        <v>CONSEJO SUPERIOR  DE  JUDICATURA– DIRECCIÓN  EJECUTIVA  SECCIONAL  DE ADMINISTRACIÓN JUDICIAL DE BUCARAMANGA</v>
      </c>
      <c r="F1534" s="926"/>
      <c r="G1534" s="926"/>
      <c r="H1534" s="926"/>
      <c r="I1534" s="926"/>
      <c r="J1534" s="926"/>
      <c r="K1534" s="927"/>
      <c r="L1534" s="925" t="s">
        <v>1</v>
      </c>
      <c r="M1534" s="931"/>
      <c r="N1534" s="933">
        <v>1</v>
      </c>
      <c r="O1534" s="362"/>
    </row>
    <row r="1535" spans="1:15" ht="15.75" customHeight="1">
      <c r="A1535" s="395"/>
      <c r="B1535" s="399"/>
      <c r="C1535" s="920"/>
      <c r="D1535" s="924"/>
      <c r="E1535" s="920"/>
      <c r="F1535" s="922"/>
      <c r="G1535" s="922"/>
      <c r="H1535" s="922"/>
      <c r="I1535" s="922"/>
      <c r="J1535" s="922"/>
      <c r="K1535" s="924"/>
      <c r="L1535" s="920"/>
      <c r="M1535" s="932"/>
      <c r="N1535" s="934"/>
      <c r="O1535" s="362"/>
    </row>
    <row r="1536" spans="1:15" ht="15.75" customHeight="1">
      <c r="A1536" s="395"/>
      <c r="B1536" s="399"/>
      <c r="C1536" s="920"/>
      <c r="D1536" s="924"/>
      <c r="E1536" s="919" t="str">
        <f>Datos!$C$13</f>
        <v xml:space="preserve">BGA - 030 - 2026 </v>
      </c>
      <c r="F1536" s="922"/>
      <c r="G1536" s="922"/>
      <c r="H1536" s="922"/>
      <c r="I1536" s="922"/>
      <c r="J1536" s="922"/>
      <c r="K1536" s="922"/>
      <c r="L1536" s="925" t="s">
        <v>29</v>
      </c>
      <c r="M1536" s="926"/>
      <c r="N1536" s="927"/>
      <c r="O1536" s="362"/>
    </row>
    <row r="1537" spans="1:15" ht="15.75" customHeight="1">
      <c r="A1537" s="395"/>
      <c r="B1537" s="399"/>
      <c r="C1537" s="920"/>
      <c r="D1537" s="924"/>
      <c r="E153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537" s="922"/>
      <c r="G1537" s="922"/>
      <c r="H1537" s="922"/>
      <c r="I1537" s="922"/>
      <c r="J1537" s="922"/>
      <c r="K1537" s="924"/>
      <c r="L1537" s="919">
        <v>1</v>
      </c>
      <c r="M1537" s="921" t="s">
        <v>30</v>
      </c>
      <c r="N1537" s="923">
        <v>1</v>
      </c>
      <c r="O1537" s="362"/>
    </row>
    <row r="1538" spans="1:15" ht="15.75" customHeight="1">
      <c r="A1538" s="395"/>
      <c r="B1538" s="399"/>
      <c r="C1538" s="920"/>
      <c r="D1538" s="924"/>
      <c r="E1538" s="920"/>
      <c r="F1538" s="922"/>
      <c r="G1538" s="922"/>
      <c r="H1538" s="922"/>
      <c r="I1538" s="922"/>
      <c r="J1538" s="922"/>
      <c r="K1538" s="924"/>
      <c r="L1538" s="920"/>
      <c r="M1538" s="922"/>
      <c r="N1538" s="924"/>
      <c r="O1538" s="362"/>
    </row>
    <row r="1539" spans="1:15" ht="15.75" customHeight="1">
      <c r="A1539" s="395"/>
      <c r="B1539" s="399"/>
      <c r="C1539" s="920"/>
      <c r="D1539" s="924"/>
      <c r="E1539" s="920"/>
      <c r="F1539" s="922"/>
      <c r="G1539" s="922"/>
      <c r="H1539" s="922"/>
      <c r="I1539" s="922"/>
      <c r="J1539" s="922"/>
      <c r="K1539" s="924"/>
      <c r="L1539" s="925" t="s">
        <v>2</v>
      </c>
      <c r="M1539" s="926"/>
      <c r="N1539" s="927"/>
      <c r="O1539" s="362"/>
    </row>
    <row r="1540" spans="1:15" ht="15.75" customHeight="1">
      <c r="A1540" s="395"/>
      <c r="B1540" s="399"/>
      <c r="C1540" s="920"/>
      <c r="D1540" s="924"/>
      <c r="E1540" s="407"/>
      <c r="F1540" s="216"/>
      <c r="G1540" s="216"/>
      <c r="H1540" s="216"/>
      <c r="I1540" s="216"/>
      <c r="J1540" s="216"/>
      <c r="K1540" s="216"/>
      <c r="L1540" s="408" t="s">
        <v>3</v>
      </c>
      <c r="M1540" s="409" t="s">
        <v>4</v>
      </c>
      <c r="N1540" s="410" t="s">
        <v>5</v>
      </c>
      <c r="O1540" s="362"/>
    </row>
    <row r="1541" spans="1:15" ht="15.75" customHeight="1">
      <c r="A1541" s="395"/>
      <c r="B1541" s="399"/>
      <c r="C1541" s="920"/>
      <c r="D1541" s="924"/>
      <c r="E1541" s="1125" t="s">
        <v>1186</v>
      </c>
      <c r="F1541" s="945"/>
      <c r="G1541" s="945"/>
      <c r="H1541" s="945"/>
      <c r="I1541" s="945"/>
      <c r="J1541" s="945"/>
      <c r="K1541" s="945"/>
      <c r="L1541" s="928">
        <f>Datos!$C$7</f>
        <v>19</v>
      </c>
      <c r="M1541" s="935">
        <f>Datos!$D$7</f>
        <v>6</v>
      </c>
      <c r="N1541" s="937">
        <f>Datos!$E$7</f>
        <v>2026</v>
      </c>
      <c r="O1541" s="362"/>
    </row>
    <row r="1542" spans="1:15" ht="15.75" customHeight="1">
      <c r="A1542" s="395"/>
      <c r="B1542" s="399"/>
      <c r="C1542" s="929"/>
      <c r="D1542" s="938"/>
      <c r="E1542" s="929"/>
      <c r="F1542" s="936"/>
      <c r="G1542" s="936"/>
      <c r="H1542" s="936"/>
      <c r="I1542" s="936"/>
      <c r="J1542" s="936"/>
      <c r="K1542" s="936"/>
      <c r="L1542" s="929"/>
      <c r="M1542" s="936"/>
      <c r="N1542" s="938"/>
      <c r="O1542" s="362"/>
    </row>
    <row r="1543" spans="1:15" ht="15.75" customHeight="1">
      <c r="A1543" s="395"/>
      <c r="B1543" s="399"/>
      <c r="C1543" s="404"/>
      <c r="D1543" s="38"/>
      <c r="E1543" s="38"/>
      <c r="F1543" s="38"/>
      <c r="G1543" s="38"/>
      <c r="H1543" s="38"/>
      <c r="I1543" s="38"/>
      <c r="J1543" s="38"/>
      <c r="K1543" s="38"/>
      <c r="L1543" s="39"/>
      <c r="M1543" s="39"/>
      <c r="N1543" s="40"/>
      <c r="O1543" s="362"/>
    </row>
    <row r="1544" spans="1:15" ht="15.75" customHeight="1">
      <c r="A1544" s="395"/>
      <c r="B1544" s="399"/>
      <c r="C1544" s="412" t="s">
        <v>1187</v>
      </c>
      <c r="D1544" s="1199" t="str">
        <f>VLOOKUP(C1549,ListaAct,2,0)</f>
        <v>OBRA CIVIL</v>
      </c>
      <c r="E1544" s="922"/>
      <c r="F1544" s="922"/>
      <c r="G1544" s="922"/>
      <c r="H1544" s="922"/>
      <c r="I1544" s="922"/>
      <c r="J1544" s="922"/>
      <c r="K1544" s="922"/>
      <c r="L1544" s="922"/>
      <c r="M1544" s="1"/>
      <c r="N1544" s="413"/>
      <c r="O1544" s="362"/>
    </row>
    <row r="1545" spans="1:15" ht="15.75" customHeight="1">
      <c r="A1545" s="395"/>
      <c r="B1545" s="399"/>
      <c r="C1545" s="412" t="s">
        <v>1189</v>
      </c>
      <c r="D1545" s="1199" t="str">
        <f>VLOOKUP(C1549,ListaAct,3,0)</f>
        <v>CUBIERTAS</v>
      </c>
      <c r="E1545" s="922"/>
      <c r="F1545" s="922"/>
      <c r="G1545" s="922"/>
      <c r="H1545" s="922"/>
      <c r="I1545" s="922"/>
      <c r="J1545" s="922"/>
      <c r="K1545" s="922"/>
      <c r="L1545" s="922"/>
      <c r="M1545" s="1"/>
      <c r="N1545" s="413"/>
      <c r="O1545" s="362"/>
    </row>
    <row r="1546" spans="1:15" ht="15.75" customHeight="1">
      <c r="A1546" s="395"/>
      <c r="B1546" s="399"/>
      <c r="C1546" s="925" t="s">
        <v>1191</v>
      </c>
      <c r="D1546" s="926"/>
      <c r="E1546" s="926"/>
      <c r="F1546" s="926"/>
      <c r="G1546" s="926"/>
      <c r="H1546" s="926"/>
      <c r="I1546" s="926"/>
      <c r="J1546" s="926"/>
      <c r="K1546" s="926"/>
      <c r="L1546" s="926"/>
      <c r="M1546" s="926"/>
      <c r="N1546" s="927"/>
      <c r="O1546" s="362"/>
    </row>
    <row r="1547" spans="1:15" ht="15.75" customHeight="1">
      <c r="A1547" s="395"/>
      <c r="B1547" s="399"/>
      <c r="C1547" s="418"/>
      <c r="D1547" s="39"/>
      <c r="E1547" s="39"/>
      <c r="F1547" s="39"/>
      <c r="G1547" s="39"/>
      <c r="H1547" s="39"/>
      <c r="I1547" s="39"/>
      <c r="J1547" s="39"/>
      <c r="K1547" s="39"/>
      <c r="L1547" s="39"/>
      <c r="M1547" s="39"/>
      <c r="N1547" s="40"/>
      <c r="O1547" s="362"/>
    </row>
    <row r="1548" spans="1:15" ht="15.75" customHeight="1">
      <c r="A1548" s="395"/>
      <c r="B1548" s="399"/>
      <c r="C1548" s="668" t="s">
        <v>965</v>
      </c>
      <c r="D1548" s="1200" t="s">
        <v>17</v>
      </c>
      <c r="E1548" s="1131"/>
      <c r="F1548" s="1131"/>
      <c r="G1548" s="1131"/>
      <c r="H1548" s="1131"/>
      <c r="I1548" s="1131"/>
      <c r="J1548" s="1131"/>
      <c r="K1548" s="1137"/>
      <c r="L1548" s="1201" t="s">
        <v>1192</v>
      </c>
      <c r="M1548" s="1137"/>
      <c r="N1548" s="668" t="s">
        <v>950</v>
      </c>
      <c r="O1548" s="362"/>
    </row>
    <row r="1549" spans="1:15" ht="33" customHeight="1">
      <c r="A1549" s="395"/>
      <c r="B1549" s="421"/>
      <c r="C1549" s="669" t="s">
        <v>1040</v>
      </c>
      <c r="D1549" s="1202" t="str">
        <f>IF($C1549&gt;0,(VLOOKUP($C1549,ListaAct,4,FALSE)),"")</f>
        <v>Construcción total de voladizo de cubierta costado sur (fachada principal). Incluye durmientes, machimbre, manto asfaltico, mortero de pega, teja, inmunizado de madera, sellado y pintura esmalte</v>
      </c>
      <c r="E1549" s="979"/>
      <c r="F1549" s="979"/>
      <c r="G1549" s="979"/>
      <c r="H1549" s="979"/>
      <c r="I1549" s="979"/>
      <c r="J1549" s="979"/>
      <c r="K1549" s="980"/>
      <c r="L1549" s="1203" t="str">
        <f>IF($C1549&gt;0,(VLOOKUP($C1549,ListaAct,5,FALSE)),"")</f>
        <v>m2</v>
      </c>
      <c r="M1549" s="980"/>
      <c r="N1549" s="423">
        <f>IF($C1549&gt;0,(VLOOKUP($C1549,ListaAct,6,FALSE)),"")</f>
        <v>9.33</v>
      </c>
      <c r="O1549" s="362"/>
    </row>
    <row r="1550" spans="1:15" ht="15.75" customHeight="1">
      <c r="A1550" s="395"/>
      <c r="B1550" s="399"/>
      <c r="C1550" s="1129" t="s">
        <v>1195</v>
      </c>
      <c r="D1550" s="926"/>
      <c r="E1550" s="926"/>
      <c r="F1550" s="926"/>
      <c r="G1550" s="926"/>
      <c r="H1550" s="926"/>
      <c r="I1550" s="926"/>
      <c r="J1550" s="926"/>
      <c r="K1550" s="926"/>
      <c r="L1550" s="926"/>
      <c r="M1550" s="926"/>
      <c r="N1550" s="927"/>
      <c r="O1550" s="362"/>
    </row>
    <row r="1551" spans="1:15" ht="15.75" customHeight="1">
      <c r="A1551" s="395"/>
      <c r="B1551" s="399"/>
      <c r="C1551" s="920"/>
      <c r="D1551" s="922"/>
      <c r="E1551" s="922"/>
      <c r="F1551" s="922"/>
      <c r="G1551" s="922"/>
      <c r="H1551" s="922"/>
      <c r="I1551" s="922"/>
      <c r="J1551" s="922"/>
      <c r="K1551" s="922"/>
      <c r="L1551" s="922"/>
      <c r="M1551" s="922"/>
      <c r="N1551" s="924"/>
      <c r="O1551" s="362"/>
    </row>
    <row r="1552" spans="1:15" ht="15.75" customHeight="1">
      <c r="A1552" s="395"/>
      <c r="B1552" s="399"/>
      <c r="C1552" s="929"/>
      <c r="D1552" s="936"/>
      <c r="E1552" s="936"/>
      <c r="F1552" s="936"/>
      <c r="G1552" s="936"/>
      <c r="H1552" s="936"/>
      <c r="I1552" s="936"/>
      <c r="J1552" s="936"/>
      <c r="K1552" s="936"/>
      <c r="L1552" s="936"/>
      <c r="M1552" s="936"/>
      <c r="N1552" s="938"/>
      <c r="O1552" s="362"/>
    </row>
    <row r="1553" spans="1:17" ht="15.75" customHeight="1">
      <c r="A1553" s="395"/>
      <c r="B1553" s="399"/>
      <c r="C1553" s="1201" t="s">
        <v>17</v>
      </c>
      <c r="D1553" s="1131"/>
      <c r="E1553" s="1131"/>
      <c r="F1553" s="1000"/>
      <c r="G1553" s="1204" t="s">
        <v>1196</v>
      </c>
      <c r="H1553" s="1000"/>
      <c r="I1553" s="1204" t="s">
        <v>1197</v>
      </c>
      <c r="J1553" s="1000"/>
      <c r="K1553" s="670" t="s">
        <v>1213</v>
      </c>
      <c r="L1553" s="1204" t="s">
        <v>1199</v>
      </c>
      <c r="M1553" s="1000"/>
      <c r="N1553" s="671" t="s">
        <v>1200</v>
      </c>
      <c r="O1553" s="362"/>
    </row>
    <row r="1554" spans="1:17" ht="15.75" customHeight="1">
      <c r="A1554" s="395"/>
      <c r="B1554" s="399"/>
      <c r="C1554" s="1128" t="s">
        <v>1201</v>
      </c>
      <c r="D1554" s="940"/>
      <c r="E1554" s="940"/>
      <c r="F1554" s="941"/>
      <c r="G1554" s="1142"/>
      <c r="H1554" s="941"/>
      <c r="I1554" s="1142"/>
      <c r="J1554" s="941"/>
      <c r="K1554" s="429"/>
      <c r="L1554" s="1143">
        <v>0.06</v>
      </c>
      <c r="M1554" s="941"/>
      <c r="N1554" s="430">
        <f>+L1554*N1593</f>
        <v>407.63816684244705</v>
      </c>
      <c r="O1554" s="362"/>
    </row>
    <row r="1555" spans="1:17" ht="15.75" customHeight="1">
      <c r="A1555" s="395" t="str">
        <f t="array" ref="A1555">IF(C1555&lt;&gt;0,INDEX(CodEquipos,MATCH(C1555,Equipos,0),),)</f>
        <v>MEQ-175</v>
      </c>
      <c r="B1555" s="399"/>
      <c r="C1555" s="1128" t="s">
        <v>675</v>
      </c>
      <c r="D1555" s="940"/>
      <c r="E1555" s="940"/>
      <c r="F1555" s="941"/>
      <c r="G1555" s="1142"/>
      <c r="H1555" s="941"/>
      <c r="I1555" s="1142"/>
      <c r="J1555" s="941"/>
      <c r="K1555" s="432">
        <f>IF($A1555&gt;0,(VLOOKUP($A1555,TablaEquipos,7,FALSE)),"")</f>
        <v>60000</v>
      </c>
      <c r="L1555" s="1146">
        <v>0.05</v>
      </c>
      <c r="M1555" s="941"/>
      <c r="N1555" s="430">
        <f>IF(L1555&gt;0,K1555*L1555,"")</f>
        <v>3000</v>
      </c>
      <c r="O1555" s="362"/>
    </row>
    <row r="1556" spans="1:17" ht="15.75" customHeight="1">
      <c r="A1556" s="395">
        <f t="array" ref="A1556">IF(C1556&lt;&gt;0,INDEX(CodEquipos,MATCH(C1556,Equipos,0),),)</f>
        <v>0</v>
      </c>
      <c r="B1556" s="399"/>
      <c r="C1556" s="1128"/>
      <c r="D1556" s="940"/>
      <c r="E1556" s="940"/>
      <c r="F1556" s="941"/>
      <c r="G1556" s="1142"/>
      <c r="H1556" s="941"/>
      <c r="I1556" s="1142"/>
      <c r="J1556" s="941"/>
      <c r="K1556" s="432" t="str">
        <f>IF($A1556&gt;0,(VLOOKUP($A1556,TablaEquipos,7,FALSE)),"")</f>
        <v/>
      </c>
      <c r="L1556" s="1146"/>
      <c r="M1556" s="941"/>
      <c r="N1556" s="430" t="str">
        <f t="shared" ref="N1556:N1559" si="120">IF(L1556&gt;0,K1556/L1556,"")</f>
        <v/>
      </c>
      <c r="O1556" s="362"/>
    </row>
    <row r="1557" spans="1:17" ht="15.75" customHeight="1">
      <c r="A1557" s="395">
        <f t="array" ref="A1557">IF(C1557&lt;&gt;0,INDEX(CodEquipos,MATCH(C1557,Equipos,0),),)</f>
        <v>0</v>
      </c>
      <c r="B1557" s="399"/>
      <c r="C1557" s="1128"/>
      <c r="D1557" s="940"/>
      <c r="E1557" s="940"/>
      <c r="F1557" s="941"/>
      <c r="G1557" s="1142"/>
      <c r="H1557" s="941"/>
      <c r="I1557" s="1142"/>
      <c r="J1557" s="941"/>
      <c r="K1557" s="432" t="str">
        <f>IF($A1557&gt;0,(VLOOKUP($A1557,TablaEquipos,7,FALSE)),"")</f>
        <v/>
      </c>
      <c r="L1557" s="1146"/>
      <c r="M1557" s="941"/>
      <c r="N1557" s="430" t="str">
        <f t="shared" si="120"/>
        <v/>
      </c>
      <c r="O1557" s="362"/>
    </row>
    <row r="1558" spans="1:17" ht="15.75" customHeight="1">
      <c r="A1558" s="395">
        <f t="array" ref="A1558">IF(C1558&lt;&gt;0,INDEX(CodEquipos,MATCH(C1558,Equipos,0),),)</f>
        <v>0</v>
      </c>
      <c r="B1558" s="399"/>
      <c r="C1558" s="1128"/>
      <c r="D1558" s="940"/>
      <c r="E1558" s="940"/>
      <c r="F1558" s="941"/>
      <c r="G1558" s="1142"/>
      <c r="H1558" s="941"/>
      <c r="I1558" s="1142"/>
      <c r="J1558" s="941"/>
      <c r="K1558" s="432" t="str">
        <f>IF($A1558&gt;0,(VLOOKUP($A1558,TablaEquipos,7,FALSE)),"")</f>
        <v/>
      </c>
      <c r="L1558" s="1141"/>
      <c r="M1558" s="941"/>
      <c r="N1558" s="430" t="str">
        <f t="shared" si="120"/>
        <v/>
      </c>
      <c r="O1558" s="362"/>
    </row>
    <row r="1559" spans="1:17" ht="15.75" customHeight="1">
      <c r="A1559" s="395">
        <f t="array" ref="A1559">IF(C1559&lt;&gt;0,INDEX(CodEquipos,MATCH(C1559,Equipos,0),),)</f>
        <v>0</v>
      </c>
      <c r="B1559" s="399"/>
      <c r="C1559" s="1128"/>
      <c r="D1559" s="940"/>
      <c r="E1559" s="940"/>
      <c r="F1559" s="941"/>
      <c r="G1559" s="1144"/>
      <c r="H1559" s="1145"/>
      <c r="I1559" s="1144"/>
      <c r="J1559" s="1145"/>
      <c r="K1559" s="432" t="str">
        <f>IF($A1559&gt;0,(VLOOKUP($A1559,TablaEquipos,7,FALSE)),"")</f>
        <v/>
      </c>
      <c r="L1559" s="1208"/>
      <c r="M1559" s="1145"/>
      <c r="N1559" s="430" t="str">
        <f t="shared" si="120"/>
        <v/>
      </c>
      <c r="O1559" s="362"/>
    </row>
    <row r="1560" spans="1:17" ht="15.75" customHeight="1">
      <c r="A1560" s="395"/>
      <c r="B1560" s="399"/>
      <c r="C1560" s="1127" t="s">
        <v>1202</v>
      </c>
      <c r="D1560" s="965"/>
      <c r="E1560" s="965"/>
      <c r="F1560" s="965"/>
      <c r="G1560" s="965"/>
      <c r="H1560" s="965"/>
      <c r="I1560" s="965"/>
      <c r="J1560" s="965"/>
      <c r="K1560" s="965"/>
      <c r="L1560" s="965"/>
      <c r="M1560" s="966"/>
      <c r="N1560" s="433">
        <f>+SUM(N1554:N1559)</f>
        <v>3407.6381668424469</v>
      </c>
      <c r="O1560" s="362"/>
    </row>
    <row r="1561" spans="1:17" ht="15.75" customHeight="1">
      <c r="A1561" s="395"/>
      <c r="B1561" s="399"/>
      <c r="C1561" s="1129" t="s">
        <v>1203</v>
      </c>
      <c r="D1561" s="926"/>
      <c r="E1561" s="926"/>
      <c r="F1561" s="926"/>
      <c r="G1561" s="926"/>
      <c r="H1561" s="926"/>
      <c r="I1561" s="926"/>
      <c r="J1561" s="926"/>
      <c r="K1561" s="926"/>
      <c r="L1561" s="926"/>
      <c r="M1561" s="926"/>
      <c r="N1561" s="927"/>
      <c r="O1561" s="362"/>
    </row>
    <row r="1562" spans="1:17" ht="15.75" customHeight="1">
      <c r="A1562" s="395"/>
      <c r="B1562" s="399"/>
      <c r="C1562" s="920"/>
      <c r="D1562" s="922"/>
      <c r="E1562" s="922"/>
      <c r="F1562" s="922"/>
      <c r="G1562" s="922"/>
      <c r="H1562" s="922"/>
      <c r="I1562" s="922"/>
      <c r="J1562" s="922"/>
      <c r="K1562" s="922"/>
      <c r="L1562" s="922"/>
      <c r="M1562" s="922"/>
      <c r="N1562" s="924"/>
      <c r="O1562" s="362"/>
    </row>
    <row r="1563" spans="1:17" ht="15.75" customHeight="1">
      <c r="A1563" s="395"/>
      <c r="B1563" s="399"/>
      <c r="C1563" s="929"/>
      <c r="D1563" s="936"/>
      <c r="E1563" s="936"/>
      <c r="F1563" s="936"/>
      <c r="G1563" s="936"/>
      <c r="H1563" s="936"/>
      <c r="I1563" s="936"/>
      <c r="J1563" s="936"/>
      <c r="K1563" s="936"/>
      <c r="L1563" s="936"/>
      <c r="M1563" s="936"/>
      <c r="N1563" s="938"/>
      <c r="O1563" s="362"/>
    </row>
    <row r="1564" spans="1:17" ht="15.75" customHeight="1">
      <c r="A1564" s="395"/>
      <c r="B1564" s="399"/>
      <c r="C1564" s="1201" t="s">
        <v>17</v>
      </c>
      <c r="D1564" s="1131"/>
      <c r="E1564" s="1131"/>
      <c r="F1564" s="1131"/>
      <c r="G1564" s="1131"/>
      <c r="H1564" s="1131"/>
      <c r="I1564" s="1000"/>
      <c r="J1564" s="672" t="s">
        <v>1192</v>
      </c>
      <c r="K1564" s="670" t="s">
        <v>950</v>
      </c>
      <c r="L1564" s="1204" t="s">
        <v>1204</v>
      </c>
      <c r="M1564" s="1000"/>
      <c r="N1564" s="671" t="s">
        <v>1200</v>
      </c>
      <c r="O1564" s="362"/>
    </row>
    <row r="1565" spans="1:17" ht="15.75" customHeight="1">
      <c r="A1565" s="395" t="str">
        <f t="array" ref="A1565">IF(C1565&lt;&gt;0,INDEX(CodMat,MATCH(C1565,Materiales,0),),)</f>
        <v>MAT_C-61</v>
      </c>
      <c r="B1565" s="399"/>
      <c r="C1565" s="1128" t="s">
        <v>2518</v>
      </c>
      <c r="D1565" s="940"/>
      <c r="E1565" s="940"/>
      <c r="F1565" s="940"/>
      <c r="G1565" s="940"/>
      <c r="H1565" s="940"/>
      <c r="I1565" s="941"/>
      <c r="J1565" s="435" t="str">
        <f t="shared" ref="J1565:J1572" si="121">IF($A1565&gt;0,(VLOOKUP($A1565,TablaInsumos,5,FALSE)),"")</f>
        <v>M2</v>
      </c>
      <c r="K1565" s="673">
        <v>1.05</v>
      </c>
      <c r="L1565" s="1134">
        <f t="shared" ref="L1565:L1572" si="122">IF($A1565&gt;0,(VLOOKUP($A1565,TablaInsumos,7,FALSE)),"")</f>
        <v>103385</v>
      </c>
      <c r="M1565" s="941"/>
      <c r="N1565" s="430">
        <f t="shared" ref="N1565:N1572" si="123">IF(K1565&gt;0,L1565*K1565,"")</f>
        <v>108554.25</v>
      </c>
      <c r="O1565" s="362"/>
    </row>
    <row r="1566" spans="1:17" ht="15.75" customHeight="1">
      <c r="A1566" s="395" t="str">
        <f t="array" ref="A1566">IF(C1566&lt;&gt;0,INDEX(CodMat,MATCH(C1566,Materiales,0),),)</f>
        <v>MAT_C-62</v>
      </c>
      <c r="B1566" s="399"/>
      <c r="C1566" s="1128" t="s">
        <v>1403</v>
      </c>
      <c r="D1566" s="940"/>
      <c r="E1566" s="940"/>
      <c r="F1566" s="940"/>
      <c r="G1566" s="940"/>
      <c r="H1566" s="940"/>
      <c r="I1566" s="941"/>
      <c r="J1566" s="435" t="str">
        <f t="shared" si="121"/>
        <v>UND</v>
      </c>
      <c r="K1566" s="673">
        <v>15</v>
      </c>
      <c r="L1566" s="1134">
        <f t="shared" si="122"/>
        <v>6900</v>
      </c>
      <c r="M1566" s="941"/>
      <c r="N1566" s="430">
        <f t="shared" si="123"/>
        <v>103500</v>
      </c>
      <c r="O1566" s="362"/>
      <c r="Q1566" s="688"/>
    </row>
    <row r="1567" spans="1:17" ht="15.75" customHeight="1">
      <c r="A1567" s="395" t="str">
        <f t="array" ref="A1567">IF(C1567&lt;&gt;0,INDEX(CodMat,MATCH(C1567,Materiales,0),),)</f>
        <v>MAT_C-63</v>
      </c>
      <c r="B1567" s="399"/>
      <c r="C1567" s="1128" t="s">
        <v>1405</v>
      </c>
      <c r="D1567" s="940"/>
      <c r="E1567" s="940"/>
      <c r="F1567" s="940"/>
      <c r="G1567" s="940"/>
      <c r="H1567" s="940"/>
      <c r="I1567" s="941"/>
      <c r="J1567" s="435" t="str">
        <f t="shared" si="121"/>
        <v>GAL</v>
      </c>
      <c r="K1567" s="673">
        <v>0.25</v>
      </c>
      <c r="L1567" s="1134">
        <f t="shared" si="122"/>
        <v>54900</v>
      </c>
      <c r="M1567" s="941"/>
      <c r="N1567" s="430">
        <f t="shared" si="123"/>
        <v>13725</v>
      </c>
      <c r="O1567" s="362"/>
      <c r="Q1567" s="687"/>
    </row>
    <row r="1568" spans="1:17" ht="15.75" customHeight="1">
      <c r="A1568" s="395" t="str">
        <f t="array" ref="A1568">IF(C1568&lt;&gt;0,INDEX(CodMat,MATCH(C1568,Materiales,0),),)</f>
        <v>MAT_C-64</v>
      </c>
      <c r="B1568" s="399"/>
      <c r="C1568" s="1128" t="s">
        <v>2519</v>
      </c>
      <c r="D1568" s="940"/>
      <c r="E1568" s="940"/>
      <c r="F1568" s="940"/>
      <c r="G1568" s="940"/>
      <c r="H1568" s="940"/>
      <c r="I1568" s="941"/>
      <c r="J1568" s="435" t="str">
        <f t="shared" si="121"/>
        <v>M2</v>
      </c>
      <c r="K1568" s="673">
        <v>1.05</v>
      </c>
      <c r="L1568" s="1134">
        <f t="shared" si="122"/>
        <v>14980</v>
      </c>
      <c r="M1568" s="941"/>
      <c r="N1568" s="430">
        <f t="shared" si="123"/>
        <v>15729</v>
      </c>
      <c r="O1568" s="362"/>
    </row>
    <row r="1569" spans="1:15" ht="15.75" customHeight="1">
      <c r="A1569" s="395" t="str">
        <f t="array" ref="A1569">IF(C1569&lt;&gt;0,INDEX(CodMat,MATCH(C1569,Materiales,0),),)</f>
        <v>MAT_C-65</v>
      </c>
      <c r="B1569" s="399"/>
      <c r="C1569" s="1128" t="s">
        <v>1409</v>
      </c>
      <c r="D1569" s="940"/>
      <c r="E1569" s="940"/>
      <c r="F1569" s="940"/>
      <c r="G1569" s="940"/>
      <c r="H1569" s="940"/>
      <c r="I1569" s="941"/>
      <c r="J1569" s="435" t="str">
        <f t="shared" si="121"/>
        <v>GAL</v>
      </c>
      <c r="K1569" s="673">
        <v>0.15</v>
      </c>
      <c r="L1569" s="1134">
        <f t="shared" si="122"/>
        <v>78000</v>
      </c>
      <c r="M1569" s="941"/>
      <c r="N1569" s="430">
        <f t="shared" si="123"/>
        <v>11700</v>
      </c>
      <c r="O1569" s="362"/>
    </row>
    <row r="1570" spans="1:15" ht="15.75" customHeight="1">
      <c r="A1570" s="395" t="str">
        <f t="array" ref="A1570">IF(C1570&lt;&gt;0,INDEX(CodMat,MATCH(C1570,Materiales,0),),)</f>
        <v>MAT_C-66</v>
      </c>
      <c r="B1570" s="399"/>
      <c r="C1570" s="1128" t="s">
        <v>1411</v>
      </c>
      <c r="D1570" s="940"/>
      <c r="E1570" s="940"/>
      <c r="F1570" s="940"/>
      <c r="G1570" s="940"/>
      <c r="H1570" s="940"/>
      <c r="I1570" s="941"/>
      <c r="J1570" s="435" t="str">
        <f t="shared" si="121"/>
        <v>GAL</v>
      </c>
      <c r="K1570" s="673">
        <v>0.15</v>
      </c>
      <c r="L1570" s="1134">
        <f t="shared" si="122"/>
        <v>115000</v>
      </c>
      <c r="M1570" s="941"/>
      <c r="N1570" s="430">
        <f t="shared" si="123"/>
        <v>17250</v>
      </c>
      <c r="O1570" s="362"/>
    </row>
    <row r="1571" spans="1:15" ht="15.75" customHeight="1">
      <c r="A1571" s="395" t="str">
        <f t="array" ref="A1571">IF(C1571&lt;&gt;0,INDEX(CodMat,MATCH(C1571,Materiales,0),),)</f>
        <v>MAT_C-67</v>
      </c>
      <c r="B1571" s="399"/>
      <c r="C1571" s="1128" t="s">
        <v>1413</v>
      </c>
      <c r="D1571" s="940"/>
      <c r="E1571" s="940"/>
      <c r="F1571" s="940"/>
      <c r="G1571" s="940"/>
      <c r="H1571" s="940"/>
      <c r="I1571" s="941"/>
      <c r="J1571" s="435" t="str">
        <f t="shared" si="121"/>
        <v>M2</v>
      </c>
      <c r="K1571" s="673">
        <v>1.05</v>
      </c>
      <c r="L1571" s="1134">
        <f t="shared" si="122"/>
        <v>98900</v>
      </c>
      <c r="M1571" s="941"/>
      <c r="N1571" s="430">
        <f t="shared" si="123"/>
        <v>103845</v>
      </c>
      <c r="O1571" s="362"/>
    </row>
    <row r="1572" spans="1:15" ht="15.75" customHeight="1">
      <c r="A1572" s="395" t="str">
        <f t="array" ref="A1572">IF(C1572&lt;&gt;0,INDEX(CodMat,MATCH(C1572,Materiales,0),),)</f>
        <v>MAT_C-81</v>
      </c>
      <c r="B1572" s="399"/>
      <c r="C1572" s="1128" t="s">
        <v>2520</v>
      </c>
      <c r="D1572" s="940"/>
      <c r="E1572" s="940"/>
      <c r="F1572" s="940"/>
      <c r="G1572" s="940"/>
      <c r="H1572" s="940"/>
      <c r="I1572" s="941"/>
      <c r="J1572" s="435" t="str">
        <f t="shared" si="121"/>
        <v>KG</v>
      </c>
      <c r="K1572" s="673">
        <v>14</v>
      </c>
      <c r="L1572" s="1205">
        <f t="shared" si="122"/>
        <v>575</v>
      </c>
      <c r="M1572" s="1145"/>
      <c r="N1572" s="430">
        <f t="shared" si="123"/>
        <v>8050</v>
      </c>
      <c r="O1572" s="362"/>
    </row>
    <row r="1573" spans="1:15" ht="15.75" customHeight="1">
      <c r="A1573" s="395"/>
      <c r="B1573" s="399"/>
      <c r="C1573" s="1127" t="s">
        <v>1202</v>
      </c>
      <c r="D1573" s="965"/>
      <c r="E1573" s="965"/>
      <c r="F1573" s="965"/>
      <c r="G1573" s="965"/>
      <c r="H1573" s="965"/>
      <c r="I1573" s="965"/>
      <c r="J1573" s="965"/>
      <c r="K1573" s="965"/>
      <c r="L1573" s="965"/>
      <c r="M1573" s="966"/>
      <c r="N1573" s="433">
        <f>+SUM(N1565:N1572)</f>
        <v>382353.25</v>
      </c>
      <c r="O1573" s="362"/>
    </row>
    <row r="1574" spans="1:15" ht="15.75" customHeight="1">
      <c r="A1574" s="395"/>
      <c r="B1574" s="399"/>
      <c r="C1574" s="1129" t="s">
        <v>1208</v>
      </c>
      <c r="D1574" s="926"/>
      <c r="E1574" s="926"/>
      <c r="F1574" s="926"/>
      <c r="G1574" s="926"/>
      <c r="H1574" s="926"/>
      <c r="I1574" s="926"/>
      <c r="J1574" s="926"/>
      <c r="K1574" s="926"/>
      <c r="L1574" s="926"/>
      <c r="M1574" s="926"/>
      <c r="N1574" s="927"/>
      <c r="O1574" s="362"/>
    </row>
    <row r="1575" spans="1:15" ht="15.75" customHeight="1">
      <c r="A1575" s="395"/>
      <c r="B1575" s="399"/>
      <c r="C1575" s="920"/>
      <c r="D1575" s="922"/>
      <c r="E1575" s="922"/>
      <c r="F1575" s="922"/>
      <c r="G1575" s="922"/>
      <c r="H1575" s="922"/>
      <c r="I1575" s="922"/>
      <c r="J1575" s="922"/>
      <c r="K1575" s="922"/>
      <c r="L1575" s="922"/>
      <c r="M1575" s="922"/>
      <c r="N1575" s="924"/>
      <c r="O1575" s="362"/>
    </row>
    <row r="1576" spans="1:15" ht="15.75" customHeight="1">
      <c r="A1576" s="395"/>
      <c r="B1576" s="399"/>
      <c r="C1576" s="929"/>
      <c r="D1576" s="936"/>
      <c r="E1576" s="936"/>
      <c r="F1576" s="936"/>
      <c r="G1576" s="936"/>
      <c r="H1576" s="936"/>
      <c r="I1576" s="936"/>
      <c r="J1576" s="936"/>
      <c r="K1576" s="936"/>
      <c r="L1576" s="936"/>
      <c r="M1576" s="936"/>
      <c r="N1576" s="938"/>
      <c r="O1576" s="362"/>
    </row>
    <row r="1577" spans="1:15" ht="15.75" customHeight="1">
      <c r="A1577" s="395"/>
      <c r="B1577" s="399"/>
      <c r="C1577" s="1201" t="s">
        <v>1209</v>
      </c>
      <c r="D1577" s="1131"/>
      <c r="E1577" s="1131"/>
      <c r="F1577" s="1131"/>
      <c r="G1577" s="1131"/>
      <c r="H1577" s="1000"/>
      <c r="I1577" s="670" t="s">
        <v>1210</v>
      </c>
      <c r="J1577" s="674" t="s">
        <v>1211</v>
      </c>
      <c r="K1577" s="675" t="s">
        <v>2318</v>
      </c>
      <c r="L1577" s="1204" t="s">
        <v>1213</v>
      </c>
      <c r="M1577" s="1000"/>
      <c r="N1577" s="671" t="s">
        <v>1200</v>
      </c>
      <c r="O1577" s="362"/>
    </row>
    <row r="1578" spans="1:15" ht="15.75" customHeight="1">
      <c r="A1578" s="395">
        <f t="array" ref="A1578">IF(C1578&lt;&gt;0,INDEX(CodTransporte,MATCH(C1578,Transporte,0),),)</f>
        <v>0</v>
      </c>
      <c r="B1578" s="399"/>
      <c r="C1578" s="1128"/>
      <c r="D1578" s="940"/>
      <c r="E1578" s="940"/>
      <c r="F1578" s="940"/>
      <c r="G1578" s="940"/>
      <c r="H1578" s="940"/>
      <c r="I1578" s="440"/>
      <c r="J1578" s="441" t="str">
        <f>IF($A1578&gt;0,(VLOOKUP($A1578,TablaTransporte,6,FALSE)),"")</f>
        <v/>
      </c>
      <c r="K1578" s="442" t="str">
        <f>IF($A1578&gt;0,(VLOOKUP($A1578,TablaTransporte,5,FALSE)),"")</f>
        <v/>
      </c>
      <c r="L1578" s="1134" t="str">
        <f>IF($A1578&gt;0,(VLOOKUP($A1578,TablaTransporte,7,FALSE)),"")</f>
        <v/>
      </c>
      <c r="M1578" s="941"/>
      <c r="N1578" s="430" t="str">
        <f t="shared" ref="N1578:N1582" si="124">IF(I1578&gt;0,J1578*L1578*I1578,"")</f>
        <v/>
      </c>
      <c r="O1578" s="362"/>
    </row>
    <row r="1579" spans="1:15" ht="15.75" customHeight="1">
      <c r="A1579" s="395">
        <f t="array" ref="A1579">IF(C1579&lt;&gt;0,INDEX(CodTransporte,MATCH(C1579,Transporte,0),),)</f>
        <v>0</v>
      </c>
      <c r="B1579" s="399"/>
      <c r="C1579" s="1128"/>
      <c r="D1579" s="940"/>
      <c r="E1579" s="940"/>
      <c r="F1579" s="940"/>
      <c r="G1579" s="940"/>
      <c r="H1579" s="940"/>
      <c r="I1579" s="440"/>
      <c r="J1579" s="441" t="str">
        <f>IF($A1579&gt;0,(VLOOKUP($A1579,TablaTransporte,6,FALSE)),"")</f>
        <v/>
      </c>
      <c r="K1579" s="442" t="str">
        <f>IF($A1579&gt;0,(VLOOKUP($A1579,TablaTransporte,5,FALSE)),"")</f>
        <v/>
      </c>
      <c r="L1579" s="1134" t="str">
        <f>IF($A1579&gt;0,(VLOOKUP($A1579,TablaTransporte,7,FALSE)),"")</f>
        <v/>
      </c>
      <c r="M1579" s="941"/>
      <c r="N1579" s="430" t="str">
        <f t="shared" si="124"/>
        <v/>
      </c>
      <c r="O1579" s="362"/>
    </row>
    <row r="1580" spans="1:15" ht="15.75" customHeight="1">
      <c r="A1580" s="395">
        <f t="array" ref="A1580">IF(C1580&lt;&gt;0,INDEX(CodTransporte,MATCH(C1580,Transporte,0),),)</f>
        <v>0</v>
      </c>
      <c r="B1580" s="399"/>
      <c r="C1580" s="1128"/>
      <c r="D1580" s="940"/>
      <c r="E1580" s="940"/>
      <c r="F1580" s="940"/>
      <c r="G1580" s="940"/>
      <c r="H1580" s="940"/>
      <c r="I1580" s="440"/>
      <c r="J1580" s="441" t="str">
        <f>IF($A1580&gt;0,(VLOOKUP($A1580,TablaTransporte,6,FALSE)),"")</f>
        <v/>
      </c>
      <c r="K1580" s="442" t="str">
        <f>IF($A1580&gt;0,(VLOOKUP($A1580,TablaTransporte,5,FALSE)),"")</f>
        <v/>
      </c>
      <c r="L1580" s="1134" t="str">
        <f>IF($A1580&gt;0,(VLOOKUP($A1580,TablaTransporte,7,FALSE)),"")</f>
        <v/>
      </c>
      <c r="M1580" s="941"/>
      <c r="N1580" s="430" t="str">
        <f t="shared" si="124"/>
        <v/>
      </c>
      <c r="O1580" s="362"/>
    </row>
    <row r="1581" spans="1:15" ht="15.75" customHeight="1">
      <c r="A1581" s="395">
        <f t="array" ref="A1581">IF(C1581&lt;&gt;0,INDEX(CodTransporte,MATCH(C1581,Transporte,0),),)</f>
        <v>0</v>
      </c>
      <c r="B1581" s="399"/>
      <c r="C1581" s="1128"/>
      <c r="D1581" s="940"/>
      <c r="E1581" s="940"/>
      <c r="F1581" s="940"/>
      <c r="G1581" s="940"/>
      <c r="H1581" s="940"/>
      <c r="I1581" s="440"/>
      <c r="J1581" s="441" t="str">
        <f>IF($A1581&gt;0,(VLOOKUP($A1581,TablaTransporte,6,FALSE)),"")</f>
        <v/>
      </c>
      <c r="K1581" s="442" t="str">
        <f>IF($A1581&gt;0,(VLOOKUP($A1581,TablaTransporte,5,FALSE)),"")</f>
        <v/>
      </c>
      <c r="L1581" s="1134" t="str">
        <f>IF($A1581&gt;0,(VLOOKUP($A1581,TablaTransporte,7,FALSE)),"")</f>
        <v/>
      </c>
      <c r="M1581" s="941"/>
      <c r="N1581" s="430" t="str">
        <f t="shared" si="124"/>
        <v/>
      </c>
      <c r="O1581" s="362"/>
    </row>
    <row r="1582" spans="1:15" ht="15.75" customHeight="1">
      <c r="A1582" s="395">
        <f t="array" ref="A1582">IF(C1582&lt;&gt;0,INDEX(CodTransporte,MATCH(C1582,Transporte,0),),)</f>
        <v>0</v>
      </c>
      <c r="B1582" s="399"/>
      <c r="C1582" s="1128"/>
      <c r="D1582" s="940"/>
      <c r="E1582" s="940"/>
      <c r="F1582" s="940"/>
      <c r="G1582" s="940"/>
      <c r="H1582" s="940"/>
      <c r="I1582" s="440"/>
      <c r="J1582" s="441" t="str">
        <f>IF($A1582&gt;0,(VLOOKUP($A1582,TablaTransporte,6,FALSE)),"")</f>
        <v/>
      </c>
      <c r="K1582" s="442" t="str">
        <f>IF($A1582&gt;0,(VLOOKUP($A1582,TablaTransporte,5,FALSE)),"")</f>
        <v/>
      </c>
      <c r="L1582" s="1205" t="str">
        <f>IF($A1582&gt;0,(VLOOKUP($A1582,TablaTransporte,7,FALSE)),"")</f>
        <v/>
      </c>
      <c r="M1582" s="1145"/>
      <c r="N1582" s="430" t="str">
        <f t="shared" si="124"/>
        <v/>
      </c>
      <c r="O1582" s="362"/>
    </row>
    <row r="1583" spans="1:15" ht="15.75" customHeight="1">
      <c r="A1583" s="395"/>
      <c r="B1583" s="399"/>
      <c r="C1583" s="1127" t="s">
        <v>1202</v>
      </c>
      <c r="D1583" s="965"/>
      <c r="E1583" s="965"/>
      <c r="F1583" s="965"/>
      <c r="G1583" s="965"/>
      <c r="H1583" s="965"/>
      <c r="I1583" s="965"/>
      <c r="J1583" s="965"/>
      <c r="K1583" s="965"/>
      <c r="L1583" s="965"/>
      <c r="M1583" s="966"/>
      <c r="N1583" s="433">
        <f>+SUM(N1578:N1582)</f>
        <v>0</v>
      </c>
      <c r="O1583" s="362"/>
    </row>
    <row r="1584" spans="1:15" ht="15.75" customHeight="1">
      <c r="A1584" s="395"/>
      <c r="B1584" s="399"/>
      <c r="C1584" s="1129" t="s">
        <v>1214</v>
      </c>
      <c r="D1584" s="926"/>
      <c r="E1584" s="926"/>
      <c r="F1584" s="926"/>
      <c r="G1584" s="926"/>
      <c r="H1584" s="926"/>
      <c r="I1584" s="926"/>
      <c r="J1584" s="926"/>
      <c r="K1584" s="926"/>
      <c r="L1584" s="926"/>
      <c r="M1584" s="926"/>
      <c r="N1584" s="927"/>
      <c r="O1584" s="362"/>
    </row>
    <row r="1585" spans="1:18" ht="15.75" customHeight="1">
      <c r="A1585" s="395"/>
      <c r="B1585" s="399"/>
      <c r="C1585" s="920"/>
      <c r="D1585" s="922"/>
      <c r="E1585" s="922"/>
      <c r="F1585" s="922"/>
      <c r="G1585" s="922"/>
      <c r="H1585" s="922"/>
      <c r="I1585" s="922"/>
      <c r="J1585" s="922"/>
      <c r="K1585" s="922"/>
      <c r="L1585" s="922"/>
      <c r="M1585" s="922"/>
      <c r="N1585" s="924"/>
      <c r="O1585" s="362"/>
    </row>
    <row r="1586" spans="1:18" ht="15.75" customHeight="1">
      <c r="A1586" s="395"/>
      <c r="B1586" s="399"/>
      <c r="C1586" s="929"/>
      <c r="D1586" s="936"/>
      <c r="E1586" s="936"/>
      <c r="F1586" s="936"/>
      <c r="G1586" s="936"/>
      <c r="H1586" s="936"/>
      <c r="I1586" s="936"/>
      <c r="J1586" s="936"/>
      <c r="K1586" s="936"/>
      <c r="L1586" s="936"/>
      <c r="M1586" s="936"/>
      <c r="N1586" s="938"/>
      <c r="O1586" s="362"/>
    </row>
    <row r="1587" spans="1:18" ht="15.75" customHeight="1">
      <c r="A1587" s="395"/>
      <c r="B1587" s="399"/>
      <c r="C1587" s="1201" t="s">
        <v>1215</v>
      </c>
      <c r="D1587" s="1131"/>
      <c r="E1587" s="1131"/>
      <c r="F1587" s="1131"/>
      <c r="G1587" s="1131"/>
      <c r="H1587" s="1000"/>
      <c r="I1587" s="670" t="s">
        <v>1216</v>
      </c>
      <c r="J1587" s="676" t="s">
        <v>1217</v>
      </c>
      <c r="K1587" s="677" t="s">
        <v>1218</v>
      </c>
      <c r="L1587" s="1206" t="s">
        <v>1199</v>
      </c>
      <c r="M1587" s="1000"/>
      <c r="N1587" s="678" t="s">
        <v>1200</v>
      </c>
      <c r="O1587" s="362"/>
    </row>
    <row r="1588" spans="1:18" ht="15.75" customHeight="1">
      <c r="A1588" s="395" t="str">
        <f t="array" ref="A1588">IF(C1588&lt;&gt;0,INDEX(CodMO,MATCH(C1588,MO,0),),)</f>
        <v>M.O-05</v>
      </c>
      <c r="B1588" s="399"/>
      <c r="C1588" s="1128" t="s">
        <v>139</v>
      </c>
      <c r="D1588" s="940"/>
      <c r="E1588" s="940"/>
      <c r="F1588" s="940"/>
      <c r="G1588" s="940"/>
      <c r="H1588" s="940"/>
      <c r="I1588" s="447">
        <f>IF($A1588&gt;0,(VLOOKUP($A1588,TablaMO,8,FALSE)),"")</f>
        <v>125030.16666666667</v>
      </c>
      <c r="J1588" s="448">
        <f>IF($A1588&gt;0,(VLOOKUP($A1588,TablaMO,10,FALSE)),"")</f>
        <v>0.67071666666666663</v>
      </c>
      <c r="K1588" s="447">
        <f>IF($A1588&gt;0,(VLOOKUP($A1588,TablaMO,11,FALSE)),"")</f>
        <v>208890</v>
      </c>
      <c r="L1588" s="1146">
        <v>48.575726246098171</v>
      </c>
      <c r="M1588" s="941"/>
      <c r="N1588" s="430">
        <f t="shared" ref="N1588:N1592" si="125">IF(L1588&gt;0,K1588/L1588,"")</f>
        <v>4300.2959737895635</v>
      </c>
      <c r="O1588" s="362"/>
    </row>
    <row r="1589" spans="1:18" ht="15.75" customHeight="1">
      <c r="A1589" s="395" t="str">
        <f t="array" ref="A1589">IF(C1589&lt;&gt;0,INDEX(CodMO,MATCH(C1589,MO,0),),)</f>
        <v>M.O-01</v>
      </c>
      <c r="B1589" s="399"/>
      <c r="C1589" s="1128" t="s">
        <v>130</v>
      </c>
      <c r="D1589" s="940"/>
      <c r="E1589" s="940"/>
      <c r="F1589" s="940"/>
      <c r="G1589" s="940"/>
      <c r="H1589" s="940"/>
      <c r="I1589" s="447">
        <f>IF($A1589&gt;0,(VLOOKUP($A1589,TablaMO,8,FALSE)),"")</f>
        <v>72503.016666666677</v>
      </c>
      <c r="J1589" s="448">
        <f>IF($A1589&gt;0,(VLOOKUP($A1589,TablaMO,10,FALSE)),"")</f>
        <v>0.67071666666666663</v>
      </c>
      <c r="K1589" s="447">
        <f>IF($A1589&gt;0,(VLOOKUP($A1589,TablaMO,11,FALSE)),"")</f>
        <v>121132</v>
      </c>
      <c r="L1589" s="1146">
        <f>L1588</f>
        <v>48.575726246098171</v>
      </c>
      <c r="M1589" s="941"/>
      <c r="N1589" s="430">
        <f t="shared" si="125"/>
        <v>2493.6734735845539</v>
      </c>
      <c r="O1589" s="362"/>
    </row>
    <row r="1590" spans="1:18" ht="15.75" customHeight="1">
      <c r="A1590" s="395">
        <f t="array" ref="A1590">IF(C1590&lt;&gt;0,INDEX(CodMO,MATCH(C1590,MO,0),),)</f>
        <v>0</v>
      </c>
      <c r="B1590" s="399"/>
      <c r="C1590" s="1128"/>
      <c r="D1590" s="940"/>
      <c r="E1590" s="940"/>
      <c r="F1590" s="940"/>
      <c r="G1590" s="940"/>
      <c r="H1590" s="940"/>
      <c r="I1590" s="447" t="str">
        <f>IF($A1590&gt;0,(VLOOKUP($A1590,TablaMO,8,FALSE)),"")</f>
        <v/>
      </c>
      <c r="J1590" s="448" t="str">
        <f>IF($A1590&gt;0,(VLOOKUP($A1590,TablaMO,10,FALSE)),"")</f>
        <v/>
      </c>
      <c r="K1590" s="447" t="str">
        <f>IF($A1590&gt;0,(VLOOKUP($A1590,TablaMO,11,FALSE)),"")</f>
        <v/>
      </c>
      <c r="L1590" s="1146"/>
      <c r="M1590" s="941"/>
      <c r="N1590" s="430" t="str">
        <f t="shared" si="125"/>
        <v/>
      </c>
      <c r="O1590" s="362"/>
    </row>
    <row r="1591" spans="1:18" ht="15.75" customHeight="1">
      <c r="A1591" s="395">
        <f t="array" ref="A1591">IF(C1591&lt;&gt;0,INDEX(CodMO,MATCH(C1591,MO,0),),)</f>
        <v>0</v>
      </c>
      <c r="B1591" s="399"/>
      <c r="C1591" s="1128"/>
      <c r="D1591" s="940"/>
      <c r="E1591" s="940"/>
      <c r="F1591" s="940"/>
      <c r="G1591" s="940"/>
      <c r="H1591" s="940"/>
      <c r="I1591" s="447" t="str">
        <f>IF($A1591&gt;0,(VLOOKUP($A1591,TablaMO,8,FALSE)),"")</f>
        <v/>
      </c>
      <c r="J1591" s="448" t="str">
        <f>IF($A1591&gt;0,(VLOOKUP($A1591,TablaMO,10,FALSE)),"")</f>
        <v/>
      </c>
      <c r="K1591" s="447" t="str">
        <f>IF($A1591&gt;0,(VLOOKUP($A1591,TablaMO,11,FALSE)),"")</f>
        <v/>
      </c>
      <c r="L1591" s="1146"/>
      <c r="M1591" s="941"/>
      <c r="N1591" s="430" t="str">
        <f t="shared" si="125"/>
        <v/>
      </c>
      <c r="O1591" s="362"/>
    </row>
    <row r="1592" spans="1:18" ht="15.75" customHeight="1">
      <c r="A1592" s="395">
        <f t="array" ref="A1592">IF(C1592&lt;&gt;0,INDEX(CodMO,MATCH(C1592,MO,0),),)</f>
        <v>0</v>
      </c>
      <c r="B1592" s="399"/>
      <c r="C1592" s="1128"/>
      <c r="D1592" s="940"/>
      <c r="E1592" s="940"/>
      <c r="F1592" s="940"/>
      <c r="G1592" s="940"/>
      <c r="H1592" s="940"/>
      <c r="I1592" s="447" t="str">
        <f>IF($A1592&gt;0,(VLOOKUP($A1592,TablaMO,8,FALSE)),"")</f>
        <v/>
      </c>
      <c r="J1592" s="448" t="str">
        <f>IF($A1592&gt;0,(VLOOKUP($A1592,TablaMO,10,FALSE)),"")</f>
        <v/>
      </c>
      <c r="K1592" s="447" t="str">
        <f>IF($A1592&gt;0,(VLOOKUP($A1592,TablaMO,11,FALSE)),"")</f>
        <v/>
      </c>
      <c r="L1592" s="1146"/>
      <c r="M1592" s="941"/>
      <c r="N1592" s="430" t="str">
        <f t="shared" si="125"/>
        <v/>
      </c>
      <c r="O1592" s="362"/>
    </row>
    <row r="1593" spans="1:18" ht="15.75" customHeight="1">
      <c r="A1593" s="395"/>
      <c r="B1593" s="399"/>
      <c r="C1593" s="1127" t="s">
        <v>1202</v>
      </c>
      <c r="D1593" s="965"/>
      <c r="E1593" s="965"/>
      <c r="F1593" s="965"/>
      <c r="G1593" s="965"/>
      <c r="H1593" s="965"/>
      <c r="I1593" s="965"/>
      <c r="J1593" s="965"/>
      <c r="K1593" s="965"/>
      <c r="L1593" s="965"/>
      <c r="M1593" s="966"/>
      <c r="N1593" s="433">
        <f>+SUM(N1588:N1592)</f>
        <v>6793.9694473741174</v>
      </c>
      <c r="O1593" s="362"/>
    </row>
    <row r="1594" spans="1:18" ht="15.75" customHeight="1">
      <c r="B1594" s="679"/>
      <c r="O1594" s="362"/>
    </row>
    <row r="1595" spans="1:18" ht="15.75" customHeight="1">
      <c r="B1595" s="679"/>
      <c r="C1595" s="1198" t="s">
        <v>1219</v>
      </c>
      <c r="D1595" s="965"/>
      <c r="E1595" s="965"/>
      <c r="F1595" s="965"/>
      <c r="G1595" s="965"/>
      <c r="H1595" s="965"/>
      <c r="I1595" s="965"/>
      <c r="J1595" s="965"/>
      <c r="K1595" s="965"/>
      <c r="L1595" s="965"/>
      <c r="M1595" s="966"/>
      <c r="N1595" s="680">
        <f>ROUND(SUM(N1593,N1583,N1573,N1560),0)</f>
        <v>392555</v>
      </c>
      <c r="O1595" s="362"/>
      <c r="Q1595" s="681">
        <f>VLOOKUP(C1549,PROPUESTASASERCO,8,FALSE)</f>
        <v>392555</v>
      </c>
      <c r="R1595" s="682">
        <f>Q1595-N1595</f>
        <v>0</v>
      </c>
    </row>
    <row r="1596" spans="1:18" ht="15.75" customHeight="1">
      <c r="B1596" s="679"/>
      <c r="C1596" s="1129" t="s">
        <v>1220</v>
      </c>
      <c r="D1596" s="926"/>
      <c r="E1596" s="926"/>
      <c r="F1596" s="926"/>
      <c r="G1596" s="926"/>
      <c r="H1596" s="926"/>
      <c r="I1596" s="926"/>
      <c r="J1596" s="926"/>
      <c r="K1596" s="926"/>
      <c r="L1596" s="926"/>
      <c r="M1596" s="926"/>
      <c r="N1596" s="927"/>
      <c r="O1596" s="362"/>
    </row>
    <row r="1597" spans="1:18" ht="15.75" customHeight="1">
      <c r="B1597" s="679"/>
      <c r="C1597" s="920"/>
      <c r="D1597" s="922"/>
      <c r="E1597" s="922"/>
      <c r="F1597" s="922"/>
      <c r="G1597" s="922"/>
      <c r="H1597" s="922"/>
      <c r="I1597" s="922"/>
      <c r="J1597" s="922"/>
      <c r="K1597" s="922"/>
      <c r="L1597" s="922"/>
      <c r="M1597" s="922"/>
      <c r="N1597" s="924"/>
      <c r="O1597" s="362"/>
    </row>
    <row r="1598" spans="1:18" ht="15.75" customHeight="1">
      <c r="B1598" s="679"/>
      <c r="C1598" s="929"/>
      <c r="D1598" s="936"/>
      <c r="E1598" s="936"/>
      <c r="F1598" s="936"/>
      <c r="G1598" s="936"/>
      <c r="H1598" s="936"/>
      <c r="I1598" s="936"/>
      <c r="J1598" s="936"/>
      <c r="K1598" s="936"/>
      <c r="L1598" s="936"/>
      <c r="M1598" s="936"/>
      <c r="N1598" s="938"/>
      <c r="O1598" s="362"/>
    </row>
    <row r="1599" spans="1:18" ht="15.75" customHeight="1">
      <c r="B1599" s="679"/>
      <c r="C1599" s="1201" t="s">
        <v>1221</v>
      </c>
      <c r="D1599" s="1131"/>
      <c r="E1599" s="1131"/>
      <c r="F1599" s="1131"/>
      <c r="G1599" s="1131"/>
      <c r="H1599" s="1132"/>
      <c r="I1599" s="674"/>
      <c r="J1599" s="674"/>
      <c r="K1599" s="674"/>
      <c r="L1599" s="1206" t="s">
        <v>1222</v>
      </c>
      <c r="M1599" s="1000"/>
      <c r="N1599" s="678" t="s">
        <v>1223</v>
      </c>
      <c r="O1599" s="362"/>
    </row>
    <row r="1600" spans="1:18" ht="15.75" customHeight="1">
      <c r="B1600" s="679"/>
      <c r="C1600" s="1128" t="s">
        <v>19</v>
      </c>
      <c r="D1600" s="940"/>
      <c r="E1600" s="940"/>
      <c r="F1600" s="940"/>
      <c r="G1600" s="940"/>
      <c r="H1600" s="940"/>
      <c r="I1600" s="452"/>
      <c r="J1600" s="452"/>
      <c r="K1600" s="452"/>
      <c r="L1600" s="1148">
        <f>+Datos!$E$18</f>
        <v>0.25</v>
      </c>
      <c r="M1600" s="941"/>
      <c r="N1600" s="430">
        <f>+L1600*N1595</f>
        <v>98138.75</v>
      </c>
      <c r="O1600" s="362"/>
    </row>
    <row r="1601" spans="2:15" ht="15.75" customHeight="1">
      <c r="B1601" s="679"/>
      <c r="C1601" s="454" t="s">
        <v>20</v>
      </c>
      <c r="D1601" s="455"/>
      <c r="E1601" s="455"/>
      <c r="F1601" s="455"/>
      <c r="G1601" s="455"/>
      <c r="H1601" s="455"/>
      <c r="I1601" s="452"/>
      <c r="J1601" s="452"/>
      <c r="K1601" s="452"/>
      <c r="L1601" s="1148">
        <f>+Datos!$E$19</f>
        <v>0.01</v>
      </c>
      <c r="M1601" s="941"/>
      <c r="N1601" s="430">
        <f>+L1601*N1595</f>
        <v>3925.55</v>
      </c>
      <c r="O1601" s="362"/>
    </row>
    <row r="1602" spans="2:15" ht="15.75" customHeight="1">
      <c r="B1602" s="679"/>
      <c r="C1602" s="456" t="s">
        <v>21</v>
      </c>
      <c r="D1602" s="457"/>
      <c r="E1602" s="457"/>
      <c r="F1602" s="457"/>
      <c r="G1602" s="457"/>
      <c r="H1602" s="457"/>
      <c r="I1602" s="458"/>
      <c r="J1602" s="458"/>
      <c r="K1602" s="458"/>
      <c r="L1602" s="1148">
        <f>+Datos!$E$20</f>
        <v>0.05</v>
      </c>
      <c r="M1602" s="941"/>
      <c r="N1602" s="430">
        <f>+L1602*N1595</f>
        <v>19627.75</v>
      </c>
      <c r="O1602" s="362"/>
    </row>
    <row r="1603" spans="2:15" ht="15.75" customHeight="1">
      <c r="B1603" s="679"/>
      <c r="C1603" s="1127" t="s">
        <v>1202</v>
      </c>
      <c r="D1603" s="965"/>
      <c r="E1603" s="965"/>
      <c r="F1603" s="965"/>
      <c r="G1603" s="965"/>
      <c r="H1603" s="965"/>
      <c r="I1603" s="965"/>
      <c r="J1603" s="965"/>
      <c r="K1603" s="965"/>
      <c r="L1603" s="965"/>
      <c r="M1603" s="966"/>
      <c r="N1603" s="433">
        <f>+SUM(N1600:N1602)</f>
        <v>121692.05</v>
      </c>
      <c r="O1603" s="362"/>
    </row>
    <row r="1604" spans="2:15" ht="15.75" customHeight="1">
      <c r="B1604" s="679"/>
      <c r="C1604" s="418"/>
      <c r="D1604" s="39"/>
      <c r="E1604" s="39"/>
      <c r="F1604" s="39"/>
      <c r="G1604" s="39"/>
      <c r="H1604" s="39"/>
      <c r="I1604" s="39"/>
      <c r="J1604" s="39"/>
      <c r="K1604" s="39"/>
      <c r="L1604" s="39"/>
      <c r="M1604" s="39"/>
      <c r="N1604" s="40"/>
      <c r="O1604" s="362"/>
    </row>
    <row r="1605" spans="2:15" ht="15.75" customHeight="1">
      <c r="B1605" s="679"/>
      <c r="C1605" s="1198" t="s">
        <v>1224</v>
      </c>
      <c r="D1605" s="965"/>
      <c r="E1605" s="965"/>
      <c r="F1605" s="965"/>
      <c r="G1605" s="965"/>
      <c r="H1605" s="965"/>
      <c r="I1605" s="965"/>
      <c r="J1605" s="965"/>
      <c r="K1605" s="965"/>
      <c r="L1605" s="965"/>
      <c r="M1605" s="966"/>
      <c r="N1605" s="683">
        <f>+ROUND(SUM(N1603,N1595),0)</f>
        <v>514247</v>
      </c>
      <c r="O1605" s="362"/>
    </row>
    <row r="1606" spans="2:15" ht="15.75" customHeight="1">
      <c r="B1606" s="679"/>
      <c r="C1606" s="418"/>
      <c r="D1606" s="39" t="s">
        <v>1225</v>
      </c>
      <c r="E1606" s="39"/>
      <c r="F1606" s="39"/>
      <c r="G1606" s="184"/>
      <c r="H1606" s="184"/>
      <c r="I1606" s="184"/>
      <c r="J1606" s="39" t="s">
        <v>1225</v>
      </c>
      <c r="K1606" s="39"/>
      <c r="L1606" s="39"/>
      <c r="M1606" s="39"/>
      <c r="N1606" s="40"/>
      <c r="O1606" s="362"/>
    </row>
    <row r="1607" spans="2:15" ht="15.75" customHeight="1">
      <c r="B1607" s="679"/>
      <c r="C1607" s="418"/>
      <c r="D1607" s="39" t="s">
        <v>1226</v>
      </c>
      <c r="E1607" s="39"/>
      <c r="F1607" s="39"/>
      <c r="G1607" s="184"/>
      <c r="H1607" s="184"/>
      <c r="I1607" s="184"/>
      <c r="J1607" s="39" t="s">
        <v>1227</v>
      </c>
      <c r="K1607" s="39"/>
      <c r="L1607" s="39"/>
      <c r="M1607" s="39"/>
      <c r="N1607" s="40"/>
      <c r="O1607" s="362"/>
    </row>
    <row r="1608" spans="2:15" ht="15.75" customHeight="1">
      <c r="B1608" s="679"/>
      <c r="C1608" s="404"/>
      <c r="D1608" s="39" t="s">
        <v>1228</v>
      </c>
      <c r="E1608" s="42"/>
      <c r="F1608" s="42"/>
      <c r="G1608" s="184"/>
      <c r="H1608" s="184"/>
      <c r="I1608" s="184"/>
      <c r="J1608" s="39" t="s">
        <v>1228</v>
      </c>
      <c r="K1608" s="42"/>
      <c r="L1608" s="42"/>
      <c r="M1608" s="42"/>
      <c r="N1608" s="43"/>
      <c r="O1608" s="362"/>
    </row>
    <row r="1609" spans="2:15" ht="15.75" customHeight="1">
      <c r="B1609" s="679"/>
      <c r="C1609" s="418"/>
      <c r="D1609" s="39"/>
      <c r="E1609" s="39"/>
      <c r="F1609" s="39"/>
      <c r="G1609" s="39" t="s">
        <v>1229</v>
      </c>
      <c r="H1609" s="39"/>
      <c r="I1609" s="39"/>
      <c r="J1609" s="39"/>
      <c r="K1609" s="39"/>
      <c r="L1609" s="39"/>
      <c r="M1609" s="39"/>
      <c r="N1609" s="40"/>
      <c r="O1609" s="362"/>
    </row>
    <row r="1610" spans="2:15" ht="15.75" customHeight="1">
      <c r="B1610" s="679"/>
      <c r="C1610" s="466"/>
      <c r="D1610" s="467"/>
      <c r="E1610" s="467"/>
      <c r="F1610" s="39"/>
      <c r="G1610" s="39"/>
      <c r="H1610" s="39"/>
      <c r="I1610" s="39"/>
      <c r="J1610" s="1149"/>
      <c r="K1610" s="922"/>
      <c r="L1610" s="922"/>
      <c r="M1610" s="922"/>
      <c r="N1610" s="924"/>
      <c r="O1610" s="362"/>
    </row>
    <row r="1611" spans="2:15" ht="15.75" customHeight="1">
      <c r="B1611" s="679"/>
      <c r="C1611" s="1150"/>
      <c r="D1611" s="936"/>
      <c r="E1611" s="936"/>
      <c r="F1611" s="416"/>
      <c r="G1611" s="416"/>
      <c r="H1611" s="416"/>
      <c r="I1611" s="416"/>
      <c r="J1611" s="936"/>
      <c r="K1611" s="936"/>
      <c r="L1611" s="936"/>
      <c r="M1611" s="936"/>
      <c r="N1611" s="938"/>
      <c r="O1611" s="362"/>
    </row>
    <row r="1612" spans="2:15" ht="15.75" customHeight="1">
      <c r="B1612" s="684"/>
      <c r="C1612" s="685"/>
      <c r="D1612" s="685"/>
      <c r="E1612" s="685"/>
      <c r="F1612" s="685"/>
      <c r="G1612" s="685"/>
      <c r="H1612" s="685"/>
      <c r="I1612" s="685"/>
      <c r="J1612" s="685"/>
      <c r="K1612" s="685"/>
      <c r="L1612" s="685"/>
      <c r="M1612" s="685"/>
      <c r="N1612" s="685"/>
      <c r="O1612" s="686"/>
    </row>
    <row r="1613" spans="2:15" ht="15.75" customHeight="1"/>
    <row r="1614" spans="2:15" ht="15.75" customHeight="1"/>
    <row r="1615" spans="2:15" ht="15.75" customHeight="1"/>
    <row r="1616" spans="2:15" ht="15.75" customHeight="1"/>
    <row r="1617" spans="1:15" ht="15.75" customHeight="1">
      <c r="A1617" s="395" t="s">
        <v>941</v>
      </c>
      <c r="B1617" s="184"/>
      <c r="C1617" s="184"/>
      <c r="D1617" s="184"/>
      <c r="E1617" s="184"/>
      <c r="F1617" s="184"/>
      <c r="G1617" s="184"/>
      <c r="H1617" s="184"/>
      <c r="I1617" s="184"/>
      <c r="J1617" s="184"/>
      <c r="K1617" s="184"/>
      <c r="L1617" s="184"/>
      <c r="M1617" s="184"/>
      <c r="N1617" s="184"/>
    </row>
    <row r="1618" spans="1:15" ht="15.75" customHeight="1">
      <c r="A1618" s="395"/>
      <c r="B1618" s="396"/>
      <c r="C1618" s="397"/>
      <c r="D1618" s="397"/>
      <c r="E1618" s="397"/>
      <c r="F1618" s="397"/>
      <c r="G1618" s="397"/>
      <c r="H1618" s="397"/>
      <c r="I1618" s="397"/>
      <c r="J1618" s="397"/>
      <c r="K1618" s="397"/>
      <c r="L1618" s="397"/>
      <c r="M1618" s="397"/>
      <c r="N1618" s="397"/>
      <c r="O1618" s="667"/>
    </row>
    <row r="1619" spans="1:15" ht="15.75" customHeight="1">
      <c r="A1619" s="395"/>
      <c r="B1619" s="399"/>
      <c r="C1619" s="1124"/>
      <c r="D1619" s="927"/>
      <c r="E1619" s="1207" t="str">
        <f>Datos!$C$9</f>
        <v>CONSEJO SUPERIOR  DE  JUDICATURA– DIRECCIÓN  EJECUTIVA  SECCIONAL  DE ADMINISTRACIÓN JUDICIAL DE BUCARAMANGA</v>
      </c>
      <c r="F1619" s="926"/>
      <c r="G1619" s="926"/>
      <c r="H1619" s="926"/>
      <c r="I1619" s="926"/>
      <c r="J1619" s="926"/>
      <c r="K1619" s="927"/>
      <c r="L1619" s="925" t="s">
        <v>1</v>
      </c>
      <c r="M1619" s="931"/>
      <c r="N1619" s="933">
        <v>1</v>
      </c>
      <c r="O1619" s="362"/>
    </row>
    <row r="1620" spans="1:15" ht="15.75" customHeight="1">
      <c r="A1620" s="395"/>
      <c r="B1620" s="399"/>
      <c r="C1620" s="920"/>
      <c r="D1620" s="924"/>
      <c r="E1620" s="920"/>
      <c r="F1620" s="922"/>
      <c r="G1620" s="922"/>
      <c r="H1620" s="922"/>
      <c r="I1620" s="922"/>
      <c r="J1620" s="922"/>
      <c r="K1620" s="924"/>
      <c r="L1620" s="920"/>
      <c r="M1620" s="932"/>
      <c r="N1620" s="934"/>
      <c r="O1620" s="362"/>
    </row>
    <row r="1621" spans="1:15" ht="15.75" customHeight="1">
      <c r="A1621" s="395"/>
      <c r="B1621" s="399"/>
      <c r="C1621" s="920"/>
      <c r="D1621" s="924"/>
      <c r="E1621" s="919" t="str">
        <f>Datos!$C$13</f>
        <v xml:space="preserve">BGA - 030 - 2026 </v>
      </c>
      <c r="F1621" s="922"/>
      <c r="G1621" s="922"/>
      <c r="H1621" s="922"/>
      <c r="I1621" s="922"/>
      <c r="J1621" s="922"/>
      <c r="K1621" s="922"/>
      <c r="L1621" s="925" t="s">
        <v>29</v>
      </c>
      <c r="M1621" s="926"/>
      <c r="N1621" s="927"/>
      <c r="O1621" s="362"/>
    </row>
    <row r="1622" spans="1:15" ht="15.75" customHeight="1">
      <c r="A1622" s="395"/>
      <c r="B1622" s="399"/>
      <c r="C1622" s="920"/>
      <c r="D1622" s="924"/>
      <c r="E162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622" s="922"/>
      <c r="G1622" s="922"/>
      <c r="H1622" s="922"/>
      <c r="I1622" s="922"/>
      <c r="J1622" s="922"/>
      <c r="K1622" s="924"/>
      <c r="L1622" s="919">
        <v>1</v>
      </c>
      <c r="M1622" s="921" t="s">
        <v>30</v>
      </c>
      <c r="N1622" s="923">
        <v>1</v>
      </c>
      <c r="O1622" s="362"/>
    </row>
    <row r="1623" spans="1:15" ht="15.75" customHeight="1">
      <c r="A1623" s="395"/>
      <c r="B1623" s="399"/>
      <c r="C1623" s="920"/>
      <c r="D1623" s="924"/>
      <c r="E1623" s="920"/>
      <c r="F1623" s="922"/>
      <c r="G1623" s="922"/>
      <c r="H1623" s="922"/>
      <c r="I1623" s="922"/>
      <c r="J1623" s="922"/>
      <c r="K1623" s="924"/>
      <c r="L1623" s="920"/>
      <c r="M1623" s="922"/>
      <c r="N1623" s="924"/>
      <c r="O1623" s="362"/>
    </row>
    <row r="1624" spans="1:15" ht="15.75" customHeight="1">
      <c r="A1624" s="395"/>
      <c r="B1624" s="399"/>
      <c r="C1624" s="920"/>
      <c r="D1624" s="924"/>
      <c r="E1624" s="920"/>
      <c r="F1624" s="922"/>
      <c r="G1624" s="922"/>
      <c r="H1624" s="922"/>
      <c r="I1624" s="922"/>
      <c r="J1624" s="922"/>
      <c r="K1624" s="924"/>
      <c r="L1624" s="925" t="s">
        <v>2</v>
      </c>
      <c r="M1624" s="926"/>
      <c r="N1624" s="927"/>
      <c r="O1624" s="362"/>
    </row>
    <row r="1625" spans="1:15" ht="15.75" customHeight="1">
      <c r="A1625" s="395"/>
      <c r="B1625" s="399"/>
      <c r="C1625" s="920"/>
      <c r="D1625" s="924"/>
      <c r="E1625" s="407"/>
      <c r="F1625" s="216"/>
      <c r="G1625" s="216"/>
      <c r="H1625" s="216"/>
      <c r="I1625" s="216"/>
      <c r="J1625" s="216"/>
      <c r="K1625" s="216"/>
      <c r="L1625" s="408" t="s">
        <v>3</v>
      </c>
      <c r="M1625" s="409" t="s">
        <v>4</v>
      </c>
      <c r="N1625" s="410" t="s">
        <v>5</v>
      </c>
      <c r="O1625" s="362"/>
    </row>
    <row r="1626" spans="1:15" ht="15.75" customHeight="1">
      <c r="A1626" s="395"/>
      <c r="B1626" s="399"/>
      <c r="C1626" s="920"/>
      <c r="D1626" s="924"/>
      <c r="E1626" s="1125" t="s">
        <v>1186</v>
      </c>
      <c r="F1626" s="945"/>
      <c r="G1626" s="945"/>
      <c r="H1626" s="945"/>
      <c r="I1626" s="945"/>
      <c r="J1626" s="945"/>
      <c r="K1626" s="945"/>
      <c r="L1626" s="928">
        <f>Datos!$C$7</f>
        <v>19</v>
      </c>
      <c r="M1626" s="935">
        <f>Datos!$D$7</f>
        <v>6</v>
      </c>
      <c r="N1626" s="937">
        <f>Datos!$E$7</f>
        <v>2026</v>
      </c>
      <c r="O1626" s="362"/>
    </row>
    <row r="1627" spans="1:15" ht="15.75" customHeight="1">
      <c r="A1627" s="395"/>
      <c r="B1627" s="399"/>
      <c r="C1627" s="929"/>
      <c r="D1627" s="938"/>
      <c r="E1627" s="929"/>
      <c r="F1627" s="936"/>
      <c r="G1627" s="936"/>
      <c r="H1627" s="936"/>
      <c r="I1627" s="936"/>
      <c r="J1627" s="936"/>
      <c r="K1627" s="936"/>
      <c r="L1627" s="929"/>
      <c r="M1627" s="936"/>
      <c r="N1627" s="938"/>
      <c r="O1627" s="362"/>
    </row>
    <row r="1628" spans="1:15" ht="15.75" customHeight="1">
      <c r="A1628" s="395"/>
      <c r="B1628" s="399"/>
      <c r="C1628" s="404"/>
      <c r="D1628" s="38"/>
      <c r="E1628" s="38"/>
      <c r="F1628" s="38"/>
      <c r="G1628" s="38"/>
      <c r="H1628" s="38"/>
      <c r="I1628" s="38"/>
      <c r="J1628" s="38"/>
      <c r="K1628" s="38"/>
      <c r="L1628" s="39"/>
      <c r="M1628" s="39"/>
      <c r="N1628" s="40"/>
      <c r="O1628" s="362"/>
    </row>
    <row r="1629" spans="1:15" ht="15.75" customHeight="1">
      <c r="A1629" s="395"/>
      <c r="B1629" s="399"/>
      <c r="C1629" s="412" t="s">
        <v>1187</v>
      </c>
      <c r="D1629" s="1199" t="str">
        <f>VLOOKUP(C1634,ListaAct,2,0)</f>
        <v>OBRA CIVIL</v>
      </c>
      <c r="E1629" s="922"/>
      <c r="F1629" s="922"/>
      <c r="G1629" s="922"/>
      <c r="H1629" s="922"/>
      <c r="I1629" s="922"/>
      <c r="J1629" s="922"/>
      <c r="K1629" s="922"/>
      <c r="L1629" s="922"/>
      <c r="M1629" s="1"/>
      <c r="N1629" s="413"/>
      <c r="O1629" s="362"/>
    </row>
    <row r="1630" spans="1:15" ht="15.75" customHeight="1">
      <c r="A1630" s="395"/>
      <c r="B1630" s="399"/>
      <c r="C1630" s="412" t="s">
        <v>1189</v>
      </c>
      <c r="D1630" s="1199" t="str">
        <f>VLOOKUP(C1634,ListaAct,3,0)</f>
        <v>CUBIERTAS</v>
      </c>
      <c r="E1630" s="922"/>
      <c r="F1630" s="922"/>
      <c r="G1630" s="922"/>
      <c r="H1630" s="922"/>
      <c r="I1630" s="922"/>
      <c r="J1630" s="922"/>
      <c r="K1630" s="922"/>
      <c r="L1630" s="922"/>
      <c r="M1630" s="1"/>
      <c r="N1630" s="413"/>
      <c r="O1630" s="362"/>
    </row>
    <row r="1631" spans="1:15" ht="15.75" customHeight="1">
      <c r="A1631" s="395"/>
      <c r="B1631" s="399"/>
      <c r="C1631" s="925" t="s">
        <v>1191</v>
      </c>
      <c r="D1631" s="926"/>
      <c r="E1631" s="926"/>
      <c r="F1631" s="926"/>
      <c r="G1631" s="926"/>
      <c r="H1631" s="926"/>
      <c r="I1631" s="926"/>
      <c r="J1631" s="926"/>
      <c r="K1631" s="926"/>
      <c r="L1631" s="926"/>
      <c r="M1631" s="926"/>
      <c r="N1631" s="927"/>
      <c r="O1631" s="362"/>
    </row>
    <row r="1632" spans="1:15" ht="15.75" customHeight="1">
      <c r="A1632" s="395"/>
      <c r="B1632" s="399"/>
      <c r="C1632" s="418"/>
      <c r="D1632" s="39"/>
      <c r="E1632" s="39"/>
      <c r="F1632" s="39"/>
      <c r="G1632" s="39"/>
      <c r="H1632" s="39"/>
      <c r="I1632" s="39"/>
      <c r="J1632" s="39"/>
      <c r="K1632" s="39"/>
      <c r="L1632" s="39"/>
      <c r="M1632" s="39"/>
      <c r="N1632" s="40"/>
      <c r="O1632" s="362"/>
    </row>
    <row r="1633" spans="1:15" ht="15.75" customHeight="1">
      <c r="A1633" s="395"/>
      <c r="B1633" s="399"/>
      <c r="C1633" s="668" t="s">
        <v>965</v>
      </c>
      <c r="D1633" s="1200" t="s">
        <v>17</v>
      </c>
      <c r="E1633" s="1131"/>
      <c r="F1633" s="1131"/>
      <c r="G1633" s="1131"/>
      <c r="H1633" s="1131"/>
      <c r="I1633" s="1131"/>
      <c r="J1633" s="1131"/>
      <c r="K1633" s="1137"/>
      <c r="L1633" s="1201" t="s">
        <v>1192</v>
      </c>
      <c r="M1633" s="1137"/>
      <c r="N1633" s="668" t="s">
        <v>950</v>
      </c>
      <c r="O1633" s="362"/>
    </row>
    <row r="1634" spans="1:15" ht="15.75" customHeight="1">
      <c r="A1634" s="395"/>
      <c r="B1634" s="421"/>
      <c r="C1634" s="669" t="s">
        <v>1043</v>
      </c>
      <c r="D1634" s="1202" t="str">
        <f>IF($C1634&gt;0,(VLOOKUP($C1634,ListaAct,4,FALSE)),"")</f>
        <v>Suministro e instalación de flanche metalico calibre 26  muro occidental sobre actual flanche.</v>
      </c>
      <c r="E1634" s="979"/>
      <c r="F1634" s="979"/>
      <c r="G1634" s="979"/>
      <c r="H1634" s="979"/>
      <c r="I1634" s="979"/>
      <c r="J1634" s="979"/>
      <c r="K1634" s="980"/>
      <c r="L1634" s="1203" t="str">
        <f>IF($C1634&gt;0,(VLOOKUP($C1634,ListaAct,5,FALSE)),"")</f>
        <v>m</v>
      </c>
      <c r="M1634" s="980"/>
      <c r="N1634" s="423">
        <f>IF($C1634&gt;0,(VLOOKUP($C1634,ListaAct,6,FALSE)),"")</f>
        <v>7.21</v>
      </c>
      <c r="O1634" s="362"/>
    </row>
    <row r="1635" spans="1:15" ht="15.75" customHeight="1">
      <c r="A1635" s="395"/>
      <c r="B1635" s="399"/>
      <c r="C1635" s="1129" t="s">
        <v>1195</v>
      </c>
      <c r="D1635" s="926"/>
      <c r="E1635" s="926"/>
      <c r="F1635" s="926"/>
      <c r="G1635" s="926"/>
      <c r="H1635" s="926"/>
      <c r="I1635" s="926"/>
      <c r="J1635" s="926"/>
      <c r="K1635" s="926"/>
      <c r="L1635" s="926"/>
      <c r="M1635" s="926"/>
      <c r="N1635" s="927"/>
      <c r="O1635" s="362"/>
    </row>
    <row r="1636" spans="1:15" ht="15.75" customHeight="1">
      <c r="A1636" s="395"/>
      <c r="B1636" s="399"/>
      <c r="C1636" s="920"/>
      <c r="D1636" s="922"/>
      <c r="E1636" s="922"/>
      <c r="F1636" s="922"/>
      <c r="G1636" s="922"/>
      <c r="H1636" s="922"/>
      <c r="I1636" s="922"/>
      <c r="J1636" s="922"/>
      <c r="K1636" s="922"/>
      <c r="L1636" s="922"/>
      <c r="M1636" s="922"/>
      <c r="N1636" s="924"/>
      <c r="O1636" s="362"/>
    </row>
    <row r="1637" spans="1:15" ht="15.75" customHeight="1">
      <c r="A1637" s="395"/>
      <c r="B1637" s="399"/>
      <c r="C1637" s="929"/>
      <c r="D1637" s="936"/>
      <c r="E1637" s="936"/>
      <c r="F1637" s="936"/>
      <c r="G1637" s="936"/>
      <c r="H1637" s="936"/>
      <c r="I1637" s="936"/>
      <c r="J1637" s="936"/>
      <c r="K1637" s="936"/>
      <c r="L1637" s="936"/>
      <c r="M1637" s="936"/>
      <c r="N1637" s="938"/>
      <c r="O1637" s="362"/>
    </row>
    <row r="1638" spans="1:15" ht="15.75" customHeight="1">
      <c r="A1638" s="395"/>
      <c r="B1638" s="399"/>
      <c r="C1638" s="1201" t="s">
        <v>17</v>
      </c>
      <c r="D1638" s="1131"/>
      <c r="E1638" s="1131"/>
      <c r="F1638" s="1000"/>
      <c r="G1638" s="1204" t="s">
        <v>1196</v>
      </c>
      <c r="H1638" s="1000"/>
      <c r="I1638" s="1204" t="s">
        <v>1197</v>
      </c>
      <c r="J1638" s="1000"/>
      <c r="K1638" s="670" t="s">
        <v>1213</v>
      </c>
      <c r="L1638" s="1204" t="s">
        <v>1199</v>
      </c>
      <c r="M1638" s="1000"/>
      <c r="N1638" s="671" t="s">
        <v>1200</v>
      </c>
      <c r="O1638" s="362"/>
    </row>
    <row r="1639" spans="1:15" ht="15.75" customHeight="1">
      <c r="A1639" s="395"/>
      <c r="B1639" s="399"/>
      <c r="C1639" s="1128" t="s">
        <v>1201</v>
      </c>
      <c r="D1639" s="940"/>
      <c r="E1639" s="940"/>
      <c r="F1639" s="941"/>
      <c r="G1639" s="1142"/>
      <c r="H1639" s="941"/>
      <c r="I1639" s="1142"/>
      <c r="J1639" s="941"/>
      <c r="K1639" s="429"/>
      <c r="L1639" s="1143">
        <v>0.06</v>
      </c>
      <c r="M1639" s="941"/>
      <c r="N1639" s="430">
        <f>+L1639*N1678</f>
        <v>1927.3402631242695</v>
      </c>
      <c r="O1639" s="362"/>
    </row>
    <row r="1640" spans="1:15" ht="15.75" customHeight="1">
      <c r="A1640" s="395" t="str">
        <f t="array" ref="A1640">IF(C1640&lt;&gt;0,INDEX(CodEquipos,MATCH(C1640,Equipos,0),),)</f>
        <v>EQ-18</v>
      </c>
      <c r="B1640" s="399"/>
      <c r="C1640" s="1128" t="s">
        <v>2510</v>
      </c>
      <c r="D1640" s="940"/>
      <c r="E1640" s="940"/>
      <c r="F1640" s="941"/>
      <c r="G1640" s="1142"/>
      <c r="H1640" s="941"/>
      <c r="I1640" s="1142"/>
      <c r="J1640" s="941"/>
      <c r="K1640" s="432">
        <f>IF($A1640&gt;0,(VLOOKUP($A1640,TablaEquipos,7,FALSE)),"")</f>
        <v>195499.99999999997</v>
      </c>
      <c r="L1640" s="1146">
        <v>0.05</v>
      </c>
      <c r="M1640" s="941"/>
      <c r="N1640" s="430">
        <f>IF(L1640&gt;0,K1640*L1640,"")</f>
        <v>9774.9999999999982</v>
      </c>
      <c r="O1640" s="362"/>
    </row>
    <row r="1641" spans="1:15" ht="15.75" customHeight="1">
      <c r="A1641" s="395">
        <f t="array" ref="A1641">IF(C1641&lt;&gt;0,INDEX(CodEquipos,MATCH(C1641,Equipos,0),),)</f>
        <v>0</v>
      </c>
      <c r="B1641" s="399"/>
      <c r="C1641" s="1128"/>
      <c r="D1641" s="940"/>
      <c r="E1641" s="940"/>
      <c r="F1641" s="941"/>
      <c r="G1641" s="1142"/>
      <c r="H1641" s="941"/>
      <c r="I1641" s="1142"/>
      <c r="J1641" s="941"/>
      <c r="K1641" s="432" t="str">
        <f>IF($A1641&gt;0,(VLOOKUP($A1641,TablaEquipos,7,FALSE)),"")</f>
        <v/>
      </c>
      <c r="L1641" s="1146"/>
      <c r="M1641" s="941"/>
      <c r="N1641" s="430" t="str">
        <f t="shared" ref="N1641:N1644" si="126">IF(L1641&gt;0,K1641/L1641,"")</f>
        <v/>
      </c>
      <c r="O1641" s="362"/>
    </row>
    <row r="1642" spans="1:15" ht="15.75" customHeight="1">
      <c r="A1642" s="395">
        <f t="array" ref="A1642">IF(C1642&lt;&gt;0,INDEX(CodEquipos,MATCH(C1642,Equipos,0),),)</f>
        <v>0</v>
      </c>
      <c r="B1642" s="399"/>
      <c r="C1642" s="1128"/>
      <c r="D1642" s="940"/>
      <c r="E1642" s="940"/>
      <c r="F1642" s="941"/>
      <c r="G1642" s="1142"/>
      <c r="H1642" s="941"/>
      <c r="I1642" s="1142"/>
      <c r="J1642" s="941"/>
      <c r="K1642" s="432" t="str">
        <f>IF($A1642&gt;0,(VLOOKUP($A1642,TablaEquipos,7,FALSE)),"")</f>
        <v/>
      </c>
      <c r="L1642" s="1146"/>
      <c r="M1642" s="941"/>
      <c r="N1642" s="430" t="str">
        <f t="shared" si="126"/>
        <v/>
      </c>
      <c r="O1642" s="362"/>
    </row>
    <row r="1643" spans="1:15" ht="15.75" customHeight="1">
      <c r="A1643" s="395">
        <f t="array" ref="A1643">IF(C1643&lt;&gt;0,INDEX(CodEquipos,MATCH(C1643,Equipos,0),),)</f>
        <v>0</v>
      </c>
      <c r="B1643" s="399"/>
      <c r="C1643" s="1128"/>
      <c r="D1643" s="940"/>
      <c r="E1643" s="940"/>
      <c r="F1643" s="941"/>
      <c r="G1643" s="1142"/>
      <c r="H1643" s="941"/>
      <c r="I1643" s="1142"/>
      <c r="J1643" s="941"/>
      <c r="K1643" s="432" t="str">
        <f>IF($A1643&gt;0,(VLOOKUP($A1643,TablaEquipos,7,FALSE)),"")</f>
        <v/>
      </c>
      <c r="L1643" s="1141"/>
      <c r="M1643" s="941"/>
      <c r="N1643" s="430" t="str">
        <f t="shared" si="126"/>
        <v/>
      </c>
      <c r="O1643" s="362"/>
    </row>
    <row r="1644" spans="1:15" ht="15.75" customHeight="1">
      <c r="A1644" s="395">
        <f t="array" ref="A1644">IF(C1644&lt;&gt;0,INDEX(CodEquipos,MATCH(C1644,Equipos,0),),)</f>
        <v>0</v>
      </c>
      <c r="B1644" s="399"/>
      <c r="C1644" s="1128"/>
      <c r="D1644" s="940"/>
      <c r="E1644" s="940"/>
      <c r="F1644" s="941"/>
      <c r="G1644" s="1144"/>
      <c r="H1644" s="1145"/>
      <c r="I1644" s="1144"/>
      <c r="J1644" s="1145"/>
      <c r="K1644" s="432" t="str">
        <f>IF($A1644&gt;0,(VLOOKUP($A1644,TablaEquipos,7,FALSE)),"")</f>
        <v/>
      </c>
      <c r="L1644" s="1208"/>
      <c r="M1644" s="1145"/>
      <c r="N1644" s="430" t="str">
        <f t="shared" si="126"/>
        <v/>
      </c>
      <c r="O1644" s="362"/>
    </row>
    <row r="1645" spans="1:15" ht="15.75" customHeight="1">
      <c r="A1645" s="395"/>
      <c r="B1645" s="399"/>
      <c r="C1645" s="1127" t="s">
        <v>1202</v>
      </c>
      <c r="D1645" s="965"/>
      <c r="E1645" s="965"/>
      <c r="F1645" s="965"/>
      <c r="G1645" s="965"/>
      <c r="H1645" s="965"/>
      <c r="I1645" s="965"/>
      <c r="J1645" s="965"/>
      <c r="K1645" s="965"/>
      <c r="L1645" s="965"/>
      <c r="M1645" s="966"/>
      <c r="N1645" s="433">
        <f>+SUM(N1639:N1644)</f>
        <v>11702.340263124268</v>
      </c>
      <c r="O1645" s="362"/>
    </row>
    <row r="1646" spans="1:15" ht="15.75" customHeight="1">
      <c r="A1646" s="395"/>
      <c r="B1646" s="399"/>
      <c r="C1646" s="1129" t="s">
        <v>1203</v>
      </c>
      <c r="D1646" s="926"/>
      <c r="E1646" s="926"/>
      <c r="F1646" s="926"/>
      <c r="G1646" s="926"/>
      <c r="H1646" s="926"/>
      <c r="I1646" s="926"/>
      <c r="J1646" s="926"/>
      <c r="K1646" s="926"/>
      <c r="L1646" s="926"/>
      <c r="M1646" s="926"/>
      <c r="N1646" s="927"/>
      <c r="O1646" s="362"/>
    </row>
    <row r="1647" spans="1:15" ht="15.75" customHeight="1">
      <c r="A1647" s="395"/>
      <c r="B1647" s="399"/>
      <c r="C1647" s="920"/>
      <c r="D1647" s="922"/>
      <c r="E1647" s="922"/>
      <c r="F1647" s="922"/>
      <c r="G1647" s="922"/>
      <c r="H1647" s="922"/>
      <c r="I1647" s="922"/>
      <c r="J1647" s="922"/>
      <c r="K1647" s="922"/>
      <c r="L1647" s="922"/>
      <c r="M1647" s="922"/>
      <c r="N1647" s="924"/>
      <c r="O1647" s="362"/>
    </row>
    <row r="1648" spans="1:15" ht="15.75" customHeight="1">
      <c r="A1648" s="395"/>
      <c r="B1648" s="399"/>
      <c r="C1648" s="929"/>
      <c r="D1648" s="936"/>
      <c r="E1648" s="936"/>
      <c r="F1648" s="936"/>
      <c r="G1648" s="936"/>
      <c r="H1648" s="936"/>
      <c r="I1648" s="936"/>
      <c r="J1648" s="936"/>
      <c r="K1648" s="936"/>
      <c r="L1648" s="936"/>
      <c r="M1648" s="936"/>
      <c r="N1648" s="938"/>
      <c r="O1648" s="362"/>
    </row>
    <row r="1649" spans="1:17" ht="15.75" customHeight="1">
      <c r="A1649" s="395"/>
      <c r="B1649" s="399"/>
      <c r="C1649" s="1201" t="s">
        <v>17</v>
      </c>
      <c r="D1649" s="1131"/>
      <c r="E1649" s="1131"/>
      <c r="F1649" s="1131"/>
      <c r="G1649" s="1131"/>
      <c r="H1649" s="1131"/>
      <c r="I1649" s="1000"/>
      <c r="J1649" s="672" t="s">
        <v>1192</v>
      </c>
      <c r="K1649" s="670" t="s">
        <v>950</v>
      </c>
      <c r="L1649" s="1204" t="s">
        <v>1204</v>
      </c>
      <c r="M1649" s="1000"/>
      <c r="N1649" s="671" t="s">
        <v>1200</v>
      </c>
      <c r="O1649" s="362"/>
    </row>
    <row r="1650" spans="1:17" ht="15.75" customHeight="1">
      <c r="A1650" s="395" t="str">
        <f t="array" ref="A1650">IF(C1650&lt;&gt;0,INDEX(CodMat,MATCH(C1650,Materiales,0),),)</f>
        <v>MAT_C-68</v>
      </c>
      <c r="B1650" s="399"/>
      <c r="C1650" s="1128" t="s">
        <v>1415</v>
      </c>
      <c r="D1650" s="940"/>
      <c r="E1650" s="940"/>
      <c r="F1650" s="940"/>
      <c r="G1650" s="940"/>
      <c r="H1650" s="940"/>
      <c r="I1650" s="941"/>
      <c r="J1650" s="435" t="str">
        <f t="shared" ref="J1650:J1657" si="127">IF($A1650&gt;0,(VLOOKUP($A1650,TablaInsumos,5,FALSE)),"")</f>
        <v>ML</v>
      </c>
      <c r="K1650" s="673">
        <v>1</v>
      </c>
      <c r="L1650" s="1134">
        <f t="shared" ref="L1650:L1657" si="128">IF($A1650&gt;0,(VLOOKUP($A1650,TablaInsumos,7,FALSE)),"")</f>
        <v>18958</v>
      </c>
      <c r="M1650" s="941"/>
      <c r="N1650" s="430">
        <f t="shared" ref="N1650:N1657" si="129">IF(K1650&gt;0,L1650*K1650,"")</f>
        <v>18958</v>
      </c>
      <c r="O1650" s="362"/>
    </row>
    <row r="1651" spans="1:17" ht="15.75" customHeight="1">
      <c r="A1651" s="395" t="str">
        <f t="array" ref="A1651">IF(C1651&lt;&gt;0,INDEX(CodMat,MATCH(C1651,Materiales,0),),)</f>
        <v>MAT_C-69</v>
      </c>
      <c r="B1651" s="399"/>
      <c r="C1651" s="1128" t="s">
        <v>1417</v>
      </c>
      <c r="D1651" s="940"/>
      <c r="E1651" s="940"/>
      <c r="F1651" s="940"/>
      <c r="G1651" s="940"/>
      <c r="H1651" s="940"/>
      <c r="I1651" s="941"/>
      <c r="J1651" s="435" t="str">
        <f t="shared" si="127"/>
        <v>UND</v>
      </c>
      <c r="K1651" s="673">
        <v>3</v>
      </c>
      <c r="L1651" s="1134">
        <f t="shared" si="128"/>
        <v>350</v>
      </c>
      <c r="M1651" s="941"/>
      <c r="N1651" s="430">
        <f t="shared" si="129"/>
        <v>1050</v>
      </c>
      <c r="O1651" s="362"/>
      <c r="Q1651" s="688"/>
    </row>
    <row r="1652" spans="1:17" ht="15.75" customHeight="1">
      <c r="A1652" s="395">
        <f t="array" ref="A1652">IF(C1652&lt;&gt;0,INDEX(CodMat,MATCH(C1652,Materiales,0),),)</f>
        <v>0</v>
      </c>
      <c r="B1652" s="399"/>
      <c r="C1652" s="1128"/>
      <c r="D1652" s="940"/>
      <c r="E1652" s="940"/>
      <c r="F1652" s="940"/>
      <c r="G1652" s="940"/>
      <c r="H1652" s="940"/>
      <c r="I1652" s="941"/>
      <c r="J1652" s="435" t="str">
        <f t="shared" si="127"/>
        <v/>
      </c>
      <c r="K1652" s="673"/>
      <c r="L1652" s="1134" t="str">
        <f t="shared" si="128"/>
        <v/>
      </c>
      <c r="M1652" s="941"/>
      <c r="N1652" s="430" t="str">
        <f t="shared" si="129"/>
        <v/>
      </c>
      <c r="O1652" s="362"/>
      <c r="Q1652" s="687"/>
    </row>
    <row r="1653" spans="1:17" ht="15.75" customHeight="1">
      <c r="A1653" s="395">
        <f t="array" ref="A1653">IF(C1653&lt;&gt;0,INDEX(CodMat,MATCH(C1653,Materiales,0),),)</f>
        <v>0</v>
      </c>
      <c r="B1653" s="399"/>
      <c r="C1653" s="1128"/>
      <c r="D1653" s="940"/>
      <c r="E1653" s="940"/>
      <c r="F1653" s="940"/>
      <c r="G1653" s="940"/>
      <c r="H1653" s="940"/>
      <c r="I1653" s="941"/>
      <c r="J1653" s="435" t="str">
        <f t="shared" si="127"/>
        <v/>
      </c>
      <c r="K1653" s="673"/>
      <c r="L1653" s="1134" t="str">
        <f t="shared" si="128"/>
        <v/>
      </c>
      <c r="M1653" s="941"/>
      <c r="N1653" s="430" t="str">
        <f t="shared" si="129"/>
        <v/>
      </c>
      <c r="O1653" s="362"/>
      <c r="Q1653" s="688"/>
    </row>
    <row r="1654" spans="1:17" ht="15.75" customHeight="1">
      <c r="A1654" s="395">
        <f t="array" ref="A1654">IF(C1654&lt;&gt;0,INDEX(CodMat,MATCH(C1654,Materiales,0),),)</f>
        <v>0</v>
      </c>
      <c r="B1654" s="399"/>
      <c r="C1654" s="1128"/>
      <c r="D1654" s="940"/>
      <c r="E1654" s="940"/>
      <c r="F1654" s="940"/>
      <c r="G1654" s="940"/>
      <c r="H1654" s="940"/>
      <c r="I1654" s="941"/>
      <c r="J1654" s="435" t="str">
        <f t="shared" si="127"/>
        <v/>
      </c>
      <c r="K1654" s="673"/>
      <c r="L1654" s="1134" t="str">
        <f t="shared" si="128"/>
        <v/>
      </c>
      <c r="M1654" s="941"/>
      <c r="N1654" s="430" t="str">
        <f t="shared" si="129"/>
        <v/>
      </c>
      <c r="O1654" s="362"/>
    </row>
    <row r="1655" spans="1:17" ht="15.75" customHeight="1">
      <c r="A1655" s="395">
        <f t="array" ref="A1655">IF(C1655&lt;&gt;0,INDEX(CodMat,MATCH(C1655,Materiales,0),),)</f>
        <v>0</v>
      </c>
      <c r="B1655" s="399"/>
      <c r="C1655" s="1128"/>
      <c r="D1655" s="940"/>
      <c r="E1655" s="940"/>
      <c r="F1655" s="940"/>
      <c r="G1655" s="940"/>
      <c r="H1655" s="940"/>
      <c r="I1655" s="941"/>
      <c r="J1655" s="435" t="str">
        <f t="shared" si="127"/>
        <v/>
      </c>
      <c r="K1655" s="673"/>
      <c r="L1655" s="1134" t="str">
        <f t="shared" si="128"/>
        <v/>
      </c>
      <c r="M1655" s="941"/>
      <c r="N1655" s="430" t="str">
        <f t="shared" si="129"/>
        <v/>
      </c>
      <c r="O1655" s="362"/>
    </row>
    <row r="1656" spans="1:17" ht="15.75" customHeight="1">
      <c r="A1656" s="395">
        <f t="array" ref="A1656">IF(C1656&lt;&gt;0,INDEX(CodMat,MATCH(C1656,Materiales,0),),)</f>
        <v>0</v>
      </c>
      <c r="B1656" s="399"/>
      <c r="C1656" s="1128"/>
      <c r="D1656" s="940"/>
      <c r="E1656" s="940"/>
      <c r="F1656" s="940"/>
      <c r="G1656" s="940"/>
      <c r="H1656" s="940"/>
      <c r="I1656" s="941"/>
      <c r="J1656" s="435" t="str">
        <f t="shared" si="127"/>
        <v/>
      </c>
      <c r="K1656" s="673"/>
      <c r="L1656" s="1134" t="str">
        <f t="shared" si="128"/>
        <v/>
      </c>
      <c r="M1656" s="941"/>
      <c r="N1656" s="430" t="str">
        <f t="shared" si="129"/>
        <v/>
      </c>
      <c r="O1656" s="362"/>
    </row>
    <row r="1657" spans="1:17" ht="15.75" customHeight="1">
      <c r="A1657" s="395">
        <f t="array" ref="A1657">IF(C1657&lt;&gt;0,INDEX(CodMat,MATCH(C1657,Materiales,0),),)</f>
        <v>0</v>
      </c>
      <c r="B1657" s="399"/>
      <c r="C1657" s="1128"/>
      <c r="D1657" s="940"/>
      <c r="E1657" s="940"/>
      <c r="F1657" s="940"/>
      <c r="G1657" s="940"/>
      <c r="H1657" s="940"/>
      <c r="I1657" s="941"/>
      <c r="J1657" s="435" t="str">
        <f t="shared" si="127"/>
        <v/>
      </c>
      <c r="K1657" s="673"/>
      <c r="L1657" s="1205" t="str">
        <f t="shared" si="128"/>
        <v/>
      </c>
      <c r="M1657" s="1145"/>
      <c r="N1657" s="430" t="str">
        <f t="shared" si="129"/>
        <v/>
      </c>
      <c r="O1657" s="362"/>
    </row>
    <row r="1658" spans="1:17" ht="15.75" customHeight="1">
      <c r="A1658" s="395"/>
      <c r="B1658" s="399"/>
      <c r="C1658" s="1127" t="s">
        <v>1202</v>
      </c>
      <c r="D1658" s="965"/>
      <c r="E1658" s="965"/>
      <c r="F1658" s="965"/>
      <c r="G1658" s="965"/>
      <c r="H1658" s="965"/>
      <c r="I1658" s="965"/>
      <c r="J1658" s="965"/>
      <c r="K1658" s="965"/>
      <c r="L1658" s="965"/>
      <c r="M1658" s="966"/>
      <c r="N1658" s="433">
        <f>+SUM(N1650:N1657)</f>
        <v>20008</v>
      </c>
      <c r="O1658" s="362"/>
    </row>
    <row r="1659" spans="1:17" ht="15.75" customHeight="1">
      <c r="A1659" s="395"/>
      <c r="B1659" s="399"/>
      <c r="C1659" s="1129" t="s">
        <v>1208</v>
      </c>
      <c r="D1659" s="926"/>
      <c r="E1659" s="926"/>
      <c r="F1659" s="926"/>
      <c r="G1659" s="926"/>
      <c r="H1659" s="926"/>
      <c r="I1659" s="926"/>
      <c r="J1659" s="926"/>
      <c r="K1659" s="926"/>
      <c r="L1659" s="926"/>
      <c r="M1659" s="926"/>
      <c r="N1659" s="927"/>
      <c r="O1659" s="362"/>
    </row>
    <row r="1660" spans="1:17" ht="15.75" customHeight="1">
      <c r="A1660" s="395"/>
      <c r="B1660" s="399"/>
      <c r="C1660" s="920"/>
      <c r="D1660" s="922"/>
      <c r="E1660" s="922"/>
      <c r="F1660" s="922"/>
      <c r="G1660" s="922"/>
      <c r="H1660" s="922"/>
      <c r="I1660" s="922"/>
      <c r="J1660" s="922"/>
      <c r="K1660" s="922"/>
      <c r="L1660" s="922"/>
      <c r="M1660" s="922"/>
      <c r="N1660" s="924"/>
      <c r="O1660" s="362"/>
    </row>
    <row r="1661" spans="1:17" ht="15.75" customHeight="1">
      <c r="A1661" s="395"/>
      <c r="B1661" s="399"/>
      <c r="C1661" s="929"/>
      <c r="D1661" s="936"/>
      <c r="E1661" s="936"/>
      <c r="F1661" s="936"/>
      <c r="G1661" s="936"/>
      <c r="H1661" s="936"/>
      <c r="I1661" s="936"/>
      <c r="J1661" s="936"/>
      <c r="K1661" s="936"/>
      <c r="L1661" s="936"/>
      <c r="M1661" s="936"/>
      <c r="N1661" s="938"/>
      <c r="O1661" s="362"/>
    </row>
    <row r="1662" spans="1:17" ht="15.75" customHeight="1">
      <c r="A1662" s="395"/>
      <c r="B1662" s="399"/>
      <c r="C1662" s="1201" t="s">
        <v>1209</v>
      </c>
      <c r="D1662" s="1131"/>
      <c r="E1662" s="1131"/>
      <c r="F1662" s="1131"/>
      <c r="G1662" s="1131"/>
      <c r="H1662" s="1000"/>
      <c r="I1662" s="670" t="s">
        <v>1210</v>
      </c>
      <c r="J1662" s="674" t="s">
        <v>1211</v>
      </c>
      <c r="K1662" s="675" t="s">
        <v>2318</v>
      </c>
      <c r="L1662" s="1204" t="s">
        <v>1213</v>
      </c>
      <c r="M1662" s="1000"/>
      <c r="N1662" s="671" t="s">
        <v>1200</v>
      </c>
      <c r="O1662" s="362"/>
    </row>
    <row r="1663" spans="1:17" ht="15.75" customHeight="1">
      <c r="A1663" s="395">
        <f t="array" ref="A1663">IF(C1663&lt;&gt;0,INDEX(CodTransporte,MATCH(C1663,Transporte,0),),)</f>
        <v>0</v>
      </c>
      <c r="B1663" s="399"/>
      <c r="C1663" s="1128"/>
      <c r="D1663" s="940"/>
      <c r="E1663" s="940"/>
      <c r="F1663" s="940"/>
      <c r="G1663" s="940"/>
      <c r="H1663" s="940"/>
      <c r="I1663" s="440"/>
      <c r="J1663" s="441" t="str">
        <f>IF($A1663&gt;0,(VLOOKUP($A1663,TablaTransporte,6,FALSE)),"")</f>
        <v/>
      </c>
      <c r="K1663" s="442" t="str">
        <f>IF($A1663&gt;0,(VLOOKUP($A1663,TablaTransporte,5,FALSE)),"")</f>
        <v/>
      </c>
      <c r="L1663" s="1134" t="str">
        <f>IF($A1663&gt;0,(VLOOKUP($A1663,TablaTransporte,7,FALSE)),"")</f>
        <v/>
      </c>
      <c r="M1663" s="941"/>
      <c r="N1663" s="430" t="str">
        <f t="shared" ref="N1663:N1667" si="130">IF(I1663&gt;0,J1663*L1663*I1663,"")</f>
        <v/>
      </c>
      <c r="O1663" s="362"/>
    </row>
    <row r="1664" spans="1:17" ht="15.75" customHeight="1">
      <c r="A1664" s="395">
        <f t="array" ref="A1664">IF(C1664&lt;&gt;0,INDEX(CodTransporte,MATCH(C1664,Transporte,0),),)</f>
        <v>0</v>
      </c>
      <c r="B1664" s="399"/>
      <c r="C1664" s="1128"/>
      <c r="D1664" s="940"/>
      <c r="E1664" s="940"/>
      <c r="F1664" s="940"/>
      <c r="G1664" s="940"/>
      <c r="H1664" s="940"/>
      <c r="I1664" s="440"/>
      <c r="J1664" s="441" t="str">
        <f>IF($A1664&gt;0,(VLOOKUP($A1664,TablaTransporte,6,FALSE)),"")</f>
        <v/>
      </c>
      <c r="K1664" s="442" t="str">
        <f>IF($A1664&gt;0,(VLOOKUP($A1664,TablaTransporte,5,FALSE)),"")</f>
        <v/>
      </c>
      <c r="L1664" s="1134" t="str">
        <f>IF($A1664&gt;0,(VLOOKUP($A1664,TablaTransporte,7,FALSE)),"")</f>
        <v/>
      </c>
      <c r="M1664" s="941"/>
      <c r="N1664" s="430" t="str">
        <f t="shared" si="130"/>
        <v/>
      </c>
      <c r="O1664" s="362"/>
    </row>
    <row r="1665" spans="1:18" ht="15.75" customHeight="1">
      <c r="A1665" s="395">
        <f t="array" ref="A1665">IF(C1665&lt;&gt;0,INDEX(CodTransporte,MATCH(C1665,Transporte,0),),)</f>
        <v>0</v>
      </c>
      <c r="B1665" s="399"/>
      <c r="C1665" s="1128"/>
      <c r="D1665" s="940"/>
      <c r="E1665" s="940"/>
      <c r="F1665" s="940"/>
      <c r="G1665" s="940"/>
      <c r="H1665" s="940"/>
      <c r="I1665" s="440"/>
      <c r="J1665" s="441" t="str">
        <f>IF($A1665&gt;0,(VLOOKUP($A1665,TablaTransporte,6,FALSE)),"")</f>
        <v/>
      </c>
      <c r="K1665" s="442" t="str">
        <f>IF($A1665&gt;0,(VLOOKUP($A1665,TablaTransporte,5,FALSE)),"")</f>
        <v/>
      </c>
      <c r="L1665" s="1134" t="str">
        <f>IF($A1665&gt;0,(VLOOKUP($A1665,TablaTransporte,7,FALSE)),"")</f>
        <v/>
      </c>
      <c r="M1665" s="941"/>
      <c r="N1665" s="430" t="str">
        <f t="shared" si="130"/>
        <v/>
      </c>
      <c r="O1665" s="362"/>
    </row>
    <row r="1666" spans="1:18" ht="15.75" customHeight="1">
      <c r="A1666" s="395">
        <f t="array" ref="A1666">IF(C1666&lt;&gt;0,INDEX(CodTransporte,MATCH(C1666,Transporte,0),),)</f>
        <v>0</v>
      </c>
      <c r="B1666" s="399"/>
      <c r="C1666" s="1128"/>
      <c r="D1666" s="940"/>
      <c r="E1666" s="940"/>
      <c r="F1666" s="940"/>
      <c r="G1666" s="940"/>
      <c r="H1666" s="940"/>
      <c r="I1666" s="440"/>
      <c r="J1666" s="441" t="str">
        <f>IF($A1666&gt;0,(VLOOKUP($A1666,TablaTransporte,6,FALSE)),"")</f>
        <v/>
      </c>
      <c r="K1666" s="442" t="str">
        <f>IF($A1666&gt;0,(VLOOKUP($A1666,TablaTransporte,5,FALSE)),"")</f>
        <v/>
      </c>
      <c r="L1666" s="1134" t="str">
        <f>IF($A1666&gt;0,(VLOOKUP($A1666,TablaTransporte,7,FALSE)),"")</f>
        <v/>
      </c>
      <c r="M1666" s="941"/>
      <c r="N1666" s="430" t="str">
        <f t="shared" si="130"/>
        <v/>
      </c>
      <c r="O1666" s="362"/>
    </row>
    <row r="1667" spans="1:18" ht="15.75" customHeight="1">
      <c r="A1667" s="395">
        <f t="array" ref="A1667">IF(C1667&lt;&gt;0,INDEX(CodTransporte,MATCH(C1667,Transporte,0),),)</f>
        <v>0</v>
      </c>
      <c r="B1667" s="399"/>
      <c r="C1667" s="1128"/>
      <c r="D1667" s="940"/>
      <c r="E1667" s="940"/>
      <c r="F1667" s="940"/>
      <c r="G1667" s="940"/>
      <c r="H1667" s="940"/>
      <c r="I1667" s="440"/>
      <c r="J1667" s="441" t="str">
        <f>IF($A1667&gt;0,(VLOOKUP($A1667,TablaTransporte,6,FALSE)),"")</f>
        <v/>
      </c>
      <c r="K1667" s="442" t="str">
        <f>IF($A1667&gt;0,(VLOOKUP($A1667,TablaTransporte,5,FALSE)),"")</f>
        <v/>
      </c>
      <c r="L1667" s="1205" t="str">
        <f>IF($A1667&gt;0,(VLOOKUP($A1667,TablaTransporte,7,FALSE)),"")</f>
        <v/>
      </c>
      <c r="M1667" s="1145"/>
      <c r="N1667" s="430" t="str">
        <f t="shared" si="130"/>
        <v/>
      </c>
      <c r="O1667" s="362"/>
    </row>
    <row r="1668" spans="1:18" ht="15.75" customHeight="1">
      <c r="A1668" s="395"/>
      <c r="B1668" s="399"/>
      <c r="C1668" s="1127" t="s">
        <v>1202</v>
      </c>
      <c r="D1668" s="965"/>
      <c r="E1668" s="965"/>
      <c r="F1668" s="965"/>
      <c r="G1668" s="965"/>
      <c r="H1668" s="965"/>
      <c r="I1668" s="965"/>
      <c r="J1668" s="965"/>
      <c r="K1668" s="965"/>
      <c r="L1668" s="965"/>
      <c r="M1668" s="966"/>
      <c r="N1668" s="433">
        <f>+SUM(N1663:N1667)</f>
        <v>0</v>
      </c>
      <c r="O1668" s="362"/>
    </row>
    <row r="1669" spans="1:18" ht="15.75" customHeight="1">
      <c r="A1669" s="395"/>
      <c r="B1669" s="399"/>
      <c r="C1669" s="1129" t="s">
        <v>1214</v>
      </c>
      <c r="D1669" s="926"/>
      <c r="E1669" s="926"/>
      <c r="F1669" s="926"/>
      <c r="G1669" s="926"/>
      <c r="H1669" s="926"/>
      <c r="I1669" s="926"/>
      <c r="J1669" s="926"/>
      <c r="K1669" s="926"/>
      <c r="L1669" s="926"/>
      <c r="M1669" s="926"/>
      <c r="N1669" s="927"/>
      <c r="O1669" s="362"/>
    </row>
    <row r="1670" spans="1:18" ht="15.75" customHeight="1">
      <c r="A1670" s="395"/>
      <c r="B1670" s="399"/>
      <c r="C1670" s="920"/>
      <c r="D1670" s="922"/>
      <c r="E1670" s="922"/>
      <c r="F1670" s="922"/>
      <c r="G1670" s="922"/>
      <c r="H1670" s="922"/>
      <c r="I1670" s="922"/>
      <c r="J1670" s="922"/>
      <c r="K1670" s="922"/>
      <c r="L1670" s="922"/>
      <c r="M1670" s="922"/>
      <c r="N1670" s="924"/>
      <c r="O1670" s="362"/>
    </row>
    <row r="1671" spans="1:18" ht="15.75" customHeight="1">
      <c r="A1671" s="395"/>
      <c r="B1671" s="399"/>
      <c r="C1671" s="929"/>
      <c r="D1671" s="936"/>
      <c r="E1671" s="936"/>
      <c r="F1671" s="936"/>
      <c r="G1671" s="936"/>
      <c r="H1671" s="936"/>
      <c r="I1671" s="936"/>
      <c r="J1671" s="936"/>
      <c r="K1671" s="936"/>
      <c r="L1671" s="936"/>
      <c r="M1671" s="936"/>
      <c r="N1671" s="938"/>
      <c r="O1671" s="362"/>
    </row>
    <row r="1672" spans="1:18" ht="15.75" customHeight="1">
      <c r="A1672" s="395"/>
      <c r="B1672" s="399"/>
      <c r="C1672" s="1201" t="s">
        <v>1215</v>
      </c>
      <c r="D1672" s="1131"/>
      <c r="E1672" s="1131"/>
      <c r="F1672" s="1131"/>
      <c r="G1672" s="1131"/>
      <c r="H1672" s="1000"/>
      <c r="I1672" s="670" t="s">
        <v>1216</v>
      </c>
      <c r="J1672" s="676" t="s">
        <v>1217</v>
      </c>
      <c r="K1672" s="677" t="s">
        <v>1218</v>
      </c>
      <c r="L1672" s="1206" t="s">
        <v>1199</v>
      </c>
      <c r="M1672" s="1000"/>
      <c r="N1672" s="678" t="s">
        <v>1200</v>
      </c>
      <c r="O1672" s="362"/>
    </row>
    <row r="1673" spans="1:18" ht="15.75" customHeight="1">
      <c r="A1673" s="395" t="str">
        <f t="array" ref="A1673">IF(C1673&lt;&gt;0,INDEX(CodMO,MATCH(C1673,MO,0),),)</f>
        <v>M.O-05</v>
      </c>
      <c r="B1673" s="399"/>
      <c r="C1673" s="1128" t="s">
        <v>139</v>
      </c>
      <c r="D1673" s="940"/>
      <c r="E1673" s="940"/>
      <c r="F1673" s="940"/>
      <c r="G1673" s="940"/>
      <c r="H1673" s="940"/>
      <c r="I1673" s="447">
        <f>IF($A1673&gt;0,(VLOOKUP($A1673,TablaMO,8,FALSE)),"")</f>
        <v>125030.16666666667</v>
      </c>
      <c r="J1673" s="448">
        <f>IF($A1673&gt;0,(VLOOKUP($A1673,TablaMO,10,FALSE)),"")</f>
        <v>0.67071666666666663</v>
      </c>
      <c r="K1673" s="447">
        <f>IF($A1673&gt;0,(VLOOKUP($A1673,TablaMO,11,FALSE)),"")</f>
        <v>208890</v>
      </c>
      <c r="L1673" s="1146">
        <v>10.273909791051391</v>
      </c>
      <c r="M1673" s="941"/>
      <c r="N1673" s="430">
        <f t="shared" ref="N1673:N1677" si="131">IF(L1673&gt;0,K1673/L1673,"")</f>
        <v>20332.084303674135</v>
      </c>
      <c r="O1673" s="362"/>
    </row>
    <row r="1674" spans="1:18" ht="15.75" customHeight="1">
      <c r="A1674" s="395" t="str">
        <f t="array" ref="A1674">IF(C1674&lt;&gt;0,INDEX(CodMO,MATCH(C1674,MO,0),),)</f>
        <v>M.O-01</v>
      </c>
      <c r="B1674" s="399"/>
      <c r="C1674" s="1128" t="s">
        <v>130</v>
      </c>
      <c r="D1674" s="940"/>
      <c r="E1674" s="940"/>
      <c r="F1674" s="940"/>
      <c r="G1674" s="940"/>
      <c r="H1674" s="940"/>
      <c r="I1674" s="447">
        <f>IF($A1674&gt;0,(VLOOKUP($A1674,TablaMO,8,FALSE)),"")</f>
        <v>72503.016666666677</v>
      </c>
      <c r="J1674" s="448">
        <f>IF($A1674&gt;0,(VLOOKUP($A1674,TablaMO,10,FALSE)),"")</f>
        <v>0.67071666666666663</v>
      </c>
      <c r="K1674" s="447">
        <f>IF($A1674&gt;0,(VLOOKUP($A1674,TablaMO,11,FALSE)),"")</f>
        <v>121132</v>
      </c>
      <c r="L1674" s="1146">
        <f>L1673</f>
        <v>10.273909791051391</v>
      </c>
      <c r="M1674" s="941"/>
      <c r="N1674" s="430">
        <f t="shared" si="131"/>
        <v>11790.253415063695</v>
      </c>
      <c r="O1674" s="362"/>
    </row>
    <row r="1675" spans="1:18" ht="15.75" customHeight="1">
      <c r="A1675" s="395">
        <f t="array" ref="A1675">IF(C1675&lt;&gt;0,INDEX(CodMO,MATCH(C1675,MO,0),),)</f>
        <v>0</v>
      </c>
      <c r="B1675" s="399"/>
      <c r="C1675" s="1128"/>
      <c r="D1675" s="940"/>
      <c r="E1675" s="940"/>
      <c r="F1675" s="940"/>
      <c r="G1675" s="940"/>
      <c r="H1675" s="940"/>
      <c r="I1675" s="447" t="str">
        <f>IF($A1675&gt;0,(VLOOKUP($A1675,TablaMO,8,FALSE)),"")</f>
        <v/>
      </c>
      <c r="J1675" s="448" t="str">
        <f>IF($A1675&gt;0,(VLOOKUP($A1675,TablaMO,10,FALSE)),"")</f>
        <v/>
      </c>
      <c r="K1675" s="447" t="str">
        <f>IF($A1675&gt;0,(VLOOKUP($A1675,TablaMO,11,FALSE)),"")</f>
        <v/>
      </c>
      <c r="L1675" s="1146"/>
      <c r="M1675" s="941"/>
      <c r="N1675" s="430" t="str">
        <f t="shared" si="131"/>
        <v/>
      </c>
      <c r="O1675" s="362"/>
    </row>
    <row r="1676" spans="1:18" ht="15.75" customHeight="1">
      <c r="A1676" s="395">
        <f t="array" ref="A1676">IF(C1676&lt;&gt;0,INDEX(CodMO,MATCH(C1676,MO,0),),)</f>
        <v>0</v>
      </c>
      <c r="B1676" s="399"/>
      <c r="C1676" s="1128"/>
      <c r="D1676" s="940"/>
      <c r="E1676" s="940"/>
      <c r="F1676" s="940"/>
      <c r="G1676" s="940"/>
      <c r="H1676" s="940"/>
      <c r="I1676" s="447" t="str">
        <f>IF($A1676&gt;0,(VLOOKUP($A1676,TablaMO,8,FALSE)),"")</f>
        <v/>
      </c>
      <c r="J1676" s="448" t="str">
        <f>IF($A1676&gt;0,(VLOOKUP($A1676,TablaMO,10,FALSE)),"")</f>
        <v/>
      </c>
      <c r="K1676" s="447" t="str">
        <f>IF($A1676&gt;0,(VLOOKUP($A1676,TablaMO,11,FALSE)),"")</f>
        <v/>
      </c>
      <c r="L1676" s="1146"/>
      <c r="M1676" s="941"/>
      <c r="N1676" s="430" t="str">
        <f t="shared" si="131"/>
        <v/>
      </c>
      <c r="O1676" s="362"/>
    </row>
    <row r="1677" spans="1:18" ht="15.75" customHeight="1">
      <c r="A1677" s="395">
        <f t="array" ref="A1677">IF(C1677&lt;&gt;0,INDEX(CodMO,MATCH(C1677,MO,0),),)</f>
        <v>0</v>
      </c>
      <c r="B1677" s="399"/>
      <c r="C1677" s="1128"/>
      <c r="D1677" s="940"/>
      <c r="E1677" s="940"/>
      <c r="F1677" s="940"/>
      <c r="G1677" s="940"/>
      <c r="H1677" s="940"/>
      <c r="I1677" s="447" t="str">
        <f>IF($A1677&gt;0,(VLOOKUP($A1677,TablaMO,8,FALSE)),"")</f>
        <v/>
      </c>
      <c r="J1677" s="448" t="str">
        <f>IF($A1677&gt;0,(VLOOKUP($A1677,TablaMO,10,FALSE)),"")</f>
        <v/>
      </c>
      <c r="K1677" s="447" t="str">
        <f>IF($A1677&gt;0,(VLOOKUP($A1677,TablaMO,11,FALSE)),"")</f>
        <v/>
      </c>
      <c r="L1677" s="1146"/>
      <c r="M1677" s="941"/>
      <c r="N1677" s="430" t="str">
        <f t="shared" si="131"/>
        <v/>
      </c>
      <c r="O1677" s="362"/>
    </row>
    <row r="1678" spans="1:18" ht="15.75" customHeight="1">
      <c r="A1678" s="395"/>
      <c r="B1678" s="399"/>
      <c r="C1678" s="1127" t="s">
        <v>1202</v>
      </c>
      <c r="D1678" s="965"/>
      <c r="E1678" s="965"/>
      <c r="F1678" s="965"/>
      <c r="G1678" s="965"/>
      <c r="H1678" s="965"/>
      <c r="I1678" s="965"/>
      <c r="J1678" s="965"/>
      <c r="K1678" s="965"/>
      <c r="L1678" s="965"/>
      <c r="M1678" s="966"/>
      <c r="N1678" s="433">
        <f>+SUM(N1673:N1677)</f>
        <v>32122.337718737828</v>
      </c>
      <c r="O1678" s="362"/>
    </row>
    <row r="1679" spans="1:18" ht="15.75" customHeight="1">
      <c r="B1679" s="679"/>
      <c r="O1679" s="362"/>
    </row>
    <row r="1680" spans="1:18" ht="15.75" customHeight="1">
      <c r="B1680" s="679"/>
      <c r="C1680" s="1198" t="s">
        <v>1219</v>
      </c>
      <c r="D1680" s="965"/>
      <c r="E1680" s="965"/>
      <c r="F1680" s="965"/>
      <c r="G1680" s="965"/>
      <c r="H1680" s="965"/>
      <c r="I1680" s="965"/>
      <c r="J1680" s="965"/>
      <c r="K1680" s="965"/>
      <c r="L1680" s="965"/>
      <c r="M1680" s="966"/>
      <c r="N1680" s="680">
        <f>ROUND(SUM(N1678,N1668,N1658,N1645),0)</f>
        <v>63833</v>
      </c>
      <c r="O1680" s="362"/>
      <c r="Q1680" s="681">
        <f>VLOOKUP(C1634,PROPUESTASASERCO,8,FALSE)</f>
        <v>63833</v>
      </c>
      <c r="R1680" s="682">
        <f>Q1680-N1680</f>
        <v>0</v>
      </c>
    </row>
    <row r="1681" spans="2:15" ht="15.75" customHeight="1">
      <c r="B1681" s="679"/>
      <c r="C1681" s="1129" t="s">
        <v>1220</v>
      </c>
      <c r="D1681" s="926"/>
      <c r="E1681" s="926"/>
      <c r="F1681" s="926"/>
      <c r="G1681" s="926"/>
      <c r="H1681" s="926"/>
      <c r="I1681" s="926"/>
      <c r="J1681" s="926"/>
      <c r="K1681" s="926"/>
      <c r="L1681" s="926"/>
      <c r="M1681" s="926"/>
      <c r="N1681" s="927"/>
      <c r="O1681" s="362"/>
    </row>
    <row r="1682" spans="2:15" ht="15.75" customHeight="1">
      <c r="B1682" s="679"/>
      <c r="C1682" s="920"/>
      <c r="D1682" s="922"/>
      <c r="E1682" s="922"/>
      <c r="F1682" s="922"/>
      <c r="G1682" s="922"/>
      <c r="H1682" s="922"/>
      <c r="I1682" s="922"/>
      <c r="J1682" s="922"/>
      <c r="K1682" s="922"/>
      <c r="L1682" s="922"/>
      <c r="M1682" s="922"/>
      <c r="N1682" s="924"/>
      <c r="O1682" s="362"/>
    </row>
    <row r="1683" spans="2:15" ht="15.75" customHeight="1">
      <c r="B1683" s="679"/>
      <c r="C1683" s="929"/>
      <c r="D1683" s="936"/>
      <c r="E1683" s="936"/>
      <c r="F1683" s="936"/>
      <c r="G1683" s="936"/>
      <c r="H1683" s="936"/>
      <c r="I1683" s="936"/>
      <c r="J1683" s="936"/>
      <c r="K1683" s="936"/>
      <c r="L1683" s="936"/>
      <c r="M1683" s="936"/>
      <c r="N1683" s="938"/>
      <c r="O1683" s="362"/>
    </row>
    <row r="1684" spans="2:15" ht="15.75" customHeight="1">
      <c r="B1684" s="679"/>
      <c r="C1684" s="1201" t="s">
        <v>1221</v>
      </c>
      <c r="D1684" s="1131"/>
      <c r="E1684" s="1131"/>
      <c r="F1684" s="1131"/>
      <c r="G1684" s="1131"/>
      <c r="H1684" s="1132"/>
      <c r="I1684" s="674"/>
      <c r="J1684" s="674"/>
      <c r="K1684" s="674"/>
      <c r="L1684" s="1206" t="s">
        <v>1222</v>
      </c>
      <c r="M1684" s="1000"/>
      <c r="N1684" s="678" t="s">
        <v>1223</v>
      </c>
      <c r="O1684" s="362"/>
    </row>
    <row r="1685" spans="2:15" ht="15.75" customHeight="1">
      <c r="B1685" s="679"/>
      <c r="C1685" s="1128" t="s">
        <v>19</v>
      </c>
      <c r="D1685" s="940"/>
      <c r="E1685" s="940"/>
      <c r="F1685" s="940"/>
      <c r="G1685" s="940"/>
      <c r="H1685" s="940"/>
      <c r="I1685" s="452"/>
      <c r="J1685" s="452"/>
      <c r="K1685" s="452"/>
      <c r="L1685" s="1148">
        <f>+Datos!$E$18</f>
        <v>0.25</v>
      </c>
      <c r="M1685" s="941"/>
      <c r="N1685" s="430">
        <f>+L1685*N1680</f>
        <v>15958.25</v>
      </c>
      <c r="O1685" s="362"/>
    </row>
    <row r="1686" spans="2:15" ht="15.75" customHeight="1">
      <c r="B1686" s="679"/>
      <c r="C1686" s="454" t="s">
        <v>20</v>
      </c>
      <c r="D1686" s="455"/>
      <c r="E1686" s="455"/>
      <c r="F1686" s="455"/>
      <c r="G1686" s="455"/>
      <c r="H1686" s="455"/>
      <c r="I1686" s="452"/>
      <c r="J1686" s="452"/>
      <c r="K1686" s="452"/>
      <c r="L1686" s="1148">
        <f>+Datos!$E$19</f>
        <v>0.01</v>
      </c>
      <c r="M1686" s="941"/>
      <c r="N1686" s="430">
        <f>+L1686*N1680</f>
        <v>638.33000000000004</v>
      </c>
      <c r="O1686" s="362"/>
    </row>
    <row r="1687" spans="2:15" ht="15.75" customHeight="1">
      <c r="B1687" s="679"/>
      <c r="C1687" s="456" t="s">
        <v>21</v>
      </c>
      <c r="D1687" s="457"/>
      <c r="E1687" s="457"/>
      <c r="F1687" s="457"/>
      <c r="G1687" s="457"/>
      <c r="H1687" s="457"/>
      <c r="I1687" s="458"/>
      <c r="J1687" s="458"/>
      <c r="K1687" s="458"/>
      <c r="L1687" s="1148">
        <f>+Datos!$E$20</f>
        <v>0.05</v>
      </c>
      <c r="M1687" s="941"/>
      <c r="N1687" s="430">
        <f>+L1687*N1680</f>
        <v>3191.65</v>
      </c>
      <c r="O1687" s="362"/>
    </row>
    <row r="1688" spans="2:15" ht="15.75" customHeight="1">
      <c r="B1688" s="679"/>
      <c r="C1688" s="1127" t="s">
        <v>1202</v>
      </c>
      <c r="D1688" s="965"/>
      <c r="E1688" s="965"/>
      <c r="F1688" s="965"/>
      <c r="G1688" s="965"/>
      <c r="H1688" s="965"/>
      <c r="I1688" s="965"/>
      <c r="J1688" s="965"/>
      <c r="K1688" s="965"/>
      <c r="L1688" s="965"/>
      <c r="M1688" s="966"/>
      <c r="N1688" s="433">
        <f>+SUM(N1685:N1687)</f>
        <v>19788.230000000003</v>
      </c>
      <c r="O1688" s="362"/>
    </row>
    <row r="1689" spans="2:15" ht="15.75" customHeight="1">
      <c r="B1689" s="679"/>
      <c r="C1689" s="418"/>
      <c r="D1689" s="39"/>
      <c r="E1689" s="39"/>
      <c r="F1689" s="39"/>
      <c r="G1689" s="39"/>
      <c r="H1689" s="39"/>
      <c r="I1689" s="39"/>
      <c r="J1689" s="39"/>
      <c r="K1689" s="39"/>
      <c r="L1689" s="39"/>
      <c r="M1689" s="39"/>
      <c r="N1689" s="40"/>
      <c r="O1689" s="362"/>
    </row>
    <row r="1690" spans="2:15" ht="15.75" customHeight="1">
      <c r="B1690" s="679"/>
      <c r="C1690" s="1198" t="s">
        <v>1224</v>
      </c>
      <c r="D1690" s="965"/>
      <c r="E1690" s="965"/>
      <c r="F1690" s="965"/>
      <c r="G1690" s="965"/>
      <c r="H1690" s="965"/>
      <c r="I1690" s="965"/>
      <c r="J1690" s="965"/>
      <c r="K1690" s="965"/>
      <c r="L1690" s="965"/>
      <c r="M1690" s="966"/>
      <c r="N1690" s="683">
        <f>+ROUND(SUM(N1688,N1680),0)</f>
        <v>83621</v>
      </c>
      <c r="O1690" s="362"/>
    </row>
    <row r="1691" spans="2:15" ht="15.75" customHeight="1">
      <c r="B1691" s="679"/>
      <c r="C1691" s="418"/>
      <c r="D1691" s="39" t="s">
        <v>1225</v>
      </c>
      <c r="E1691" s="39"/>
      <c r="F1691" s="39"/>
      <c r="G1691" s="184"/>
      <c r="H1691" s="184"/>
      <c r="I1691" s="184"/>
      <c r="J1691" s="39" t="s">
        <v>1225</v>
      </c>
      <c r="K1691" s="39"/>
      <c r="L1691" s="39"/>
      <c r="M1691" s="39"/>
      <c r="N1691" s="40"/>
      <c r="O1691" s="362"/>
    </row>
    <row r="1692" spans="2:15" ht="15.75" customHeight="1">
      <c r="B1692" s="679"/>
      <c r="C1692" s="418"/>
      <c r="D1692" s="39" t="s">
        <v>1226</v>
      </c>
      <c r="E1692" s="39"/>
      <c r="F1692" s="39"/>
      <c r="G1692" s="184"/>
      <c r="H1692" s="184"/>
      <c r="I1692" s="184"/>
      <c r="J1692" s="39" t="s">
        <v>1227</v>
      </c>
      <c r="K1692" s="39"/>
      <c r="L1692" s="39"/>
      <c r="M1692" s="39"/>
      <c r="N1692" s="40"/>
      <c r="O1692" s="362"/>
    </row>
    <row r="1693" spans="2:15" ht="15.75" customHeight="1">
      <c r="B1693" s="679"/>
      <c r="C1693" s="404"/>
      <c r="D1693" s="39" t="s">
        <v>1228</v>
      </c>
      <c r="E1693" s="42"/>
      <c r="F1693" s="42"/>
      <c r="G1693" s="184"/>
      <c r="H1693" s="184"/>
      <c r="I1693" s="184"/>
      <c r="J1693" s="39" t="s">
        <v>1228</v>
      </c>
      <c r="K1693" s="42"/>
      <c r="L1693" s="42"/>
      <c r="M1693" s="42"/>
      <c r="N1693" s="43"/>
      <c r="O1693" s="362"/>
    </row>
    <row r="1694" spans="2:15" ht="15.75" customHeight="1">
      <c r="B1694" s="679"/>
      <c r="C1694" s="418"/>
      <c r="D1694" s="39"/>
      <c r="E1694" s="39"/>
      <c r="F1694" s="39"/>
      <c r="G1694" s="39" t="s">
        <v>1229</v>
      </c>
      <c r="H1694" s="39"/>
      <c r="I1694" s="39"/>
      <c r="J1694" s="39"/>
      <c r="K1694" s="39"/>
      <c r="L1694" s="39"/>
      <c r="M1694" s="39"/>
      <c r="N1694" s="40"/>
      <c r="O1694" s="362"/>
    </row>
    <row r="1695" spans="2:15" ht="15.75" customHeight="1">
      <c r="B1695" s="679"/>
      <c r="C1695" s="466"/>
      <c r="D1695" s="467"/>
      <c r="E1695" s="467"/>
      <c r="F1695" s="39"/>
      <c r="G1695" s="39"/>
      <c r="H1695" s="39"/>
      <c r="I1695" s="39"/>
      <c r="J1695" s="1149"/>
      <c r="K1695" s="922"/>
      <c r="L1695" s="922"/>
      <c r="M1695" s="922"/>
      <c r="N1695" s="924"/>
      <c r="O1695" s="362"/>
    </row>
    <row r="1696" spans="2:15" ht="15.75" customHeight="1">
      <c r="B1696" s="679"/>
      <c r="C1696" s="1150"/>
      <c r="D1696" s="936"/>
      <c r="E1696" s="936"/>
      <c r="F1696" s="416"/>
      <c r="G1696" s="416"/>
      <c r="H1696" s="416"/>
      <c r="I1696" s="416"/>
      <c r="J1696" s="936"/>
      <c r="K1696" s="936"/>
      <c r="L1696" s="936"/>
      <c r="M1696" s="936"/>
      <c r="N1696" s="938"/>
      <c r="O1696" s="362"/>
    </row>
    <row r="1697" spans="1:15" ht="15.75" customHeight="1">
      <c r="B1697" s="684"/>
      <c r="C1697" s="685"/>
      <c r="D1697" s="685"/>
      <c r="E1697" s="685"/>
      <c r="F1697" s="685"/>
      <c r="G1697" s="685"/>
      <c r="H1697" s="685"/>
      <c r="I1697" s="685"/>
      <c r="J1697" s="685"/>
      <c r="K1697" s="685"/>
      <c r="L1697" s="685"/>
      <c r="M1697" s="685"/>
      <c r="N1697" s="685"/>
      <c r="O1697" s="686"/>
    </row>
    <row r="1698" spans="1:15" ht="15.75" customHeight="1"/>
    <row r="1699" spans="1:15" ht="15.75" customHeight="1"/>
    <row r="1700" spans="1:15" ht="15.75" customHeight="1"/>
    <row r="1701" spans="1:15" ht="15.75" customHeight="1"/>
    <row r="1702" spans="1:15" ht="15.75" customHeight="1">
      <c r="A1702" s="395" t="s">
        <v>941</v>
      </c>
      <c r="B1702" s="184"/>
      <c r="C1702" s="184"/>
      <c r="D1702" s="184"/>
      <c r="E1702" s="184"/>
      <c r="F1702" s="184"/>
      <c r="G1702" s="184"/>
      <c r="H1702" s="184"/>
      <c r="I1702" s="184"/>
      <c r="J1702" s="184"/>
      <c r="K1702" s="184"/>
      <c r="L1702" s="184"/>
      <c r="M1702" s="184"/>
      <c r="N1702" s="184"/>
    </row>
    <row r="1703" spans="1:15" ht="15.75" customHeight="1">
      <c r="A1703" s="395"/>
      <c r="B1703" s="396"/>
      <c r="C1703" s="397"/>
      <c r="D1703" s="397"/>
      <c r="E1703" s="397"/>
      <c r="F1703" s="397"/>
      <c r="G1703" s="397"/>
      <c r="H1703" s="397"/>
      <c r="I1703" s="397"/>
      <c r="J1703" s="397"/>
      <c r="K1703" s="397"/>
      <c r="L1703" s="397"/>
      <c r="M1703" s="397"/>
      <c r="N1703" s="397"/>
      <c r="O1703" s="667"/>
    </row>
    <row r="1704" spans="1:15" ht="15.75" customHeight="1">
      <c r="A1704" s="395"/>
      <c r="B1704" s="399"/>
      <c r="C1704" s="1124"/>
      <c r="D1704" s="927"/>
      <c r="E1704" s="1207" t="str">
        <f>Datos!$C$9</f>
        <v>CONSEJO SUPERIOR  DE  JUDICATURA– DIRECCIÓN  EJECUTIVA  SECCIONAL  DE ADMINISTRACIÓN JUDICIAL DE BUCARAMANGA</v>
      </c>
      <c r="F1704" s="926"/>
      <c r="G1704" s="926"/>
      <c r="H1704" s="926"/>
      <c r="I1704" s="926"/>
      <c r="J1704" s="926"/>
      <c r="K1704" s="927"/>
      <c r="L1704" s="925" t="s">
        <v>1</v>
      </c>
      <c r="M1704" s="931"/>
      <c r="N1704" s="933">
        <v>1</v>
      </c>
      <c r="O1704" s="362"/>
    </row>
    <row r="1705" spans="1:15" ht="15.75" customHeight="1">
      <c r="A1705" s="395"/>
      <c r="B1705" s="399"/>
      <c r="C1705" s="920"/>
      <c r="D1705" s="924"/>
      <c r="E1705" s="920"/>
      <c r="F1705" s="922"/>
      <c r="G1705" s="922"/>
      <c r="H1705" s="922"/>
      <c r="I1705" s="922"/>
      <c r="J1705" s="922"/>
      <c r="K1705" s="924"/>
      <c r="L1705" s="920"/>
      <c r="M1705" s="932"/>
      <c r="N1705" s="934"/>
      <c r="O1705" s="362"/>
    </row>
    <row r="1706" spans="1:15" ht="15.75" customHeight="1">
      <c r="A1706" s="395"/>
      <c r="B1706" s="399"/>
      <c r="C1706" s="920"/>
      <c r="D1706" s="924"/>
      <c r="E1706" s="919" t="str">
        <f>Datos!$C$13</f>
        <v xml:space="preserve">BGA - 030 - 2026 </v>
      </c>
      <c r="F1706" s="922"/>
      <c r="G1706" s="922"/>
      <c r="H1706" s="922"/>
      <c r="I1706" s="922"/>
      <c r="J1706" s="922"/>
      <c r="K1706" s="922"/>
      <c r="L1706" s="925" t="s">
        <v>29</v>
      </c>
      <c r="M1706" s="926"/>
      <c r="N1706" s="927"/>
      <c r="O1706" s="362"/>
    </row>
    <row r="1707" spans="1:15" ht="15.75" customHeight="1">
      <c r="A1707" s="395"/>
      <c r="B1707" s="399"/>
      <c r="C1707" s="920"/>
      <c r="D1707" s="924"/>
      <c r="E170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707" s="922"/>
      <c r="G1707" s="922"/>
      <c r="H1707" s="922"/>
      <c r="I1707" s="922"/>
      <c r="J1707" s="922"/>
      <c r="K1707" s="924"/>
      <c r="L1707" s="919">
        <v>1</v>
      </c>
      <c r="M1707" s="921" t="s">
        <v>30</v>
      </c>
      <c r="N1707" s="923">
        <v>1</v>
      </c>
      <c r="O1707" s="362"/>
    </row>
    <row r="1708" spans="1:15" ht="15.75" customHeight="1">
      <c r="A1708" s="395"/>
      <c r="B1708" s="399"/>
      <c r="C1708" s="920"/>
      <c r="D1708" s="924"/>
      <c r="E1708" s="920"/>
      <c r="F1708" s="922"/>
      <c r="G1708" s="922"/>
      <c r="H1708" s="922"/>
      <c r="I1708" s="922"/>
      <c r="J1708" s="922"/>
      <c r="K1708" s="924"/>
      <c r="L1708" s="920"/>
      <c r="M1708" s="922"/>
      <c r="N1708" s="924"/>
      <c r="O1708" s="362"/>
    </row>
    <row r="1709" spans="1:15" ht="15.75" customHeight="1">
      <c r="A1709" s="395"/>
      <c r="B1709" s="399"/>
      <c r="C1709" s="920"/>
      <c r="D1709" s="924"/>
      <c r="E1709" s="920"/>
      <c r="F1709" s="922"/>
      <c r="G1709" s="922"/>
      <c r="H1709" s="922"/>
      <c r="I1709" s="922"/>
      <c r="J1709" s="922"/>
      <c r="K1709" s="924"/>
      <c r="L1709" s="925" t="s">
        <v>2</v>
      </c>
      <c r="M1709" s="926"/>
      <c r="N1709" s="927"/>
      <c r="O1709" s="362"/>
    </row>
    <row r="1710" spans="1:15" ht="15.75" customHeight="1">
      <c r="A1710" s="395"/>
      <c r="B1710" s="399"/>
      <c r="C1710" s="920"/>
      <c r="D1710" s="924"/>
      <c r="E1710" s="407"/>
      <c r="F1710" s="216"/>
      <c r="G1710" s="216"/>
      <c r="H1710" s="216"/>
      <c r="I1710" s="216"/>
      <c r="J1710" s="216"/>
      <c r="K1710" s="216"/>
      <c r="L1710" s="408" t="s">
        <v>3</v>
      </c>
      <c r="M1710" s="409" t="s">
        <v>4</v>
      </c>
      <c r="N1710" s="410" t="s">
        <v>5</v>
      </c>
      <c r="O1710" s="362"/>
    </row>
    <row r="1711" spans="1:15" ht="15.75" customHeight="1">
      <c r="A1711" s="395"/>
      <c r="B1711" s="399"/>
      <c r="C1711" s="920"/>
      <c r="D1711" s="924"/>
      <c r="E1711" s="1125" t="s">
        <v>1186</v>
      </c>
      <c r="F1711" s="945"/>
      <c r="G1711" s="945"/>
      <c r="H1711" s="945"/>
      <c r="I1711" s="945"/>
      <c r="J1711" s="945"/>
      <c r="K1711" s="945"/>
      <c r="L1711" s="928">
        <f>Datos!$C$7</f>
        <v>19</v>
      </c>
      <c r="M1711" s="935">
        <f>Datos!$D$7</f>
        <v>6</v>
      </c>
      <c r="N1711" s="937">
        <f>Datos!$E$7</f>
        <v>2026</v>
      </c>
      <c r="O1711" s="362"/>
    </row>
    <row r="1712" spans="1:15" ht="15.75" customHeight="1">
      <c r="A1712" s="395"/>
      <c r="B1712" s="399"/>
      <c r="C1712" s="929"/>
      <c r="D1712" s="938"/>
      <c r="E1712" s="929"/>
      <c r="F1712" s="936"/>
      <c r="G1712" s="936"/>
      <c r="H1712" s="936"/>
      <c r="I1712" s="936"/>
      <c r="J1712" s="936"/>
      <c r="K1712" s="936"/>
      <c r="L1712" s="929"/>
      <c r="M1712" s="936"/>
      <c r="N1712" s="938"/>
      <c r="O1712" s="362"/>
    </row>
    <row r="1713" spans="1:15" ht="15.75" customHeight="1">
      <c r="A1713" s="395"/>
      <c r="B1713" s="399"/>
      <c r="C1713" s="404"/>
      <c r="D1713" s="38"/>
      <c r="E1713" s="38"/>
      <c r="F1713" s="38"/>
      <c r="G1713" s="38"/>
      <c r="H1713" s="38"/>
      <c r="I1713" s="38"/>
      <c r="J1713" s="38"/>
      <c r="K1713" s="38"/>
      <c r="L1713" s="39"/>
      <c r="M1713" s="39"/>
      <c r="N1713" s="40"/>
      <c r="O1713" s="362"/>
    </row>
    <row r="1714" spans="1:15" ht="15.75" customHeight="1">
      <c r="A1714" s="395"/>
      <c r="B1714" s="399"/>
      <c r="C1714" s="412" t="s">
        <v>1187</v>
      </c>
      <c r="D1714" s="1199" t="str">
        <f>VLOOKUP(C1719,ListaAct,2,0)</f>
        <v>OBRA CIVIL</v>
      </c>
      <c r="E1714" s="922"/>
      <c r="F1714" s="922"/>
      <c r="G1714" s="922"/>
      <c r="H1714" s="922"/>
      <c r="I1714" s="922"/>
      <c r="J1714" s="922"/>
      <c r="K1714" s="922"/>
      <c r="L1714" s="922"/>
      <c r="M1714" s="1"/>
      <c r="N1714" s="413"/>
      <c r="O1714" s="362"/>
    </row>
    <row r="1715" spans="1:15" ht="15.75" customHeight="1">
      <c r="A1715" s="395"/>
      <c r="B1715" s="399"/>
      <c r="C1715" s="412" t="s">
        <v>1189</v>
      </c>
      <c r="D1715" s="1199" t="str">
        <f>VLOOKUP(C1719,ListaAct,3,0)</f>
        <v>REVOQUE TRADICIONAL</v>
      </c>
      <c r="E1715" s="922"/>
      <c r="F1715" s="922"/>
      <c r="G1715" s="922"/>
      <c r="H1715" s="922"/>
      <c r="I1715" s="922"/>
      <c r="J1715" s="922"/>
      <c r="K1715" s="922"/>
      <c r="L1715" s="922"/>
      <c r="M1715" s="1"/>
      <c r="N1715" s="413"/>
      <c r="O1715" s="362"/>
    </row>
    <row r="1716" spans="1:15" ht="15.75" customHeight="1">
      <c r="A1716" s="395"/>
      <c r="B1716" s="399"/>
      <c r="C1716" s="925" t="s">
        <v>1191</v>
      </c>
      <c r="D1716" s="926"/>
      <c r="E1716" s="926"/>
      <c r="F1716" s="926"/>
      <c r="G1716" s="926"/>
      <c r="H1716" s="926"/>
      <c r="I1716" s="926"/>
      <c r="J1716" s="926"/>
      <c r="K1716" s="926"/>
      <c r="L1716" s="926"/>
      <c r="M1716" s="926"/>
      <c r="N1716" s="927"/>
      <c r="O1716" s="362"/>
    </row>
    <row r="1717" spans="1:15" ht="15.75" customHeight="1">
      <c r="A1717" s="395"/>
      <c r="B1717" s="399"/>
      <c r="C1717" s="418"/>
      <c r="D1717" s="39"/>
      <c r="E1717" s="39"/>
      <c r="F1717" s="39"/>
      <c r="G1717" s="39"/>
      <c r="H1717" s="39"/>
      <c r="I1717" s="39"/>
      <c r="J1717" s="39"/>
      <c r="K1717" s="39"/>
      <c r="L1717" s="39"/>
      <c r="M1717" s="39"/>
      <c r="N1717" s="40"/>
      <c r="O1717" s="362"/>
    </row>
    <row r="1718" spans="1:15" ht="15.75" customHeight="1">
      <c r="A1718" s="395"/>
      <c r="B1718" s="399"/>
      <c r="C1718" s="668" t="s">
        <v>965</v>
      </c>
      <c r="D1718" s="1200" t="s">
        <v>17</v>
      </c>
      <c r="E1718" s="1131"/>
      <c r="F1718" s="1131"/>
      <c r="G1718" s="1131"/>
      <c r="H1718" s="1131"/>
      <c r="I1718" s="1131"/>
      <c r="J1718" s="1131"/>
      <c r="K1718" s="1137"/>
      <c r="L1718" s="1201" t="s">
        <v>1192</v>
      </c>
      <c r="M1718" s="1137"/>
      <c r="N1718" s="668" t="s">
        <v>950</v>
      </c>
      <c r="O1718" s="362"/>
    </row>
    <row r="1719" spans="1:15" ht="15.75" customHeight="1">
      <c r="A1719" s="395"/>
      <c r="B1719" s="421"/>
      <c r="C1719" s="669" t="s">
        <v>1048</v>
      </c>
      <c r="D1719" s="1202" t="str">
        <f>IF($C1719&gt;0,(VLOOKUP($C1719,ListaAct,4,FALSE)),"")</f>
        <v xml:space="preserve">Suministro e instalación de malla tipo zaranda metalica adosada al muro con tapa metalica de gaseosa cada 50 cm. Ambos sentidos </v>
      </c>
      <c r="E1719" s="979"/>
      <c r="F1719" s="979"/>
      <c r="G1719" s="979"/>
      <c r="H1719" s="979"/>
      <c r="I1719" s="979"/>
      <c r="J1719" s="979"/>
      <c r="K1719" s="980"/>
      <c r="L1719" s="1203" t="str">
        <f>IF($C1719&gt;0,(VLOOKUP($C1719,ListaAct,5,FALSE)),"")</f>
        <v>m2</v>
      </c>
      <c r="M1719" s="980"/>
      <c r="N1719" s="423">
        <f>IF($C1719&gt;0,(VLOOKUP($C1719,ListaAct,6,FALSE)),"")</f>
        <v>161.35</v>
      </c>
      <c r="O1719" s="362"/>
    </row>
    <row r="1720" spans="1:15" ht="15.75" customHeight="1">
      <c r="A1720" s="395"/>
      <c r="B1720" s="399"/>
      <c r="C1720" s="1129" t="s">
        <v>1195</v>
      </c>
      <c r="D1720" s="926"/>
      <c r="E1720" s="926"/>
      <c r="F1720" s="926"/>
      <c r="G1720" s="926"/>
      <c r="H1720" s="926"/>
      <c r="I1720" s="926"/>
      <c r="J1720" s="926"/>
      <c r="K1720" s="926"/>
      <c r="L1720" s="926"/>
      <c r="M1720" s="926"/>
      <c r="N1720" s="927"/>
      <c r="O1720" s="362"/>
    </row>
    <row r="1721" spans="1:15" ht="15.75" customHeight="1">
      <c r="A1721" s="395"/>
      <c r="B1721" s="399"/>
      <c r="C1721" s="920"/>
      <c r="D1721" s="922"/>
      <c r="E1721" s="922"/>
      <c r="F1721" s="922"/>
      <c r="G1721" s="922"/>
      <c r="H1721" s="922"/>
      <c r="I1721" s="922"/>
      <c r="J1721" s="922"/>
      <c r="K1721" s="922"/>
      <c r="L1721" s="922"/>
      <c r="M1721" s="922"/>
      <c r="N1721" s="924"/>
      <c r="O1721" s="362"/>
    </row>
    <row r="1722" spans="1:15" ht="15.75" customHeight="1">
      <c r="A1722" s="395"/>
      <c r="B1722" s="399"/>
      <c r="C1722" s="929"/>
      <c r="D1722" s="936"/>
      <c r="E1722" s="936"/>
      <c r="F1722" s="936"/>
      <c r="G1722" s="936"/>
      <c r="H1722" s="936"/>
      <c r="I1722" s="936"/>
      <c r="J1722" s="936"/>
      <c r="K1722" s="936"/>
      <c r="L1722" s="936"/>
      <c r="M1722" s="936"/>
      <c r="N1722" s="938"/>
      <c r="O1722" s="362"/>
    </row>
    <row r="1723" spans="1:15" ht="15.75" customHeight="1">
      <c r="A1723" s="395"/>
      <c r="B1723" s="399"/>
      <c r="C1723" s="1201" t="s">
        <v>17</v>
      </c>
      <c r="D1723" s="1131"/>
      <c r="E1723" s="1131"/>
      <c r="F1723" s="1000"/>
      <c r="G1723" s="1204" t="s">
        <v>1196</v>
      </c>
      <c r="H1723" s="1000"/>
      <c r="I1723" s="1204" t="s">
        <v>1197</v>
      </c>
      <c r="J1723" s="1000"/>
      <c r="K1723" s="670" t="s">
        <v>1213</v>
      </c>
      <c r="L1723" s="1204" t="s">
        <v>1199</v>
      </c>
      <c r="M1723" s="1000"/>
      <c r="N1723" s="671" t="s">
        <v>1200</v>
      </c>
      <c r="O1723" s="362"/>
    </row>
    <row r="1724" spans="1:15" ht="15.75" customHeight="1">
      <c r="A1724" s="395"/>
      <c r="B1724" s="399"/>
      <c r="C1724" s="1128" t="s">
        <v>1201</v>
      </c>
      <c r="D1724" s="940"/>
      <c r="E1724" s="940"/>
      <c r="F1724" s="941"/>
      <c r="G1724" s="1142"/>
      <c r="H1724" s="941"/>
      <c r="I1724" s="1142"/>
      <c r="J1724" s="941"/>
      <c r="K1724" s="429"/>
      <c r="L1724" s="1143">
        <v>0.06</v>
      </c>
      <c r="M1724" s="941"/>
      <c r="N1724" s="430">
        <f>+L1724*N1763</f>
        <v>2057.826601940646</v>
      </c>
      <c r="O1724" s="362"/>
    </row>
    <row r="1725" spans="1:15" ht="15.75" customHeight="1">
      <c r="A1725" s="395">
        <f t="array" ref="A1725">IF(C1725&lt;&gt;0,INDEX(CodEquipos,MATCH(C1725,Equipos,0),),)</f>
        <v>0</v>
      </c>
      <c r="B1725" s="399"/>
      <c r="C1725" s="1128"/>
      <c r="D1725" s="940"/>
      <c r="E1725" s="940"/>
      <c r="F1725" s="941"/>
      <c r="G1725" s="1142"/>
      <c r="H1725" s="941"/>
      <c r="I1725" s="1142"/>
      <c r="J1725" s="941"/>
      <c r="K1725" s="432" t="str">
        <f>IF($A1725&gt;0,(VLOOKUP($A1725,TablaEquipos,7,FALSE)),"")</f>
        <v/>
      </c>
      <c r="L1725" s="1146"/>
      <c r="M1725" s="941"/>
      <c r="N1725" s="430" t="str">
        <f t="shared" ref="N1725:N1729" si="132">IF(L1725&gt;0,K1725/L1725,"")</f>
        <v/>
      </c>
      <c r="O1725" s="362"/>
    </row>
    <row r="1726" spans="1:15" ht="15.75" customHeight="1">
      <c r="A1726" s="395">
        <f t="array" ref="A1726">IF(C1726&lt;&gt;0,INDEX(CodEquipos,MATCH(C1726,Equipos,0),),)</f>
        <v>0</v>
      </c>
      <c r="B1726" s="399"/>
      <c r="C1726" s="1128"/>
      <c r="D1726" s="940"/>
      <c r="E1726" s="940"/>
      <c r="F1726" s="941"/>
      <c r="G1726" s="1142"/>
      <c r="H1726" s="941"/>
      <c r="I1726" s="1142"/>
      <c r="J1726" s="941"/>
      <c r="K1726" s="432" t="str">
        <f>IF($A1726&gt;0,(VLOOKUP($A1726,TablaEquipos,7,FALSE)),"")</f>
        <v/>
      </c>
      <c r="L1726" s="1146"/>
      <c r="M1726" s="941"/>
      <c r="N1726" s="430" t="str">
        <f t="shared" si="132"/>
        <v/>
      </c>
      <c r="O1726" s="362"/>
    </row>
    <row r="1727" spans="1:15" ht="15.75" customHeight="1">
      <c r="A1727" s="395">
        <f t="array" ref="A1727">IF(C1727&lt;&gt;0,INDEX(CodEquipos,MATCH(C1727,Equipos,0),),)</f>
        <v>0</v>
      </c>
      <c r="B1727" s="399"/>
      <c r="C1727" s="1128"/>
      <c r="D1727" s="940"/>
      <c r="E1727" s="940"/>
      <c r="F1727" s="941"/>
      <c r="G1727" s="1142"/>
      <c r="H1727" s="941"/>
      <c r="I1727" s="1142"/>
      <c r="J1727" s="941"/>
      <c r="K1727" s="432" t="str">
        <f>IF($A1727&gt;0,(VLOOKUP($A1727,TablaEquipos,7,FALSE)),"")</f>
        <v/>
      </c>
      <c r="L1727" s="1146"/>
      <c r="M1727" s="941"/>
      <c r="N1727" s="430" t="str">
        <f t="shared" si="132"/>
        <v/>
      </c>
      <c r="O1727" s="362"/>
    </row>
    <row r="1728" spans="1:15" ht="15.75" customHeight="1">
      <c r="A1728" s="395">
        <f t="array" ref="A1728">IF(C1728&lt;&gt;0,INDEX(CodEquipos,MATCH(C1728,Equipos,0),),)</f>
        <v>0</v>
      </c>
      <c r="B1728" s="399"/>
      <c r="C1728" s="1128"/>
      <c r="D1728" s="940"/>
      <c r="E1728" s="940"/>
      <c r="F1728" s="941"/>
      <c r="G1728" s="1142"/>
      <c r="H1728" s="941"/>
      <c r="I1728" s="1142"/>
      <c r="J1728" s="941"/>
      <c r="K1728" s="432" t="str">
        <f>IF($A1728&gt;0,(VLOOKUP($A1728,TablaEquipos,7,FALSE)),"")</f>
        <v/>
      </c>
      <c r="L1728" s="1141"/>
      <c r="M1728" s="941"/>
      <c r="N1728" s="430" t="str">
        <f t="shared" si="132"/>
        <v/>
      </c>
      <c r="O1728" s="362"/>
    </row>
    <row r="1729" spans="1:17" ht="15.75" customHeight="1">
      <c r="A1729" s="395">
        <f t="array" ref="A1729">IF(C1729&lt;&gt;0,INDEX(CodEquipos,MATCH(C1729,Equipos,0),),)</f>
        <v>0</v>
      </c>
      <c r="B1729" s="399"/>
      <c r="C1729" s="1128"/>
      <c r="D1729" s="940"/>
      <c r="E1729" s="940"/>
      <c r="F1729" s="941"/>
      <c r="G1729" s="1144"/>
      <c r="H1729" s="1145"/>
      <c r="I1729" s="1144"/>
      <c r="J1729" s="1145"/>
      <c r="K1729" s="432" t="str">
        <f>IF($A1729&gt;0,(VLOOKUP($A1729,TablaEquipos,7,FALSE)),"")</f>
        <v/>
      </c>
      <c r="L1729" s="1208"/>
      <c r="M1729" s="1145"/>
      <c r="N1729" s="430" t="str">
        <f t="shared" si="132"/>
        <v/>
      </c>
      <c r="O1729" s="362"/>
    </row>
    <row r="1730" spans="1:17" ht="15.75" customHeight="1">
      <c r="A1730" s="395"/>
      <c r="B1730" s="399"/>
      <c r="C1730" s="1127" t="s">
        <v>1202</v>
      </c>
      <c r="D1730" s="965"/>
      <c r="E1730" s="965"/>
      <c r="F1730" s="965"/>
      <c r="G1730" s="965"/>
      <c r="H1730" s="965"/>
      <c r="I1730" s="965"/>
      <c r="J1730" s="965"/>
      <c r="K1730" s="965"/>
      <c r="L1730" s="965"/>
      <c r="M1730" s="966"/>
      <c r="N1730" s="433">
        <f>+SUM(N1724:N1729)</f>
        <v>2057.826601940646</v>
      </c>
      <c r="O1730" s="362"/>
    </row>
    <row r="1731" spans="1:17" ht="15.75" customHeight="1">
      <c r="A1731" s="395"/>
      <c r="B1731" s="399"/>
      <c r="C1731" s="1129" t="s">
        <v>1203</v>
      </c>
      <c r="D1731" s="926"/>
      <c r="E1731" s="926"/>
      <c r="F1731" s="926"/>
      <c r="G1731" s="926"/>
      <c r="H1731" s="926"/>
      <c r="I1731" s="926"/>
      <c r="J1731" s="926"/>
      <c r="K1731" s="926"/>
      <c r="L1731" s="926"/>
      <c r="M1731" s="926"/>
      <c r="N1731" s="927"/>
      <c r="O1731" s="362"/>
    </row>
    <row r="1732" spans="1:17" ht="15.75" customHeight="1">
      <c r="A1732" s="395"/>
      <c r="B1732" s="399"/>
      <c r="C1732" s="920"/>
      <c r="D1732" s="922"/>
      <c r="E1732" s="922"/>
      <c r="F1732" s="922"/>
      <c r="G1732" s="922"/>
      <c r="H1732" s="922"/>
      <c r="I1732" s="922"/>
      <c r="J1732" s="922"/>
      <c r="K1732" s="922"/>
      <c r="L1732" s="922"/>
      <c r="M1732" s="922"/>
      <c r="N1732" s="924"/>
      <c r="O1732" s="362"/>
    </row>
    <row r="1733" spans="1:17" ht="15.75" customHeight="1">
      <c r="A1733" s="395"/>
      <c r="B1733" s="399"/>
      <c r="C1733" s="929"/>
      <c r="D1733" s="936"/>
      <c r="E1733" s="936"/>
      <c r="F1733" s="936"/>
      <c r="G1733" s="936"/>
      <c r="H1733" s="936"/>
      <c r="I1733" s="936"/>
      <c r="J1733" s="936"/>
      <c r="K1733" s="936"/>
      <c r="L1733" s="936"/>
      <c r="M1733" s="936"/>
      <c r="N1733" s="938"/>
      <c r="O1733" s="362"/>
    </row>
    <row r="1734" spans="1:17" ht="15.75" customHeight="1">
      <c r="A1734" s="395"/>
      <c r="B1734" s="399"/>
      <c r="C1734" s="1201" t="s">
        <v>17</v>
      </c>
      <c r="D1734" s="1131"/>
      <c r="E1734" s="1131"/>
      <c r="F1734" s="1131"/>
      <c r="G1734" s="1131"/>
      <c r="H1734" s="1131"/>
      <c r="I1734" s="1000"/>
      <c r="J1734" s="672" t="s">
        <v>1192</v>
      </c>
      <c r="K1734" s="670" t="s">
        <v>950</v>
      </c>
      <c r="L1734" s="1204" t="s">
        <v>1204</v>
      </c>
      <c r="M1734" s="1000"/>
      <c r="N1734" s="671" t="s">
        <v>1200</v>
      </c>
      <c r="O1734" s="362"/>
    </row>
    <row r="1735" spans="1:17" ht="15.75" customHeight="1">
      <c r="A1735" s="395" t="str">
        <f t="array" ref="A1735">IF(C1735&lt;&gt;0,INDEX(CodMat,MATCH(C1735,Materiales,0),),)</f>
        <v>MAT_C-70</v>
      </c>
      <c r="B1735" s="399"/>
      <c r="C1735" s="1128" t="s">
        <v>2521</v>
      </c>
      <c r="D1735" s="940"/>
      <c r="E1735" s="940"/>
      <c r="F1735" s="940"/>
      <c r="G1735" s="940"/>
      <c r="H1735" s="940"/>
      <c r="I1735" s="941"/>
      <c r="J1735" s="435" t="str">
        <f t="shared" ref="J1735:J1742" si="133">IF($A1735&gt;0,(VLOOKUP($A1735,TablaInsumos,5,FALSE)),"")</f>
        <v>M2</v>
      </c>
      <c r="K1735" s="673">
        <v>1.05</v>
      </c>
      <c r="L1735" s="1134">
        <f t="shared" ref="L1735:L1742" si="134">IF($A1735&gt;0,(VLOOKUP($A1735,TablaInsumos,7,FALSE)),"")</f>
        <v>7100</v>
      </c>
      <c r="M1735" s="941"/>
      <c r="N1735" s="430">
        <f t="shared" ref="N1735:N1742" si="135">IF(K1735&gt;0,L1735*K1735,"")</f>
        <v>7455</v>
      </c>
      <c r="O1735" s="362"/>
    </row>
    <row r="1736" spans="1:17" ht="15.75" customHeight="1">
      <c r="A1736" s="395" t="str">
        <f t="array" ref="A1736">IF(C1736&lt;&gt;0,INDEX(CodMat,MATCH(C1736,Materiales,0),),)</f>
        <v>MAT_C-71</v>
      </c>
      <c r="B1736" s="399"/>
      <c r="C1736" s="1128" t="s">
        <v>1420</v>
      </c>
      <c r="D1736" s="940"/>
      <c r="E1736" s="940"/>
      <c r="F1736" s="940"/>
      <c r="G1736" s="940"/>
      <c r="H1736" s="940"/>
      <c r="I1736" s="941"/>
      <c r="J1736" s="435" t="str">
        <f t="shared" si="133"/>
        <v>UND</v>
      </c>
      <c r="K1736" s="673">
        <v>10</v>
      </c>
      <c r="L1736" s="1134">
        <f t="shared" si="134"/>
        <v>250</v>
      </c>
      <c r="M1736" s="941"/>
      <c r="N1736" s="430">
        <f t="shared" si="135"/>
        <v>2500</v>
      </c>
      <c r="O1736" s="362"/>
      <c r="Q1736" s="688"/>
    </row>
    <row r="1737" spans="1:17" ht="15.75" customHeight="1">
      <c r="A1737" s="395" t="str">
        <f t="array" ref="A1737">IF(C1737&lt;&gt;0,INDEX(CodMat,MATCH(C1737,Materiales,0),),)</f>
        <v>MAT_C-30</v>
      </c>
      <c r="B1737" s="399"/>
      <c r="C1737" s="1128" t="s">
        <v>2522</v>
      </c>
      <c r="D1737" s="940"/>
      <c r="E1737" s="940"/>
      <c r="F1737" s="940"/>
      <c r="G1737" s="940"/>
      <c r="H1737" s="940"/>
      <c r="I1737" s="941"/>
      <c r="J1737" s="435" t="str">
        <f t="shared" si="133"/>
        <v>LIBR</v>
      </c>
      <c r="K1737" s="673">
        <v>0.15</v>
      </c>
      <c r="L1737" s="1134">
        <f t="shared" si="134"/>
        <v>4550</v>
      </c>
      <c r="M1737" s="941"/>
      <c r="N1737" s="430">
        <f t="shared" si="135"/>
        <v>682.5</v>
      </c>
      <c r="O1737" s="362"/>
      <c r="Q1737" s="687"/>
    </row>
    <row r="1738" spans="1:17" ht="15.75" customHeight="1">
      <c r="A1738" s="395">
        <f t="array" ref="A1738">IF(C1738&lt;&gt;0,INDEX(CodMat,MATCH(C1738,Materiales,0),),)</f>
        <v>0</v>
      </c>
      <c r="B1738" s="399"/>
      <c r="C1738" s="1128"/>
      <c r="D1738" s="940"/>
      <c r="E1738" s="940"/>
      <c r="F1738" s="940"/>
      <c r="G1738" s="940"/>
      <c r="H1738" s="940"/>
      <c r="I1738" s="941"/>
      <c r="J1738" s="435" t="str">
        <f t="shared" si="133"/>
        <v/>
      </c>
      <c r="K1738" s="673"/>
      <c r="L1738" s="1134" t="str">
        <f t="shared" si="134"/>
        <v/>
      </c>
      <c r="M1738" s="941"/>
      <c r="N1738" s="430" t="str">
        <f t="shared" si="135"/>
        <v/>
      </c>
      <c r="O1738" s="362"/>
      <c r="Q1738" s="688"/>
    </row>
    <row r="1739" spans="1:17" ht="15.75" customHeight="1">
      <c r="A1739" s="395">
        <f t="array" ref="A1739">IF(C1739&lt;&gt;0,INDEX(CodMat,MATCH(C1739,Materiales,0),),)</f>
        <v>0</v>
      </c>
      <c r="B1739" s="399"/>
      <c r="C1739" s="1128"/>
      <c r="D1739" s="940"/>
      <c r="E1739" s="940"/>
      <c r="F1739" s="940"/>
      <c r="G1739" s="940"/>
      <c r="H1739" s="940"/>
      <c r="I1739" s="941"/>
      <c r="J1739" s="435" t="str">
        <f t="shared" si="133"/>
        <v/>
      </c>
      <c r="K1739" s="673"/>
      <c r="L1739" s="1134" t="str">
        <f t="shared" si="134"/>
        <v/>
      </c>
      <c r="M1739" s="941"/>
      <c r="N1739" s="430" t="str">
        <f t="shared" si="135"/>
        <v/>
      </c>
      <c r="O1739" s="362"/>
    </row>
    <row r="1740" spans="1:17" ht="15.75" customHeight="1">
      <c r="A1740" s="395">
        <f t="array" ref="A1740">IF(C1740&lt;&gt;0,INDEX(CodMat,MATCH(C1740,Materiales,0),),)</f>
        <v>0</v>
      </c>
      <c r="B1740" s="399"/>
      <c r="C1740" s="1128"/>
      <c r="D1740" s="940"/>
      <c r="E1740" s="940"/>
      <c r="F1740" s="940"/>
      <c r="G1740" s="940"/>
      <c r="H1740" s="940"/>
      <c r="I1740" s="941"/>
      <c r="J1740" s="435" t="str">
        <f t="shared" si="133"/>
        <v/>
      </c>
      <c r="K1740" s="673"/>
      <c r="L1740" s="1134" t="str">
        <f t="shared" si="134"/>
        <v/>
      </c>
      <c r="M1740" s="941"/>
      <c r="N1740" s="430" t="str">
        <f t="shared" si="135"/>
        <v/>
      </c>
      <c r="O1740" s="362"/>
    </row>
    <row r="1741" spans="1:17" ht="15.75" customHeight="1">
      <c r="A1741" s="395">
        <f t="array" ref="A1741">IF(C1741&lt;&gt;0,INDEX(CodMat,MATCH(C1741,Materiales,0),),)</f>
        <v>0</v>
      </c>
      <c r="B1741" s="399"/>
      <c r="C1741" s="1128"/>
      <c r="D1741" s="940"/>
      <c r="E1741" s="940"/>
      <c r="F1741" s="940"/>
      <c r="G1741" s="940"/>
      <c r="H1741" s="940"/>
      <c r="I1741" s="941"/>
      <c r="J1741" s="435" t="str">
        <f t="shared" si="133"/>
        <v/>
      </c>
      <c r="K1741" s="673"/>
      <c r="L1741" s="1134" t="str">
        <f t="shared" si="134"/>
        <v/>
      </c>
      <c r="M1741" s="941"/>
      <c r="N1741" s="430" t="str">
        <f t="shared" si="135"/>
        <v/>
      </c>
      <c r="O1741" s="362"/>
    </row>
    <row r="1742" spans="1:17" ht="15.75" customHeight="1">
      <c r="A1742" s="395">
        <f t="array" ref="A1742">IF(C1742&lt;&gt;0,INDEX(CodMat,MATCH(C1742,Materiales,0),),)</f>
        <v>0</v>
      </c>
      <c r="B1742" s="399"/>
      <c r="C1742" s="1128"/>
      <c r="D1742" s="940"/>
      <c r="E1742" s="940"/>
      <c r="F1742" s="940"/>
      <c r="G1742" s="940"/>
      <c r="H1742" s="940"/>
      <c r="I1742" s="941"/>
      <c r="J1742" s="435" t="str">
        <f t="shared" si="133"/>
        <v/>
      </c>
      <c r="K1742" s="673"/>
      <c r="L1742" s="1205" t="str">
        <f t="shared" si="134"/>
        <v/>
      </c>
      <c r="M1742" s="1145"/>
      <c r="N1742" s="430" t="str">
        <f t="shared" si="135"/>
        <v/>
      </c>
      <c r="O1742" s="362"/>
    </row>
    <row r="1743" spans="1:17" ht="15.75" customHeight="1">
      <c r="A1743" s="395"/>
      <c r="B1743" s="399"/>
      <c r="C1743" s="1127" t="s">
        <v>1202</v>
      </c>
      <c r="D1743" s="965"/>
      <c r="E1743" s="965"/>
      <c r="F1743" s="965"/>
      <c r="G1743" s="965"/>
      <c r="H1743" s="965"/>
      <c r="I1743" s="965"/>
      <c r="J1743" s="965"/>
      <c r="K1743" s="965"/>
      <c r="L1743" s="965"/>
      <c r="M1743" s="966"/>
      <c r="N1743" s="433">
        <f>+SUM(N1735:N1742)</f>
        <v>10637.5</v>
      </c>
      <c r="O1743" s="362"/>
    </row>
    <row r="1744" spans="1:17" ht="15.75" customHeight="1">
      <c r="A1744" s="395"/>
      <c r="B1744" s="399"/>
      <c r="C1744" s="1129" t="s">
        <v>1208</v>
      </c>
      <c r="D1744" s="926"/>
      <c r="E1744" s="926"/>
      <c r="F1744" s="926"/>
      <c r="G1744" s="926"/>
      <c r="H1744" s="926"/>
      <c r="I1744" s="926"/>
      <c r="J1744" s="926"/>
      <c r="K1744" s="926"/>
      <c r="L1744" s="926"/>
      <c r="M1744" s="926"/>
      <c r="N1744" s="927"/>
      <c r="O1744" s="362"/>
    </row>
    <row r="1745" spans="1:15" ht="15.75" customHeight="1">
      <c r="A1745" s="395"/>
      <c r="B1745" s="399"/>
      <c r="C1745" s="920"/>
      <c r="D1745" s="922"/>
      <c r="E1745" s="922"/>
      <c r="F1745" s="922"/>
      <c r="G1745" s="922"/>
      <c r="H1745" s="922"/>
      <c r="I1745" s="922"/>
      <c r="J1745" s="922"/>
      <c r="K1745" s="922"/>
      <c r="L1745" s="922"/>
      <c r="M1745" s="922"/>
      <c r="N1745" s="924"/>
      <c r="O1745" s="362"/>
    </row>
    <row r="1746" spans="1:15" ht="15.75" customHeight="1">
      <c r="A1746" s="395"/>
      <c r="B1746" s="399"/>
      <c r="C1746" s="929"/>
      <c r="D1746" s="936"/>
      <c r="E1746" s="936"/>
      <c r="F1746" s="936"/>
      <c r="G1746" s="936"/>
      <c r="H1746" s="936"/>
      <c r="I1746" s="936"/>
      <c r="J1746" s="936"/>
      <c r="K1746" s="936"/>
      <c r="L1746" s="936"/>
      <c r="M1746" s="936"/>
      <c r="N1746" s="938"/>
      <c r="O1746" s="362"/>
    </row>
    <row r="1747" spans="1:15" ht="15.75" customHeight="1">
      <c r="A1747" s="395"/>
      <c r="B1747" s="399"/>
      <c r="C1747" s="1201" t="s">
        <v>1209</v>
      </c>
      <c r="D1747" s="1131"/>
      <c r="E1747" s="1131"/>
      <c r="F1747" s="1131"/>
      <c r="G1747" s="1131"/>
      <c r="H1747" s="1000"/>
      <c r="I1747" s="670" t="s">
        <v>1210</v>
      </c>
      <c r="J1747" s="674" t="s">
        <v>1211</v>
      </c>
      <c r="K1747" s="675" t="s">
        <v>2318</v>
      </c>
      <c r="L1747" s="1204" t="s">
        <v>1213</v>
      </c>
      <c r="M1747" s="1000"/>
      <c r="N1747" s="671" t="s">
        <v>1200</v>
      </c>
      <c r="O1747" s="362"/>
    </row>
    <row r="1748" spans="1:15" ht="15.75" customHeight="1">
      <c r="A1748" s="395">
        <f t="array" ref="A1748">IF(C1748&lt;&gt;0,INDEX(CodTransporte,MATCH(C1748,Transporte,0),),)</f>
        <v>0</v>
      </c>
      <c r="B1748" s="399"/>
      <c r="C1748" s="1128"/>
      <c r="D1748" s="940"/>
      <c r="E1748" s="940"/>
      <c r="F1748" s="940"/>
      <c r="G1748" s="940"/>
      <c r="H1748" s="940"/>
      <c r="I1748" s="440"/>
      <c r="J1748" s="441" t="str">
        <f>IF($A1748&gt;0,(VLOOKUP($A1748,TablaTransporte,6,FALSE)),"")</f>
        <v/>
      </c>
      <c r="K1748" s="442" t="str">
        <f>IF($A1748&gt;0,(VLOOKUP($A1748,TablaTransporte,5,FALSE)),"")</f>
        <v/>
      </c>
      <c r="L1748" s="1134" t="str">
        <f>IF($A1748&gt;0,(VLOOKUP($A1748,TablaTransporte,7,FALSE)),"")</f>
        <v/>
      </c>
      <c r="M1748" s="941"/>
      <c r="N1748" s="430" t="str">
        <f t="shared" ref="N1748:N1752" si="136">IF(I1748&gt;0,J1748*L1748*I1748,"")</f>
        <v/>
      </c>
      <c r="O1748" s="362"/>
    </row>
    <row r="1749" spans="1:15" ht="15.75" customHeight="1">
      <c r="A1749" s="395">
        <f t="array" ref="A1749">IF(C1749&lt;&gt;0,INDEX(CodTransporte,MATCH(C1749,Transporte,0),),)</f>
        <v>0</v>
      </c>
      <c r="B1749" s="399"/>
      <c r="C1749" s="1128"/>
      <c r="D1749" s="940"/>
      <c r="E1749" s="940"/>
      <c r="F1749" s="940"/>
      <c r="G1749" s="940"/>
      <c r="H1749" s="940"/>
      <c r="I1749" s="440"/>
      <c r="J1749" s="441" t="str">
        <f>IF($A1749&gt;0,(VLOOKUP($A1749,TablaTransporte,6,FALSE)),"")</f>
        <v/>
      </c>
      <c r="K1749" s="442" t="str">
        <f>IF($A1749&gt;0,(VLOOKUP($A1749,TablaTransporte,5,FALSE)),"")</f>
        <v/>
      </c>
      <c r="L1749" s="1134" t="str">
        <f>IF($A1749&gt;0,(VLOOKUP($A1749,TablaTransporte,7,FALSE)),"")</f>
        <v/>
      </c>
      <c r="M1749" s="941"/>
      <c r="N1749" s="430" t="str">
        <f t="shared" si="136"/>
        <v/>
      </c>
      <c r="O1749" s="362"/>
    </row>
    <row r="1750" spans="1:15" ht="15.75" customHeight="1">
      <c r="A1750" s="395">
        <f t="array" ref="A1750">IF(C1750&lt;&gt;0,INDEX(CodTransporte,MATCH(C1750,Transporte,0),),)</f>
        <v>0</v>
      </c>
      <c r="B1750" s="399"/>
      <c r="C1750" s="1128"/>
      <c r="D1750" s="940"/>
      <c r="E1750" s="940"/>
      <c r="F1750" s="940"/>
      <c r="G1750" s="940"/>
      <c r="H1750" s="940"/>
      <c r="I1750" s="440"/>
      <c r="J1750" s="441" t="str">
        <f>IF($A1750&gt;0,(VLOOKUP($A1750,TablaTransporte,6,FALSE)),"")</f>
        <v/>
      </c>
      <c r="K1750" s="442" t="str">
        <f>IF($A1750&gt;0,(VLOOKUP($A1750,TablaTransporte,5,FALSE)),"")</f>
        <v/>
      </c>
      <c r="L1750" s="1134" t="str">
        <f>IF($A1750&gt;0,(VLOOKUP($A1750,TablaTransporte,7,FALSE)),"")</f>
        <v/>
      </c>
      <c r="M1750" s="941"/>
      <c r="N1750" s="430" t="str">
        <f t="shared" si="136"/>
        <v/>
      </c>
      <c r="O1750" s="362"/>
    </row>
    <row r="1751" spans="1:15" ht="15.75" customHeight="1">
      <c r="A1751" s="395">
        <f t="array" ref="A1751">IF(C1751&lt;&gt;0,INDEX(CodTransporte,MATCH(C1751,Transporte,0),),)</f>
        <v>0</v>
      </c>
      <c r="B1751" s="399"/>
      <c r="C1751" s="1128"/>
      <c r="D1751" s="940"/>
      <c r="E1751" s="940"/>
      <c r="F1751" s="940"/>
      <c r="G1751" s="940"/>
      <c r="H1751" s="940"/>
      <c r="I1751" s="440"/>
      <c r="J1751" s="441" t="str">
        <f>IF($A1751&gt;0,(VLOOKUP($A1751,TablaTransporte,6,FALSE)),"")</f>
        <v/>
      </c>
      <c r="K1751" s="442" t="str">
        <f>IF($A1751&gt;0,(VLOOKUP($A1751,TablaTransporte,5,FALSE)),"")</f>
        <v/>
      </c>
      <c r="L1751" s="1134" t="str">
        <f>IF($A1751&gt;0,(VLOOKUP($A1751,TablaTransporte,7,FALSE)),"")</f>
        <v/>
      </c>
      <c r="M1751" s="941"/>
      <c r="N1751" s="430" t="str">
        <f t="shared" si="136"/>
        <v/>
      </c>
      <c r="O1751" s="362"/>
    </row>
    <row r="1752" spans="1:15" ht="15.75" customHeight="1">
      <c r="A1752" s="395">
        <f t="array" ref="A1752">IF(C1752&lt;&gt;0,INDEX(CodTransporte,MATCH(C1752,Transporte,0),),)</f>
        <v>0</v>
      </c>
      <c r="B1752" s="399"/>
      <c r="C1752" s="1128"/>
      <c r="D1752" s="940"/>
      <c r="E1752" s="940"/>
      <c r="F1752" s="940"/>
      <c r="G1752" s="940"/>
      <c r="H1752" s="940"/>
      <c r="I1752" s="440"/>
      <c r="J1752" s="441" t="str">
        <f>IF($A1752&gt;0,(VLOOKUP($A1752,TablaTransporte,6,FALSE)),"")</f>
        <v/>
      </c>
      <c r="K1752" s="442" t="str">
        <f>IF($A1752&gt;0,(VLOOKUP($A1752,TablaTransporte,5,FALSE)),"")</f>
        <v/>
      </c>
      <c r="L1752" s="1205" t="str">
        <f>IF($A1752&gt;0,(VLOOKUP($A1752,TablaTransporte,7,FALSE)),"")</f>
        <v/>
      </c>
      <c r="M1752" s="1145"/>
      <c r="N1752" s="430" t="str">
        <f t="shared" si="136"/>
        <v/>
      </c>
      <c r="O1752" s="362"/>
    </row>
    <row r="1753" spans="1:15" ht="15.75" customHeight="1">
      <c r="A1753" s="395"/>
      <c r="B1753" s="399"/>
      <c r="C1753" s="1127" t="s">
        <v>1202</v>
      </c>
      <c r="D1753" s="965"/>
      <c r="E1753" s="965"/>
      <c r="F1753" s="965"/>
      <c r="G1753" s="965"/>
      <c r="H1753" s="965"/>
      <c r="I1753" s="965"/>
      <c r="J1753" s="965"/>
      <c r="K1753" s="965"/>
      <c r="L1753" s="965"/>
      <c r="M1753" s="966"/>
      <c r="N1753" s="433">
        <f>+SUM(N1748:N1752)</f>
        <v>0</v>
      </c>
      <c r="O1753" s="362"/>
    </row>
    <row r="1754" spans="1:15" ht="15.75" customHeight="1">
      <c r="A1754" s="395"/>
      <c r="B1754" s="399"/>
      <c r="C1754" s="1129" t="s">
        <v>1214</v>
      </c>
      <c r="D1754" s="926"/>
      <c r="E1754" s="926"/>
      <c r="F1754" s="926"/>
      <c r="G1754" s="926"/>
      <c r="H1754" s="926"/>
      <c r="I1754" s="926"/>
      <c r="J1754" s="926"/>
      <c r="K1754" s="926"/>
      <c r="L1754" s="926"/>
      <c r="M1754" s="926"/>
      <c r="N1754" s="927"/>
      <c r="O1754" s="362"/>
    </row>
    <row r="1755" spans="1:15" ht="15.75" customHeight="1">
      <c r="A1755" s="395"/>
      <c r="B1755" s="399"/>
      <c r="C1755" s="920"/>
      <c r="D1755" s="922"/>
      <c r="E1755" s="922"/>
      <c r="F1755" s="922"/>
      <c r="G1755" s="922"/>
      <c r="H1755" s="922"/>
      <c r="I1755" s="922"/>
      <c r="J1755" s="922"/>
      <c r="K1755" s="922"/>
      <c r="L1755" s="922"/>
      <c r="M1755" s="922"/>
      <c r="N1755" s="924"/>
      <c r="O1755" s="362"/>
    </row>
    <row r="1756" spans="1:15" ht="15.75" customHeight="1">
      <c r="A1756" s="395"/>
      <c r="B1756" s="399"/>
      <c r="C1756" s="929"/>
      <c r="D1756" s="936"/>
      <c r="E1756" s="936"/>
      <c r="F1756" s="936"/>
      <c r="G1756" s="936"/>
      <c r="H1756" s="936"/>
      <c r="I1756" s="936"/>
      <c r="J1756" s="936"/>
      <c r="K1756" s="936"/>
      <c r="L1756" s="936"/>
      <c r="M1756" s="936"/>
      <c r="N1756" s="938"/>
      <c r="O1756" s="362"/>
    </row>
    <row r="1757" spans="1:15" ht="15.75" customHeight="1">
      <c r="A1757" s="395"/>
      <c r="B1757" s="399"/>
      <c r="C1757" s="1201" t="s">
        <v>1215</v>
      </c>
      <c r="D1757" s="1131"/>
      <c r="E1757" s="1131"/>
      <c r="F1757" s="1131"/>
      <c r="G1757" s="1131"/>
      <c r="H1757" s="1000"/>
      <c r="I1757" s="670" t="s">
        <v>1216</v>
      </c>
      <c r="J1757" s="676" t="s">
        <v>1217</v>
      </c>
      <c r="K1757" s="677" t="s">
        <v>1218</v>
      </c>
      <c r="L1757" s="1206" t="s">
        <v>1199</v>
      </c>
      <c r="M1757" s="1000"/>
      <c r="N1757" s="678" t="s">
        <v>1200</v>
      </c>
      <c r="O1757" s="362"/>
    </row>
    <row r="1758" spans="1:15" ht="15.75" customHeight="1">
      <c r="A1758" s="395" t="str">
        <f t="array" ref="A1758">IF(C1758&lt;&gt;0,INDEX(CodMO,MATCH(C1758,MO,0),),)</f>
        <v>M.O-05</v>
      </c>
      <c r="B1758" s="399"/>
      <c r="C1758" s="1128" t="s">
        <v>139</v>
      </c>
      <c r="D1758" s="940"/>
      <c r="E1758" s="940"/>
      <c r="F1758" s="940"/>
      <c r="G1758" s="940"/>
      <c r="H1758" s="940"/>
      <c r="I1758" s="447">
        <f>IF($A1758&gt;0,(VLOOKUP($A1758,TablaMO,8,FALSE)),"")</f>
        <v>125030.16666666667</v>
      </c>
      <c r="J1758" s="448">
        <f>IF($A1758&gt;0,(VLOOKUP($A1758,TablaMO,10,FALSE)),"")</f>
        <v>0.67071666666666663</v>
      </c>
      <c r="K1758" s="447">
        <f>IF($A1758&gt;0,(VLOOKUP($A1758,TablaMO,11,FALSE)),"")</f>
        <v>208890</v>
      </c>
      <c r="L1758" s="1146">
        <v>9.6224433979647479</v>
      </c>
      <c r="M1758" s="941"/>
      <c r="N1758" s="430">
        <f t="shared" ref="N1758:N1762" si="137">IF(L1758&gt;0,K1758/L1758,"")</f>
        <v>21708.623408913219</v>
      </c>
      <c r="O1758" s="362"/>
    </row>
    <row r="1759" spans="1:15" ht="15.75" customHeight="1">
      <c r="A1759" s="395" t="str">
        <f t="array" ref="A1759">IF(C1759&lt;&gt;0,INDEX(CodMO,MATCH(C1759,MO,0),),)</f>
        <v>M.O-01</v>
      </c>
      <c r="B1759" s="399"/>
      <c r="C1759" s="1128" t="s">
        <v>130</v>
      </c>
      <c r="D1759" s="940"/>
      <c r="E1759" s="940"/>
      <c r="F1759" s="940"/>
      <c r="G1759" s="940"/>
      <c r="H1759" s="940"/>
      <c r="I1759" s="447">
        <f>IF($A1759&gt;0,(VLOOKUP($A1759,TablaMO,8,FALSE)),"")</f>
        <v>72503.016666666677</v>
      </c>
      <c r="J1759" s="448">
        <f>IF($A1759&gt;0,(VLOOKUP($A1759,TablaMO,10,FALSE)),"")</f>
        <v>0.67071666666666663</v>
      </c>
      <c r="K1759" s="447">
        <f>IF($A1759&gt;0,(VLOOKUP($A1759,TablaMO,11,FALSE)),"")</f>
        <v>121132</v>
      </c>
      <c r="L1759" s="1146">
        <f>L1758</f>
        <v>9.6224433979647479</v>
      </c>
      <c r="M1759" s="941"/>
      <c r="N1759" s="430">
        <f t="shared" si="137"/>
        <v>12588.486623430879</v>
      </c>
      <c r="O1759" s="362"/>
    </row>
    <row r="1760" spans="1:15" ht="15.75" customHeight="1">
      <c r="A1760" s="395">
        <f t="array" ref="A1760">IF(C1760&lt;&gt;0,INDEX(CodMO,MATCH(C1760,MO,0),),)</f>
        <v>0</v>
      </c>
      <c r="B1760" s="399"/>
      <c r="C1760" s="1128"/>
      <c r="D1760" s="940"/>
      <c r="E1760" s="940"/>
      <c r="F1760" s="940"/>
      <c r="G1760" s="940"/>
      <c r="H1760" s="940"/>
      <c r="I1760" s="447" t="str">
        <f>IF($A1760&gt;0,(VLOOKUP($A1760,TablaMO,8,FALSE)),"")</f>
        <v/>
      </c>
      <c r="J1760" s="448" t="str">
        <f>IF($A1760&gt;0,(VLOOKUP($A1760,TablaMO,10,FALSE)),"")</f>
        <v/>
      </c>
      <c r="K1760" s="447" t="str">
        <f>IF($A1760&gt;0,(VLOOKUP($A1760,TablaMO,11,FALSE)),"")</f>
        <v/>
      </c>
      <c r="L1760" s="1146"/>
      <c r="M1760" s="941"/>
      <c r="N1760" s="430" t="str">
        <f t="shared" si="137"/>
        <v/>
      </c>
      <c r="O1760" s="362"/>
    </row>
    <row r="1761" spans="1:18" ht="15.75" customHeight="1">
      <c r="A1761" s="395">
        <f t="array" ref="A1761">IF(C1761&lt;&gt;0,INDEX(CodMO,MATCH(C1761,MO,0),),)</f>
        <v>0</v>
      </c>
      <c r="B1761" s="399"/>
      <c r="C1761" s="1128"/>
      <c r="D1761" s="940"/>
      <c r="E1761" s="940"/>
      <c r="F1761" s="940"/>
      <c r="G1761" s="940"/>
      <c r="H1761" s="940"/>
      <c r="I1761" s="447" t="str">
        <f>IF($A1761&gt;0,(VLOOKUP($A1761,TablaMO,8,FALSE)),"")</f>
        <v/>
      </c>
      <c r="J1761" s="448" t="str">
        <f>IF($A1761&gt;0,(VLOOKUP($A1761,TablaMO,10,FALSE)),"")</f>
        <v/>
      </c>
      <c r="K1761" s="447" t="str">
        <f>IF($A1761&gt;0,(VLOOKUP($A1761,TablaMO,11,FALSE)),"")</f>
        <v/>
      </c>
      <c r="L1761" s="1146"/>
      <c r="M1761" s="941"/>
      <c r="N1761" s="430" t="str">
        <f t="shared" si="137"/>
        <v/>
      </c>
      <c r="O1761" s="362"/>
    </row>
    <row r="1762" spans="1:18" ht="15.75" customHeight="1">
      <c r="A1762" s="395">
        <f t="array" ref="A1762">IF(C1762&lt;&gt;0,INDEX(CodMO,MATCH(C1762,MO,0),),)</f>
        <v>0</v>
      </c>
      <c r="B1762" s="399"/>
      <c r="C1762" s="1128"/>
      <c r="D1762" s="940"/>
      <c r="E1762" s="940"/>
      <c r="F1762" s="940"/>
      <c r="G1762" s="940"/>
      <c r="H1762" s="940"/>
      <c r="I1762" s="447" t="str">
        <f>IF($A1762&gt;0,(VLOOKUP($A1762,TablaMO,8,FALSE)),"")</f>
        <v/>
      </c>
      <c r="J1762" s="448" t="str">
        <f>IF($A1762&gt;0,(VLOOKUP($A1762,TablaMO,10,FALSE)),"")</f>
        <v/>
      </c>
      <c r="K1762" s="447" t="str">
        <f>IF($A1762&gt;0,(VLOOKUP($A1762,TablaMO,11,FALSE)),"")</f>
        <v/>
      </c>
      <c r="L1762" s="1146"/>
      <c r="M1762" s="941"/>
      <c r="N1762" s="430" t="str">
        <f t="shared" si="137"/>
        <v/>
      </c>
      <c r="O1762" s="362"/>
    </row>
    <row r="1763" spans="1:18" ht="15.75" customHeight="1">
      <c r="A1763" s="395"/>
      <c r="B1763" s="399"/>
      <c r="C1763" s="1127" t="s">
        <v>1202</v>
      </c>
      <c r="D1763" s="965"/>
      <c r="E1763" s="965"/>
      <c r="F1763" s="965"/>
      <c r="G1763" s="965"/>
      <c r="H1763" s="965"/>
      <c r="I1763" s="965"/>
      <c r="J1763" s="965"/>
      <c r="K1763" s="965"/>
      <c r="L1763" s="965"/>
      <c r="M1763" s="966"/>
      <c r="N1763" s="433">
        <f>+SUM(N1758:N1762)</f>
        <v>34297.110032344099</v>
      </c>
      <c r="O1763" s="362"/>
    </row>
    <row r="1764" spans="1:18" ht="15.75" customHeight="1">
      <c r="B1764" s="679"/>
      <c r="O1764" s="362"/>
    </row>
    <row r="1765" spans="1:18" ht="15.75" customHeight="1">
      <c r="B1765" s="679"/>
      <c r="C1765" s="1198" t="s">
        <v>1219</v>
      </c>
      <c r="D1765" s="965"/>
      <c r="E1765" s="965"/>
      <c r="F1765" s="965"/>
      <c r="G1765" s="965"/>
      <c r="H1765" s="965"/>
      <c r="I1765" s="965"/>
      <c r="J1765" s="965"/>
      <c r="K1765" s="965"/>
      <c r="L1765" s="965"/>
      <c r="M1765" s="966"/>
      <c r="N1765" s="680">
        <f>ROUND(SUM(N1763,N1753,N1743,N1730),0)</f>
        <v>46992</v>
      </c>
      <c r="O1765" s="362"/>
      <c r="Q1765" s="681">
        <f>VLOOKUP(C1719,PROPUESTASASERCO,8,FALSE)</f>
        <v>46992</v>
      </c>
      <c r="R1765" s="682">
        <f>Q1765-N1765</f>
        <v>0</v>
      </c>
    </row>
    <row r="1766" spans="1:18" ht="15.75" customHeight="1">
      <c r="B1766" s="679"/>
      <c r="C1766" s="1129" t="s">
        <v>1220</v>
      </c>
      <c r="D1766" s="926"/>
      <c r="E1766" s="926"/>
      <c r="F1766" s="926"/>
      <c r="G1766" s="926"/>
      <c r="H1766" s="926"/>
      <c r="I1766" s="926"/>
      <c r="J1766" s="926"/>
      <c r="K1766" s="926"/>
      <c r="L1766" s="926"/>
      <c r="M1766" s="926"/>
      <c r="N1766" s="927"/>
      <c r="O1766" s="362"/>
    </row>
    <row r="1767" spans="1:18" ht="15.75" customHeight="1">
      <c r="B1767" s="679"/>
      <c r="C1767" s="920"/>
      <c r="D1767" s="922"/>
      <c r="E1767" s="922"/>
      <c r="F1767" s="922"/>
      <c r="G1767" s="922"/>
      <c r="H1767" s="922"/>
      <c r="I1767" s="922"/>
      <c r="J1767" s="922"/>
      <c r="K1767" s="922"/>
      <c r="L1767" s="922"/>
      <c r="M1767" s="922"/>
      <c r="N1767" s="924"/>
      <c r="O1767" s="362"/>
    </row>
    <row r="1768" spans="1:18" ht="15.75" customHeight="1">
      <c r="B1768" s="679"/>
      <c r="C1768" s="929"/>
      <c r="D1768" s="936"/>
      <c r="E1768" s="936"/>
      <c r="F1768" s="936"/>
      <c r="G1768" s="936"/>
      <c r="H1768" s="936"/>
      <c r="I1768" s="936"/>
      <c r="J1768" s="936"/>
      <c r="K1768" s="936"/>
      <c r="L1768" s="936"/>
      <c r="M1768" s="936"/>
      <c r="N1768" s="938"/>
      <c r="O1768" s="362"/>
    </row>
    <row r="1769" spans="1:18" ht="15.75" customHeight="1">
      <c r="B1769" s="679"/>
      <c r="C1769" s="1201" t="s">
        <v>1221</v>
      </c>
      <c r="D1769" s="1131"/>
      <c r="E1769" s="1131"/>
      <c r="F1769" s="1131"/>
      <c r="G1769" s="1131"/>
      <c r="H1769" s="1132"/>
      <c r="I1769" s="674"/>
      <c r="J1769" s="674"/>
      <c r="K1769" s="674"/>
      <c r="L1769" s="1206" t="s">
        <v>1222</v>
      </c>
      <c r="M1769" s="1000"/>
      <c r="N1769" s="678" t="s">
        <v>1223</v>
      </c>
      <c r="O1769" s="362"/>
    </row>
    <row r="1770" spans="1:18" ht="15.75" customHeight="1">
      <c r="B1770" s="679"/>
      <c r="C1770" s="1128" t="s">
        <v>19</v>
      </c>
      <c r="D1770" s="940"/>
      <c r="E1770" s="940"/>
      <c r="F1770" s="940"/>
      <c r="G1770" s="940"/>
      <c r="H1770" s="940"/>
      <c r="I1770" s="452"/>
      <c r="J1770" s="452"/>
      <c r="K1770" s="452"/>
      <c r="L1770" s="1148">
        <f>+Datos!$E$18</f>
        <v>0.25</v>
      </c>
      <c r="M1770" s="941"/>
      <c r="N1770" s="430">
        <f>+L1770*N1765</f>
        <v>11748</v>
      </c>
      <c r="O1770" s="362"/>
    </row>
    <row r="1771" spans="1:18" ht="15.75" customHeight="1">
      <c r="B1771" s="679"/>
      <c r="C1771" s="454" t="s">
        <v>20</v>
      </c>
      <c r="D1771" s="455"/>
      <c r="E1771" s="455"/>
      <c r="F1771" s="455"/>
      <c r="G1771" s="455"/>
      <c r="H1771" s="455"/>
      <c r="I1771" s="452"/>
      <c r="J1771" s="452"/>
      <c r="K1771" s="452"/>
      <c r="L1771" s="1148">
        <f>+Datos!$E$19</f>
        <v>0.01</v>
      </c>
      <c r="M1771" s="941"/>
      <c r="N1771" s="430">
        <f>+L1771*N1765</f>
        <v>469.92</v>
      </c>
      <c r="O1771" s="362"/>
    </row>
    <row r="1772" spans="1:18" ht="15.75" customHeight="1">
      <c r="B1772" s="679"/>
      <c r="C1772" s="456" t="s">
        <v>21</v>
      </c>
      <c r="D1772" s="457"/>
      <c r="E1772" s="457"/>
      <c r="F1772" s="457"/>
      <c r="G1772" s="457"/>
      <c r="H1772" s="457"/>
      <c r="I1772" s="458"/>
      <c r="J1772" s="458"/>
      <c r="K1772" s="458"/>
      <c r="L1772" s="1148">
        <f>+Datos!$E$20</f>
        <v>0.05</v>
      </c>
      <c r="M1772" s="941"/>
      <c r="N1772" s="430">
        <f>+L1772*N1765</f>
        <v>2349.6</v>
      </c>
      <c r="O1772" s="362"/>
    </row>
    <row r="1773" spans="1:18" ht="15.75" customHeight="1">
      <c r="B1773" s="679"/>
      <c r="C1773" s="1127" t="s">
        <v>1202</v>
      </c>
      <c r="D1773" s="965"/>
      <c r="E1773" s="965"/>
      <c r="F1773" s="965"/>
      <c r="G1773" s="965"/>
      <c r="H1773" s="965"/>
      <c r="I1773" s="965"/>
      <c r="J1773" s="965"/>
      <c r="K1773" s="965"/>
      <c r="L1773" s="965"/>
      <c r="M1773" s="966"/>
      <c r="N1773" s="433">
        <f>+SUM(N1770:N1772)</f>
        <v>14567.52</v>
      </c>
      <c r="O1773" s="362"/>
    </row>
    <row r="1774" spans="1:18" ht="15.75" customHeight="1">
      <c r="B1774" s="679"/>
      <c r="C1774" s="418"/>
      <c r="D1774" s="39"/>
      <c r="E1774" s="39"/>
      <c r="F1774" s="39"/>
      <c r="G1774" s="39"/>
      <c r="H1774" s="39"/>
      <c r="I1774" s="39"/>
      <c r="J1774" s="39"/>
      <c r="K1774" s="39"/>
      <c r="L1774" s="39"/>
      <c r="M1774" s="39"/>
      <c r="N1774" s="40"/>
      <c r="O1774" s="362"/>
    </row>
    <row r="1775" spans="1:18" ht="15.75" customHeight="1">
      <c r="B1775" s="679"/>
      <c r="C1775" s="1198" t="s">
        <v>1224</v>
      </c>
      <c r="D1775" s="965"/>
      <c r="E1775" s="965"/>
      <c r="F1775" s="965"/>
      <c r="G1775" s="965"/>
      <c r="H1775" s="965"/>
      <c r="I1775" s="965"/>
      <c r="J1775" s="965"/>
      <c r="K1775" s="965"/>
      <c r="L1775" s="965"/>
      <c r="M1775" s="966"/>
      <c r="N1775" s="683">
        <f>+ROUND(SUM(N1773,N1765),0)</f>
        <v>61560</v>
      </c>
      <c r="O1775" s="362"/>
    </row>
    <row r="1776" spans="1:18" ht="15.75" customHeight="1">
      <c r="B1776" s="679"/>
      <c r="C1776" s="418"/>
      <c r="D1776" s="39" t="s">
        <v>1225</v>
      </c>
      <c r="E1776" s="39"/>
      <c r="F1776" s="39"/>
      <c r="G1776" s="184"/>
      <c r="H1776" s="184"/>
      <c r="I1776" s="184"/>
      <c r="J1776" s="39" t="s">
        <v>1225</v>
      </c>
      <c r="K1776" s="39"/>
      <c r="L1776" s="39"/>
      <c r="M1776" s="39"/>
      <c r="N1776" s="40"/>
      <c r="O1776" s="362"/>
    </row>
    <row r="1777" spans="1:15" ht="15.75" customHeight="1">
      <c r="B1777" s="679"/>
      <c r="C1777" s="418"/>
      <c r="D1777" s="39" t="s">
        <v>1226</v>
      </c>
      <c r="E1777" s="39"/>
      <c r="F1777" s="39"/>
      <c r="G1777" s="184"/>
      <c r="H1777" s="184"/>
      <c r="I1777" s="184"/>
      <c r="J1777" s="39" t="s">
        <v>1227</v>
      </c>
      <c r="K1777" s="39"/>
      <c r="L1777" s="39"/>
      <c r="M1777" s="39"/>
      <c r="N1777" s="40"/>
      <c r="O1777" s="362"/>
    </row>
    <row r="1778" spans="1:15" ht="15.75" customHeight="1">
      <c r="B1778" s="679"/>
      <c r="C1778" s="404"/>
      <c r="D1778" s="39" t="s">
        <v>1228</v>
      </c>
      <c r="E1778" s="42"/>
      <c r="F1778" s="42"/>
      <c r="G1778" s="184"/>
      <c r="H1778" s="184"/>
      <c r="I1778" s="184"/>
      <c r="J1778" s="39" t="s">
        <v>1228</v>
      </c>
      <c r="K1778" s="42"/>
      <c r="L1778" s="42"/>
      <c r="M1778" s="42"/>
      <c r="N1778" s="43"/>
      <c r="O1778" s="362"/>
    </row>
    <row r="1779" spans="1:15" ht="15.75" customHeight="1">
      <c r="B1779" s="679"/>
      <c r="C1779" s="418"/>
      <c r="D1779" s="39"/>
      <c r="E1779" s="39"/>
      <c r="F1779" s="39"/>
      <c r="G1779" s="39" t="s">
        <v>1229</v>
      </c>
      <c r="H1779" s="39"/>
      <c r="I1779" s="39"/>
      <c r="J1779" s="39"/>
      <c r="K1779" s="39"/>
      <c r="L1779" s="39"/>
      <c r="M1779" s="39"/>
      <c r="N1779" s="40"/>
      <c r="O1779" s="362"/>
    </row>
    <row r="1780" spans="1:15" ht="15.75" customHeight="1">
      <c r="B1780" s="679"/>
      <c r="C1780" s="466"/>
      <c r="D1780" s="467"/>
      <c r="E1780" s="467"/>
      <c r="F1780" s="39"/>
      <c r="G1780" s="39"/>
      <c r="H1780" s="39"/>
      <c r="I1780" s="39"/>
      <c r="J1780" s="1149"/>
      <c r="K1780" s="922"/>
      <c r="L1780" s="922"/>
      <c r="M1780" s="922"/>
      <c r="N1780" s="924"/>
      <c r="O1780" s="362"/>
    </row>
    <row r="1781" spans="1:15" ht="15.75" customHeight="1">
      <c r="B1781" s="679"/>
      <c r="C1781" s="1150"/>
      <c r="D1781" s="936"/>
      <c r="E1781" s="936"/>
      <c r="F1781" s="416"/>
      <c r="G1781" s="416"/>
      <c r="H1781" s="416"/>
      <c r="I1781" s="416"/>
      <c r="J1781" s="936"/>
      <c r="K1781" s="936"/>
      <c r="L1781" s="936"/>
      <c r="M1781" s="936"/>
      <c r="N1781" s="938"/>
      <c r="O1781" s="362"/>
    </row>
    <row r="1782" spans="1:15" ht="15.75" customHeight="1">
      <c r="B1782" s="684"/>
      <c r="C1782" s="685"/>
      <c r="D1782" s="685"/>
      <c r="E1782" s="685"/>
      <c r="F1782" s="685"/>
      <c r="G1782" s="685"/>
      <c r="H1782" s="685"/>
      <c r="I1782" s="685"/>
      <c r="J1782" s="685"/>
      <c r="K1782" s="685"/>
      <c r="L1782" s="685"/>
      <c r="M1782" s="685"/>
      <c r="N1782" s="685"/>
      <c r="O1782" s="686"/>
    </row>
    <row r="1783" spans="1:15" ht="15.75" customHeight="1"/>
    <row r="1784" spans="1:15" ht="15.75" customHeight="1"/>
    <row r="1785" spans="1:15" ht="15.75" customHeight="1"/>
    <row r="1786" spans="1:15" ht="15.75" customHeight="1"/>
    <row r="1787" spans="1:15" ht="15.75" customHeight="1">
      <c r="A1787" s="395" t="s">
        <v>941</v>
      </c>
      <c r="B1787" s="184"/>
      <c r="C1787" s="184"/>
      <c r="D1787" s="184"/>
      <c r="E1787" s="184"/>
      <c r="F1787" s="184"/>
      <c r="G1787" s="184"/>
      <c r="H1787" s="184"/>
      <c r="I1787" s="184"/>
      <c r="J1787" s="184"/>
      <c r="K1787" s="184"/>
      <c r="L1787" s="184"/>
      <c r="M1787" s="184"/>
      <c r="N1787" s="184"/>
    </row>
    <row r="1788" spans="1:15" ht="15.75" customHeight="1">
      <c r="A1788" s="395"/>
      <c r="B1788" s="396"/>
      <c r="C1788" s="397"/>
      <c r="D1788" s="397"/>
      <c r="E1788" s="397"/>
      <c r="F1788" s="397"/>
      <c r="G1788" s="397"/>
      <c r="H1788" s="397"/>
      <c r="I1788" s="397"/>
      <c r="J1788" s="397"/>
      <c r="K1788" s="397"/>
      <c r="L1788" s="397"/>
      <c r="M1788" s="397"/>
      <c r="N1788" s="397"/>
      <c r="O1788" s="667"/>
    </row>
    <row r="1789" spans="1:15" ht="15.75" customHeight="1">
      <c r="A1789" s="395"/>
      <c r="B1789" s="399"/>
      <c r="C1789" s="1124"/>
      <c r="D1789" s="927"/>
      <c r="E1789" s="1207" t="str">
        <f>Datos!$C$9</f>
        <v>CONSEJO SUPERIOR  DE  JUDICATURA– DIRECCIÓN  EJECUTIVA  SECCIONAL  DE ADMINISTRACIÓN JUDICIAL DE BUCARAMANGA</v>
      </c>
      <c r="F1789" s="926"/>
      <c r="G1789" s="926"/>
      <c r="H1789" s="926"/>
      <c r="I1789" s="926"/>
      <c r="J1789" s="926"/>
      <c r="K1789" s="927"/>
      <c r="L1789" s="925" t="s">
        <v>1</v>
      </c>
      <c r="M1789" s="931"/>
      <c r="N1789" s="933">
        <v>1</v>
      </c>
      <c r="O1789" s="362"/>
    </row>
    <row r="1790" spans="1:15" ht="15.75" customHeight="1">
      <c r="A1790" s="395"/>
      <c r="B1790" s="399"/>
      <c r="C1790" s="920"/>
      <c r="D1790" s="924"/>
      <c r="E1790" s="920"/>
      <c r="F1790" s="922"/>
      <c r="G1790" s="922"/>
      <c r="H1790" s="922"/>
      <c r="I1790" s="922"/>
      <c r="J1790" s="922"/>
      <c r="K1790" s="924"/>
      <c r="L1790" s="920"/>
      <c r="M1790" s="932"/>
      <c r="N1790" s="934"/>
      <c r="O1790" s="362"/>
    </row>
    <row r="1791" spans="1:15" ht="15.75" customHeight="1">
      <c r="A1791" s="395"/>
      <c r="B1791" s="399"/>
      <c r="C1791" s="920"/>
      <c r="D1791" s="924"/>
      <c r="E1791" s="919" t="str">
        <f>Datos!$C$13</f>
        <v xml:space="preserve">BGA - 030 - 2026 </v>
      </c>
      <c r="F1791" s="922"/>
      <c r="G1791" s="922"/>
      <c r="H1791" s="922"/>
      <c r="I1791" s="922"/>
      <c r="J1791" s="922"/>
      <c r="K1791" s="922"/>
      <c r="L1791" s="925" t="s">
        <v>29</v>
      </c>
      <c r="M1791" s="926"/>
      <c r="N1791" s="927"/>
      <c r="O1791" s="362"/>
    </row>
    <row r="1792" spans="1:15" ht="15.75" customHeight="1">
      <c r="A1792" s="395"/>
      <c r="B1792" s="399"/>
      <c r="C1792" s="920"/>
      <c r="D1792" s="924"/>
      <c r="E179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792" s="922"/>
      <c r="G1792" s="922"/>
      <c r="H1792" s="922"/>
      <c r="I1792" s="922"/>
      <c r="J1792" s="922"/>
      <c r="K1792" s="924"/>
      <c r="L1792" s="919">
        <v>1</v>
      </c>
      <c r="M1792" s="921" t="s">
        <v>30</v>
      </c>
      <c r="N1792" s="923">
        <v>1</v>
      </c>
      <c r="O1792" s="362"/>
    </row>
    <row r="1793" spans="1:15" ht="15.75" customHeight="1">
      <c r="A1793" s="395"/>
      <c r="B1793" s="399"/>
      <c r="C1793" s="920"/>
      <c r="D1793" s="924"/>
      <c r="E1793" s="920"/>
      <c r="F1793" s="922"/>
      <c r="G1793" s="922"/>
      <c r="H1793" s="922"/>
      <c r="I1793" s="922"/>
      <c r="J1793" s="922"/>
      <c r="K1793" s="924"/>
      <c r="L1793" s="920"/>
      <c r="M1793" s="922"/>
      <c r="N1793" s="924"/>
      <c r="O1793" s="362"/>
    </row>
    <row r="1794" spans="1:15" ht="15.75" customHeight="1">
      <c r="A1794" s="395"/>
      <c r="B1794" s="399"/>
      <c r="C1794" s="920"/>
      <c r="D1794" s="924"/>
      <c r="E1794" s="920"/>
      <c r="F1794" s="922"/>
      <c r="G1794" s="922"/>
      <c r="H1794" s="922"/>
      <c r="I1794" s="922"/>
      <c r="J1794" s="922"/>
      <c r="K1794" s="924"/>
      <c r="L1794" s="925" t="s">
        <v>2</v>
      </c>
      <c r="M1794" s="926"/>
      <c r="N1794" s="927"/>
      <c r="O1794" s="362"/>
    </row>
    <row r="1795" spans="1:15" ht="15.75" customHeight="1">
      <c r="A1795" s="395"/>
      <c r="B1795" s="399"/>
      <c r="C1795" s="920"/>
      <c r="D1795" s="924"/>
      <c r="E1795" s="407"/>
      <c r="F1795" s="216"/>
      <c r="G1795" s="216"/>
      <c r="H1795" s="216"/>
      <c r="I1795" s="216"/>
      <c r="J1795" s="216"/>
      <c r="K1795" s="216"/>
      <c r="L1795" s="408" t="s">
        <v>3</v>
      </c>
      <c r="M1795" s="409" t="s">
        <v>4</v>
      </c>
      <c r="N1795" s="410" t="s">
        <v>5</v>
      </c>
      <c r="O1795" s="362"/>
    </row>
    <row r="1796" spans="1:15" ht="15.75" customHeight="1">
      <c r="A1796" s="395"/>
      <c r="B1796" s="399"/>
      <c r="C1796" s="920"/>
      <c r="D1796" s="924"/>
      <c r="E1796" s="1125" t="s">
        <v>1186</v>
      </c>
      <c r="F1796" s="945"/>
      <c r="G1796" s="945"/>
      <c r="H1796" s="945"/>
      <c r="I1796" s="945"/>
      <c r="J1796" s="945"/>
      <c r="K1796" s="945"/>
      <c r="L1796" s="928">
        <f>Datos!$C$7</f>
        <v>19</v>
      </c>
      <c r="M1796" s="935">
        <f>Datos!$D$7</f>
        <v>6</v>
      </c>
      <c r="N1796" s="937">
        <f>Datos!$E$7</f>
        <v>2026</v>
      </c>
      <c r="O1796" s="362"/>
    </row>
    <row r="1797" spans="1:15" ht="15.75" customHeight="1">
      <c r="A1797" s="395"/>
      <c r="B1797" s="399"/>
      <c r="C1797" s="929"/>
      <c r="D1797" s="938"/>
      <c r="E1797" s="929"/>
      <c r="F1797" s="936"/>
      <c r="G1797" s="936"/>
      <c r="H1797" s="936"/>
      <c r="I1797" s="936"/>
      <c r="J1797" s="936"/>
      <c r="K1797" s="936"/>
      <c r="L1797" s="929"/>
      <c r="M1797" s="936"/>
      <c r="N1797" s="938"/>
      <c r="O1797" s="362"/>
    </row>
    <row r="1798" spans="1:15" ht="15.75" customHeight="1">
      <c r="A1798" s="395"/>
      <c r="B1798" s="399"/>
      <c r="C1798" s="404"/>
      <c r="D1798" s="38"/>
      <c r="E1798" s="38"/>
      <c r="F1798" s="38"/>
      <c r="G1798" s="38"/>
      <c r="H1798" s="38"/>
      <c r="I1798" s="38"/>
      <c r="J1798" s="38"/>
      <c r="K1798" s="38"/>
      <c r="L1798" s="39"/>
      <c r="M1798" s="39"/>
      <c r="N1798" s="40"/>
      <c r="O1798" s="362"/>
    </row>
    <row r="1799" spans="1:15" ht="15.75" customHeight="1">
      <c r="A1799" s="395"/>
      <c r="B1799" s="399"/>
      <c r="C1799" s="412" t="s">
        <v>1187</v>
      </c>
      <c r="D1799" s="1199" t="str">
        <f>VLOOKUP(C1804,ListaAct,2,0)</f>
        <v>OBRA CIVIL</v>
      </c>
      <c r="E1799" s="922"/>
      <c r="F1799" s="922"/>
      <c r="G1799" s="922"/>
      <c r="H1799" s="922"/>
      <c r="I1799" s="922"/>
      <c r="J1799" s="922"/>
      <c r="K1799" s="922"/>
      <c r="L1799" s="922"/>
      <c r="M1799" s="1"/>
      <c r="N1799" s="413"/>
      <c r="O1799" s="362"/>
    </row>
    <row r="1800" spans="1:15" ht="15.75" customHeight="1">
      <c r="A1800" s="395"/>
      <c r="B1800" s="399"/>
      <c r="C1800" s="412" t="s">
        <v>1189</v>
      </c>
      <c r="D1800" s="1199" t="str">
        <f>VLOOKUP(C1804,ListaAct,3,0)</f>
        <v>REVOQUE TRADICIONAL</v>
      </c>
      <c r="E1800" s="922"/>
      <c r="F1800" s="922"/>
      <c r="G1800" s="922"/>
      <c r="H1800" s="922"/>
      <c r="I1800" s="922"/>
      <c r="J1800" s="922"/>
      <c r="K1800" s="922"/>
      <c r="L1800" s="922"/>
      <c r="M1800" s="1"/>
      <c r="N1800" s="413"/>
      <c r="O1800" s="362"/>
    </row>
    <row r="1801" spans="1:15" ht="15.75" customHeight="1">
      <c r="A1801" s="395"/>
      <c r="B1801" s="399"/>
      <c r="C1801" s="925" t="s">
        <v>1191</v>
      </c>
      <c r="D1801" s="926"/>
      <c r="E1801" s="926"/>
      <c r="F1801" s="926"/>
      <c r="G1801" s="926"/>
      <c r="H1801" s="926"/>
      <c r="I1801" s="926"/>
      <c r="J1801" s="926"/>
      <c r="K1801" s="926"/>
      <c r="L1801" s="926"/>
      <c r="M1801" s="926"/>
      <c r="N1801" s="927"/>
      <c r="O1801" s="362"/>
    </row>
    <row r="1802" spans="1:15" ht="15.75" customHeight="1">
      <c r="A1802" s="395"/>
      <c r="B1802" s="399"/>
      <c r="C1802" s="418"/>
      <c r="D1802" s="39"/>
      <c r="E1802" s="39"/>
      <c r="F1802" s="39"/>
      <c r="G1802" s="39"/>
      <c r="H1802" s="39"/>
      <c r="I1802" s="39"/>
      <c r="J1802" s="39"/>
      <c r="K1802" s="39"/>
      <c r="L1802" s="39"/>
      <c r="M1802" s="39"/>
      <c r="N1802" s="40"/>
      <c r="O1802" s="362"/>
    </row>
    <row r="1803" spans="1:15" ht="15.75" customHeight="1">
      <c r="A1803" s="395"/>
      <c r="B1803" s="399"/>
      <c r="C1803" s="668" t="s">
        <v>965</v>
      </c>
      <c r="D1803" s="1200" t="s">
        <v>17</v>
      </c>
      <c r="E1803" s="1131"/>
      <c r="F1803" s="1131"/>
      <c r="G1803" s="1131"/>
      <c r="H1803" s="1131"/>
      <c r="I1803" s="1131"/>
      <c r="J1803" s="1131"/>
      <c r="K1803" s="1137"/>
      <c r="L1803" s="1201" t="s">
        <v>1192</v>
      </c>
      <c r="M1803" s="1137"/>
      <c r="N1803" s="668" t="s">
        <v>950</v>
      </c>
      <c r="O1803" s="362"/>
    </row>
    <row r="1804" spans="1:15" ht="15.75" customHeight="1">
      <c r="A1804" s="395"/>
      <c r="B1804" s="421"/>
      <c r="C1804" s="669" t="s">
        <v>1051</v>
      </c>
      <c r="D1804" s="1202" t="str">
        <f>IF($C1804&gt;0,(VLOOKUP($C1804,ListaAct,4,FALSE)),"")</f>
        <v>Aplicación de revoque tradicional en cal y arenilla según especificación, e=variable</v>
      </c>
      <c r="E1804" s="979"/>
      <c r="F1804" s="979"/>
      <c r="G1804" s="979"/>
      <c r="H1804" s="979"/>
      <c r="I1804" s="979"/>
      <c r="J1804" s="979"/>
      <c r="K1804" s="980"/>
      <c r="L1804" s="1203" t="str">
        <f>IF($C1804&gt;0,(VLOOKUP($C1804,ListaAct,5,FALSE)),"")</f>
        <v>m2</v>
      </c>
      <c r="M1804" s="980"/>
      <c r="N1804" s="423">
        <f>IF($C1804&gt;0,(VLOOKUP($C1804,ListaAct,6,FALSE)),"")</f>
        <v>161.35</v>
      </c>
      <c r="O1804" s="362"/>
    </row>
    <row r="1805" spans="1:15" ht="15.75" customHeight="1">
      <c r="A1805" s="395"/>
      <c r="B1805" s="399"/>
      <c r="C1805" s="1129" t="s">
        <v>1195</v>
      </c>
      <c r="D1805" s="926"/>
      <c r="E1805" s="926"/>
      <c r="F1805" s="926"/>
      <c r="G1805" s="926"/>
      <c r="H1805" s="926"/>
      <c r="I1805" s="926"/>
      <c r="J1805" s="926"/>
      <c r="K1805" s="926"/>
      <c r="L1805" s="926"/>
      <c r="M1805" s="926"/>
      <c r="N1805" s="927"/>
      <c r="O1805" s="362"/>
    </row>
    <row r="1806" spans="1:15" ht="15.75" customHeight="1">
      <c r="A1806" s="395"/>
      <c r="B1806" s="399"/>
      <c r="C1806" s="920"/>
      <c r="D1806" s="922"/>
      <c r="E1806" s="922"/>
      <c r="F1806" s="922"/>
      <c r="G1806" s="922"/>
      <c r="H1806" s="922"/>
      <c r="I1806" s="922"/>
      <c r="J1806" s="922"/>
      <c r="K1806" s="922"/>
      <c r="L1806" s="922"/>
      <c r="M1806" s="922"/>
      <c r="N1806" s="924"/>
      <c r="O1806" s="362"/>
    </row>
    <row r="1807" spans="1:15" ht="15.75" customHeight="1">
      <c r="A1807" s="395"/>
      <c r="B1807" s="399"/>
      <c r="C1807" s="929"/>
      <c r="D1807" s="936"/>
      <c r="E1807" s="936"/>
      <c r="F1807" s="936"/>
      <c r="G1807" s="936"/>
      <c r="H1807" s="936"/>
      <c r="I1807" s="936"/>
      <c r="J1807" s="936"/>
      <c r="K1807" s="936"/>
      <c r="L1807" s="936"/>
      <c r="M1807" s="936"/>
      <c r="N1807" s="938"/>
      <c r="O1807" s="362"/>
    </row>
    <row r="1808" spans="1:15" ht="15.75" customHeight="1">
      <c r="A1808" s="395"/>
      <c r="B1808" s="399"/>
      <c r="C1808" s="1201" t="s">
        <v>17</v>
      </c>
      <c r="D1808" s="1131"/>
      <c r="E1808" s="1131"/>
      <c r="F1808" s="1000"/>
      <c r="G1808" s="1204" t="s">
        <v>1196</v>
      </c>
      <c r="H1808" s="1000"/>
      <c r="I1808" s="1204" t="s">
        <v>1197</v>
      </c>
      <c r="J1808" s="1000"/>
      <c r="K1808" s="670" t="s">
        <v>1213</v>
      </c>
      <c r="L1808" s="1204" t="s">
        <v>1199</v>
      </c>
      <c r="M1808" s="1000"/>
      <c r="N1808" s="671" t="s">
        <v>1200</v>
      </c>
      <c r="O1808" s="362"/>
    </row>
    <row r="1809" spans="1:17" ht="15.75" customHeight="1">
      <c r="A1809" s="395"/>
      <c r="B1809" s="399"/>
      <c r="C1809" s="1128" t="s">
        <v>1201</v>
      </c>
      <c r="D1809" s="940"/>
      <c r="E1809" s="940"/>
      <c r="F1809" s="941"/>
      <c r="G1809" s="1142"/>
      <c r="H1809" s="941"/>
      <c r="I1809" s="1142"/>
      <c r="J1809" s="941"/>
      <c r="K1809" s="429"/>
      <c r="L1809" s="1143">
        <v>0.06</v>
      </c>
      <c r="M1809" s="941"/>
      <c r="N1809" s="430">
        <f>+L1809*N1848</f>
        <v>3341.8531470129137</v>
      </c>
      <c r="O1809" s="362"/>
    </row>
    <row r="1810" spans="1:17" ht="15.75" customHeight="1">
      <c r="A1810" s="395">
        <f t="array" ref="A1810">IF(C1810&lt;&gt;0,INDEX(CodEquipos,MATCH(C1810,Equipos,0),),)</f>
        <v>0</v>
      </c>
      <c r="B1810" s="399"/>
      <c r="C1810" s="1128"/>
      <c r="D1810" s="940"/>
      <c r="E1810" s="940"/>
      <c r="F1810" s="941"/>
      <c r="G1810" s="1142"/>
      <c r="H1810" s="941"/>
      <c r="I1810" s="1142"/>
      <c r="J1810" s="941"/>
      <c r="K1810" s="432" t="str">
        <f>IF($A1810&gt;0,(VLOOKUP($A1810,TablaEquipos,7,FALSE)),"")</f>
        <v/>
      </c>
      <c r="L1810" s="1146"/>
      <c r="M1810" s="941"/>
      <c r="N1810" s="430" t="str">
        <f t="shared" ref="N1810:N1814" si="138">IF(L1810&gt;0,K1810/L1810,"")</f>
        <v/>
      </c>
      <c r="O1810" s="362"/>
    </row>
    <row r="1811" spans="1:17" ht="15.75" customHeight="1">
      <c r="A1811" s="395">
        <f t="array" ref="A1811">IF(C1811&lt;&gt;0,INDEX(CodEquipos,MATCH(C1811,Equipos,0),),)</f>
        <v>0</v>
      </c>
      <c r="B1811" s="399"/>
      <c r="C1811" s="1128"/>
      <c r="D1811" s="940"/>
      <c r="E1811" s="940"/>
      <c r="F1811" s="941"/>
      <c r="G1811" s="1142"/>
      <c r="H1811" s="941"/>
      <c r="I1811" s="1142"/>
      <c r="J1811" s="941"/>
      <c r="K1811" s="432" t="str">
        <f>IF($A1811&gt;0,(VLOOKUP($A1811,TablaEquipos,7,FALSE)),"")</f>
        <v/>
      </c>
      <c r="L1811" s="1146"/>
      <c r="M1811" s="941"/>
      <c r="N1811" s="430" t="str">
        <f t="shared" si="138"/>
        <v/>
      </c>
      <c r="O1811" s="362"/>
    </row>
    <row r="1812" spans="1:17" ht="15.75" customHeight="1">
      <c r="A1812" s="395">
        <f t="array" ref="A1812">IF(C1812&lt;&gt;0,INDEX(CodEquipos,MATCH(C1812,Equipos,0),),)</f>
        <v>0</v>
      </c>
      <c r="B1812" s="399"/>
      <c r="C1812" s="1128"/>
      <c r="D1812" s="940"/>
      <c r="E1812" s="940"/>
      <c r="F1812" s="941"/>
      <c r="G1812" s="1142"/>
      <c r="H1812" s="941"/>
      <c r="I1812" s="1142"/>
      <c r="J1812" s="941"/>
      <c r="K1812" s="432" t="str">
        <f>IF($A1812&gt;0,(VLOOKUP($A1812,TablaEquipos,7,FALSE)),"")</f>
        <v/>
      </c>
      <c r="L1812" s="1146"/>
      <c r="M1812" s="941"/>
      <c r="N1812" s="430" t="str">
        <f t="shared" si="138"/>
        <v/>
      </c>
      <c r="O1812" s="362"/>
    </row>
    <row r="1813" spans="1:17" ht="15.75" customHeight="1">
      <c r="A1813" s="395">
        <f t="array" ref="A1813">IF(C1813&lt;&gt;0,INDEX(CodEquipos,MATCH(C1813,Equipos,0),),)</f>
        <v>0</v>
      </c>
      <c r="B1813" s="399"/>
      <c r="C1813" s="1128"/>
      <c r="D1813" s="940"/>
      <c r="E1813" s="940"/>
      <c r="F1813" s="941"/>
      <c r="G1813" s="1142"/>
      <c r="H1813" s="941"/>
      <c r="I1813" s="1142"/>
      <c r="J1813" s="941"/>
      <c r="K1813" s="432" t="str">
        <f>IF($A1813&gt;0,(VLOOKUP($A1813,TablaEquipos,7,FALSE)),"")</f>
        <v/>
      </c>
      <c r="L1813" s="1141"/>
      <c r="M1813" s="941"/>
      <c r="N1813" s="430" t="str">
        <f t="shared" si="138"/>
        <v/>
      </c>
      <c r="O1813" s="362"/>
    </row>
    <row r="1814" spans="1:17" ht="15.75" customHeight="1">
      <c r="A1814" s="395">
        <f t="array" ref="A1814">IF(C1814&lt;&gt;0,INDEX(CodEquipos,MATCH(C1814,Equipos,0),),)</f>
        <v>0</v>
      </c>
      <c r="B1814" s="399"/>
      <c r="C1814" s="1128"/>
      <c r="D1814" s="940"/>
      <c r="E1814" s="940"/>
      <c r="F1814" s="941"/>
      <c r="G1814" s="1144"/>
      <c r="H1814" s="1145"/>
      <c r="I1814" s="1144"/>
      <c r="J1814" s="1145"/>
      <c r="K1814" s="432" t="str">
        <f>IF($A1814&gt;0,(VLOOKUP($A1814,TablaEquipos,7,FALSE)),"")</f>
        <v/>
      </c>
      <c r="L1814" s="1208"/>
      <c r="M1814" s="1145"/>
      <c r="N1814" s="430" t="str">
        <f t="shared" si="138"/>
        <v/>
      </c>
      <c r="O1814" s="362"/>
    </row>
    <row r="1815" spans="1:17" ht="15.75" customHeight="1">
      <c r="A1815" s="395"/>
      <c r="B1815" s="399"/>
      <c r="C1815" s="1127" t="s">
        <v>1202</v>
      </c>
      <c r="D1815" s="965"/>
      <c r="E1815" s="965"/>
      <c r="F1815" s="965"/>
      <c r="G1815" s="965"/>
      <c r="H1815" s="965"/>
      <c r="I1815" s="965"/>
      <c r="J1815" s="965"/>
      <c r="K1815" s="965"/>
      <c r="L1815" s="965"/>
      <c r="M1815" s="966"/>
      <c r="N1815" s="433">
        <f>+SUM(N1809:N1814)</f>
        <v>3341.8531470129137</v>
      </c>
      <c r="O1815" s="362"/>
    </row>
    <row r="1816" spans="1:17" ht="15.75" customHeight="1">
      <c r="A1816" s="395"/>
      <c r="B1816" s="399"/>
      <c r="C1816" s="1129" t="s">
        <v>1203</v>
      </c>
      <c r="D1816" s="926"/>
      <c r="E1816" s="926"/>
      <c r="F1816" s="926"/>
      <c r="G1816" s="926"/>
      <c r="H1816" s="926"/>
      <c r="I1816" s="926"/>
      <c r="J1816" s="926"/>
      <c r="K1816" s="926"/>
      <c r="L1816" s="926"/>
      <c r="M1816" s="926"/>
      <c r="N1816" s="927"/>
      <c r="O1816" s="362"/>
    </row>
    <row r="1817" spans="1:17" ht="15.75" customHeight="1">
      <c r="A1817" s="395"/>
      <c r="B1817" s="399"/>
      <c r="C1817" s="920"/>
      <c r="D1817" s="922"/>
      <c r="E1817" s="922"/>
      <c r="F1817" s="922"/>
      <c r="G1817" s="922"/>
      <c r="H1817" s="922"/>
      <c r="I1817" s="922"/>
      <c r="J1817" s="922"/>
      <c r="K1817" s="922"/>
      <c r="L1817" s="922"/>
      <c r="M1817" s="922"/>
      <c r="N1817" s="924"/>
      <c r="O1817" s="362"/>
    </row>
    <row r="1818" spans="1:17" ht="15.75" customHeight="1">
      <c r="A1818" s="395"/>
      <c r="B1818" s="399"/>
      <c r="C1818" s="929"/>
      <c r="D1818" s="936"/>
      <c r="E1818" s="936"/>
      <c r="F1818" s="936"/>
      <c r="G1818" s="936"/>
      <c r="H1818" s="936"/>
      <c r="I1818" s="936"/>
      <c r="J1818" s="936"/>
      <c r="K1818" s="936"/>
      <c r="L1818" s="936"/>
      <c r="M1818" s="936"/>
      <c r="N1818" s="938"/>
      <c r="O1818" s="362"/>
    </row>
    <row r="1819" spans="1:17" ht="15.75" customHeight="1">
      <c r="A1819" s="395"/>
      <c r="B1819" s="399"/>
      <c r="C1819" s="1201" t="s">
        <v>17</v>
      </c>
      <c r="D1819" s="1131"/>
      <c r="E1819" s="1131"/>
      <c r="F1819" s="1131"/>
      <c r="G1819" s="1131"/>
      <c r="H1819" s="1131"/>
      <c r="I1819" s="1000"/>
      <c r="J1819" s="672" t="s">
        <v>1192</v>
      </c>
      <c r="K1819" s="670" t="s">
        <v>950</v>
      </c>
      <c r="L1819" s="1204" t="s">
        <v>1204</v>
      </c>
      <c r="M1819" s="1000"/>
      <c r="N1819" s="671" t="s">
        <v>1200</v>
      </c>
      <c r="O1819" s="362"/>
    </row>
    <row r="1820" spans="1:17" ht="15.75" customHeight="1">
      <c r="A1820" s="395" t="str">
        <f t="array" ref="A1820">IF(C1820&lt;&gt;0,INDEX(CodMat,MATCH(C1820,Materiales,0),),)</f>
        <v>MAT_C-72</v>
      </c>
      <c r="B1820" s="399"/>
      <c r="C1820" s="1128" t="s">
        <v>2523</v>
      </c>
      <c r="D1820" s="940"/>
      <c r="E1820" s="940"/>
      <c r="F1820" s="940"/>
      <c r="G1820" s="940"/>
      <c r="H1820" s="940"/>
      <c r="I1820" s="941"/>
      <c r="J1820" s="435" t="str">
        <f t="shared" ref="J1820:J1827" si="139">IF($A1820&gt;0,(VLOOKUP($A1820,TablaInsumos,5,FALSE)),"")</f>
        <v>KG</v>
      </c>
      <c r="K1820" s="673">
        <v>2.0499999999999998</v>
      </c>
      <c r="L1820" s="1134">
        <f t="shared" ref="L1820:L1827" si="140">IF($A1820&gt;0,(VLOOKUP($A1820,TablaInsumos,7,FALSE)),"")</f>
        <v>21050</v>
      </c>
      <c r="M1820" s="941"/>
      <c r="N1820" s="430">
        <f t="shared" ref="N1820:N1827" si="141">IF(K1820&gt;0,L1820*K1820,"")</f>
        <v>43152.499999999993</v>
      </c>
      <c r="O1820" s="362"/>
    </row>
    <row r="1821" spans="1:17" ht="15.75" customHeight="1">
      <c r="A1821" s="395">
        <f t="array" ref="A1821">IF(C1821&lt;&gt;0,INDEX(CodMat,MATCH(C1821,Materiales,0),),)</f>
        <v>0</v>
      </c>
      <c r="B1821" s="399"/>
      <c r="C1821" s="1128"/>
      <c r="D1821" s="940"/>
      <c r="E1821" s="940"/>
      <c r="F1821" s="940"/>
      <c r="G1821" s="940"/>
      <c r="H1821" s="940"/>
      <c r="I1821" s="941"/>
      <c r="J1821" s="435" t="str">
        <f t="shared" si="139"/>
        <v/>
      </c>
      <c r="K1821" s="673"/>
      <c r="L1821" s="1134" t="str">
        <f t="shared" si="140"/>
        <v/>
      </c>
      <c r="M1821" s="941"/>
      <c r="N1821" s="430" t="str">
        <f t="shared" si="141"/>
        <v/>
      </c>
      <c r="O1821" s="362"/>
      <c r="Q1821" s="688"/>
    </row>
    <row r="1822" spans="1:17" ht="15.75" customHeight="1">
      <c r="A1822" s="395">
        <f t="array" ref="A1822">IF(C1822&lt;&gt;0,INDEX(CodMat,MATCH(C1822,Materiales,0),),)</f>
        <v>0</v>
      </c>
      <c r="B1822" s="399"/>
      <c r="C1822" s="1128"/>
      <c r="D1822" s="940"/>
      <c r="E1822" s="940"/>
      <c r="F1822" s="940"/>
      <c r="G1822" s="940"/>
      <c r="H1822" s="940"/>
      <c r="I1822" s="941"/>
      <c r="J1822" s="435" t="str">
        <f t="shared" si="139"/>
        <v/>
      </c>
      <c r="K1822" s="673"/>
      <c r="L1822" s="1134" t="str">
        <f t="shared" si="140"/>
        <v/>
      </c>
      <c r="M1822" s="941"/>
      <c r="N1822" s="430" t="str">
        <f t="shared" si="141"/>
        <v/>
      </c>
      <c r="O1822" s="362"/>
      <c r="Q1822" s="687"/>
    </row>
    <row r="1823" spans="1:17" ht="15.75" customHeight="1">
      <c r="A1823" s="395">
        <f t="array" ref="A1823">IF(C1823&lt;&gt;0,INDEX(CodMat,MATCH(C1823,Materiales,0),),)</f>
        <v>0</v>
      </c>
      <c r="B1823" s="399"/>
      <c r="C1823" s="1128"/>
      <c r="D1823" s="940"/>
      <c r="E1823" s="940"/>
      <c r="F1823" s="940"/>
      <c r="G1823" s="940"/>
      <c r="H1823" s="940"/>
      <c r="I1823" s="941"/>
      <c r="J1823" s="435" t="str">
        <f t="shared" si="139"/>
        <v/>
      </c>
      <c r="K1823" s="673"/>
      <c r="L1823" s="1134" t="str">
        <f t="shared" si="140"/>
        <v/>
      </c>
      <c r="M1823" s="941"/>
      <c r="N1823" s="430" t="str">
        <f t="shared" si="141"/>
        <v/>
      </c>
      <c r="O1823" s="362"/>
      <c r="Q1823" s="688"/>
    </row>
    <row r="1824" spans="1:17" ht="15.75" customHeight="1">
      <c r="A1824" s="395">
        <f t="array" ref="A1824">IF(C1824&lt;&gt;0,INDEX(CodMat,MATCH(C1824,Materiales,0),),)</f>
        <v>0</v>
      </c>
      <c r="B1824" s="399"/>
      <c r="C1824" s="1128"/>
      <c r="D1824" s="940"/>
      <c r="E1824" s="940"/>
      <c r="F1824" s="940"/>
      <c r="G1824" s="940"/>
      <c r="H1824" s="940"/>
      <c r="I1824" s="941"/>
      <c r="J1824" s="435" t="str">
        <f t="shared" si="139"/>
        <v/>
      </c>
      <c r="K1824" s="673"/>
      <c r="L1824" s="1134" t="str">
        <f t="shared" si="140"/>
        <v/>
      </c>
      <c r="M1824" s="941"/>
      <c r="N1824" s="430" t="str">
        <f t="shared" si="141"/>
        <v/>
      </c>
      <c r="O1824" s="362"/>
    </row>
    <row r="1825" spans="1:15" ht="15.75" customHeight="1">
      <c r="A1825" s="395">
        <f t="array" ref="A1825">IF(C1825&lt;&gt;0,INDEX(CodMat,MATCH(C1825,Materiales,0),),)</f>
        <v>0</v>
      </c>
      <c r="B1825" s="399"/>
      <c r="C1825" s="1128"/>
      <c r="D1825" s="940"/>
      <c r="E1825" s="940"/>
      <c r="F1825" s="940"/>
      <c r="G1825" s="940"/>
      <c r="H1825" s="940"/>
      <c r="I1825" s="941"/>
      <c r="J1825" s="435" t="str">
        <f t="shared" si="139"/>
        <v/>
      </c>
      <c r="K1825" s="673"/>
      <c r="L1825" s="1134" t="str">
        <f t="shared" si="140"/>
        <v/>
      </c>
      <c r="M1825" s="941"/>
      <c r="N1825" s="430" t="str">
        <f t="shared" si="141"/>
        <v/>
      </c>
      <c r="O1825" s="362"/>
    </row>
    <row r="1826" spans="1:15" ht="15.75" customHeight="1">
      <c r="A1826" s="395">
        <f t="array" ref="A1826">IF(C1826&lt;&gt;0,INDEX(CodMat,MATCH(C1826,Materiales,0),),)</f>
        <v>0</v>
      </c>
      <c r="B1826" s="399"/>
      <c r="C1826" s="1128"/>
      <c r="D1826" s="940"/>
      <c r="E1826" s="940"/>
      <c r="F1826" s="940"/>
      <c r="G1826" s="940"/>
      <c r="H1826" s="940"/>
      <c r="I1826" s="941"/>
      <c r="J1826" s="435" t="str">
        <f t="shared" si="139"/>
        <v/>
      </c>
      <c r="K1826" s="673"/>
      <c r="L1826" s="1134" t="str">
        <f t="shared" si="140"/>
        <v/>
      </c>
      <c r="M1826" s="941"/>
      <c r="N1826" s="430" t="str">
        <f t="shared" si="141"/>
        <v/>
      </c>
      <c r="O1826" s="362"/>
    </row>
    <row r="1827" spans="1:15" ht="15.75" customHeight="1">
      <c r="A1827" s="395">
        <f t="array" ref="A1827">IF(C1827&lt;&gt;0,INDEX(CodMat,MATCH(C1827,Materiales,0),),)</f>
        <v>0</v>
      </c>
      <c r="B1827" s="399"/>
      <c r="C1827" s="1128"/>
      <c r="D1827" s="940"/>
      <c r="E1827" s="940"/>
      <c r="F1827" s="940"/>
      <c r="G1827" s="940"/>
      <c r="H1827" s="940"/>
      <c r="I1827" s="941"/>
      <c r="J1827" s="435" t="str">
        <f t="shared" si="139"/>
        <v/>
      </c>
      <c r="K1827" s="673"/>
      <c r="L1827" s="1205" t="str">
        <f t="shared" si="140"/>
        <v/>
      </c>
      <c r="M1827" s="1145"/>
      <c r="N1827" s="430" t="str">
        <f t="shared" si="141"/>
        <v/>
      </c>
      <c r="O1827" s="362"/>
    </row>
    <row r="1828" spans="1:15" ht="15.75" customHeight="1">
      <c r="A1828" s="395"/>
      <c r="B1828" s="399"/>
      <c r="C1828" s="1127" t="s">
        <v>1202</v>
      </c>
      <c r="D1828" s="965"/>
      <c r="E1828" s="965"/>
      <c r="F1828" s="965"/>
      <c r="G1828" s="965"/>
      <c r="H1828" s="965"/>
      <c r="I1828" s="965"/>
      <c r="J1828" s="965"/>
      <c r="K1828" s="965"/>
      <c r="L1828" s="965"/>
      <c r="M1828" s="966"/>
      <c r="N1828" s="433">
        <f>+SUM(N1820:N1827)</f>
        <v>43152.499999999993</v>
      </c>
      <c r="O1828" s="362"/>
    </row>
    <row r="1829" spans="1:15" ht="15.75" customHeight="1">
      <c r="A1829" s="395"/>
      <c r="B1829" s="399"/>
      <c r="C1829" s="1129" t="s">
        <v>1208</v>
      </c>
      <c r="D1829" s="926"/>
      <c r="E1829" s="926"/>
      <c r="F1829" s="926"/>
      <c r="G1829" s="926"/>
      <c r="H1829" s="926"/>
      <c r="I1829" s="926"/>
      <c r="J1829" s="926"/>
      <c r="K1829" s="926"/>
      <c r="L1829" s="926"/>
      <c r="M1829" s="926"/>
      <c r="N1829" s="927"/>
      <c r="O1829" s="362"/>
    </row>
    <row r="1830" spans="1:15" ht="15.75" customHeight="1">
      <c r="A1830" s="395"/>
      <c r="B1830" s="399"/>
      <c r="C1830" s="920"/>
      <c r="D1830" s="922"/>
      <c r="E1830" s="922"/>
      <c r="F1830" s="922"/>
      <c r="G1830" s="922"/>
      <c r="H1830" s="922"/>
      <c r="I1830" s="922"/>
      <c r="J1830" s="922"/>
      <c r="K1830" s="922"/>
      <c r="L1830" s="922"/>
      <c r="M1830" s="922"/>
      <c r="N1830" s="924"/>
      <c r="O1830" s="362"/>
    </row>
    <row r="1831" spans="1:15" ht="15.75" customHeight="1">
      <c r="A1831" s="395"/>
      <c r="B1831" s="399"/>
      <c r="C1831" s="929"/>
      <c r="D1831" s="936"/>
      <c r="E1831" s="936"/>
      <c r="F1831" s="936"/>
      <c r="G1831" s="936"/>
      <c r="H1831" s="936"/>
      <c r="I1831" s="936"/>
      <c r="J1831" s="936"/>
      <c r="K1831" s="936"/>
      <c r="L1831" s="936"/>
      <c r="M1831" s="936"/>
      <c r="N1831" s="938"/>
      <c r="O1831" s="362"/>
    </row>
    <row r="1832" spans="1:15" ht="15.75" customHeight="1">
      <c r="A1832" s="395"/>
      <c r="B1832" s="399"/>
      <c r="C1832" s="1201" t="s">
        <v>1209</v>
      </c>
      <c r="D1832" s="1131"/>
      <c r="E1832" s="1131"/>
      <c r="F1832" s="1131"/>
      <c r="G1832" s="1131"/>
      <c r="H1832" s="1000"/>
      <c r="I1832" s="670" t="s">
        <v>1210</v>
      </c>
      <c r="J1832" s="674" t="s">
        <v>1211</v>
      </c>
      <c r="K1832" s="675" t="s">
        <v>2318</v>
      </c>
      <c r="L1832" s="1204" t="s">
        <v>1213</v>
      </c>
      <c r="M1832" s="1000"/>
      <c r="N1832" s="671" t="s">
        <v>1200</v>
      </c>
      <c r="O1832" s="362"/>
    </row>
    <row r="1833" spans="1:15" ht="15.75" customHeight="1">
      <c r="A1833" s="395">
        <f t="array" ref="A1833">IF(C1833&lt;&gt;0,INDEX(CodTransporte,MATCH(C1833,Transporte,0),),)</f>
        <v>0</v>
      </c>
      <c r="B1833" s="399"/>
      <c r="C1833" s="1128"/>
      <c r="D1833" s="940"/>
      <c r="E1833" s="940"/>
      <c r="F1833" s="940"/>
      <c r="G1833" s="940"/>
      <c r="H1833" s="940"/>
      <c r="I1833" s="440"/>
      <c r="J1833" s="441" t="str">
        <f>IF($A1833&gt;0,(VLOOKUP($A1833,TablaTransporte,6,FALSE)),"")</f>
        <v/>
      </c>
      <c r="K1833" s="442" t="str">
        <f>IF($A1833&gt;0,(VLOOKUP($A1833,TablaTransporte,5,FALSE)),"")</f>
        <v/>
      </c>
      <c r="L1833" s="1134" t="str">
        <f>IF($A1833&gt;0,(VLOOKUP($A1833,TablaTransporte,7,FALSE)),"")</f>
        <v/>
      </c>
      <c r="M1833" s="941"/>
      <c r="N1833" s="430" t="str">
        <f t="shared" ref="N1833:N1837" si="142">IF(I1833&gt;0,J1833*L1833*I1833,"")</f>
        <v/>
      </c>
      <c r="O1833" s="362"/>
    </row>
    <row r="1834" spans="1:15" ht="15.75" customHeight="1">
      <c r="A1834" s="395">
        <f t="array" ref="A1834">IF(C1834&lt;&gt;0,INDEX(CodTransporte,MATCH(C1834,Transporte,0),),)</f>
        <v>0</v>
      </c>
      <c r="B1834" s="399"/>
      <c r="C1834" s="1128"/>
      <c r="D1834" s="940"/>
      <c r="E1834" s="940"/>
      <c r="F1834" s="940"/>
      <c r="G1834" s="940"/>
      <c r="H1834" s="940"/>
      <c r="I1834" s="440"/>
      <c r="J1834" s="441" t="str">
        <f>IF($A1834&gt;0,(VLOOKUP($A1834,TablaTransporte,6,FALSE)),"")</f>
        <v/>
      </c>
      <c r="K1834" s="442" t="str">
        <f>IF($A1834&gt;0,(VLOOKUP($A1834,TablaTransporte,5,FALSE)),"")</f>
        <v/>
      </c>
      <c r="L1834" s="1134" t="str">
        <f>IF($A1834&gt;0,(VLOOKUP($A1834,TablaTransporte,7,FALSE)),"")</f>
        <v/>
      </c>
      <c r="M1834" s="941"/>
      <c r="N1834" s="430" t="str">
        <f t="shared" si="142"/>
        <v/>
      </c>
      <c r="O1834" s="362"/>
    </row>
    <row r="1835" spans="1:15" ht="15.75" customHeight="1">
      <c r="A1835" s="395">
        <f t="array" ref="A1835">IF(C1835&lt;&gt;0,INDEX(CodTransporte,MATCH(C1835,Transporte,0),),)</f>
        <v>0</v>
      </c>
      <c r="B1835" s="399"/>
      <c r="C1835" s="1128"/>
      <c r="D1835" s="940"/>
      <c r="E1835" s="940"/>
      <c r="F1835" s="940"/>
      <c r="G1835" s="940"/>
      <c r="H1835" s="940"/>
      <c r="I1835" s="440"/>
      <c r="J1835" s="441" t="str">
        <f>IF($A1835&gt;0,(VLOOKUP($A1835,TablaTransporte,6,FALSE)),"")</f>
        <v/>
      </c>
      <c r="K1835" s="442" t="str">
        <f>IF($A1835&gt;0,(VLOOKUP($A1835,TablaTransporte,5,FALSE)),"")</f>
        <v/>
      </c>
      <c r="L1835" s="1134" t="str">
        <f>IF($A1835&gt;0,(VLOOKUP($A1835,TablaTransporte,7,FALSE)),"")</f>
        <v/>
      </c>
      <c r="M1835" s="941"/>
      <c r="N1835" s="430" t="str">
        <f t="shared" si="142"/>
        <v/>
      </c>
      <c r="O1835" s="362"/>
    </row>
    <row r="1836" spans="1:15" ht="15.75" customHeight="1">
      <c r="A1836" s="395">
        <f t="array" ref="A1836">IF(C1836&lt;&gt;0,INDEX(CodTransporte,MATCH(C1836,Transporte,0),),)</f>
        <v>0</v>
      </c>
      <c r="B1836" s="399"/>
      <c r="C1836" s="1128"/>
      <c r="D1836" s="940"/>
      <c r="E1836" s="940"/>
      <c r="F1836" s="940"/>
      <c r="G1836" s="940"/>
      <c r="H1836" s="940"/>
      <c r="I1836" s="440"/>
      <c r="J1836" s="441" t="str">
        <f>IF($A1836&gt;0,(VLOOKUP($A1836,TablaTransporte,6,FALSE)),"")</f>
        <v/>
      </c>
      <c r="K1836" s="442" t="str">
        <f>IF($A1836&gt;0,(VLOOKUP($A1836,TablaTransporte,5,FALSE)),"")</f>
        <v/>
      </c>
      <c r="L1836" s="1134" t="str">
        <f>IF($A1836&gt;0,(VLOOKUP($A1836,TablaTransporte,7,FALSE)),"")</f>
        <v/>
      </c>
      <c r="M1836" s="941"/>
      <c r="N1836" s="430" t="str">
        <f t="shared" si="142"/>
        <v/>
      </c>
      <c r="O1836" s="362"/>
    </row>
    <row r="1837" spans="1:15" ht="15.75" customHeight="1">
      <c r="A1837" s="395">
        <f t="array" ref="A1837">IF(C1837&lt;&gt;0,INDEX(CodTransporte,MATCH(C1837,Transporte,0),),)</f>
        <v>0</v>
      </c>
      <c r="B1837" s="399"/>
      <c r="C1837" s="1128"/>
      <c r="D1837" s="940"/>
      <c r="E1837" s="940"/>
      <c r="F1837" s="940"/>
      <c r="G1837" s="940"/>
      <c r="H1837" s="940"/>
      <c r="I1837" s="440"/>
      <c r="J1837" s="441" t="str">
        <f>IF($A1837&gt;0,(VLOOKUP($A1837,TablaTransporte,6,FALSE)),"")</f>
        <v/>
      </c>
      <c r="K1837" s="442" t="str">
        <f>IF($A1837&gt;0,(VLOOKUP($A1837,TablaTransporte,5,FALSE)),"")</f>
        <v/>
      </c>
      <c r="L1837" s="1205" t="str">
        <f>IF($A1837&gt;0,(VLOOKUP($A1837,TablaTransporte,7,FALSE)),"")</f>
        <v/>
      </c>
      <c r="M1837" s="1145"/>
      <c r="N1837" s="430" t="str">
        <f t="shared" si="142"/>
        <v/>
      </c>
      <c r="O1837" s="362"/>
    </row>
    <row r="1838" spans="1:15" ht="15.75" customHeight="1">
      <c r="A1838" s="395"/>
      <c r="B1838" s="399"/>
      <c r="C1838" s="1127" t="s">
        <v>1202</v>
      </c>
      <c r="D1838" s="965"/>
      <c r="E1838" s="965"/>
      <c r="F1838" s="965"/>
      <c r="G1838" s="965"/>
      <c r="H1838" s="965"/>
      <c r="I1838" s="965"/>
      <c r="J1838" s="965"/>
      <c r="K1838" s="965"/>
      <c r="L1838" s="965"/>
      <c r="M1838" s="966"/>
      <c r="N1838" s="433">
        <f>+SUM(N1833:N1837)</f>
        <v>0</v>
      </c>
      <c r="O1838" s="362"/>
    </row>
    <row r="1839" spans="1:15" ht="15.75" customHeight="1">
      <c r="A1839" s="395"/>
      <c r="B1839" s="399"/>
      <c r="C1839" s="1129" t="s">
        <v>1214</v>
      </c>
      <c r="D1839" s="926"/>
      <c r="E1839" s="926"/>
      <c r="F1839" s="926"/>
      <c r="G1839" s="926"/>
      <c r="H1839" s="926"/>
      <c r="I1839" s="926"/>
      <c r="J1839" s="926"/>
      <c r="K1839" s="926"/>
      <c r="L1839" s="926"/>
      <c r="M1839" s="926"/>
      <c r="N1839" s="927"/>
      <c r="O1839" s="362"/>
    </row>
    <row r="1840" spans="1:15" ht="15.75" customHeight="1">
      <c r="A1840" s="395"/>
      <c r="B1840" s="399"/>
      <c r="C1840" s="920"/>
      <c r="D1840" s="922"/>
      <c r="E1840" s="922"/>
      <c r="F1840" s="922"/>
      <c r="G1840" s="922"/>
      <c r="H1840" s="922"/>
      <c r="I1840" s="922"/>
      <c r="J1840" s="922"/>
      <c r="K1840" s="922"/>
      <c r="L1840" s="922"/>
      <c r="M1840" s="922"/>
      <c r="N1840" s="924"/>
      <c r="O1840" s="362"/>
    </row>
    <row r="1841" spans="1:18" ht="15.75" customHeight="1">
      <c r="A1841" s="395"/>
      <c r="B1841" s="399"/>
      <c r="C1841" s="929"/>
      <c r="D1841" s="936"/>
      <c r="E1841" s="936"/>
      <c r="F1841" s="936"/>
      <c r="G1841" s="936"/>
      <c r="H1841" s="936"/>
      <c r="I1841" s="936"/>
      <c r="J1841" s="936"/>
      <c r="K1841" s="936"/>
      <c r="L1841" s="936"/>
      <c r="M1841" s="936"/>
      <c r="N1841" s="938"/>
      <c r="O1841" s="362"/>
    </row>
    <row r="1842" spans="1:18" ht="15.75" customHeight="1">
      <c r="A1842" s="395"/>
      <c r="B1842" s="399"/>
      <c r="C1842" s="1201" t="s">
        <v>1215</v>
      </c>
      <c r="D1842" s="1131"/>
      <c r="E1842" s="1131"/>
      <c r="F1842" s="1131"/>
      <c r="G1842" s="1131"/>
      <c r="H1842" s="1000"/>
      <c r="I1842" s="670" t="s">
        <v>1216</v>
      </c>
      <c r="J1842" s="676" t="s">
        <v>1217</v>
      </c>
      <c r="K1842" s="677" t="s">
        <v>1218</v>
      </c>
      <c r="L1842" s="1206" t="s">
        <v>1199</v>
      </c>
      <c r="M1842" s="1000"/>
      <c r="N1842" s="678" t="s">
        <v>1200</v>
      </c>
      <c r="O1842" s="362"/>
    </row>
    <row r="1843" spans="1:18" ht="15.75" customHeight="1">
      <c r="A1843" s="395" t="str">
        <f t="array" ref="A1843">IF(C1843&lt;&gt;0,INDEX(CodMO,MATCH(C1843,MO,0),),)</f>
        <v>M.O-05</v>
      </c>
      <c r="B1843" s="399"/>
      <c r="C1843" s="1128" t="s">
        <v>139</v>
      </c>
      <c r="D1843" s="940"/>
      <c r="E1843" s="940"/>
      <c r="F1843" s="940"/>
      <c r="G1843" s="940"/>
      <c r="H1843" s="940"/>
      <c r="I1843" s="447">
        <f>IF($A1843&gt;0,(VLOOKUP($A1843,TablaMO,8,FALSE)),"")</f>
        <v>125030.16666666667</v>
      </c>
      <c r="J1843" s="448">
        <f>IF($A1843&gt;0,(VLOOKUP($A1843,TablaMO,10,FALSE)),"")</f>
        <v>0.67071666666666663</v>
      </c>
      <c r="K1843" s="447">
        <f>IF($A1843&gt;0,(VLOOKUP($A1843,TablaMO,11,FALSE)),"")</f>
        <v>208890</v>
      </c>
      <c r="L1843" s="1146">
        <v>5.92525138864921</v>
      </c>
      <c r="M1843" s="941"/>
      <c r="N1843" s="430">
        <f t="shared" ref="N1843:N1847" si="143">IF(L1843&gt;0,K1843/L1843,"")</f>
        <v>35254.200420958179</v>
      </c>
      <c r="O1843" s="362"/>
    </row>
    <row r="1844" spans="1:18" ht="15.75" customHeight="1">
      <c r="A1844" s="395" t="str">
        <f t="array" ref="A1844">IF(C1844&lt;&gt;0,INDEX(CodMO,MATCH(C1844,MO,0),),)</f>
        <v>M.O-01</v>
      </c>
      <c r="B1844" s="399"/>
      <c r="C1844" s="1128" t="s">
        <v>130</v>
      </c>
      <c r="D1844" s="940"/>
      <c r="E1844" s="940"/>
      <c r="F1844" s="940"/>
      <c r="G1844" s="940"/>
      <c r="H1844" s="940"/>
      <c r="I1844" s="447">
        <f>IF($A1844&gt;0,(VLOOKUP($A1844,TablaMO,8,FALSE)),"")</f>
        <v>72503.016666666677</v>
      </c>
      <c r="J1844" s="448">
        <f>IF($A1844&gt;0,(VLOOKUP($A1844,TablaMO,10,FALSE)),"")</f>
        <v>0.67071666666666663</v>
      </c>
      <c r="K1844" s="447">
        <f>IF($A1844&gt;0,(VLOOKUP($A1844,TablaMO,11,FALSE)),"")</f>
        <v>121132</v>
      </c>
      <c r="L1844" s="1146">
        <f>L1843</f>
        <v>5.92525138864921</v>
      </c>
      <c r="M1844" s="941"/>
      <c r="N1844" s="430">
        <f t="shared" si="143"/>
        <v>20443.352029257054</v>
      </c>
      <c r="O1844" s="362"/>
    </row>
    <row r="1845" spans="1:18" ht="15.75" customHeight="1">
      <c r="A1845" s="395">
        <f t="array" ref="A1845">IF(C1845&lt;&gt;0,INDEX(CodMO,MATCH(C1845,MO,0),),)</f>
        <v>0</v>
      </c>
      <c r="B1845" s="399"/>
      <c r="C1845" s="1128"/>
      <c r="D1845" s="940"/>
      <c r="E1845" s="940"/>
      <c r="F1845" s="940"/>
      <c r="G1845" s="940"/>
      <c r="H1845" s="940"/>
      <c r="I1845" s="447" t="str">
        <f>IF($A1845&gt;0,(VLOOKUP($A1845,TablaMO,8,FALSE)),"")</f>
        <v/>
      </c>
      <c r="J1845" s="448" t="str">
        <f>IF($A1845&gt;0,(VLOOKUP($A1845,TablaMO,10,FALSE)),"")</f>
        <v/>
      </c>
      <c r="K1845" s="447" t="str">
        <f>IF($A1845&gt;0,(VLOOKUP($A1845,TablaMO,11,FALSE)),"")</f>
        <v/>
      </c>
      <c r="L1845" s="1146"/>
      <c r="M1845" s="941"/>
      <c r="N1845" s="430" t="str">
        <f t="shared" si="143"/>
        <v/>
      </c>
      <c r="O1845" s="362"/>
    </row>
    <row r="1846" spans="1:18" ht="15.75" customHeight="1">
      <c r="A1846" s="395">
        <f t="array" ref="A1846">IF(C1846&lt;&gt;0,INDEX(CodMO,MATCH(C1846,MO,0),),)</f>
        <v>0</v>
      </c>
      <c r="B1846" s="399"/>
      <c r="C1846" s="1128"/>
      <c r="D1846" s="940"/>
      <c r="E1846" s="940"/>
      <c r="F1846" s="940"/>
      <c r="G1846" s="940"/>
      <c r="H1846" s="940"/>
      <c r="I1846" s="447" t="str">
        <f>IF($A1846&gt;0,(VLOOKUP($A1846,TablaMO,8,FALSE)),"")</f>
        <v/>
      </c>
      <c r="J1846" s="448" t="str">
        <f>IF($A1846&gt;0,(VLOOKUP($A1846,TablaMO,10,FALSE)),"")</f>
        <v/>
      </c>
      <c r="K1846" s="447" t="str">
        <f>IF($A1846&gt;0,(VLOOKUP($A1846,TablaMO,11,FALSE)),"")</f>
        <v/>
      </c>
      <c r="L1846" s="1146"/>
      <c r="M1846" s="941"/>
      <c r="N1846" s="430" t="str">
        <f t="shared" si="143"/>
        <v/>
      </c>
      <c r="O1846" s="362"/>
    </row>
    <row r="1847" spans="1:18" ht="15.75" customHeight="1">
      <c r="A1847" s="395">
        <f t="array" ref="A1847">IF(C1847&lt;&gt;0,INDEX(CodMO,MATCH(C1847,MO,0),),)</f>
        <v>0</v>
      </c>
      <c r="B1847" s="399"/>
      <c r="C1847" s="1128"/>
      <c r="D1847" s="940"/>
      <c r="E1847" s="940"/>
      <c r="F1847" s="940"/>
      <c r="G1847" s="940"/>
      <c r="H1847" s="940"/>
      <c r="I1847" s="447" t="str">
        <f>IF($A1847&gt;0,(VLOOKUP($A1847,TablaMO,8,FALSE)),"")</f>
        <v/>
      </c>
      <c r="J1847" s="448" t="str">
        <f>IF($A1847&gt;0,(VLOOKUP($A1847,TablaMO,10,FALSE)),"")</f>
        <v/>
      </c>
      <c r="K1847" s="447" t="str">
        <f>IF($A1847&gt;0,(VLOOKUP($A1847,TablaMO,11,FALSE)),"")</f>
        <v/>
      </c>
      <c r="L1847" s="1146"/>
      <c r="M1847" s="941"/>
      <c r="N1847" s="430" t="str">
        <f t="shared" si="143"/>
        <v/>
      </c>
      <c r="O1847" s="362"/>
    </row>
    <row r="1848" spans="1:18" ht="15.75" customHeight="1">
      <c r="A1848" s="395"/>
      <c r="B1848" s="399"/>
      <c r="C1848" s="1127" t="s">
        <v>1202</v>
      </c>
      <c r="D1848" s="965"/>
      <c r="E1848" s="965"/>
      <c r="F1848" s="965"/>
      <c r="G1848" s="965"/>
      <c r="H1848" s="965"/>
      <c r="I1848" s="965"/>
      <c r="J1848" s="965"/>
      <c r="K1848" s="965"/>
      <c r="L1848" s="965"/>
      <c r="M1848" s="966"/>
      <c r="N1848" s="433">
        <f>+SUM(N1843:N1847)</f>
        <v>55697.552450215233</v>
      </c>
      <c r="O1848" s="362"/>
    </row>
    <row r="1849" spans="1:18" ht="15.75" customHeight="1">
      <c r="B1849" s="679"/>
      <c r="O1849" s="362"/>
    </row>
    <row r="1850" spans="1:18" ht="15.75" customHeight="1">
      <c r="B1850" s="679"/>
      <c r="C1850" s="1198" t="s">
        <v>1219</v>
      </c>
      <c r="D1850" s="965"/>
      <c r="E1850" s="965"/>
      <c r="F1850" s="965"/>
      <c r="G1850" s="965"/>
      <c r="H1850" s="965"/>
      <c r="I1850" s="965"/>
      <c r="J1850" s="965"/>
      <c r="K1850" s="965"/>
      <c r="L1850" s="965"/>
      <c r="M1850" s="966"/>
      <c r="N1850" s="680">
        <f>ROUND(SUM(N1848,N1838,N1828,N1815),0)</f>
        <v>102192</v>
      </c>
      <c r="O1850" s="362"/>
      <c r="Q1850" s="681">
        <f>VLOOKUP(C1804,PROPUESTASASERCO,8,FALSE)</f>
        <v>102192</v>
      </c>
      <c r="R1850" s="682">
        <f>Q1850-N1850</f>
        <v>0</v>
      </c>
    </row>
    <row r="1851" spans="1:18" ht="15.75" customHeight="1">
      <c r="B1851" s="679"/>
      <c r="C1851" s="1129" t="s">
        <v>1220</v>
      </c>
      <c r="D1851" s="926"/>
      <c r="E1851" s="926"/>
      <c r="F1851" s="926"/>
      <c r="G1851" s="926"/>
      <c r="H1851" s="926"/>
      <c r="I1851" s="926"/>
      <c r="J1851" s="926"/>
      <c r="K1851" s="926"/>
      <c r="L1851" s="926"/>
      <c r="M1851" s="926"/>
      <c r="N1851" s="927"/>
      <c r="O1851" s="362"/>
    </row>
    <row r="1852" spans="1:18" ht="15.75" customHeight="1">
      <c r="B1852" s="679"/>
      <c r="C1852" s="920"/>
      <c r="D1852" s="922"/>
      <c r="E1852" s="922"/>
      <c r="F1852" s="922"/>
      <c r="G1852" s="922"/>
      <c r="H1852" s="922"/>
      <c r="I1852" s="922"/>
      <c r="J1852" s="922"/>
      <c r="K1852" s="922"/>
      <c r="L1852" s="922"/>
      <c r="M1852" s="922"/>
      <c r="N1852" s="924"/>
      <c r="O1852" s="362"/>
    </row>
    <row r="1853" spans="1:18" ht="15.75" customHeight="1">
      <c r="B1853" s="679"/>
      <c r="C1853" s="929"/>
      <c r="D1853" s="936"/>
      <c r="E1853" s="936"/>
      <c r="F1853" s="936"/>
      <c r="G1853" s="936"/>
      <c r="H1853" s="936"/>
      <c r="I1853" s="936"/>
      <c r="J1853" s="936"/>
      <c r="K1853" s="936"/>
      <c r="L1853" s="936"/>
      <c r="M1853" s="936"/>
      <c r="N1853" s="938"/>
      <c r="O1853" s="362"/>
    </row>
    <row r="1854" spans="1:18" ht="15.75" customHeight="1">
      <c r="B1854" s="679"/>
      <c r="C1854" s="1201" t="s">
        <v>1221</v>
      </c>
      <c r="D1854" s="1131"/>
      <c r="E1854" s="1131"/>
      <c r="F1854" s="1131"/>
      <c r="G1854" s="1131"/>
      <c r="H1854" s="1132"/>
      <c r="I1854" s="674"/>
      <c r="J1854" s="674"/>
      <c r="K1854" s="674"/>
      <c r="L1854" s="1206" t="s">
        <v>1222</v>
      </c>
      <c r="M1854" s="1000"/>
      <c r="N1854" s="678" t="s">
        <v>1223</v>
      </c>
      <c r="O1854" s="362"/>
    </row>
    <row r="1855" spans="1:18" ht="15.75" customHeight="1">
      <c r="B1855" s="679"/>
      <c r="C1855" s="1128" t="s">
        <v>19</v>
      </c>
      <c r="D1855" s="940"/>
      <c r="E1855" s="940"/>
      <c r="F1855" s="940"/>
      <c r="G1855" s="940"/>
      <c r="H1855" s="940"/>
      <c r="I1855" s="452"/>
      <c r="J1855" s="452"/>
      <c r="K1855" s="452"/>
      <c r="L1855" s="1148">
        <f>+Datos!$E$18</f>
        <v>0.25</v>
      </c>
      <c r="M1855" s="941"/>
      <c r="N1855" s="430">
        <f>+L1855*N1850</f>
        <v>25548</v>
      </c>
      <c r="O1855" s="362"/>
    </row>
    <row r="1856" spans="1:18" ht="15.75" customHeight="1">
      <c r="B1856" s="679"/>
      <c r="C1856" s="454" t="s">
        <v>20</v>
      </c>
      <c r="D1856" s="455"/>
      <c r="E1856" s="455"/>
      <c r="F1856" s="455"/>
      <c r="G1856" s="455"/>
      <c r="H1856" s="455"/>
      <c r="I1856" s="452"/>
      <c r="J1856" s="452"/>
      <c r="K1856" s="452"/>
      <c r="L1856" s="1148">
        <f>+Datos!$E$19</f>
        <v>0.01</v>
      </c>
      <c r="M1856" s="941"/>
      <c r="N1856" s="430">
        <f>+L1856*N1850</f>
        <v>1021.9200000000001</v>
      </c>
      <c r="O1856" s="362"/>
    </row>
    <row r="1857" spans="1:15" ht="15.75" customHeight="1">
      <c r="B1857" s="679"/>
      <c r="C1857" s="456" t="s">
        <v>21</v>
      </c>
      <c r="D1857" s="457"/>
      <c r="E1857" s="457"/>
      <c r="F1857" s="457"/>
      <c r="G1857" s="457"/>
      <c r="H1857" s="457"/>
      <c r="I1857" s="458"/>
      <c r="J1857" s="458"/>
      <c r="K1857" s="458"/>
      <c r="L1857" s="1148">
        <f>+Datos!$E$20</f>
        <v>0.05</v>
      </c>
      <c r="M1857" s="941"/>
      <c r="N1857" s="430">
        <f>+L1857*N1850</f>
        <v>5109.6000000000004</v>
      </c>
      <c r="O1857" s="362"/>
    </row>
    <row r="1858" spans="1:15" ht="15.75" customHeight="1">
      <c r="B1858" s="679"/>
      <c r="C1858" s="1127" t="s">
        <v>1202</v>
      </c>
      <c r="D1858" s="965"/>
      <c r="E1858" s="965"/>
      <c r="F1858" s="965"/>
      <c r="G1858" s="965"/>
      <c r="H1858" s="965"/>
      <c r="I1858" s="965"/>
      <c r="J1858" s="965"/>
      <c r="K1858" s="965"/>
      <c r="L1858" s="965"/>
      <c r="M1858" s="966"/>
      <c r="N1858" s="433">
        <f>+SUM(N1855:N1857)</f>
        <v>31679.519999999997</v>
      </c>
      <c r="O1858" s="362"/>
    </row>
    <row r="1859" spans="1:15" ht="15.75" customHeight="1">
      <c r="B1859" s="679"/>
      <c r="C1859" s="418"/>
      <c r="D1859" s="39"/>
      <c r="E1859" s="39"/>
      <c r="F1859" s="39"/>
      <c r="G1859" s="39"/>
      <c r="H1859" s="39"/>
      <c r="I1859" s="39"/>
      <c r="J1859" s="39"/>
      <c r="K1859" s="39"/>
      <c r="L1859" s="39"/>
      <c r="M1859" s="39"/>
      <c r="N1859" s="40"/>
      <c r="O1859" s="362"/>
    </row>
    <row r="1860" spans="1:15" ht="15.75" customHeight="1">
      <c r="B1860" s="679"/>
      <c r="C1860" s="1198" t="s">
        <v>1224</v>
      </c>
      <c r="D1860" s="965"/>
      <c r="E1860" s="965"/>
      <c r="F1860" s="965"/>
      <c r="G1860" s="965"/>
      <c r="H1860" s="965"/>
      <c r="I1860" s="965"/>
      <c r="J1860" s="965"/>
      <c r="K1860" s="965"/>
      <c r="L1860" s="965"/>
      <c r="M1860" s="966"/>
      <c r="N1860" s="683">
        <f>+ROUND(SUM(N1858,N1850),0)</f>
        <v>133872</v>
      </c>
      <c r="O1860" s="362"/>
    </row>
    <row r="1861" spans="1:15" ht="15.75" customHeight="1">
      <c r="B1861" s="679"/>
      <c r="C1861" s="418"/>
      <c r="D1861" s="39" t="s">
        <v>1225</v>
      </c>
      <c r="E1861" s="39"/>
      <c r="F1861" s="39"/>
      <c r="G1861" s="184"/>
      <c r="H1861" s="184"/>
      <c r="I1861" s="184"/>
      <c r="J1861" s="39" t="s">
        <v>1225</v>
      </c>
      <c r="K1861" s="39"/>
      <c r="L1861" s="39"/>
      <c r="M1861" s="39"/>
      <c r="N1861" s="40"/>
      <c r="O1861" s="362"/>
    </row>
    <row r="1862" spans="1:15" ht="15.75" customHeight="1">
      <c r="B1862" s="679"/>
      <c r="C1862" s="418"/>
      <c r="D1862" s="39" t="s">
        <v>1226</v>
      </c>
      <c r="E1862" s="39"/>
      <c r="F1862" s="39"/>
      <c r="G1862" s="184"/>
      <c r="H1862" s="184"/>
      <c r="I1862" s="184"/>
      <c r="J1862" s="39" t="s">
        <v>1227</v>
      </c>
      <c r="K1862" s="39"/>
      <c r="L1862" s="39"/>
      <c r="M1862" s="39"/>
      <c r="N1862" s="40"/>
      <c r="O1862" s="362"/>
    </row>
    <row r="1863" spans="1:15" ht="15.75" customHeight="1">
      <c r="B1863" s="679"/>
      <c r="C1863" s="404"/>
      <c r="D1863" s="39" t="s">
        <v>1228</v>
      </c>
      <c r="E1863" s="42"/>
      <c r="F1863" s="42"/>
      <c r="G1863" s="184"/>
      <c r="H1863" s="184"/>
      <c r="I1863" s="184"/>
      <c r="J1863" s="39" t="s">
        <v>1228</v>
      </c>
      <c r="K1863" s="42"/>
      <c r="L1863" s="42"/>
      <c r="M1863" s="42"/>
      <c r="N1863" s="43"/>
      <c r="O1863" s="362"/>
    </row>
    <row r="1864" spans="1:15" ht="15.75" customHeight="1">
      <c r="B1864" s="679"/>
      <c r="C1864" s="418"/>
      <c r="D1864" s="39"/>
      <c r="E1864" s="39"/>
      <c r="F1864" s="39"/>
      <c r="G1864" s="39" t="s">
        <v>1229</v>
      </c>
      <c r="H1864" s="39"/>
      <c r="I1864" s="39"/>
      <c r="J1864" s="39"/>
      <c r="K1864" s="39"/>
      <c r="L1864" s="39"/>
      <c r="M1864" s="39"/>
      <c r="N1864" s="40"/>
      <c r="O1864" s="362"/>
    </row>
    <row r="1865" spans="1:15" ht="15.75" customHeight="1">
      <c r="B1865" s="679"/>
      <c r="C1865" s="466"/>
      <c r="D1865" s="467"/>
      <c r="E1865" s="467"/>
      <c r="F1865" s="39"/>
      <c r="G1865" s="39"/>
      <c r="H1865" s="39"/>
      <c r="I1865" s="39"/>
      <c r="J1865" s="1149"/>
      <c r="K1865" s="922"/>
      <c r="L1865" s="922"/>
      <c r="M1865" s="922"/>
      <c r="N1865" s="924"/>
      <c r="O1865" s="362"/>
    </row>
    <row r="1866" spans="1:15" ht="15.75" customHeight="1">
      <c r="B1866" s="679"/>
      <c r="C1866" s="1150"/>
      <c r="D1866" s="936"/>
      <c r="E1866" s="936"/>
      <c r="F1866" s="416"/>
      <c r="G1866" s="416"/>
      <c r="H1866" s="416"/>
      <c r="I1866" s="416"/>
      <c r="J1866" s="936"/>
      <c r="K1866" s="936"/>
      <c r="L1866" s="936"/>
      <c r="M1866" s="936"/>
      <c r="N1866" s="938"/>
      <c r="O1866" s="362"/>
    </row>
    <row r="1867" spans="1:15" ht="15.75" customHeight="1">
      <c r="B1867" s="684"/>
      <c r="C1867" s="685"/>
      <c r="D1867" s="685"/>
      <c r="E1867" s="685"/>
      <c r="F1867" s="685"/>
      <c r="G1867" s="685"/>
      <c r="H1867" s="685"/>
      <c r="I1867" s="685"/>
      <c r="J1867" s="685"/>
      <c r="K1867" s="685"/>
      <c r="L1867" s="685"/>
      <c r="M1867" s="685"/>
      <c r="N1867" s="685"/>
      <c r="O1867" s="686"/>
    </row>
    <row r="1868" spans="1:15" ht="15.75" customHeight="1"/>
    <row r="1869" spans="1:15" ht="15.75" customHeight="1"/>
    <row r="1870" spans="1:15" ht="15.75" customHeight="1"/>
    <row r="1871" spans="1:15" ht="15.75" customHeight="1"/>
    <row r="1872" spans="1:15" ht="15.75" customHeight="1">
      <c r="A1872" s="395" t="s">
        <v>941</v>
      </c>
      <c r="B1872" s="184"/>
      <c r="C1872" s="184"/>
      <c r="D1872" s="184"/>
      <c r="E1872" s="184"/>
      <c r="F1872" s="184"/>
      <c r="G1872" s="184"/>
      <c r="H1872" s="184"/>
      <c r="I1872" s="184"/>
      <c r="J1872" s="184"/>
      <c r="K1872" s="184"/>
      <c r="L1872" s="184"/>
      <c r="M1872" s="184"/>
      <c r="N1872" s="184"/>
    </row>
    <row r="1873" spans="1:15" ht="15.75" customHeight="1">
      <c r="A1873" s="395"/>
      <c r="B1873" s="396"/>
      <c r="C1873" s="397"/>
      <c r="D1873" s="397"/>
      <c r="E1873" s="397"/>
      <c r="F1873" s="397"/>
      <c r="G1873" s="397"/>
      <c r="H1873" s="397"/>
      <c r="I1873" s="397"/>
      <c r="J1873" s="397"/>
      <c r="K1873" s="397"/>
      <c r="L1873" s="397"/>
      <c r="M1873" s="397"/>
      <c r="N1873" s="397"/>
      <c r="O1873" s="667"/>
    </row>
    <row r="1874" spans="1:15" ht="15.75" customHeight="1">
      <c r="A1874" s="395"/>
      <c r="B1874" s="399"/>
      <c r="C1874" s="1124"/>
      <c r="D1874" s="927"/>
      <c r="E1874" s="1207" t="str">
        <f>Datos!$C$9</f>
        <v>CONSEJO SUPERIOR  DE  JUDICATURA– DIRECCIÓN  EJECUTIVA  SECCIONAL  DE ADMINISTRACIÓN JUDICIAL DE BUCARAMANGA</v>
      </c>
      <c r="F1874" s="926"/>
      <c r="G1874" s="926"/>
      <c r="H1874" s="926"/>
      <c r="I1874" s="926"/>
      <c r="J1874" s="926"/>
      <c r="K1874" s="927"/>
      <c r="L1874" s="925" t="s">
        <v>1</v>
      </c>
      <c r="M1874" s="931"/>
      <c r="N1874" s="933">
        <v>1</v>
      </c>
      <c r="O1874" s="362"/>
    </row>
    <row r="1875" spans="1:15" ht="15.75" customHeight="1">
      <c r="A1875" s="395"/>
      <c r="B1875" s="399"/>
      <c r="C1875" s="920"/>
      <c r="D1875" s="924"/>
      <c r="E1875" s="920"/>
      <c r="F1875" s="922"/>
      <c r="G1875" s="922"/>
      <c r="H1875" s="922"/>
      <c r="I1875" s="922"/>
      <c r="J1875" s="922"/>
      <c r="K1875" s="924"/>
      <c r="L1875" s="920"/>
      <c r="M1875" s="932"/>
      <c r="N1875" s="934"/>
      <c r="O1875" s="362"/>
    </row>
    <row r="1876" spans="1:15" ht="15.75" customHeight="1">
      <c r="A1876" s="395"/>
      <c r="B1876" s="399"/>
      <c r="C1876" s="920"/>
      <c r="D1876" s="924"/>
      <c r="E1876" s="919" t="str">
        <f>Datos!$C$13</f>
        <v xml:space="preserve">BGA - 030 - 2026 </v>
      </c>
      <c r="F1876" s="922"/>
      <c r="G1876" s="922"/>
      <c r="H1876" s="922"/>
      <c r="I1876" s="922"/>
      <c r="J1876" s="922"/>
      <c r="K1876" s="922"/>
      <c r="L1876" s="925" t="s">
        <v>29</v>
      </c>
      <c r="M1876" s="926"/>
      <c r="N1876" s="927"/>
      <c r="O1876" s="362"/>
    </row>
    <row r="1877" spans="1:15" ht="15.75" customHeight="1">
      <c r="A1877" s="395"/>
      <c r="B1877" s="399"/>
      <c r="C1877" s="920"/>
      <c r="D1877" s="924"/>
      <c r="E187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877" s="922"/>
      <c r="G1877" s="922"/>
      <c r="H1877" s="922"/>
      <c r="I1877" s="922"/>
      <c r="J1877" s="922"/>
      <c r="K1877" s="924"/>
      <c r="L1877" s="919">
        <v>1</v>
      </c>
      <c r="M1877" s="921" t="s">
        <v>30</v>
      </c>
      <c r="N1877" s="923">
        <v>1</v>
      </c>
      <c r="O1877" s="362"/>
    </row>
    <row r="1878" spans="1:15" ht="15.75" customHeight="1">
      <c r="A1878" s="395"/>
      <c r="B1878" s="399"/>
      <c r="C1878" s="920"/>
      <c r="D1878" s="924"/>
      <c r="E1878" s="920"/>
      <c r="F1878" s="922"/>
      <c r="G1878" s="922"/>
      <c r="H1878" s="922"/>
      <c r="I1878" s="922"/>
      <c r="J1878" s="922"/>
      <c r="K1878" s="924"/>
      <c r="L1878" s="920"/>
      <c r="M1878" s="922"/>
      <c r="N1878" s="924"/>
      <c r="O1878" s="362"/>
    </row>
    <row r="1879" spans="1:15" ht="15.75" customHeight="1">
      <c r="A1879" s="395"/>
      <c r="B1879" s="399"/>
      <c r="C1879" s="920"/>
      <c r="D1879" s="924"/>
      <c r="E1879" s="920"/>
      <c r="F1879" s="922"/>
      <c r="G1879" s="922"/>
      <c r="H1879" s="922"/>
      <c r="I1879" s="922"/>
      <c r="J1879" s="922"/>
      <c r="K1879" s="924"/>
      <c r="L1879" s="925" t="s">
        <v>2</v>
      </c>
      <c r="M1879" s="926"/>
      <c r="N1879" s="927"/>
      <c r="O1879" s="362"/>
    </row>
    <row r="1880" spans="1:15" ht="15.75" customHeight="1">
      <c r="A1880" s="395"/>
      <c r="B1880" s="399"/>
      <c r="C1880" s="920"/>
      <c r="D1880" s="924"/>
      <c r="E1880" s="407"/>
      <c r="F1880" s="216"/>
      <c r="G1880" s="216"/>
      <c r="H1880" s="216"/>
      <c r="I1880" s="216"/>
      <c r="J1880" s="216"/>
      <c r="K1880" s="216"/>
      <c r="L1880" s="408" t="s">
        <v>3</v>
      </c>
      <c r="M1880" s="409" t="s">
        <v>4</v>
      </c>
      <c r="N1880" s="410" t="s">
        <v>5</v>
      </c>
      <c r="O1880" s="362"/>
    </row>
    <row r="1881" spans="1:15" ht="15.75" customHeight="1">
      <c r="A1881" s="395"/>
      <c r="B1881" s="399"/>
      <c r="C1881" s="920"/>
      <c r="D1881" s="924"/>
      <c r="E1881" s="1125" t="s">
        <v>1186</v>
      </c>
      <c r="F1881" s="945"/>
      <c r="G1881" s="945"/>
      <c r="H1881" s="945"/>
      <c r="I1881" s="945"/>
      <c r="J1881" s="945"/>
      <c r="K1881" s="945"/>
      <c r="L1881" s="928">
        <f>Datos!$C$7</f>
        <v>19</v>
      </c>
      <c r="M1881" s="935">
        <f>Datos!$D$7</f>
        <v>6</v>
      </c>
      <c r="N1881" s="937">
        <f>Datos!$E$7</f>
        <v>2026</v>
      </c>
      <c r="O1881" s="362"/>
    </row>
    <row r="1882" spans="1:15" ht="15.75" customHeight="1">
      <c r="A1882" s="395"/>
      <c r="B1882" s="399"/>
      <c r="C1882" s="929"/>
      <c r="D1882" s="938"/>
      <c r="E1882" s="929"/>
      <c r="F1882" s="936"/>
      <c r="G1882" s="936"/>
      <c r="H1882" s="936"/>
      <c r="I1882" s="936"/>
      <c r="J1882" s="936"/>
      <c r="K1882" s="936"/>
      <c r="L1882" s="929"/>
      <c r="M1882" s="936"/>
      <c r="N1882" s="938"/>
      <c r="O1882" s="362"/>
    </row>
    <row r="1883" spans="1:15" ht="15.75" customHeight="1">
      <c r="A1883" s="395"/>
      <c r="B1883" s="399"/>
      <c r="C1883" s="404"/>
      <c r="D1883" s="38"/>
      <c r="E1883" s="38"/>
      <c r="F1883" s="38"/>
      <c r="G1883" s="38"/>
      <c r="H1883" s="38"/>
      <c r="I1883" s="38"/>
      <c r="J1883" s="38"/>
      <c r="K1883" s="38"/>
      <c r="L1883" s="39"/>
      <c r="M1883" s="39"/>
      <c r="N1883" s="40"/>
      <c r="O1883" s="362"/>
    </row>
    <row r="1884" spans="1:15" ht="15.75" customHeight="1">
      <c r="A1884" s="395"/>
      <c r="B1884" s="399"/>
      <c r="C1884" s="412" t="s">
        <v>1187</v>
      </c>
      <c r="D1884" s="1199" t="str">
        <f>VLOOKUP(C1889,ListaAct,2,0)</f>
        <v>OBRA CIVIL</v>
      </c>
      <c r="E1884" s="922"/>
      <c r="F1884" s="922"/>
      <c r="G1884" s="922"/>
      <c r="H1884" s="922"/>
      <c r="I1884" s="922"/>
      <c r="J1884" s="922"/>
      <c r="K1884" s="922"/>
      <c r="L1884" s="922"/>
      <c r="M1884" s="1"/>
      <c r="N1884" s="413"/>
      <c r="O1884" s="362"/>
    </row>
    <row r="1885" spans="1:15" ht="15.75" customHeight="1">
      <c r="A1885" s="395"/>
      <c r="B1885" s="399"/>
      <c r="C1885" s="412" t="s">
        <v>1189</v>
      </c>
      <c r="D1885" s="1199" t="str">
        <f>VLOOKUP(C1889,ListaAct,3,0)</f>
        <v>CONCRETO</v>
      </c>
      <c r="E1885" s="922"/>
      <c r="F1885" s="922"/>
      <c r="G1885" s="922"/>
      <c r="H1885" s="922"/>
      <c r="I1885" s="922"/>
      <c r="J1885" s="922"/>
      <c r="K1885" s="922"/>
      <c r="L1885" s="922"/>
      <c r="M1885" s="1"/>
      <c r="N1885" s="413"/>
      <c r="O1885" s="362"/>
    </row>
    <row r="1886" spans="1:15" ht="15.75" customHeight="1">
      <c r="A1886" s="395"/>
      <c r="B1886" s="399"/>
      <c r="C1886" s="925" t="s">
        <v>1191</v>
      </c>
      <c r="D1886" s="926"/>
      <c r="E1886" s="926"/>
      <c r="F1886" s="926"/>
      <c r="G1886" s="926"/>
      <c r="H1886" s="926"/>
      <c r="I1886" s="926"/>
      <c r="J1886" s="926"/>
      <c r="K1886" s="926"/>
      <c r="L1886" s="926"/>
      <c r="M1886" s="926"/>
      <c r="N1886" s="927"/>
      <c r="O1886" s="362"/>
    </row>
    <row r="1887" spans="1:15" ht="15.75" customHeight="1">
      <c r="A1887" s="395"/>
      <c r="B1887" s="399"/>
      <c r="C1887" s="418"/>
      <c r="D1887" s="39"/>
      <c r="E1887" s="39"/>
      <c r="F1887" s="39"/>
      <c r="G1887" s="39"/>
      <c r="H1887" s="39"/>
      <c r="I1887" s="39"/>
      <c r="J1887" s="39"/>
      <c r="K1887" s="39"/>
      <c r="L1887" s="39"/>
      <c r="M1887" s="39"/>
      <c r="N1887" s="40"/>
      <c r="O1887" s="362"/>
    </row>
    <row r="1888" spans="1:15" ht="15.75" customHeight="1">
      <c r="A1888" s="395"/>
      <c r="B1888" s="399"/>
      <c r="C1888" s="668" t="s">
        <v>965</v>
      </c>
      <c r="D1888" s="1200" t="s">
        <v>17</v>
      </c>
      <c r="E1888" s="1131"/>
      <c r="F1888" s="1131"/>
      <c r="G1888" s="1131"/>
      <c r="H1888" s="1131"/>
      <c r="I1888" s="1131"/>
      <c r="J1888" s="1131"/>
      <c r="K1888" s="1137"/>
      <c r="L1888" s="1201" t="s">
        <v>1192</v>
      </c>
      <c r="M1888" s="1137"/>
      <c r="N1888" s="668" t="s">
        <v>950</v>
      </c>
      <c r="O1888" s="362"/>
    </row>
    <row r="1889" spans="1:15" ht="15.75" customHeight="1">
      <c r="A1889" s="395"/>
      <c r="B1889" s="421"/>
      <c r="C1889" s="669" t="s">
        <v>1055</v>
      </c>
      <c r="D1889" s="1202" t="str">
        <f>IF($C1889&gt;0,(VLOOKUP($C1889,ListaAct,4,FALSE)),"")</f>
        <v xml:space="preserve"> Placa de concreto reforzado e=12 cm costado norte con pendiente del 2%, malla electrosoldad de 8,5 mm. </v>
      </c>
      <c r="E1889" s="979"/>
      <c r="F1889" s="979"/>
      <c r="G1889" s="979"/>
      <c r="H1889" s="979"/>
      <c r="I1889" s="979"/>
      <c r="J1889" s="979"/>
      <c r="K1889" s="980"/>
      <c r="L1889" s="1203" t="str">
        <f>IF($C1889&gt;0,(VLOOKUP($C1889,ListaAct,5,FALSE)),"")</f>
        <v>m2</v>
      </c>
      <c r="M1889" s="980"/>
      <c r="N1889" s="423">
        <f>IF($C1889&gt;0,(VLOOKUP($C1889,ListaAct,6,FALSE)),"")</f>
        <v>13.42</v>
      </c>
      <c r="O1889" s="362"/>
    </row>
    <row r="1890" spans="1:15" ht="15.75" customHeight="1">
      <c r="A1890" s="395"/>
      <c r="B1890" s="399"/>
      <c r="C1890" s="1129" t="s">
        <v>1195</v>
      </c>
      <c r="D1890" s="926"/>
      <c r="E1890" s="926"/>
      <c r="F1890" s="926"/>
      <c r="G1890" s="926"/>
      <c r="H1890" s="926"/>
      <c r="I1890" s="926"/>
      <c r="J1890" s="926"/>
      <c r="K1890" s="926"/>
      <c r="L1890" s="926"/>
      <c r="M1890" s="926"/>
      <c r="N1890" s="927"/>
      <c r="O1890" s="362"/>
    </row>
    <row r="1891" spans="1:15" ht="15.75" customHeight="1">
      <c r="A1891" s="395"/>
      <c r="B1891" s="399"/>
      <c r="C1891" s="920"/>
      <c r="D1891" s="922"/>
      <c r="E1891" s="922"/>
      <c r="F1891" s="922"/>
      <c r="G1891" s="922"/>
      <c r="H1891" s="922"/>
      <c r="I1891" s="922"/>
      <c r="J1891" s="922"/>
      <c r="K1891" s="922"/>
      <c r="L1891" s="922"/>
      <c r="M1891" s="922"/>
      <c r="N1891" s="924"/>
      <c r="O1891" s="362"/>
    </row>
    <row r="1892" spans="1:15" ht="15.75" customHeight="1">
      <c r="A1892" s="395"/>
      <c r="B1892" s="399"/>
      <c r="C1892" s="929"/>
      <c r="D1892" s="936"/>
      <c r="E1892" s="936"/>
      <c r="F1892" s="936"/>
      <c r="G1892" s="936"/>
      <c r="H1892" s="936"/>
      <c r="I1892" s="936"/>
      <c r="J1892" s="936"/>
      <c r="K1892" s="936"/>
      <c r="L1892" s="936"/>
      <c r="M1892" s="936"/>
      <c r="N1892" s="938"/>
      <c r="O1892" s="362"/>
    </row>
    <row r="1893" spans="1:15" ht="15.75" customHeight="1">
      <c r="A1893" s="395"/>
      <c r="B1893" s="399"/>
      <c r="C1893" s="1201" t="s">
        <v>17</v>
      </c>
      <c r="D1893" s="1131"/>
      <c r="E1893" s="1131"/>
      <c r="F1893" s="1000"/>
      <c r="G1893" s="1204" t="s">
        <v>1196</v>
      </c>
      <c r="H1893" s="1000"/>
      <c r="I1893" s="1204" t="s">
        <v>1197</v>
      </c>
      <c r="J1893" s="1000"/>
      <c r="K1893" s="670" t="s">
        <v>1213</v>
      </c>
      <c r="L1893" s="1204" t="s">
        <v>1199</v>
      </c>
      <c r="M1893" s="1000"/>
      <c r="N1893" s="671" t="s">
        <v>1200</v>
      </c>
      <c r="O1893" s="362"/>
    </row>
    <row r="1894" spans="1:15" ht="15.75" customHeight="1">
      <c r="A1894" s="395"/>
      <c r="B1894" s="399"/>
      <c r="C1894" s="1128" t="s">
        <v>1201</v>
      </c>
      <c r="D1894" s="940"/>
      <c r="E1894" s="940"/>
      <c r="F1894" s="941"/>
      <c r="G1894" s="1142"/>
      <c r="H1894" s="941"/>
      <c r="I1894" s="1142"/>
      <c r="J1894" s="941"/>
      <c r="K1894" s="429"/>
      <c r="L1894" s="1143">
        <v>0.06</v>
      </c>
      <c r="M1894" s="941"/>
      <c r="N1894" s="430">
        <f>+L1894*N1933</f>
        <v>4583.3928825393104</v>
      </c>
      <c r="O1894" s="362"/>
    </row>
    <row r="1895" spans="1:15" ht="15.75" customHeight="1">
      <c r="A1895" s="395" t="str">
        <f t="array" ref="A1895">IF(C1895&lt;&gt;0,INDEX(CodEquipos,MATCH(C1895,Equipos,0),),)</f>
        <v>EQ-13</v>
      </c>
      <c r="B1895" s="399"/>
      <c r="C1895" s="1128" t="s">
        <v>2524</v>
      </c>
      <c r="D1895" s="940"/>
      <c r="E1895" s="940"/>
      <c r="F1895" s="941"/>
      <c r="G1895" s="1142"/>
      <c r="H1895" s="941"/>
      <c r="I1895" s="1142"/>
      <c r="J1895" s="941"/>
      <c r="K1895" s="432">
        <f>IF($A1895&gt;0,(VLOOKUP($A1895,TablaEquipos,7,FALSE)),"")</f>
        <v>127330</v>
      </c>
      <c r="L1895" s="1146">
        <v>0.03</v>
      </c>
      <c r="M1895" s="941"/>
      <c r="N1895" s="430">
        <f>IF(L1895&gt;0,K1895*L1895,"")</f>
        <v>3819.8999999999996</v>
      </c>
      <c r="O1895" s="362"/>
    </row>
    <row r="1896" spans="1:15" ht="15.75" customHeight="1">
      <c r="A1896" s="395">
        <f t="array" ref="A1896">IF(C1896&lt;&gt;0,INDEX(CodEquipos,MATCH(C1896,Equipos,0),),)</f>
        <v>0</v>
      </c>
      <c r="B1896" s="399"/>
      <c r="C1896" s="1128"/>
      <c r="D1896" s="940"/>
      <c r="E1896" s="940"/>
      <c r="F1896" s="941"/>
      <c r="G1896" s="1142"/>
      <c r="H1896" s="941"/>
      <c r="I1896" s="1142"/>
      <c r="J1896" s="941"/>
      <c r="K1896" s="432" t="str">
        <f>IF($A1896&gt;0,(VLOOKUP($A1896,TablaEquipos,7,FALSE)),"")</f>
        <v/>
      </c>
      <c r="L1896" s="1146"/>
      <c r="M1896" s="941"/>
      <c r="N1896" s="430" t="str">
        <f t="shared" ref="N1896:N1899" si="144">IF(L1896&gt;0,K1896/L1896,"")</f>
        <v/>
      </c>
      <c r="O1896" s="362"/>
    </row>
    <row r="1897" spans="1:15" ht="15.75" customHeight="1">
      <c r="A1897" s="395">
        <f t="array" ref="A1897">IF(C1897&lt;&gt;0,INDEX(CodEquipos,MATCH(C1897,Equipos,0),),)</f>
        <v>0</v>
      </c>
      <c r="B1897" s="399"/>
      <c r="C1897" s="1128"/>
      <c r="D1897" s="940"/>
      <c r="E1897" s="940"/>
      <c r="F1897" s="941"/>
      <c r="G1897" s="1142"/>
      <c r="H1897" s="941"/>
      <c r="I1897" s="1142"/>
      <c r="J1897" s="941"/>
      <c r="K1897" s="432" t="str">
        <f>IF($A1897&gt;0,(VLOOKUP($A1897,TablaEquipos,7,FALSE)),"")</f>
        <v/>
      </c>
      <c r="L1897" s="1146"/>
      <c r="M1897" s="941"/>
      <c r="N1897" s="430" t="str">
        <f t="shared" si="144"/>
        <v/>
      </c>
      <c r="O1897" s="362"/>
    </row>
    <row r="1898" spans="1:15" ht="15.75" customHeight="1">
      <c r="A1898" s="395">
        <f t="array" ref="A1898">IF(C1898&lt;&gt;0,INDEX(CodEquipos,MATCH(C1898,Equipos,0),),)</f>
        <v>0</v>
      </c>
      <c r="B1898" s="399"/>
      <c r="C1898" s="1128"/>
      <c r="D1898" s="940"/>
      <c r="E1898" s="940"/>
      <c r="F1898" s="941"/>
      <c r="G1898" s="1142"/>
      <c r="H1898" s="941"/>
      <c r="I1898" s="1142"/>
      <c r="J1898" s="941"/>
      <c r="K1898" s="432" t="str">
        <f>IF($A1898&gt;0,(VLOOKUP($A1898,TablaEquipos,7,FALSE)),"")</f>
        <v/>
      </c>
      <c r="L1898" s="1141"/>
      <c r="M1898" s="941"/>
      <c r="N1898" s="430" t="str">
        <f t="shared" si="144"/>
        <v/>
      </c>
      <c r="O1898" s="362"/>
    </row>
    <row r="1899" spans="1:15" ht="15.75" customHeight="1">
      <c r="A1899" s="395">
        <f t="array" ref="A1899">IF(C1899&lt;&gt;0,INDEX(CodEquipos,MATCH(C1899,Equipos,0),),)</f>
        <v>0</v>
      </c>
      <c r="B1899" s="399"/>
      <c r="C1899" s="1128"/>
      <c r="D1899" s="940"/>
      <c r="E1899" s="940"/>
      <c r="F1899" s="941"/>
      <c r="G1899" s="1144"/>
      <c r="H1899" s="1145"/>
      <c r="I1899" s="1144"/>
      <c r="J1899" s="1145"/>
      <c r="K1899" s="432" t="str">
        <f>IF($A1899&gt;0,(VLOOKUP($A1899,TablaEquipos,7,FALSE)),"")</f>
        <v/>
      </c>
      <c r="L1899" s="1208"/>
      <c r="M1899" s="1145"/>
      <c r="N1899" s="430" t="str">
        <f t="shared" si="144"/>
        <v/>
      </c>
      <c r="O1899" s="362"/>
    </row>
    <row r="1900" spans="1:15" ht="15.75" customHeight="1">
      <c r="A1900" s="395"/>
      <c r="B1900" s="399"/>
      <c r="C1900" s="1127" t="s">
        <v>1202</v>
      </c>
      <c r="D1900" s="965"/>
      <c r="E1900" s="965"/>
      <c r="F1900" s="965"/>
      <c r="G1900" s="965"/>
      <c r="H1900" s="965"/>
      <c r="I1900" s="965"/>
      <c r="J1900" s="965"/>
      <c r="K1900" s="965"/>
      <c r="L1900" s="965"/>
      <c r="M1900" s="966"/>
      <c r="N1900" s="433">
        <f>+SUM(N1894:N1899)</f>
        <v>8403.2928825393101</v>
      </c>
      <c r="O1900" s="362"/>
    </row>
    <row r="1901" spans="1:15" ht="15.75" customHeight="1">
      <c r="A1901" s="395"/>
      <c r="B1901" s="399"/>
      <c r="C1901" s="1129" t="s">
        <v>1203</v>
      </c>
      <c r="D1901" s="926"/>
      <c r="E1901" s="926"/>
      <c r="F1901" s="926"/>
      <c r="G1901" s="926"/>
      <c r="H1901" s="926"/>
      <c r="I1901" s="926"/>
      <c r="J1901" s="926"/>
      <c r="K1901" s="926"/>
      <c r="L1901" s="926"/>
      <c r="M1901" s="926"/>
      <c r="N1901" s="927"/>
      <c r="O1901" s="362"/>
    </row>
    <row r="1902" spans="1:15" ht="15.75" customHeight="1">
      <c r="A1902" s="395"/>
      <c r="B1902" s="399"/>
      <c r="C1902" s="920"/>
      <c r="D1902" s="922"/>
      <c r="E1902" s="922"/>
      <c r="F1902" s="922"/>
      <c r="G1902" s="922"/>
      <c r="H1902" s="922"/>
      <c r="I1902" s="922"/>
      <c r="J1902" s="922"/>
      <c r="K1902" s="922"/>
      <c r="L1902" s="922"/>
      <c r="M1902" s="922"/>
      <c r="N1902" s="924"/>
      <c r="O1902" s="362"/>
    </row>
    <row r="1903" spans="1:15" ht="15.75" customHeight="1">
      <c r="A1903" s="395"/>
      <c r="B1903" s="399"/>
      <c r="C1903" s="929"/>
      <c r="D1903" s="936"/>
      <c r="E1903" s="936"/>
      <c r="F1903" s="936"/>
      <c r="G1903" s="936"/>
      <c r="H1903" s="936"/>
      <c r="I1903" s="936"/>
      <c r="J1903" s="936"/>
      <c r="K1903" s="936"/>
      <c r="L1903" s="936"/>
      <c r="M1903" s="936"/>
      <c r="N1903" s="938"/>
      <c r="O1903" s="362"/>
    </row>
    <row r="1904" spans="1:15" ht="15.75" customHeight="1">
      <c r="A1904" s="395"/>
      <c r="B1904" s="399"/>
      <c r="C1904" s="1201" t="s">
        <v>17</v>
      </c>
      <c r="D1904" s="1131"/>
      <c r="E1904" s="1131"/>
      <c r="F1904" s="1131"/>
      <c r="G1904" s="1131"/>
      <c r="H1904" s="1131"/>
      <c r="I1904" s="1000"/>
      <c r="J1904" s="672" t="s">
        <v>1192</v>
      </c>
      <c r="K1904" s="670" t="s">
        <v>950</v>
      </c>
      <c r="L1904" s="1204" t="s">
        <v>1204</v>
      </c>
      <c r="M1904" s="1000"/>
      <c r="N1904" s="671" t="s">
        <v>1200</v>
      </c>
      <c r="O1904" s="362"/>
    </row>
    <row r="1905" spans="1:18" ht="15.75" customHeight="1">
      <c r="A1905" s="395" t="str">
        <f t="array" ref="A1905">IF(C1905&lt;&gt;0,INDEX(CodMat,MATCH(C1905,Materiales,0),),)</f>
        <v>MAT_C-82</v>
      </c>
      <c r="B1905" s="399"/>
      <c r="C1905" s="1128" t="s">
        <v>2525</v>
      </c>
      <c r="D1905" s="940"/>
      <c r="E1905" s="940"/>
      <c r="F1905" s="940"/>
      <c r="G1905" s="940"/>
      <c r="H1905" s="940"/>
      <c r="I1905" s="941"/>
      <c r="J1905" s="435" t="str">
        <f t="shared" ref="J1905:J1912" si="145">IF($A1905&gt;0,(VLOOKUP($A1905,TablaInsumos,5,FALSE)),"")</f>
        <v>M3</v>
      </c>
      <c r="K1905" s="673">
        <v>0.13</v>
      </c>
      <c r="L1905" s="1134">
        <f t="shared" ref="L1905:L1912" si="146">IF($A1905&gt;0,(VLOOKUP($A1905,TablaInsumos,7,FALSE)),"")</f>
        <v>922200</v>
      </c>
      <c r="M1905" s="941"/>
      <c r="N1905" s="430">
        <f t="shared" ref="N1905:N1912" si="147">IF(K1905&gt;0,L1905*K1905,"")</f>
        <v>119886</v>
      </c>
      <c r="O1905" s="362"/>
    </row>
    <row r="1906" spans="1:18" ht="15.75" customHeight="1">
      <c r="A1906" s="395" t="str">
        <f t="array" ref="A1906">IF(C1906&lt;&gt;0,INDEX(CodMat,MATCH(C1906,Materiales,0),),)</f>
        <v>MAT_M-36</v>
      </c>
      <c r="B1906" s="399"/>
      <c r="C1906" s="1128" t="s">
        <v>2528</v>
      </c>
      <c r="D1906" s="940"/>
      <c r="E1906" s="940"/>
      <c r="F1906" s="940"/>
      <c r="G1906" s="940"/>
      <c r="H1906" s="940"/>
      <c r="I1906" s="941"/>
      <c r="J1906" s="435" t="str">
        <f t="shared" si="145"/>
        <v>M2</v>
      </c>
      <c r="K1906" s="673">
        <v>1.05</v>
      </c>
      <c r="L1906" s="1134">
        <f t="shared" si="146"/>
        <v>21735</v>
      </c>
      <c r="M1906" s="941"/>
      <c r="N1906" s="430">
        <f t="shared" si="147"/>
        <v>22821.75</v>
      </c>
      <c r="O1906" s="362"/>
      <c r="Q1906" s="688"/>
    </row>
    <row r="1907" spans="1:18" ht="15.75" customHeight="1">
      <c r="A1907" s="395" t="str">
        <f t="array" ref="A1907">IF(C1907&lt;&gt;0,INDEX(CodMat,MATCH(C1907,Materiales,0),),)</f>
        <v>MAT_C-83</v>
      </c>
      <c r="B1907" s="399"/>
      <c r="C1907" s="1128" t="s">
        <v>2529</v>
      </c>
      <c r="D1907" s="940"/>
      <c r="E1907" s="940"/>
      <c r="F1907" s="940"/>
      <c r="G1907" s="940"/>
      <c r="H1907" s="940"/>
      <c r="I1907" s="941"/>
      <c r="J1907" s="435" t="str">
        <f t="shared" si="145"/>
        <v>M</v>
      </c>
      <c r="K1907" s="673">
        <v>0.12</v>
      </c>
      <c r="L1907" s="1134">
        <f t="shared" si="146"/>
        <v>4280</v>
      </c>
      <c r="M1907" s="941"/>
      <c r="N1907" s="430">
        <f t="shared" si="147"/>
        <v>513.6</v>
      </c>
      <c r="O1907" s="362"/>
      <c r="Q1907" s="687"/>
      <c r="R1907" s="687"/>
    </row>
    <row r="1908" spans="1:18" ht="15.75" customHeight="1">
      <c r="A1908" s="395" t="str">
        <f t="array" ref="A1908">IF(C1908&lt;&gt;0,INDEX(CodMat,MATCH(C1908,Materiales,0),),)</f>
        <v>MAT_M-37</v>
      </c>
      <c r="B1908" s="399"/>
      <c r="C1908" s="1128" t="s">
        <v>2530</v>
      </c>
      <c r="D1908" s="940"/>
      <c r="E1908" s="940"/>
      <c r="F1908" s="940"/>
      <c r="G1908" s="940"/>
      <c r="H1908" s="940"/>
      <c r="I1908" s="941"/>
      <c r="J1908" s="435" t="str">
        <f t="shared" si="145"/>
        <v>KG</v>
      </c>
      <c r="K1908" s="673">
        <v>0.2</v>
      </c>
      <c r="L1908" s="1134">
        <f t="shared" si="146"/>
        <v>1725</v>
      </c>
      <c r="M1908" s="941"/>
      <c r="N1908" s="430">
        <f t="shared" si="147"/>
        <v>345</v>
      </c>
      <c r="O1908" s="362"/>
      <c r="Q1908" s="688"/>
    </row>
    <row r="1909" spans="1:18" ht="15.75" customHeight="1">
      <c r="A1909" s="395" t="str">
        <f t="array" ref="A1909">IF(C1909&lt;&gt;0,INDEX(CodMat,MATCH(C1909,Materiales,0),),)</f>
        <v>MAT_C-30</v>
      </c>
      <c r="B1909" s="399"/>
      <c r="C1909" s="1128" t="s">
        <v>2522</v>
      </c>
      <c r="D1909" s="940"/>
      <c r="E1909" s="940"/>
      <c r="F1909" s="940"/>
      <c r="G1909" s="940"/>
      <c r="H1909" s="940"/>
      <c r="I1909" s="941"/>
      <c r="J1909" s="435" t="str">
        <f t="shared" si="145"/>
        <v>LIBR</v>
      </c>
      <c r="K1909" s="673">
        <v>0.15</v>
      </c>
      <c r="L1909" s="1134">
        <f t="shared" si="146"/>
        <v>4550</v>
      </c>
      <c r="M1909" s="941"/>
      <c r="N1909" s="430">
        <f t="shared" si="147"/>
        <v>682.5</v>
      </c>
      <c r="O1909" s="362"/>
    </row>
    <row r="1910" spans="1:18" ht="15.75" customHeight="1">
      <c r="A1910" s="395">
        <f t="array" ref="A1910">IF(C1910&lt;&gt;0,INDEX(CodMat,MATCH(C1910,Materiales,0),),)</f>
        <v>0</v>
      </c>
      <c r="B1910" s="399"/>
      <c r="C1910" s="1128"/>
      <c r="D1910" s="940"/>
      <c r="E1910" s="940"/>
      <c r="F1910" s="940"/>
      <c r="G1910" s="940"/>
      <c r="H1910" s="940"/>
      <c r="I1910" s="941"/>
      <c r="J1910" s="435" t="str">
        <f t="shared" si="145"/>
        <v/>
      </c>
      <c r="K1910" s="673"/>
      <c r="L1910" s="1134" t="str">
        <f t="shared" si="146"/>
        <v/>
      </c>
      <c r="M1910" s="941"/>
      <c r="N1910" s="430" t="str">
        <f t="shared" si="147"/>
        <v/>
      </c>
      <c r="O1910" s="362"/>
    </row>
    <row r="1911" spans="1:18" ht="15.75" customHeight="1">
      <c r="A1911" s="395">
        <f t="array" ref="A1911">IF(C1911&lt;&gt;0,INDEX(CodMat,MATCH(C1911,Materiales,0),),)</f>
        <v>0</v>
      </c>
      <c r="B1911" s="399"/>
      <c r="C1911" s="1128"/>
      <c r="D1911" s="940"/>
      <c r="E1911" s="940"/>
      <c r="F1911" s="940"/>
      <c r="G1911" s="940"/>
      <c r="H1911" s="940"/>
      <c r="I1911" s="941"/>
      <c r="J1911" s="435" t="str">
        <f t="shared" si="145"/>
        <v/>
      </c>
      <c r="K1911" s="673"/>
      <c r="L1911" s="1134" t="str">
        <f t="shared" si="146"/>
        <v/>
      </c>
      <c r="M1911" s="941"/>
      <c r="N1911" s="430" t="str">
        <f t="shared" si="147"/>
        <v/>
      </c>
      <c r="O1911" s="362"/>
    </row>
    <row r="1912" spans="1:18" ht="15.75" customHeight="1">
      <c r="A1912" s="395">
        <f t="array" ref="A1912">IF(C1912&lt;&gt;0,INDEX(CodMat,MATCH(C1912,Materiales,0),),)</f>
        <v>0</v>
      </c>
      <c r="B1912" s="399"/>
      <c r="C1912" s="1128"/>
      <c r="D1912" s="940"/>
      <c r="E1912" s="940"/>
      <c r="F1912" s="940"/>
      <c r="G1912" s="940"/>
      <c r="H1912" s="940"/>
      <c r="I1912" s="941"/>
      <c r="J1912" s="435" t="str">
        <f t="shared" si="145"/>
        <v/>
      </c>
      <c r="K1912" s="673"/>
      <c r="L1912" s="1205" t="str">
        <f t="shared" si="146"/>
        <v/>
      </c>
      <c r="M1912" s="1145"/>
      <c r="N1912" s="430" t="str">
        <f t="shared" si="147"/>
        <v/>
      </c>
      <c r="O1912" s="362"/>
    </row>
    <row r="1913" spans="1:18" ht="15.75" customHeight="1">
      <c r="A1913" s="395"/>
      <c r="B1913" s="399"/>
      <c r="C1913" s="1127" t="s">
        <v>1202</v>
      </c>
      <c r="D1913" s="965"/>
      <c r="E1913" s="965"/>
      <c r="F1913" s="965"/>
      <c r="G1913" s="965"/>
      <c r="H1913" s="965"/>
      <c r="I1913" s="965"/>
      <c r="J1913" s="965"/>
      <c r="K1913" s="965"/>
      <c r="L1913" s="965"/>
      <c r="M1913" s="966"/>
      <c r="N1913" s="433">
        <f>+SUM(N1905:N1912)</f>
        <v>144248.85</v>
      </c>
      <c r="O1913" s="362"/>
    </row>
    <row r="1914" spans="1:18" ht="15.75" customHeight="1">
      <c r="A1914" s="395"/>
      <c r="B1914" s="399"/>
      <c r="C1914" s="1129" t="s">
        <v>1208</v>
      </c>
      <c r="D1914" s="926"/>
      <c r="E1914" s="926"/>
      <c r="F1914" s="926"/>
      <c r="G1914" s="926"/>
      <c r="H1914" s="926"/>
      <c r="I1914" s="926"/>
      <c r="J1914" s="926"/>
      <c r="K1914" s="926"/>
      <c r="L1914" s="926"/>
      <c r="M1914" s="926"/>
      <c r="N1914" s="927"/>
      <c r="O1914" s="362"/>
    </row>
    <row r="1915" spans="1:18" ht="15.75" customHeight="1">
      <c r="A1915" s="395"/>
      <c r="B1915" s="399"/>
      <c r="C1915" s="920"/>
      <c r="D1915" s="922"/>
      <c r="E1915" s="922"/>
      <c r="F1915" s="922"/>
      <c r="G1915" s="922"/>
      <c r="H1915" s="922"/>
      <c r="I1915" s="922"/>
      <c r="J1915" s="922"/>
      <c r="K1915" s="922"/>
      <c r="L1915" s="922"/>
      <c r="M1915" s="922"/>
      <c r="N1915" s="924"/>
      <c r="O1915" s="362"/>
    </row>
    <row r="1916" spans="1:18" ht="15.75" customHeight="1">
      <c r="A1916" s="395"/>
      <c r="B1916" s="399"/>
      <c r="C1916" s="929"/>
      <c r="D1916" s="936"/>
      <c r="E1916" s="936"/>
      <c r="F1916" s="936"/>
      <c r="G1916" s="936"/>
      <c r="H1916" s="936"/>
      <c r="I1916" s="936"/>
      <c r="J1916" s="936"/>
      <c r="K1916" s="936"/>
      <c r="L1916" s="936"/>
      <c r="M1916" s="936"/>
      <c r="N1916" s="938"/>
      <c r="O1916" s="362"/>
    </row>
    <row r="1917" spans="1:18" ht="15.75" customHeight="1">
      <c r="A1917" s="395"/>
      <c r="B1917" s="399"/>
      <c r="C1917" s="1201" t="s">
        <v>1209</v>
      </c>
      <c r="D1917" s="1131"/>
      <c r="E1917" s="1131"/>
      <c r="F1917" s="1131"/>
      <c r="G1917" s="1131"/>
      <c r="H1917" s="1000"/>
      <c r="I1917" s="670" t="s">
        <v>1210</v>
      </c>
      <c r="J1917" s="674" t="s">
        <v>1211</v>
      </c>
      <c r="K1917" s="675" t="s">
        <v>2318</v>
      </c>
      <c r="L1917" s="1204" t="s">
        <v>1213</v>
      </c>
      <c r="M1917" s="1000"/>
      <c r="N1917" s="671" t="s">
        <v>1200</v>
      </c>
      <c r="O1917" s="362"/>
    </row>
    <row r="1918" spans="1:18" ht="15.75" customHeight="1">
      <c r="A1918" s="395">
        <f t="array" ref="A1918">IF(C1918&lt;&gt;0,INDEX(CodTransporte,MATCH(C1918,Transporte,0),),)</f>
        <v>0</v>
      </c>
      <c r="B1918" s="399"/>
      <c r="C1918" s="1128"/>
      <c r="D1918" s="940"/>
      <c r="E1918" s="940"/>
      <c r="F1918" s="940"/>
      <c r="G1918" s="940"/>
      <c r="H1918" s="940"/>
      <c r="I1918" s="440"/>
      <c r="J1918" s="441" t="str">
        <f>IF($A1918&gt;0,(VLOOKUP($A1918,TablaTransporte,6,FALSE)),"")</f>
        <v/>
      </c>
      <c r="K1918" s="442" t="str">
        <f>IF($A1918&gt;0,(VLOOKUP($A1918,TablaTransporte,5,FALSE)),"")</f>
        <v/>
      </c>
      <c r="L1918" s="1134" t="str">
        <f>IF($A1918&gt;0,(VLOOKUP($A1918,TablaTransporte,7,FALSE)),"")</f>
        <v/>
      </c>
      <c r="M1918" s="941"/>
      <c r="N1918" s="430" t="str">
        <f t="shared" ref="N1918:N1922" si="148">IF(I1918&gt;0,J1918*L1918*I1918,"")</f>
        <v/>
      </c>
      <c r="O1918" s="362"/>
    </row>
    <row r="1919" spans="1:18" ht="15.75" customHeight="1">
      <c r="A1919" s="395">
        <f t="array" ref="A1919">IF(C1919&lt;&gt;0,INDEX(CodTransporte,MATCH(C1919,Transporte,0),),)</f>
        <v>0</v>
      </c>
      <c r="B1919" s="399"/>
      <c r="C1919" s="1128"/>
      <c r="D1919" s="940"/>
      <c r="E1919" s="940"/>
      <c r="F1919" s="940"/>
      <c r="G1919" s="940"/>
      <c r="H1919" s="940"/>
      <c r="I1919" s="440"/>
      <c r="J1919" s="441" t="str">
        <f>IF($A1919&gt;0,(VLOOKUP($A1919,TablaTransporte,6,FALSE)),"")</f>
        <v/>
      </c>
      <c r="K1919" s="442" t="str">
        <f>IF($A1919&gt;0,(VLOOKUP($A1919,TablaTransporte,5,FALSE)),"")</f>
        <v/>
      </c>
      <c r="L1919" s="1134" t="str">
        <f>IF($A1919&gt;0,(VLOOKUP($A1919,TablaTransporte,7,FALSE)),"")</f>
        <v/>
      </c>
      <c r="M1919" s="941"/>
      <c r="N1919" s="430" t="str">
        <f t="shared" si="148"/>
        <v/>
      </c>
      <c r="O1919" s="362"/>
    </row>
    <row r="1920" spans="1:18" ht="15.75" customHeight="1">
      <c r="A1920" s="395">
        <f t="array" ref="A1920">IF(C1920&lt;&gt;0,INDEX(CodTransporte,MATCH(C1920,Transporte,0),),)</f>
        <v>0</v>
      </c>
      <c r="B1920" s="399"/>
      <c r="C1920" s="1128"/>
      <c r="D1920" s="940"/>
      <c r="E1920" s="940"/>
      <c r="F1920" s="940"/>
      <c r="G1920" s="940"/>
      <c r="H1920" s="940"/>
      <c r="I1920" s="440"/>
      <c r="J1920" s="441" t="str">
        <f>IF($A1920&gt;0,(VLOOKUP($A1920,TablaTransporte,6,FALSE)),"")</f>
        <v/>
      </c>
      <c r="K1920" s="442" t="str">
        <f>IF($A1920&gt;0,(VLOOKUP($A1920,TablaTransporte,5,FALSE)),"")</f>
        <v/>
      </c>
      <c r="L1920" s="1134" t="str">
        <f>IF($A1920&gt;0,(VLOOKUP($A1920,TablaTransporte,7,FALSE)),"")</f>
        <v/>
      </c>
      <c r="M1920" s="941"/>
      <c r="N1920" s="430" t="str">
        <f t="shared" si="148"/>
        <v/>
      </c>
      <c r="O1920" s="362"/>
    </row>
    <row r="1921" spans="1:18" ht="15.75" customHeight="1">
      <c r="A1921" s="395">
        <f t="array" ref="A1921">IF(C1921&lt;&gt;0,INDEX(CodTransporte,MATCH(C1921,Transporte,0),),)</f>
        <v>0</v>
      </c>
      <c r="B1921" s="399"/>
      <c r="C1921" s="1128"/>
      <c r="D1921" s="940"/>
      <c r="E1921" s="940"/>
      <c r="F1921" s="940"/>
      <c r="G1921" s="940"/>
      <c r="H1921" s="940"/>
      <c r="I1921" s="440"/>
      <c r="J1921" s="441" t="str">
        <f>IF($A1921&gt;0,(VLOOKUP($A1921,TablaTransporte,6,FALSE)),"")</f>
        <v/>
      </c>
      <c r="K1921" s="442" t="str">
        <f>IF($A1921&gt;0,(VLOOKUP($A1921,TablaTransporte,5,FALSE)),"")</f>
        <v/>
      </c>
      <c r="L1921" s="1134" t="str">
        <f>IF($A1921&gt;0,(VLOOKUP($A1921,TablaTransporte,7,FALSE)),"")</f>
        <v/>
      </c>
      <c r="M1921" s="941"/>
      <c r="N1921" s="430" t="str">
        <f t="shared" si="148"/>
        <v/>
      </c>
      <c r="O1921" s="362"/>
    </row>
    <row r="1922" spans="1:18" ht="15.75" customHeight="1">
      <c r="A1922" s="395">
        <f t="array" ref="A1922">IF(C1922&lt;&gt;0,INDEX(CodTransporte,MATCH(C1922,Transporte,0),),)</f>
        <v>0</v>
      </c>
      <c r="B1922" s="399"/>
      <c r="C1922" s="1128"/>
      <c r="D1922" s="940"/>
      <c r="E1922" s="940"/>
      <c r="F1922" s="940"/>
      <c r="G1922" s="940"/>
      <c r="H1922" s="940"/>
      <c r="I1922" s="440"/>
      <c r="J1922" s="441" t="str">
        <f>IF($A1922&gt;0,(VLOOKUP($A1922,TablaTransporte,6,FALSE)),"")</f>
        <v/>
      </c>
      <c r="K1922" s="442" t="str">
        <f>IF($A1922&gt;0,(VLOOKUP($A1922,TablaTransporte,5,FALSE)),"")</f>
        <v/>
      </c>
      <c r="L1922" s="1205" t="str">
        <f>IF($A1922&gt;0,(VLOOKUP($A1922,TablaTransporte,7,FALSE)),"")</f>
        <v/>
      </c>
      <c r="M1922" s="1145"/>
      <c r="N1922" s="430" t="str">
        <f t="shared" si="148"/>
        <v/>
      </c>
      <c r="O1922" s="362"/>
    </row>
    <row r="1923" spans="1:18" ht="15.75" customHeight="1">
      <c r="A1923" s="395"/>
      <c r="B1923" s="399"/>
      <c r="C1923" s="1127" t="s">
        <v>1202</v>
      </c>
      <c r="D1923" s="965"/>
      <c r="E1923" s="965"/>
      <c r="F1923" s="965"/>
      <c r="G1923" s="965"/>
      <c r="H1923" s="965"/>
      <c r="I1923" s="965"/>
      <c r="J1923" s="965"/>
      <c r="K1923" s="965"/>
      <c r="L1923" s="965"/>
      <c r="M1923" s="966"/>
      <c r="N1923" s="433">
        <f>+SUM(N1918:N1922)</f>
        <v>0</v>
      </c>
      <c r="O1923" s="362"/>
    </row>
    <row r="1924" spans="1:18" ht="15.75" customHeight="1">
      <c r="A1924" s="395"/>
      <c r="B1924" s="399"/>
      <c r="C1924" s="1129" t="s">
        <v>1214</v>
      </c>
      <c r="D1924" s="926"/>
      <c r="E1924" s="926"/>
      <c r="F1924" s="926"/>
      <c r="G1924" s="926"/>
      <c r="H1924" s="926"/>
      <c r="I1924" s="926"/>
      <c r="J1924" s="926"/>
      <c r="K1924" s="926"/>
      <c r="L1924" s="926"/>
      <c r="M1924" s="926"/>
      <c r="N1924" s="927"/>
      <c r="O1924" s="362"/>
    </row>
    <row r="1925" spans="1:18" ht="15.75" customHeight="1">
      <c r="A1925" s="395"/>
      <c r="B1925" s="399"/>
      <c r="C1925" s="920"/>
      <c r="D1925" s="922"/>
      <c r="E1925" s="922"/>
      <c r="F1925" s="922"/>
      <c r="G1925" s="922"/>
      <c r="H1925" s="922"/>
      <c r="I1925" s="922"/>
      <c r="J1925" s="922"/>
      <c r="K1925" s="922"/>
      <c r="L1925" s="922"/>
      <c r="M1925" s="922"/>
      <c r="N1925" s="924"/>
      <c r="O1925" s="362"/>
    </row>
    <row r="1926" spans="1:18" ht="15.75" customHeight="1">
      <c r="A1926" s="395"/>
      <c r="B1926" s="399"/>
      <c r="C1926" s="929"/>
      <c r="D1926" s="936"/>
      <c r="E1926" s="936"/>
      <c r="F1926" s="936"/>
      <c r="G1926" s="936"/>
      <c r="H1926" s="936"/>
      <c r="I1926" s="936"/>
      <c r="J1926" s="936"/>
      <c r="K1926" s="936"/>
      <c r="L1926" s="936"/>
      <c r="M1926" s="936"/>
      <c r="N1926" s="938"/>
      <c r="O1926" s="362"/>
    </row>
    <row r="1927" spans="1:18" ht="15.75" customHeight="1">
      <c r="A1927" s="395"/>
      <c r="B1927" s="399"/>
      <c r="C1927" s="1201" t="s">
        <v>1215</v>
      </c>
      <c r="D1927" s="1131"/>
      <c r="E1927" s="1131"/>
      <c r="F1927" s="1131"/>
      <c r="G1927" s="1131"/>
      <c r="H1927" s="1000"/>
      <c r="I1927" s="670" t="s">
        <v>1216</v>
      </c>
      <c r="J1927" s="676" t="s">
        <v>1217</v>
      </c>
      <c r="K1927" s="677" t="s">
        <v>1218</v>
      </c>
      <c r="L1927" s="1206" t="s">
        <v>1199</v>
      </c>
      <c r="M1927" s="1000"/>
      <c r="N1927" s="678" t="s">
        <v>1200</v>
      </c>
      <c r="O1927" s="362"/>
    </row>
    <row r="1928" spans="1:18" ht="15.75" customHeight="1">
      <c r="A1928" s="395" t="str">
        <f t="array" ref="A1928">IF(C1928&lt;&gt;0,INDEX(CodMO,MATCH(C1928,MO,0),),)</f>
        <v>M.O-11</v>
      </c>
      <c r="B1928" s="399"/>
      <c r="C1928" s="1128" t="s">
        <v>2532</v>
      </c>
      <c r="D1928" s="940"/>
      <c r="E1928" s="940"/>
      <c r="F1928" s="940"/>
      <c r="G1928" s="940"/>
      <c r="H1928" s="940"/>
      <c r="I1928" s="447">
        <f>IF($A1928&gt;0,(VLOOKUP($A1928,TablaMO,8,FALSE)),"")</f>
        <v>183393.66666666666</v>
      </c>
      <c r="J1928" s="448">
        <f>IF($A1928&gt;0,(VLOOKUP($A1928,TablaMO,10,FALSE)),"")</f>
        <v>0.67071666666666663</v>
      </c>
      <c r="K1928" s="447">
        <f>IF($A1928&gt;0,(VLOOKUP($A1928,TablaMO,11,FALSE)),"")</f>
        <v>91920</v>
      </c>
      <c r="L1928" s="1146">
        <v>5.5235325988406281</v>
      </c>
      <c r="M1928" s="941"/>
      <c r="N1928" s="430">
        <f t="shared" ref="N1928:N1932" si="149">IF(L1928&gt;0,K1928/L1928,"")</f>
        <v>16641.523944168213</v>
      </c>
      <c r="O1928" s="362"/>
    </row>
    <row r="1929" spans="1:18" ht="15.75" customHeight="1">
      <c r="A1929" s="395" t="str">
        <f t="array" ref="A1929">IF(C1929&lt;&gt;0,INDEX(CodMO,MATCH(C1929,MO,0),),)</f>
        <v>M.O-05</v>
      </c>
      <c r="B1929" s="399"/>
      <c r="C1929" s="1128" t="s">
        <v>139</v>
      </c>
      <c r="D1929" s="940"/>
      <c r="E1929" s="940"/>
      <c r="F1929" s="940"/>
      <c r="G1929" s="940"/>
      <c r="H1929" s="940"/>
      <c r="I1929" s="447">
        <f>IF($A1929&gt;0,(VLOOKUP($A1929,TablaMO,8,FALSE)),"")</f>
        <v>125030.16666666667</v>
      </c>
      <c r="J1929" s="448">
        <f>IF($A1929&gt;0,(VLOOKUP($A1929,TablaMO,10,FALSE)),"")</f>
        <v>0.67071666666666663</v>
      </c>
      <c r="K1929" s="447">
        <f>IF($A1929&gt;0,(VLOOKUP($A1929,TablaMO,11,FALSE)),"")</f>
        <v>208890</v>
      </c>
      <c r="L1929" s="1146">
        <f>L1928</f>
        <v>5.5235325988406281</v>
      </c>
      <c r="M1929" s="941"/>
      <c r="N1929" s="430">
        <f t="shared" si="149"/>
        <v>37818.189041528487</v>
      </c>
      <c r="O1929" s="362"/>
    </row>
    <row r="1930" spans="1:18" ht="15.75" customHeight="1">
      <c r="A1930" s="395" t="str">
        <f t="array" ref="A1930">IF(C1930&lt;&gt;0,INDEX(CodMO,MATCH(C1930,MO,0),),)</f>
        <v>M.O-01</v>
      </c>
      <c r="B1930" s="399"/>
      <c r="C1930" s="1128" t="s">
        <v>130</v>
      </c>
      <c r="D1930" s="940"/>
      <c r="E1930" s="940"/>
      <c r="F1930" s="940"/>
      <c r="G1930" s="940"/>
      <c r="H1930" s="940"/>
      <c r="I1930" s="447">
        <f>IF($A1930&gt;0,(VLOOKUP($A1930,TablaMO,8,FALSE)),"")</f>
        <v>72503.016666666677</v>
      </c>
      <c r="J1930" s="448">
        <f>IF($A1930&gt;0,(VLOOKUP($A1930,TablaMO,10,FALSE)),"")</f>
        <v>0.67071666666666663</v>
      </c>
      <c r="K1930" s="447">
        <f>IF($A1930&gt;0,(VLOOKUP($A1930,TablaMO,11,FALSE)),"")</f>
        <v>121132</v>
      </c>
      <c r="L1930" s="1146">
        <f>L1929</f>
        <v>5.5235325988406281</v>
      </c>
      <c r="M1930" s="941"/>
      <c r="N1930" s="430">
        <f t="shared" si="149"/>
        <v>21930.16838995849</v>
      </c>
      <c r="O1930" s="362"/>
    </row>
    <row r="1931" spans="1:18" ht="15.75" customHeight="1">
      <c r="A1931" s="395">
        <f t="array" ref="A1931">IF(C1931&lt;&gt;0,INDEX(CodMO,MATCH(C1931,MO,0),),)</f>
        <v>0</v>
      </c>
      <c r="B1931" s="399"/>
      <c r="C1931" s="1128"/>
      <c r="D1931" s="940"/>
      <c r="E1931" s="940"/>
      <c r="F1931" s="940"/>
      <c r="G1931" s="940"/>
      <c r="H1931" s="940"/>
      <c r="I1931" s="447" t="str">
        <f>IF($A1931&gt;0,(VLOOKUP($A1931,TablaMO,8,FALSE)),"")</f>
        <v/>
      </c>
      <c r="J1931" s="448" t="str">
        <f>IF($A1931&gt;0,(VLOOKUP($A1931,TablaMO,10,FALSE)),"")</f>
        <v/>
      </c>
      <c r="K1931" s="447" t="str">
        <f>IF($A1931&gt;0,(VLOOKUP($A1931,TablaMO,11,FALSE)),"")</f>
        <v/>
      </c>
      <c r="L1931" s="1146"/>
      <c r="M1931" s="941"/>
      <c r="N1931" s="430" t="str">
        <f t="shared" si="149"/>
        <v/>
      </c>
      <c r="O1931" s="362"/>
    </row>
    <row r="1932" spans="1:18" ht="15.75" customHeight="1">
      <c r="A1932" s="395">
        <f t="array" ref="A1932">IF(C1932&lt;&gt;0,INDEX(CodMO,MATCH(C1932,MO,0),),)</f>
        <v>0</v>
      </c>
      <c r="B1932" s="399"/>
      <c r="C1932" s="1128"/>
      <c r="D1932" s="940"/>
      <c r="E1932" s="940"/>
      <c r="F1932" s="940"/>
      <c r="G1932" s="940"/>
      <c r="H1932" s="940"/>
      <c r="I1932" s="447" t="str">
        <f>IF($A1932&gt;0,(VLOOKUP($A1932,TablaMO,8,FALSE)),"")</f>
        <v/>
      </c>
      <c r="J1932" s="448" t="str">
        <f>IF($A1932&gt;0,(VLOOKUP($A1932,TablaMO,10,FALSE)),"")</f>
        <v/>
      </c>
      <c r="K1932" s="447" t="str">
        <f>IF($A1932&gt;0,(VLOOKUP($A1932,TablaMO,11,FALSE)),"")</f>
        <v/>
      </c>
      <c r="L1932" s="1146"/>
      <c r="M1932" s="941"/>
      <c r="N1932" s="430" t="str">
        <f t="shared" si="149"/>
        <v/>
      </c>
      <c r="O1932" s="362"/>
    </row>
    <row r="1933" spans="1:18" ht="15.75" customHeight="1">
      <c r="A1933" s="395"/>
      <c r="B1933" s="399"/>
      <c r="C1933" s="1127" t="s">
        <v>1202</v>
      </c>
      <c r="D1933" s="965"/>
      <c r="E1933" s="965"/>
      <c r="F1933" s="965"/>
      <c r="G1933" s="965"/>
      <c r="H1933" s="965"/>
      <c r="I1933" s="965"/>
      <c r="J1933" s="965"/>
      <c r="K1933" s="965"/>
      <c r="L1933" s="965"/>
      <c r="M1933" s="966"/>
      <c r="N1933" s="433">
        <f>+SUM(N1928:N1932)</f>
        <v>76389.881375655183</v>
      </c>
      <c r="O1933" s="362"/>
    </row>
    <row r="1934" spans="1:18" ht="15.75" customHeight="1">
      <c r="B1934" s="679"/>
      <c r="O1934" s="362"/>
    </row>
    <row r="1935" spans="1:18" ht="15.75" customHeight="1">
      <c r="B1935" s="679"/>
      <c r="C1935" s="1198" t="s">
        <v>1219</v>
      </c>
      <c r="D1935" s="965"/>
      <c r="E1935" s="965"/>
      <c r="F1935" s="965"/>
      <c r="G1935" s="965"/>
      <c r="H1935" s="965"/>
      <c r="I1935" s="965"/>
      <c r="J1935" s="965"/>
      <c r="K1935" s="965"/>
      <c r="L1935" s="965"/>
      <c r="M1935" s="966"/>
      <c r="N1935" s="680">
        <f>ROUND(SUM(N1933,N1923,N1913,N1900),0)</f>
        <v>229042</v>
      </c>
      <c r="O1935" s="362"/>
      <c r="Q1935" s="681">
        <f>VLOOKUP(C1889,PROPUESTASASERCO,8,FALSE)</f>
        <v>229042</v>
      </c>
      <c r="R1935" s="682">
        <f>Q1935-N1935</f>
        <v>0</v>
      </c>
    </row>
    <row r="1936" spans="1:18" ht="15.75" customHeight="1">
      <c r="B1936" s="679"/>
      <c r="C1936" s="1129" t="s">
        <v>1220</v>
      </c>
      <c r="D1936" s="926"/>
      <c r="E1936" s="926"/>
      <c r="F1936" s="926"/>
      <c r="G1936" s="926"/>
      <c r="H1936" s="926"/>
      <c r="I1936" s="926"/>
      <c r="J1936" s="926"/>
      <c r="K1936" s="926"/>
      <c r="L1936" s="926"/>
      <c r="M1936" s="926"/>
      <c r="N1936" s="927"/>
      <c r="O1936" s="362"/>
    </row>
    <row r="1937" spans="2:15" ht="15.75" customHeight="1">
      <c r="B1937" s="679"/>
      <c r="C1937" s="920"/>
      <c r="D1937" s="922"/>
      <c r="E1937" s="922"/>
      <c r="F1937" s="922"/>
      <c r="G1937" s="922"/>
      <c r="H1937" s="922"/>
      <c r="I1937" s="922"/>
      <c r="J1937" s="922"/>
      <c r="K1937" s="922"/>
      <c r="L1937" s="922"/>
      <c r="M1937" s="922"/>
      <c r="N1937" s="924"/>
      <c r="O1937" s="362"/>
    </row>
    <row r="1938" spans="2:15" ht="15.75" customHeight="1">
      <c r="B1938" s="679"/>
      <c r="C1938" s="929"/>
      <c r="D1938" s="936"/>
      <c r="E1938" s="936"/>
      <c r="F1938" s="936"/>
      <c r="G1938" s="936"/>
      <c r="H1938" s="936"/>
      <c r="I1938" s="936"/>
      <c r="J1938" s="936"/>
      <c r="K1938" s="936"/>
      <c r="L1938" s="936"/>
      <c r="M1938" s="936"/>
      <c r="N1938" s="938"/>
      <c r="O1938" s="362"/>
    </row>
    <row r="1939" spans="2:15" ht="15.75" customHeight="1">
      <c r="B1939" s="679"/>
      <c r="C1939" s="1201" t="s">
        <v>1221</v>
      </c>
      <c r="D1939" s="1131"/>
      <c r="E1939" s="1131"/>
      <c r="F1939" s="1131"/>
      <c r="G1939" s="1131"/>
      <c r="H1939" s="1132"/>
      <c r="I1939" s="674"/>
      <c r="J1939" s="674"/>
      <c r="K1939" s="674"/>
      <c r="L1939" s="1206" t="s">
        <v>1222</v>
      </c>
      <c r="M1939" s="1000"/>
      <c r="N1939" s="678" t="s">
        <v>1223</v>
      </c>
      <c r="O1939" s="362"/>
    </row>
    <row r="1940" spans="2:15" ht="15.75" customHeight="1">
      <c r="B1940" s="679"/>
      <c r="C1940" s="1128" t="s">
        <v>19</v>
      </c>
      <c r="D1940" s="940"/>
      <c r="E1940" s="940"/>
      <c r="F1940" s="940"/>
      <c r="G1940" s="940"/>
      <c r="H1940" s="940"/>
      <c r="I1940" s="452"/>
      <c r="J1940" s="452"/>
      <c r="K1940" s="452"/>
      <c r="L1940" s="1148">
        <f>+Datos!$E$18</f>
        <v>0.25</v>
      </c>
      <c r="M1940" s="941"/>
      <c r="N1940" s="430">
        <f>+L1940*N1935</f>
        <v>57260.5</v>
      </c>
      <c r="O1940" s="362"/>
    </row>
    <row r="1941" spans="2:15" ht="15.75" customHeight="1">
      <c r="B1941" s="679"/>
      <c r="C1941" s="454" t="s">
        <v>20</v>
      </c>
      <c r="D1941" s="455"/>
      <c r="E1941" s="455"/>
      <c r="F1941" s="455"/>
      <c r="G1941" s="455"/>
      <c r="H1941" s="455"/>
      <c r="I1941" s="452"/>
      <c r="J1941" s="452"/>
      <c r="K1941" s="452"/>
      <c r="L1941" s="1148">
        <f>+Datos!$E$19</f>
        <v>0.01</v>
      </c>
      <c r="M1941" s="941"/>
      <c r="N1941" s="430">
        <f>+L1941*N1935</f>
        <v>2290.42</v>
      </c>
      <c r="O1941" s="362"/>
    </row>
    <row r="1942" spans="2:15" ht="15.75" customHeight="1">
      <c r="B1942" s="679"/>
      <c r="C1942" s="456" t="s">
        <v>21</v>
      </c>
      <c r="D1942" s="457"/>
      <c r="E1942" s="457"/>
      <c r="F1942" s="457"/>
      <c r="G1942" s="457"/>
      <c r="H1942" s="457"/>
      <c r="I1942" s="458"/>
      <c r="J1942" s="458"/>
      <c r="K1942" s="458"/>
      <c r="L1942" s="1148">
        <f>+Datos!$E$20</f>
        <v>0.05</v>
      </c>
      <c r="M1942" s="941"/>
      <c r="N1942" s="430">
        <f>+L1942*N1935</f>
        <v>11452.1</v>
      </c>
      <c r="O1942" s="362"/>
    </row>
    <row r="1943" spans="2:15" ht="15.75" customHeight="1">
      <c r="B1943" s="679"/>
      <c r="C1943" s="1127" t="s">
        <v>1202</v>
      </c>
      <c r="D1943" s="965"/>
      <c r="E1943" s="965"/>
      <c r="F1943" s="965"/>
      <c r="G1943" s="965"/>
      <c r="H1943" s="965"/>
      <c r="I1943" s="965"/>
      <c r="J1943" s="965"/>
      <c r="K1943" s="965"/>
      <c r="L1943" s="965"/>
      <c r="M1943" s="966"/>
      <c r="N1943" s="433">
        <f>+SUM(N1940:N1942)</f>
        <v>71003.02</v>
      </c>
      <c r="O1943" s="362"/>
    </row>
    <row r="1944" spans="2:15" ht="15.75" customHeight="1">
      <c r="B1944" s="679"/>
      <c r="C1944" s="418"/>
      <c r="D1944" s="39"/>
      <c r="E1944" s="39"/>
      <c r="F1944" s="39"/>
      <c r="G1944" s="39"/>
      <c r="H1944" s="39"/>
      <c r="I1944" s="39"/>
      <c r="J1944" s="39"/>
      <c r="K1944" s="39"/>
      <c r="L1944" s="39"/>
      <c r="M1944" s="39"/>
      <c r="N1944" s="40"/>
      <c r="O1944" s="362"/>
    </row>
    <row r="1945" spans="2:15" ht="15.75" customHeight="1">
      <c r="B1945" s="679"/>
      <c r="C1945" s="1198" t="s">
        <v>1224</v>
      </c>
      <c r="D1945" s="965"/>
      <c r="E1945" s="965"/>
      <c r="F1945" s="965"/>
      <c r="G1945" s="965"/>
      <c r="H1945" s="965"/>
      <c r="I1945" s="965"/>
      <c r="J1945" s="965"/>
      <c r="K1945" s="965"/>
      <c r="L1945" s="965"/>
      <c r="M1945" s="966"/>
      <c r="N1945" s="683">
        <f>+ROUND(SUM(N1943,N1935),0)</f>
        <v>300045</v>
      </c>
      <c r="O1945" s="362"/>
    </row>
    <row r="1946" spans="2:15" ht="15.75" customHeight="1">
      <c r="B1946" s="679"/>
      <c r="C1946" s="418"/>
      <c r="D1946" s="39" t="s">
        <v>1225</v>
      </c>
      <c r="E1946" s="39"/>
      <c r="F1946" s="39"/>
      <c r="G1946" s="184"/>
      <c r="H1946" s="184"/>
      <c r="I1946" s="184"/>
      <c r="J1946" s="39" t="s">
        <v>1225</v>
      </c>
      <c r="K1946" s="39"/>
      <c r="L1946" s="39"/>
      <c r="M1946" s="39"/>
      <c r="N1946" s="40"/>
      <c r="O1946" s="362"/>
    </row>
    <row r="1947" spans="2:15" ht="15.75" customHeight="1">
      <c r="B1947" s="679"/>
      <c r="C1947" s="418"/>
      <c r="D1947" s="39" t="s">
        <v>1226</v>
      </c>
      <c r="E1947" s="39"/>
      <c r="F1947" s="39"/>
      <c r="G1947" s="184"/>
      <c r="H1947" s="184"/>
      <c r="I1947" s="184"/>
      <c r="J1947" s="39" t="s">
        <v>1227</v>
      </c>
      <c r="K1947" s="39"/>
      <c r="L1947" s="39"/>
      <c r="M1947" s="39"/>
      <c r="N1947" s="40"/>
      <c r="O1947" s="362"/>
    </row>
    <row r="1948" spans="2:15" ht="15.75" customHeight="1">
      <c r="B1948" s="679"/>
      <c r="C1948" s="404"/>
      <c r="D1948" s="39" t="s">
        <v>1228</v>
      </c>
      <c r="E1948" s="42"/>
      <c r="F1948" s="42"/>
      <c r="G1948" s="184"/>
      <c r="H1948" s="184"/>
      <c r="I1948" s="184"/>
      <c r="J1948" s="39" t="s">
        <v>1228</v>
      </c>
      <c r="K1948" s="42"/>
      <c r="L1948" s="42"/>
      <c r="M1948" s="42"/>
      <c r="N1948" s="43"/>
      <c r="O1948" s="362"/>
    </row>
    <row r="1949" spans="2:15" ht="15.75" customHeight="1">
      <c r="B1949" s="679"/>
      <c r="C1949" s="418"/>
      <c r="D1949" s="39"/>
      <c r="E1949" s="39"/>
      <c r="F1949" s="39"/>
      <c r="G1949" s="39" t="s">
        <v>1229</v>
      </c>
      <c r="H1949" s="39"/>
      <c r="I1949" s="39"/>
      <c r="J1949" s="39"/>
      <c r="K1949" s="39"/>
      <c r="L1949" s="39"/>
      <c r="M1949" s="39"/>
      <c r="N1949" s="40"/>
      <c r="O1949" s="362"/>
    </row>
    <row r="1950" spans="2:15" ht="15.75" customHeight="1">
      <c r="B1950" s="679"/>
      <c r="C1950" s="466"/>
      <c r="D1950" s="467"/>
      <c r="E1950" s="467"/>
      <c r="F1950" s="39"/>
      <c r="G1950" s="39"/>
      <c r="H1950" s="39"/>
      <c r="I1950" s="39"/>
      <c r="J1950" s="1149"/>
      <c r="K1950" s="922"/>
      <c r="L1950" s="922"/>
      <c r="M1950" s="922"/>
      <c r="N1950" s="924"/>
      <c r="O1950" s="362"/>
    </row>
    <row r="1951" spans="2:15" ht="15.75" customHeight="1">
      <c r="B1951" s="679"/>
      <c r="C1951" s="1150"/>
      <c r="D1951" s="936"/>
      <c r="E1951" s="936"/>
      <c r="F1951" s="416"/>
      <c r="G1951" s="416"/>
      <c r="H1951" s="416"/>
      <c r="I1951" s="416"/>
      <c r="J1951" s="936"/>
      <c r="K1951" s="936"/>
      <c r="L1951" s="936"/>
      <c r="M1951" s="936"/>
      <c r="N1951" s="938"/>
      <c r="O1951" s="362"/>
    </row>
    <row r="1952" spans="2:15" ht="15.75" customHeight="1">
      <c r="B1952" s="684"/>
      <c r="C1952" s="685"/>
      <c r="D1952" s="685"/>
      <c r="E1952" s="685"/>
      <c r="F1952" s="685"/>
      <c r="G1952" s="685"/>
      <c r="H1952" s="685"/>
      <c r="I1952" s="685"/>
      <c r="J1952" s="685"/>
      <c r="K1952" s="685"/>
      <c r="L1952" s="685"/>
      <c r="M1952" s="685"/>
      <c r="N1952" s="685"/>
      <c r="O1952" s="686"/>
    </row>
    <row r="1953" spans="1:15" ht="15.75" customHeight="1"/>
    <row r="1954" spans="1:15" ht="15.75" customHeight="1"/>
    <row r="1955" spans="1:15" ht="15.75" customHeight="1"/>
    <row r="1956" spans="1:15" ht="15.75" customHeight="1"/>
    <row r="1957" spans="1:15" ht="15.75" customHeight="1">
      <c r="A1957" s="395" t="s">
        <v>941</v>
      </c>
      <c r="B1957" s="184"/>
      <c r="C1957" s="184"/>
      <c r="D1957" s="184"/>
      <c r="E1957" s="184"/>
      <c r="F1957" s="184"/>
      <c r="G1957" s="184"/>
      <c r="H1957" s="184"/>
      <c r="I1957" s="184"/>
      <c r="J1957" s="184"/>
      <c r="K1957" s="184"/>
      <c r="L1957" s="184"/>
      <c r="M1957" s="184"/>
      <c r="N1957" s="184"/>
    </row>
    <row r="1958" spans="1:15" ht="15.75" customHeight="1">
      <c r="A1958" s="395"/>
      <c r="B1958" s="396"/>
      <c r="C1958" s="397"/>
      <c r="D1958" s="397"/>
      <c r="E1958" s="397"/>
      <c r="F1958" s="397"/>
      <c r="G1958" s="397"/>
      <c r="H1958" s="397"/>
      <c r="I1958" s="397"/>
      <c r="J1958" s="397"/>
      <c r="K1958" s="397"/>
      <c r="L1958" s="397"/>
      <c r="M1958" s="397"/>
      <c r="N1958" s="397"/>
      <c r="O1958" s="667"/>
    </row>
    <row r="1959" spans="1:15" ht="15.75" customHeight="1">
      <c r="A1959" s="395"/>
      <c r="B1959" s="399"/>
      <c r="C1959" s="1124"/>
      <c r="D1959" s="927"/>
      <c r="E1959" s="1207" t="str">
        <f>Datos!$C$9</f>
        <v>CONSEJO SUPERIOR  DE  JUDICATURA– DIRECCIÓN  EJECUTIVA  SECCIONAL  DE ADMINISTRACIÓN JUDICIAL DE BUCARAMANGA</v>
      </c>
      <c r="F1959" s="926"/>
      <c r="G1959" s="926"/>
      <c r="H1959" s="926"/>
      <c r="I1959" s="926"/>
      <c r="J1959" s="926"/>
      <c r="K1959" s="927"/>
      <c r="L1959" s="925" t="s">
        <v>1</v>
      </c>
      <c r="M1959" s="931"/>
      <c r="N1959" s="933">
        <v>1</v>
      </c>
      <c r="O1959" s="362"/>
    </row>
    <row r="1960" spans="1:15" ht="15.75" customHeight="1">
      <c r="A1960" s="395"/>
      <c r="B1960" s="399"/>
      <c r="C1960" s="920"/>
      <c r="D1960" s="924"/>
      <c r="E1960" s="920"/>
      <c r="F1960" s="922"/>
      <c r="G1960" s="922"/>
      <c r="H1960" s="922"/>
      <c r="I1960" s="922"/>
      <c r="J1960" s="922"/>
      <c r="K1960" s="924"/>
      <c r="L1960" s="920"/>
      <c r="M1960" s="932"/>
      <c r="N1960" s="934"/>
      <c r="O1960" s="362"/>
    </row>
    <row r="1961" spans="1:15" ht="15.75" customHeight="1">
      <c r="A1961" s="395"/>
      <c r="B1961" s="399"/>
      <c r="C1961" s="920"/>
      <c r="D1961" s="924"/>
      <c r="E1961" s="919" t="str">
        <f>Datos!$C$13</f>
        <v xml:space="preserve">BGA - 030 - 2026 </v>
      </c>
      <c r="F1961" s="922"/>
      <c r="G1961" s="922"/>
      <c r="H1961" s="922"/>
      <c r="I1961" s="922"/>
      <c r="J1961" s="922"/>
      <c r="K1961" s="922"/>
      <c r="L1961" s="925" t="s">
        <v>29</v>
      </c>
      <c r="M1961" s="926"/>
      <c r="N1961" s="927"/>
      <c r="O1961" s="362"/>
    </row>
    <row r="1962" spans="1:15" ht="15.75" customHeight="1">
      <c r="A1962" s="395"/>
      <c r="B1962" s="399"/>
      <c r="C1962" s="920"/>
      <c r="D1962" s="924"/>
      <c r="E196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1962" s="922"/>
      <c r="G1962" s="922"/>
      <c r="H1962" s="922"/>
      <c r="I1962" s="922"/>
      <c r="J1962" s="922"/>
      <c r="K1962" s="924"/>
      <c r="L1962" s="919">
        <v>1</v>
      </c>
      <c r="M1962" s="921" t="s">
        <v>30</v>
      </c>
      <c r="N1962" s="923">
        <v>1</v>
      </c>
      <c r="O1962" s="362"/>
    </row>
    <row r="1963" spans="1:15" ht="15.75" customHeight="1">
      <c r="A1963" s="395"/>
      <c r="B1963" s="399"/>
      <c r="C1963" s="920"/>
      <c r="D1963" s="924"/>
      <c r="E1963" s="920"/>
      <c r="F1963" s="922"/>
      <c r="G1963" s="922"/>
      <c r="H1963" s="922"/>
      <c r="I1963" s="922"/>
      <c r="J1963" s="922"/>
      <c r="K1963" s="924"/>
      <c r="L1963" s="920"/>
      <c r="M1963" s="922"/>
      <c r="N1963" s="924"/>
      <c r="O1963" s="362"/>
    </row>
    <row r="1964" spans="1:15" ht="15.75" customHeight="1">
      <c r="A1964" s="395"/>
      <c r="B1964" s="399"/>
      <c r="C1964" s="920"/>
      <c r="D1964" s="924"/>
      <c r="E1964" s="920"/>
      <c r="F1964" s="922"/>
      <c r="G1964" s="922"/>
      <c r="H1964" s="922"/>
      <c r="I1964" s="922"/>
      <c r="J1964" s="922"/>
      <c r="K1964" s="924"/>
      <c r="L1964" s="925" t="s">
        <v>2</v>
      </c>
      <c r="M1964" s="926"/>
      <c r="N1964" s="927"/>
      <c r="O1964" s="362"/>
    </row>
    <row r="1965" spans="1:15" ht="15.75" customHeight="1">
      <c r="A1965" s="395"/>
      <c r="B1965" s="399"/>
      <c r="C1965" s="920"/>
      <c r="D1965" s="924"/>
      <c r="E1965" s="407"/>
      <c r="F1965" s="216"/>
      <c r="G1965" s="216"/>
      <c r="H1965" s="216"/>
      <c r="I1965" s="216"/>
      <c r="J1965" s="216"/>
      <c r="K1965" s="216"/>
      <c r="L1965" s="408" t="s">
        <v>3</v>
      </c>
      <c r="M1965" s="409" t="s">
        <v>4</v>
      </c>
      <c r="N1965" s="410" t="s">
        <v>5</v>
      </c>
      <c r="O1965" s="362"/>
    </row>
    <row r="1966" spans="1:15" ht="15.75" customHeight="1">
      <c r="A1966" s="395"/>
      <c r="B1966" s="399"/>
      <c r="C1966" s="920"/>
      <c r="D1966" s="924"/>
      <c r="E1966" s="1125" t="s">
        <v>1186</v>
      </c>
      <c r="F1966" s="945"/>
      <c r="G1966" s="945"/>
      <c r="H1966" s="945"/>
      <c r="I1966" s="945"/>
      <c r="J1966" s="945"/>
      <c r="K1966" s="945"/>
      <c r="L1966" s="928">
        <f>Datos!$C$7</f>
        <v>19</v>
      </c>
      <c r="M1966" s="935">
        <f>Datos!$D$7</f>
        <v>6</v>
      </c>
      <c r="N1966" s="937">
        <f>Datos!$E$7</f>
        <v>2026</v>
      </c>
      <c r="O1966" s="362"/>
    </row>
    <row r="1967" spans="1:15" ht="15.75" customHeight="1">
      <c r="A1967" s="395"/>
      <c r="B1967" s="399"/>
      <c r="C1967" s="929"/>
      <c r="D1967" s="938"/>
      <c r="E1967" s="929"/>
      <c r="F1967" s="936"/>
      <c r="G1967" s="936"/>
      <c r="H1967" s="936"/>
      <c r="I1967" s="936"/>
      <c r="J1967" s="936"/>
      <c r="K1967" s="936"/>
      <c r="L1967" s="929"/>
      <c r="M1967" s="936"/>
      <c r="N1967" s="938"/>
      <c r="O1967" s="362"/>
    </row>
    <row r="1968" spans="1:15" ht="15.75" customHeight="1">
      <c r="A1968" s="395"/>
      <c r="B1968" s="399"/>
      <c r="C1968" s="404"/>
      <c r="D1968" s="38"/>
      <c r="E1968" s="38"/>
      <c r="F1968" s="38"/>
      <c r="G1968" s="38"/>
      <c r="H1968" s="38"/>
      <c r="I1968" s="38"/>
      <c r="J1968" s="38"/>
      <c r="K1968" s="38"/>
      <c r="L1968" s="39"/>
      <c r="M1968" s="39"/>
      <c r="N1968" s="40"/>
      <c r="O1968" s="362"/>
    </row>
    <row r="1969" spans="1:15" ht="15.75" customHeight="1">
      <c r="A1969" s="395"/>
      <c r="B1969" s="399"/>
      <c r="C1969" s="412" t="s">
        <v>1187</v>
      </c>
      <c r="D1969" s="1199" t="str">
        <f>VLOOKUP(C1974,ListaAct,2,0)</f>
        <v>OBRA CIVIL</v>
      </c>
      <c r="E1969" s="922"/>
      <c r="F1969" s="922"/>
      <c r="G1969" s="922"/>
      <c r="H1969" s="922"/>
      <c r="I1969" s="922"/>
      <c r="J1969" s="922"/>
      <c r="K1969" s="922"/>
      <c r="L1969" s="922"/>
      <c r="M1969" s="1"/>
      <c r="N1969" s="413"/>
      <c r="O1969" s="362"/>
    </row>
    <row r="1970" spans="1:15" ht="15.75" customHeight="1">
      <c r="A1970" s="395"/>
      <c r="B1970" s="399"/>
      <c r="C1970" s="412" t="s">
        <v>1189</v>
      </c>
      <c r="D1970" s="1199" t="str">
        <f>VLOOKUP(C1974,ListaAct,3,0)</f>
        <v>DISPOSICION DE AGUAS LLUVIAS</v>
      </c>
      <c r="E1970" s="922"/>
      <c r="F1970" s="922"/>
      <c r="G1970" s="922"/>
      <c r="H1970" s="922"/>
      <c r="I1970" s="922"/>
      <c r="J1970" s="922"/>
      <c r="K1970" s="922"/>
      <c r="L1970" s="922"/>
      <c r="M1970" s="1"/>
      <c r="N1970" s="413"/>
      <c r="O1970" s="362"/>
    </row>
    <row r="1971" spans="1:15" ht="15.75" customHeight="1">
      <c r="A1971" s="395"/>
      <c r="B1971" s="399"/>
      <c r="C1971" s="925" t="s">
        <v>1191</v>
      </c>
      <c r="D1971" s="926"/>
      <c r="E1971" s="926"/>
      <c r="F1971" s="926"/>
      <c r="G1971" s="926"/>
      <c r="H1971" s="926"/>
      <c r="I1971" s="926"/>
      <c r="J1971" s="926"/>
      <c r="K1971" s="926"/>
      <c r="L1971" s="926"/>
      <c r="M1971" s="926"/>
      <c r="N1971" s="927"/>
      <c r="O1971" s="362"/>
    </row>
    <row r="1972" spans="1:15" ht="15.75" customHeight="1">
      <c r="A1972" s="395"/>
      <c r="B1972" s="399"/>
      <c r="C1972" s="418"/>
      <c r="D1972" s="39"/>
      <c r="E1972" s="39"/>
      <c r="F1972" s="39"/>
      <c r="G1972" s="39"/>
      <c r="H1972" s="39"/>
      <c r="I1972" s="39"/>
      <c r="J1972" s="39"/>
      <c r="K1972" s="39"/>
      <c r="L1972" s="39"/>
      <c r="M1972" s="39"/>
      <c r="N1972" s="40"/>
      <c r="O1972" s="362"/>
    </row>
    <row r="1973" spans="1:15" ht="15.75" customHeight="1">
      <c r="A1973" s="395"/>
      <c r="B1973" s="399"/>
      <c r="C1973" s="668" t="s">
        <v>965</v>
      </c>
      <c r="D1973" s="1200" t="s">
        <v>17</v>
      </c>
      <c r="E1973" s="1131"/>
      <c r="F1973" s="1131"/>
      <c r="G1973" s="1131"/>
      <c r="H1973" s="1131"/>
      <c r="I1973" s="1131"/>
      <c r="J1973" s="1131"/>
      <c r="K1973" s="1137"/>
      <c r="L1973" s="1201" t="s">
        <v>1192</v>
      </c>
      <c r="M1973" s="1137"/>
      <c r="N1973" s="668" t="s">
        <v>950</v>
      </c>
      <c r="O1973" s="362"/>
    </row>
    <row r="1974" spans="1:15" ht="15.75" customHeight="1">
      <c r="A1974" s="395"/>
      <c r="B1974" s="421"/>
      <c r="C1974" s="669" t="s">
        <v>1059</v>
      </c>
      <c r="D1974" s="1202" t="str">
        <f>IF($C1974&gt;0,(VLOOKUP($C1974,ListaAct,4,FALSE)),"")</f>
        <v>Caja aguas lluvias según diseño en base de concreto y muros de ladrillo macizo, pañetada con medias cañas y pendiente.</v>
      </c>
      <c r="E1974" s="979"/>
      <c r="F1974" s="979"/>
      <c r="G1974" s="979"/>
      <c r="H1974" s="979"/>
      <c r="I1974" s="979"/>
      <c r="J1974" s="979"/>
      <c r="K1974" s="980"/>
      <c r="L1974" s="1203" t="str">
        <f>IF($C1974&gt;0,(VLOOKUP($C1974,ListaAct,5,FALSE)),"")</f>
        <v>und</v>
      </c>
      <c r="M1974" s="980"/>
      <c r="N1974" s="423">
        <f>IF($C1974&gt;0,(VLOOKUP($C1974,ListaAct,6,FALSE)),"")</f>
        <v>1</v>
      </c>
      <c r="O1974" s="362"/>
    </row>
    <row r="1975" spans="1:15" ht="15.75" customHeight="1">
      <c r="A1975" s="395"/>
      <c r="B1975" s="399"/>
      <c r="C1975" s="1129" t="s">
        <v>1195</v>
      </c>
      <c r="D1975" s="926"/>
      <c r="E1975" s="926"/>
      <c r="F1975" s="926"/>
      <c r="G1975" s="926"/>
      <c r="H1975" s="926"/>
      <c r="I1975" s="926"/>
      <c r="J1975" s="926"/>
      <c r="K1975" s="926"/>
      <c r="L1975" s="926"/>
      <c r="M1975" s="926"/>
      <c r="N1975" s="927"/>
      <c r="O1975" s="362"/>
    </row>
    <row r="1976" spans="1:15" ht="15.75" customHeight="1">
      <c r="A1976" s="395"/>
      <c r="B1976" s="399"/>
      <c r="C1976" s="920"/>
      <c r="D1976" s="922"/>
      <c r="E1976" s="922"/>
      <c r="F1976" s="922"/>
      <c r="G1976" s="922"/>
      <c r="H1976" s="922"/>
      <c r="I1976" s="922"/>
      <c r="J1976" s="922"/>
      <c r="K1976" s="922"/>
      <c r="L1976" s="922"/>
      <c r="M1976" s="922"/>
      <c r="N1976" s="924"/>
      <c r="O1976" s="362"/>
    </row>
    <row r="1977" spans="1:15" ht="15.75" customHeight="1">
      <c r="A1977" s="395"/>
      <c r="B1977" s="399"/>
      <c r="C1977" s="929"/>
      <c r="D1977" s="936"/>
      <c r="E1977" s="936"/>
      <c r="F1977" s="936"/>
      <c r="G1977" s="936"/>
      <c r="H1977" s="936"/>
      <c r="I1977" s="936"/>
      <c r="J1977" s="936"/>
      <c r="K1977" s="936"/>
      <c r="L1977" s="936"/>
      <c r="M1977" s="936"/>
      <c r="N1977" s="938"/>
      <c r="O1977" s="362"/>
    </row>
    <row r="1978" spans="1:15" ht="15.75" customHeight="1">
      <c r="A1978" s="395"/>
      <c r="B1978" s="399"/>
      <c r="C1978" s="1201" t="s">
        <v>17</v>
      </c>
      <c r="D1978" s="1131"/>
      <c r="E1978" s="1131"/>
      <c r="F1978" s="1000"/>
      <c r="G1978" s="1204" t="s">
        <v>1196</v>
      </c>
      <c r="H1978" s="1000"/>
      <c r="I1978" s="1204" t="s">
        <v>1197</v>
      </c>
      <c r="J1978" s="1000"/>
      <c r="K1978" s="670" t="s">
        <v>1213</v>
      </c>
      <c r="L1978" s="1204" t="s">
        <v>1199</v>
      </c>
      <c r="M1978" s="1000"/>
      <c r="N1978" s="671" t="s">
        <v>1200</v>
      </c>
      <c r="O1978" s="362"/>
    </row>
    <row r="1979" spans="1:15" ht="15.75" customHeight="1">
      <c r="A1979" s="395"/>
      <c r="B1979" s="399"/>
      <c r="C1979" s="1128" t="s">
        <v>1201</v>
      </c>
      <c r="D1979" s="940"/>
      <c r="E1979" s="940"/>
      <c r="F1979" s="941"/>
      <c r="G1979" s="1142"/>
      <c r="H1979" s="941"/>
      <c r="I1979" s="1142"/>
      <c r="J1979" s="941"/>
      <c r="K1979" s="429"/>
      <c r="L1979" s="1143">
        <v>0.06</v>
      </c>
      <c r="M1979" s="941"/>
      <c r="N1979" s="430">
        <f>+L1979*N2018</f>
        <v>16414.88496164875</v>
      </c>
      <c r="O1979" s="362"/>
    </row>
    <row r="1980" spans="1:15" ht="15.75" customHeight="1">
      <c r="A1980" s="395">
        <f t="array" ref="A1980">IF(C1980&lt;&gt;0,INDEX(CodEquipos,MATCH(C1980,Equipos,0),),)</f>
        <v>0</v>
      </c>
      <c r="B1980" s="399"/>
      <c r="C1980" s="1128"/>
      <c r="D1980" s="940"/>
      <c r="E1980" s="940"/>
      <c r="F1980" s="941"/>
      <c r="G1980" s="1142"/>
      <c r="H1980" s="941"/>
      <c r="I1980" s="1142"/>
      <c r="J1980" s="941"/>
      <c r="K1980" s="432" t="str">
        <f>IF($A1980&gt;0,(VLOOKUP($A1980,TablaEquipos,7,FALSE)),"")</f>
        <v/>
      </c>
      <c r="L1980" s="1146"/>
      <c r="M1980" s="941"/>
      <c r="N1980" s="430" t="str">
        <f t="shared" ref="N1980:N1984" si="150">IF(L1980&gt;0,K1980/L1980,"")</f>
        <v/>
      </c>
      <c r="O1980" s="362"/>
    </row>
    <row r="1981" spans="1:15" ht="15.75" customHeight="1">
      <c r="A1981" s="395">
        <f t="array" ref="A1981">IF(C1981&lt;&gt;0,INDEX(CodEquipos,MATCH(C1981,Equipos,0),),)</f>
        <v>0</v>
      </c>
      <c r="B1981" s="399"/>
      <c r="C1981" s="1128"/>
      <c r="D1981" s="940"/>
      <c r="E1981" s="940"/>
      <c r="F1981" s="941"/>
      <c r="G1981" s="1142"/>
      <c r="H1981" s="941"/>
      <c r="I1981" s="1142"/>
      <c r="J1981" s="941"/>
      <c r="K1981" s="432" t="str">
        <f>IF($A1981&gt;0,(VLOOKUP($A1981,TablaEquipos,7,FALSE)),"")</f>
        <v/>
      </c>
      <c r="L1981" s="1146"/>
      <c r="M1981" s="941"/>
      <c r="N1981" s="430" t="str">
        <f t="shared" si="150"/>
        <v/>
      </c>
      <c r="O1981" s="362"/>
    </row>
    <row r="1982" spans="1:15" ht="15.75" customHeight="1">
      <c r="A1982" s="395">
        <f t="array" ref="A1982">IF(C1982&lt;&gt;0,INDEX(CodEquipos,MATCH(C1982,Equipos,0),),)</f>
        <v>0</v>
      </c>
      <c r="B1982" s="399"/>
      <c r="C1982" s="1128"/>
      <c r="D1982" s="940"/>
      <c r="E1982" s="940"/>
      <c r="F1982" s="941"/>
      <c r="G1982" s="1142"/>
      <c r="H1982" s="941"/>
      <c r="I1982" s="1142"/>
      <c r="J1982" s="941"/>
      <c r="K1982" s="432" t="str">
        <f>IF($A1982&gt;0,(VLOOKUP($A1982,TablaEquipos,7,FALSE)),"")</f>
        <v/>
      </c>
      <c r="L1982" s="1146"/>
      <c r="M1982" s="941"/>
      <c r="N1982" s="430" t="str">
        <f t="shared" si="150"/>
        <v/>
      </c>
      <c r="O1982" s="362"/>
    </row>
    <row r="1983" spans="1:15" ht="15.75" customHeight="1">
      <c r="A1983" s="395">
        <f t="array" ref="A1983">IF(C1983&lt;&gt;0,INDEX(CodEquipos,MATCH(C1983,Equipos,0),),)</f>
        <v>0</v>
      </c>
      <c r="B1983" s="399"/>
      <c r="C1983" s="1128"/>
      <c r="D1983" s="940"/>
      <c r="E1983" s="940"/>
      <c r="F1983" s="941"/>
      <c r="G1983" s="1142"/>
      <c r="H1983" s="941"/>
      <c r="I1983" s="1142"/>
      <c r="J1983" s="941"/>
      <c r="K1983" s="432" t="str">
        <f>IF($A1983&gt;0,(VLOOKUP($A1983,TablaEquipos,7,FALSE)),"")</f>
        <v/>
      </c>
      <c r="L1983" s="1141"/>
      <c r="M1983" s="941"/>
      <c r="N1983" s="430" t="str">
        <f t="shared" si="150"/>
        <v/>
      </c>
      <c r="O1983" s="362"/>
    </row>
    <row r="1984" spans="1:15" ht="15.75" customHeight="1">
      <c r="A1984" s="395">
        <f t="array" ref="A1984">IF(C1984&lt;&gt;0,INDEX(CodEquipos,MATCH(C1984,Equipos,0),),)</f>
        <v>0</v>
      </c>
      <c r="B1984" s="399"/>
      <c r="C1984" s="1128"/>
      <c r="D1984" s="940"/>
      <c r="E1984" s="940"/>
      <c r="F1984" s="941"/>
      <c r="G1984" s="1144"/>
      <c r="H1984" s="1145"/>
      <c r="I1984" s="1144"/>
      <c r="J1984" s="1145"/>
      <c r="K1984" s="432" t="str">
        <f>IF($A1984&gt;0,(VLOOKUP($A1984,TablaEquipos,7,FALSE)),"")</f>
        <v/>
      </c>
      <c r="L1984" s="1208"/>
      <c r="M1984" s="1145"/>
      <c r="N1984" s="430" t="str">
        <f t="shared" si="150"/>
        <v/>
      </c>
      <c r="O1984" s="362"/>
    </row>
    <row r="1985" spans="1:18" ht="15.75" customHeight="1">
      <c r="A1985" s="395"/>
      <c r="B1985" s="399"/>
      <c r="C1985" s="1127" t="s">
        <v>1202</v>
      </c>
      <c r="D1985" s="965"/>
      <c r="E1985" s="965"/>
      <c r="F1985" s="965"/>
      <c r="G1985" s="965"/>
      <c r="H1985" s="965"/>
      <c r="I1985" s="965"/>
      <c r="J1985" s="965"/>
      <c r="K1985" s="965"/>
      <c r="L1985" s="965"/>
      <c r="M1985" s="966"/>
      <c r="N1985" s="433">
        <f>+SUM(N1979:N1984)</f>
        <v>16414.88496164875</v>
      </c>
      <c r="O1985" s="362"/>
    </row>
    <row r="1986" spans="1:18" ht="15.75" customHeight="1">
      <c r="A1986" s="395"/>
      <c r="B1986" s="399"/>
      <c r="C1986" s="1129" t="s">
        <v>1203</v>
      </c>
      <c r="D1986" s="926"/>
      <c r="E1986" s="926"/>
      <c r="F1986" s="926"/>
      <c r="G1986" s="926"/>
      <c r="H1986" s="926"/>
      <c r="I1986" s="926"/>
      <c r="J1986" s="926"/>
      <c r="K1986" s="926"/>
      <c r="L1986" s="926"/>
      <c r="M1986" s="926"/>
      <c r="N1986" s="927"/>
      <c r="O1986" s="362"/>
    </row>
    <row r="1987" spans="1:18" ht="15.75" customHeight="1">
      <c r="A1987" s="395"/>
      <c r="B1987" s="399"/>
      <c r="C1987" s="920"/>
      <c r="D1987" s="922"/>
      <c r="E1987" s="922"/>
      <c r="F1987" s="922"/>
      <c r="G1987" s="922"/>
      <c r="H1987" s="922"/>
      <c r="I1987" s="922"/>
      <c r="J1987" s="922"/>
      <c r="K1987" s="922"/>
      <c r="L1987" s="922"/>
      <c r="M1987" s="922"/>
      <c r="N1987" s="924"/>
      <c r="O1987" s="362"/>
    </row>
    <row r="1988" spans="1:18" ht="15.75" customHeight="1">
      <c r="A1988" s="395"/>
      <c r="B1988" s="399"/>
      <c r="C1988" s="929"/>
      <c r="D1988" s="936"/>
      <c r="E1988" s="936"/>
      <c r="F1988" s="936"/>
      <c r="G1988" s="936"/>
      <c r="H1988" s="936"/>
      <c r="I1988" s="936"/>
      <c r="J1988" s="936"/>
      <c r="K1988" s="936"/>
      <c r="L1988" s="936"/>
      <c r="M1988" s="936"/>
      <c r="N1988" s="938"/>
      <c r="O1988" s="362"/>
    </row>
    <row r="1989" spans="1:18" ht="15.75" customHeight="1">
      <c r="A1989" s="395"/>
      <c r="B1989" s="399"/>
      <c r="C1989" s="1201" t="s">
        <v>17</v>
      </c>
      <c r="D1989" s="1131"/>
      <c r="E1989" s="1131"/>
      <c r="F1989" s="1131"/>
      <c r="G1989" s="1131"/>
      <c r="H1989" s="1131"/>
      <c r="I1989" s="1000"/>
      <c r="J1989" s="672" t="s">
        <v>1192</v>
      </c>
      <c r="K1989" s="670" t="s">
        <v>950</v>
      </c>
      <c r="L1989" s="1204" t="s">
        <v>1204</v>
      </c>
      <c r="M1989" s="1000"/>
      <c r="N1989" s="671" t="s">
        <v>1200</v>
      </c>
      <c r="O1989" s="362"/>
    </row>
    <row r="1990" spans="1:18" ht="15.75" customHeight="1">
      <c r="A1990" s="395" t="str">
        <f t="array" ref="A1990">IF(C1990&lt;&gt;0,INDEX(CodMat,MATCH(C1990,Materiales,0),),)</f>
        <v>MAT_C-84</v>
      </c>
      <c r="B1990" s="399"/>
      <c r="C1990" s="1128" t="s">
        <v>2533</v>
      </c>
      <c r="D1990" s="940"/>
      <c r="E1990" s="940"/>
      <c r="F1990" s="940"/>
      <c r="G1990" s="940"/>
      <c r="H1990" s="940"/>
      <c r="I1990" s="941"/>
      <c r="J1990" s="435" t="str">
        <f t="shared" ref="J1990:J1997" si="151">IF($A1990&gt;0,(VLOOKUP($A1990,TablaInsumos,5,FALSE)),"")</f>
        <v>M3</v>
      </c>
      <c r="K1990" s="673">
        <v>0.06</v>
      </c>
      <c r="L1990" s="1134">
        <f t="shared" ref="L1990:L1997" si="152">IF($A1990&gt;0,(VLOOKUP($A1990,TablaInsumos,7,FALSE)),"")</f>
        <v>922200</v>
      </c>
      <c r="M1990" s="941"/>
      <c r="N1990" s="430">
        <f t="shared" ref="N1990:N1997" si="153">IF(K1990&gt;0,L1990*K1990,"")</f>
        <v>55332</v>
      </c>
      <c r="O1990" s="362"/>
    </row>
    <row r="1991" spans="1:18" ht="15.75" customHeight="1">
      <c r="A1991" s="395" t="str">
        <f t="array" ref="A1991">IF(C1991&lt;&gt;0,INDEX(CodMat,MATCH(C1991,Materiales,0),),)</f>
        <v>MAT_C-27</v>
      </c>
      <c r="B1991" s="399"/>
      <c r="C1991" s="1128" t="s">
        <v>2071</v>
      </c>
      <c r="D1991" s="940"/>
      <c r="E1991" s="940"/>
      <c r="F1991" s="940"/>
      <c r="G1991" s="940"/>
      <c r="H1991" s="940"/>
      <c r="I1991" s="941"/>
      <c r="J1991" s="435" t="str">
        <f t="shared" si="151"/>
        <v xml:space="preserve">UND </v>
      </c>
      <c r="K1991" s="673">
        <v>160</v>
      </c>
      <c r="L1991" s="1134">
        <f t="shared" si="152"/>
        <v>2500</v>
      </c>
      <c r="M1991" s="941"/>
      <c r="N1991" s="430">
        <f t="shared" si="153"/>
        <v>400000</v>
      </c>
      <c r="O1991" s="362"/>
      <c r="Q1991" s="688"/>
    </row>
    <row r="1992" spans="1:18" ht="15.75" customHeight="1">
      <c r="A1992" s="395" t="str">
        <f t="array" ref="A1992">IF(C1992&lt;&gt;0,INDEX(CodMat,MATCH(C1992,Materiales,0),),)</f>
        <v>MAT_C-85</v>
      </c>
      <c r="B1992" s="399"/>
      <c r="C1992" s="1128" t="s">
        <v>2534</v>
      </c>
      <c r="D1992" s="940"/>
      <c r="E1992" s="940"/>
      <c r="F1992" s="940"/>
      <c r="G1992" s="940"/>
      <c r="H1992" s="940"/>
      <c r="I1992" s="941"/>
      <c r="J1992" s="435" t="str">
        <f t="shared" si="151"/>
        <v>KG</v>
      </c>
      <c r="K1992" s="673">
        <v>6.72</v>
      </c>
      <c r="L1992" s="1134">
        <f t="shared" si="152"/>
        <v>15273</v>
      </c>
      <c r="M1992" s="941"/>
      <c r="N1992" s="430">
        <f t="shared" si="153"/>
        <v>102634.56</v>
      </c>
      <c r="O1992" s="362"/>
      <c r="Q1992" s="687"/>
      <c r="R1992" s="687"/>
    </row>
    <row r="1993" spans="1:18" ht="15.75" customHeight="1">
      <c r="A1993" s="395" t="str">
        <f t="array" ref="A1993">IF(C1993&lt;&gt;0,INDEX(CodMat,MATCH(C1993,Materiales,0),),)</f>
        <v>MAT_C-86</v>
      </c>
      <c r="B1993" s="399"/>
      <c r="C1993" s="1128" t="s">
        <v>2535</v>
      </c>
      <c r="D1993" s="940"/>
      <c r="E1993" s="940"/>
      <c r="F1993" s="940"/>
      <c r="G1993" s="940"/>
      <c r="H1993" s="940"/>
      <c r="I1993" s="941"/>
      <c r="J1993" s="435" t="str">
        <f t="shared" si="151"/>
        <v>KG</v>
      </c>
      <c r="K1993" s="673">
        <v>7.81</v>
      </c>
      <c r="L1993" s="1134">
        <f t="shared" si="152"/>
        <v>15273</v>
      </c>
      <c r="M1993" s="941"/>
      <c r="N1993" s="430">
        <f t="shared" si="153"/>
        <v>119282.12999999999</v>
      </c>
      <c r="O1993" s="362"/>
      <c r="Q1993" s="688"/>
    </row>
    <row r="1994" spans="1:18" ht="15.75" customHeight="1">
      <c r="A1994" s="395" t="str">
        <f t="array" ref="A1994">IF(C1994&lt;&gt;0,INDEX(CodMat,MATCH(C1994,Materiales,0),),)</f>
        <v>MAT_C-87</v>
      </c>
      <c r="B1994" s="399"/>
      <c r="C1994" s="1128" t="s">
        <v>2536</v>
      </c>
      <c r="D1994" s="940"/>
      <c r="E1994" s="940"/>
      <c r="F1994" s="940"/>
      <c r="G1994" s="940"/>
      <c r="H1994" s="940"/>
      <c r="I1994" s="941"/>
      <c r="J1994" s="435" t="str">
        <f t="shared" si="151"/>
        <v>GLOBAL</v>
      </c>
      <c r="K1994" s="673">
        <v>1</v>
      </c>
      <c r="L1994" s="1134">
        <f t="shared" si="152"/>
        <v>239200</v>
      </c>
      <c r="M1994" s="941"/>
      <c r="N1994" s="430">
        <f t="shared" si="153"/>
        <v>239200</v>
      </c>
      <c r="O1994" s="362"/>
    </row>
    <row r="1995" spans="1:18" ht="15.75" customHeight="1">
      <c r="A1995" s="395" t="str">
        <f t="array" ref="A1995">IF(C1995&lt;&gt;0,INDEX(CodMat,MATCH(C1995,Materiales,0),),)</f>
        <v>MAT_C-88</v>
      </c>
      <c r="B1995" s="399"/>
      <c r="C1995" s="1128" t="s">
        <v>2537</v>
      </c>
      <c r="D1995" s="940"/>
      <c r="E1995" s="940"/>
      <c r="F1995" s="940"/>
      <c r="G1995" s="940"/>
      <c r="H1995" s="940"/>
      <c r="I1995" s="941"/>
      <c r="J1995" s="435" t="str">
        <f t="shared" si="151"/>
        <v>KG</v>
      </c>
      <c r="K1995" s="673">
        <v>60</v>
      </c>
      <c r="L1995" s="1134">
        <f t="shared" si="152"/>
        <v>575</v>
      </c>
      <c r="M1995" s="941"/>
      <c r="N1995" s="430">
        <f t="shared" si="153"/>
        <v>34500</v>
      </c>
      <c r="O1995" s="362"/>
    </row>
    <row r="1996" spans="1:18" ht="15.75" customHeight="1">
      <c r="A1996" s="395">
        <f t="array" ref="A1996">IF(C1996&lt;&gt;0,INDEX(CodMat,MATCH(C1996,Materiales,0),),)</f>
        <v>0</v>
      </c>
      <c r="B1996" s="399"/>
      <c r="C1996" s="1128"/>
      <c r="D1996" s="940"/>
      <c r="E1996" s="940"/>
      <c r="F1996" s="940"/>
      <c r="G1996" s="940"/>
      <c r="H1996" s="940"/>
      <c r="I1996" s="941"/>
      <c r="J1996" s="435" t="str">
        <f t="shared" si="151"/>
        <v/>
      </c>
      <c r="K1996" s="673"/>
      <c r="L1996" s="1134" t="str">
        <f t="shared" si="152"/>
        <v/>
      </c>
      <c r="M1996" s="941"/>
      <c r="N1996" s="430" t="str">
        <f t="shared" si="153"/>
        <v/>
      </c>
      <c r="O1996" s="362"/>
    </row>
    <row r="1997" spans="1:18" ht="15.75" customHeight="1">
      <c r="A1997" s="395">
        <f t="array" ref="A1997">IF(C1997&lt;&gt;0,INDEX(CodMat,MATCH(C1997,Materiales,0),),)</f>
        <v>0</v>
      </c>
      <c r="B1997" s="399"/>
      <c r="C1997" s="1128"/>
      <c r="D1997" s="940"/>
      <c r="E1997" s="940"/>
      <c r="F1997" s="940"/>
      <c r="G1997" s="940"/>
      <c r="H1997" s="940"/>
      <c r="I1997" s="941"/>
      <c r="J1997" s="435" t="str">
        <f t="shared" si="151"/>
        <v/>
      </c>
      <c r="K1997" s="673"/>
      <c r="L1997" s="1205" t="str">
        <f t="shared" si="152"/>
        <v/>
      </c>
      <c r="M1997" s="1145"/>
      <c r="N1997" s="430" t="str">
        <f t="shared" si="153"/>
        <v/>
      </c>
      <c r="O1997" s="362"/>
    </row>
    <row r="1998" spans="1:18" ht="15.75" customHeight="1">
      <c r="A1998" s="395"/>
      <c r="B1998" s="399"/>
      <c r="C1998" s="1127" t="s">
        <v>1202</v>
      </c>
      <c r="D1998" s="965"/>
      <c r="E1998" s="965"/>
      <c r="F1998" s="965"/>
      <c r="G1998" s="965"/>
      <c r="H1998" s="965"/>
      <c r="I1998" s="965"/>
      <c r="J1998" s="965"/>
      <c r="K1998" s="965"/>
      <c r="L1998" s="965"/>
      <c r="M1998" s="966"/>
      <c r="N1998" s="433">
        <f>+SUM(N1990:N1997)</f>
        <v>950948.69000000006</v>
      </c>
      <c r="O1998" s="362"/>
    </row>
    <row r="1999" spans="1:18" ht="15.75" customHeight="1">
      <c r="A1999" s="395"/>
      <c r="B1999" s="399"/>
      <c r="C1999" s="1129" t="s">
        <v>1208</v>
      </c>
      <c r="D1999" s="926"/>
      <c r="E1999" s="926"/>
      <c r="F1999" s="926"/>
      <c r="G1999" s="926"/>
      <c r="H1999" s="926"/>
      <c r="I1999" s="926"/>
      <c r="J1999" s="926"/>
      <c r="K1999" s="926"/>
      <c r="L1999" s="926"/>
      <c r="M1999" s="926"/>
      <c r="N1999" s="927"/>
      <c r="O1999" s="362"/>
    </row>
    <row r="2000" spans="1:18" ht="15.75" customHeight="1">
      <c r="A2000" s="395"/>
      <c r="B2000" s="399"/>
      <c r="C2000" s="920"/>
      <c r="D2000" s="922"/>
      <c r="E2000" s="922"/>
      <c r="F2000" s="922"/>
      <c r="G2000" s="922"/>
      <c r="H2000" s="922"/>
      <c r="I2000" s="922"/>
      <c r="J2000" s="922"/>
      <c r="K2000" s="922"/>
      <c r="L2000" s="922"/>
      <c r="M2000" s="922"/>
      <c r="N2000" s="924"/>
      <c r="O2000" s="362"/>
    </row>
    <row r="2001" spans="1:15" ht="15.75" customHeight="1">
      <c r="A2001" s="395"/>
      <c r="B2001" s="399"/>
      <c r="C2001" s="929"/>
      <c r="D2001" s="936"/>
      <c r="E2001" s="936"/>
      <c r="F2001" s="936"/>
      <c r="G2001" s="936"/>
      <c r="H2001" s="936"/>
      <c r="I2001" s="936"/>
      <c r="J2001" s="936"/>
      <c r="K2001" s="936"/>
      <c r="L2001" s="936"/>
      <c r="M2001" s="936"/>
      <c r="N2001" s="938"/>
      <c r="O2001" s="362"/>
    </row>
    <row r="2002" spans="1:15" ht="15.75" customHeight="1">
      <c r="A2002" s="395"/>
      <c r="B2002" s="399"/>
      <c r="C2002" s="1201" t="s">
        <v>1209</v>
      </c>
      <c r="D2002" s="1131"/>
      <c r="E2002" s="1131"/>
      <c r="F2002" s="1131"/>
      <c r="G2002" s="1131"/>
      <c r="H2002" s="1000"/>
      <c r="I2002" s="670" t="s">
        <v>1210</v>
      </c>
      <c r="J2002" s="674" t="s">
        <v>1211</v>
      </c>
      <c r="K2002" s="675" t="s">
        <v>2318</v>
      </c>
      <c r="L2002" s="1204" t="s">
        <v>1213</v>
      </c>
      <c r="M2002" s="1000"/>
      <c r="N2002" s="671" t="s">
        <v>1200</v>
      </c>
      <c r="O2002" s="362"/>
    </row>
    <row r="2003" spans="1:15" ht="15.75" customHeight="1">
      <c r="A2003" s="395">
        <f t="array" ref="A2003">IF(C2003&lt;&gt;0,INDEX(CodTransporte,MATCH(C2003,Transporte,0),),)</f>
        <v>0</v>
      </c>
      <c r="B2003" s="399"/>
      <c r="C2003" s="1128"/>
      <c r="D2003" s="940"/>
      <c r="E2003" s="940"/>
      <c r="F2003" s="940"/>
      <c r="G2003" s="940"/>
      <c r="H2003" s="940"/>
      <c r="I2003" s="440"/>
      <c r="J2003" s="441" t="str">
        <f>IF($A2003&gt;0,(VLOOKUP($A2003,TablaTransporte,6,FALSE)),"")</f>
        <v/>
      </c>
      <c r="K2003" s="442" t="str">
        <f>IF($A2003&gt;0,(VLOOKUP($A2003,TablaTransporte,5,FALSE)),"")</f>
        <v/>
      </c>
      <c r="L2003" s="1134" t="str">
        <f>IF($A2003&gt;0,(VLOOKUP($A2003,TablaTransporte,7,FALSE)),"")</f>
        <v/>
      </c>
      <c r="M2003" s="941"/>
      <c r="N2003" s="430" t="str">
        <f t="shared" ref="N2003:N2007" si="154">IF(I2003&gt;0,J2003*L2003*I2003,"")</f>
        <v/>
      </c>
      <c r="O2003" s="362"/>
    </row>
    <row r="2004" spans="1:15" ht="15.75" customHeight="1">
      <c r="A2004" s="395">
        <f t="array" ref="A2004">IF(C2004&lt;&gt;0,INDEX(CodTransporte,MATCH(C2004,Transporte,0),),)</f>
        <v>0</v>
      </c>
      <c r="B2004" s="399"/>
      <c r="C2004" s="1128"/>
      <c r="D2004" s="940"/>
      <c r="E2004" s="940"/>
      <c r="F2004" s="940"/>
      <c r="G2004" s="940"/>
      <c r="H2004" s="940"/>
      <c r="I2004" s="440"/>
      <c r="J2004" s="441" t="str">
        <f>IF($A2004&gt;0,(VLOOKUP($A2004,TablaTransporte,6,FALSE)),"")</f>
        <v/>
      </c>
      <c r="K2004" s="442" t="str">
        <f>IF($A2004&gt;0,(VLOOKUP($A2004,TablaTransporte,5,FALSE)),"")</f>
        <v/>
      </c>
      <c r="L2004" s="1134" t="str">
        <f>IF($A2004&gt;0,(VLOOKUP($A2004,TablaTransporte,7,FALSE)),"")</f>
        <v/>
      </c>
      <c r="M2004" s="941"/>
      <c r="N2004" s="430" t="str">
        <f t="shared" si="154"/>
        <v/>
      </c>
      <c r="O2004" s="362"/>
    </row>
    <row r="2005" spans="1:15" ht="15.75" customHeight="1">
      <c r="A2005" s="395">
        <f t="array" ref="A2005">IF(C2005&lt;&gt;0,INDEX(CodTransporte,MATCH(C2005,Transporte,0),),)</f>
        <v>0</v>
      </c>
      <c r="B2005" s="399"/>
      <c r="C2005" s="1128"/>
      <c r="D2005" s="940"/>
      <c r="E2005" s="940"/>
      <c r="F2005" s="940"/>
      <c r="G2005" s="940"/>
      <c r="H2005" s="940"/>
      <c r="I2005" s="440"/>
      <c r="J2005" s="441" t="str">
        <f>IF($A2005&gt;0,(VLOOKUP($A2005,TablaTransporte,6,FALSE)),"")</f>
        <v/>
      </c>
      <c r="K2005" s="442" t="str">
        <f>IF($A2005&gt;0,(VLOOKUP($A2005,TablaTransporte,5,FALSE)),"")</f>
        <v/>
      </c>
      <c r="L2005" s="1134" t="str">
        <f>IF($A2005&gt;0,(VLOOKUP($A2005,TablaTransporte,7,FALSE)),"")</f>
        <v/>
      </c>
      <c r="M2005" s="941"/>
      <c r="N2005" s="430" t="str">
        <f t="shared" si="154"/>
        <v/>
      </c>
      <c r="O2005" s="362"/>
    </row>
    <row r="2006" spans="1:15" ht="15.75" customHeight="1">
      <c r="A2006" s="395">
        <f t="array" ref="A2006">IF(C2006&lt;&gt;0,INDEX(CodTransporte,MATCH(C2006,Transporte,0),),)</f>
        <v>0</v>
      </c>
      <c r="B2006" s="399"/>
      <c r="C2006" s="1128"/>
      <c r="D2006" s="940"/>
      <c r="E2006" s="940"/>
      <c r="F2006" s="940"/>
      <c r="G2006" s="940"/>
      <c r="H2006" s="940"/>
      <c r="I2006" s="440"/>
      <c r="J2006" s="441" t="str">
        <f>IF($A2006&gt;0,(VLOOKUP($A2006,TablaTransporte,6,FALSE)),"")</f>
        <v/>
      </c>
      <c r="K2006" s="442" t="str">
        <f>IF($A2006&gt;0,(VLOOKUP($A2006,TablaTransporte,5,FALSE)),"")</f>
        <v/>
      </c>
      <c r="L2006" s="1134" t="str">
        <f>IF($A2006&gt;0,(VLOOKUP($A2006,TablaTransporte,7,FALSE)),"")</f>
        <v/>
      </c>
      <c r="M2006" s="941"/>
      <c r="N2006" s="430" t="str">
        <f t="shared" si="154"/>
        <v/>
      </c>
      <c r="O2006" s="362"/>
    </row>
    <row r="2007" spans="1:15" ht="15.75" customHeight="1">
      <c r="A2007" s="395">
        <f t="array" ref="A2007">IF(C2007&lt;&gt;0,INDEX(CodTransporte,MATCH(C2007,Transporte,0),),)</f>
        <v>0</v>
      </c>
      <c r="B2007" s="399"/>
      <c r="C2007" s="1128"/>
      <c r="D2007" s="940"/>
      <c r="E2007" s="940"/>
      <c r="F2007" s="940"/>
      <c r="G2007" s="940"/>
      <c r="H2007" s="940"/>
      <c r="I2007" s="440"/>
      <c r="J2007" s="441" t="str">
        <f>IF($A2007&gt;0,(VLOOKUP($A2007,TablaTransporte,6,FALSE)),"")</f>
        <v/>
      </c>
      <c r="K2007" s="442" t="str">
        <f>IF($A2007&gt;0,(VLOOKUP($A2007,TablaTransporte,5,FALSE)),"")</f>
        <v/>
      </c>
      <c r="L2007" s="1205" t="str">
        <f>IF($A2007&gt;0,(VLOOKUP($A2007,TablaTransporte,7,FALSE)),"")</f>
        <v/>
      </c>
      <c r="M2007" s="1145"/>
      <c r="N2007" s="430" t="str">
        <f t="shared" si="154"/>
        <v/>
      </c>
      <c r="O2007" s="362"/>
    </row>
    <row r="2008" spans="1:15" ht="15.75" customHeight="1">
      <c r="A2008" s="395"/>
      <c r="B2008" s="399"/>
      <c r="C2008" s="1127" t="s">
        <v>1202</v>
      </c>
      <c r="D2008" s="965"/>
      <c r="E2008" s="965"/>
      <c r="F2008" s="965"/>
      <c r="G2008" s="965"/>
      <c r="H2008" s="965"/>
      <c r="I2008" s="965"/>
      <c r="J2008" s="965"/>
      <c r="K2008" s="965"/>
      <c r="L2008" s="965"/>
      <c r="M2008" s="966"/>
      <c r="N2008" s="433">
        <f>+SUM(N2003:N2007)</f>
        <v>0</v>
      </c>
      <c r="O2008" s="362"/>
    </row>
    <row r="2009" spans="1:15" ht="15.75" customHeight="1">
      <c r="A2009" s="395"/>
      <c r="B2009" s="399"/>
      <c r="C2009" s="1129" t="s">
        <v>1214</v>
      </c>
      <c r="D2009" s="926"/>
      <c r="E2009" s="926"/>
      <c r="F2009" s="926"/>
      <c r="G2009" s="926"/>
      <c r="H2009" s="926"/>
      <c r="I2009" s="926"/>
      <c r="J2009" s="926"/>
      <c r="K2009" s="926"/>
      <c r="L2009" s="926"/>
      <c r="M2009" s="926"/>
      <c r="N2009" s="927"/>
      <c r="O2009" s="362"/>
    </row>
    <row r="2010" spans="1:15" ht="15.75" customHeight="1">
      <c r="A2010" s="395"/>
      <c r="B2010" s="399"/>
      <c r="C2010" s="920"/>
      <c r="D2010" s="922"/>
      <c r="E2010" s="922"/>
      <c r="F2010" s="922"/>
      <c r="G2010" s="922"/>
      <c r="H2010" s="922"/>
      <c r="I2010" s="922"/>
      <c r="J2010" s="922"/>
      <c r="K2010" s="922"/>
      <c r="L2010" s="922"/>
      <c r="M2010" s="922"/>
      <c r="N2010" s="924"/>
      <c r="O2010" s="362"/>
    </row>
    <row r="2011" spans="1:15" ht="15.75" customHeight="1">
      <c r="A2011" s="395"/>
      <c r="B2011" s="399"/>
      <c r="C2011" s="929"/>
      <c r="D2011" s="936"/>
      <c r="E2011" s="936"/>
      <c r="F2011" s="936"/>
      <c r="G2011" s="936"/>
      <c r="H2011" s="936"/>
      <c r="I2011" s="936"/>
      <c r="J2011" s="936"/>
      <c r="K2011" s="936"/>
      <c r="L2011" s="936"/>
      <c r="M2011" s="936"/>
      <c r="N2011" s="938"/>
      <c r="O2011" s="362"/>
    </row>
    <row r="2012" spans="1:15" ht="15.75" customHeight="1">
      <c r="A2012" s="395"/>
      <c r="B2012" s="399"/>
      <c r="C2012" s="1201" t="s">
        <v>1215</v>
      </c>
      <c r="D2012" s="1131"/>
      <c r="E2012" s="1131"/>
      <c r="F2012" s="1131"/>
      <c r="G2012" s="1131"/>
      <c r="H2012" s="1000"/>
      <c r="I2012" s="670" t="s">
        <v>1216</v>
      </c>
      <c r="J2012" s="676" t="s">
        <v>1217</v>
      </c>
      <c r="K2012" s="677" t="s">
        <v>1218</v>
      </c>
      <c r="L2012" s="1206" t="s">
        <v>1199</v>
      </c>
      <c r="M2012" s="1000"/>
      <c r="N2012" s="678" t="s">
        <v>1200</v>
      </c>
      <c r="O2012" s="362"/>
    </row>
    <row r="2013" spans="1:15" ht="15.75" customHeight="1">
      <c r="A2013" s="395" t="str">
        <f t="array" ref="A2013">IF(C2013&lt;&gt;0,INDEX(CodMO,MATCH(C2013,MO,0),),)</f>
        <v>M.O-11</v>
      </c>
      <c r="B2013" s="399"/>
      <c r="C2013" s="1128" t="s">
        <v>2532</v>
      </c>
      <c r="D2013" s="940"/>
      <c r="E2013" s="940"/>
      <c r="F2013" s="940"/>
      <c r="G2013" s="940"/>
      <c r="H2013" s="940"/>
      <c r="I2013" s="447">
        <f>IF($A2013&gt;0,(VLOOKUP($A2013,TablaMO,8,FALSE)),"")</f>
        <v>183393.66666666666</v>
      </c>
      <c r="J2013" s="448">
        <f>IF($A2013&gt;0,(VLOOKUP($A2013,TablaMO,10,FALSE)),"")</f>
        <v>0.67071666666666663</v>
      </c>
      <c r="K2013" s="447">
        <f>IF($A2013&gt;0,(VLOOKUP($A2013,TablaMO,11,FALSE)),"")</f>
        <v>91920</v>
      </c>
      <c r="L2013" s="1146">
        <v>1.5422904308588679</v>
      </c>
      <c r="M2013" s="941"/>
      <c r="N2013" s="430">
        <f t="shared" ref="N2013:N2017" si="155">IF(L2013&gt;0,K2013/L2013,"")</f>
        <v>59599.669530992134</v>
      </c>
      <c r="O2013" s="362"/>
    </row>
    <row r="2014" spans="1:15" ht="15.75" customHeight="1">
      <c r="A2014" s="395" t="str">
        <f t="array" ref="A2014">IF(C2014&lt;&gt;0,INDEX(CodMO,MATCH(C2014,MO,0),),)</f>
        <v>M.O-05</v>
      </c>
      <c r="B2014" s="399"/>
      <c r="C2014" s="1128" t="s">
        <v>139</v>
      </c>
      <c r="D2014" s="940"/>
      <c r="E2014" s="940"/>
      <c r="F2014" s="940"/>
      <c r="G2014" s="940"/>
      <c r="H2014" s="940"/>
      <c r="I2014" s="447">
        <f>IF($A2014&gt;0,(VLOOKUP($A2014,TablaMO,8,FALSE)),"")</f>
        <v>125030.16666666667</v>
      </c>
      <c r="J2014" s="448">
        <f>IF($A2014&gt;0,(VLOOKUP($A2014,TablaMO,10,FALSE)),"")</f>
        <v>0.67071666666666663</v>
      </c>
      <c r="K2014" s="447">
        <f>IF($A2014&gt;0,(VLOOKUP($A2014,TablaMO,11,FALSE)),"")</f>
        <v>208890</v>
      </c>
      <c r="L2014" s="1146">
        <f>L2013</f>
        <v>1.5422904308588679</v>
      </c>
      <c r="M2014" s="941"/>
      <c r="N2014" s="430">
        <f t="shared" si="155"/>
        <v>135441.41610453598</v>
      </c>
      <c r="O2014" s="362"/>
    </row>
    <row r="2015" spans="1:15" ht="15.75" customHeight="1">
      <c r="A2015" s="395" t="str">
        <f t="array" ref="A2015">IF(C2015&lt;&gt;0,INDEX(CodMO,MATCH(C2015,MO,0),),)</f>
        <v>M.O-01</v>
      </c>
      <c r="B2015" s="399"/>
      <c r="C2015" s="1128" t="s">
        <v>130</v>
      </c>
      <c r="D2015" s="940"/>
      <c r="E2015" s="940"/>
      <c r="F2015" s="940"/>
      <c r="G2015" s="940"/>
      <c r="H2015" s="940"/>
      <c r="I2015" s="447">
        <f>IF($A2015&gt;0,(VLOOKUP($A2015,TablaMO,8,FALSE)),"")</f>
        <v>72503.016666666677</v>
      </c>
      <c r="J2015" s="448">
        <f>IF($A2015&gt;0,(VLOOKUP($A2015,TablaMO,10,FALSE)),"")</f>
        <v>0.67071666666666663</v>
      </c>
      <c r="K2015" s="447">
        <f>IF($A2015&gt;0,(VLOOKUP($A2015,TablaMO,11,FALSE)),"")</f>
        <v>121132</v>
      </c>
      <c r="L2015" s="1146">
        <f>L2013</f>
        <v>1.5422904308588679</v>
      </c>
      <c r="M2015" s="941"/>
      <c r="N2015" s="430">
        <f t="shared" si="155"/>
        <v>78540.330391951036</v>
      </c>
      <c r="O2015" s="362"/>
    </row>
    <row r="2016" spans="1:15" ht="15.75" customHeight="1">
      <c r="A2016" s="395">
        <f t="array" ref="A2016">IF(C2016&lt;&gt;0,INDEX(CodMO,MATCH(C2016,MO,0),),)</f>
        <v>0</v>
      </c>
      <c r="B2016" s="399"/>
      <c r="C2016" s="1128"/>
      <c r="D2016" s="940"/>
      <c r="E2016" s="940"/>
      <c r="F2016" s="940"/>
      <c r="G2016" s="940"/>
      <c r="H2016" s="940"/>
      <c r="I2016" s="447" t="str">
        <f>IF($A2016&gt;0,(VLOOKUP($A2016,TablaMO,8,FALSE)),"")</f>
        <v/>
      </c>
      <c r="J2016" s="448" t="str">
        <f>IF($A2016&gt;0,(VLOOKUP($A2016,TablaMO,10,FALSE)),"")</f>
        <v/>
      </c>
      <c r="K2016" s="447" t="str">
        <f>IF($A2016&gt;0,(VLOOKUP($A2016,TablaMO,11,FALSE)),"")</f>
        <v/>
      </c>
      <c r="L2016" s="1146"/>
      <c r="M2016" s="941"/>
      <c r="N2016" s="430" t="str">
        <f t="shared" si="155"/>
        <v/>
      </c>
      <c r="O2016" s="362"/>
    </row>
    <row r="2017" spans="1:18" ht="15.75" customHeight="1">
      <c r="A2017" s="395">
        <f t="array" ref="A2017">IF(C2017&lt;&gt;0,INDEX(CodMO,MATCH(C2017,MO,0),),)</f>
        <v>0</v>
      </c>
      <c r="B2017" s="399"/>
      <c r="C2017" s="1128"/>
      <c r="D2017" s="940"/>
      <c r="E2017" s="940"/>
      <c r="F2017" s="940"/>
      <c r="G2017" s="940"/>
      <c r="H2017" s="940"/>
      <c r="I2017" s="447" t="str">
        <f>IF($A2017&gt;0,(VLOOKUP($A2017,TablaMO,8,FALSE)),"")</f>
        <v/>
      </c>
      <c r="J2017" s="448" t="str">
        <f>IF($A2017&gt;0,(VLOOKUP($A2017,TablaMO,10,FALSE)),"")</f>
        <v/>
      </c>
      <c r="K2017" s="447" t="str">
        <f>IF($A2017&gt;0,(VLOOKUP($A2017,TablaMO,11,FALSE)),"")</f>
        <v/>
      </c>
      <c r="L2017" s="1146"/>
      <c r="M2017" s="941"/>
      <c r="N2017" s="430" t="str">
        <f t="shared" si="155"/>
        <v/>
      </c>
      <c r="O2017" s="362"/>
    </row>
    <row r="2018" spans="1:18" ht="15.75" customHeight="1">
      <c r="A2018" s="395"/>
      <c r="B2018" s="399"/>
      <c r="C2018" s="1127" t="s">
        <v>1202</v>
      </c>
      <c r="D2018" s="965"/>
      <c r="E2018" s="965"/>
      <c r="F2018" s="965"/>
      <c r="G2018" s="965"/>
      <c r="H2018" s="965"/>
      <c r="I2018" s="965"/>
      <c r="J2018" s="965"/>
      <c r="K2018" s="965"/>
      <c r="L2018" s="965"/>
      <c r="M2018" s="966"/>
      <c r="N2018" s="433">
        <f>+SUM(N2013:N2017)</f>
        <v>273581.41602747916</v>
      </c>
      <c r="O2018" s="362"/>
    </row>
    <row r="2019" spans="1:18" ht="15.75" customHeight="1">
      <c r="B2019" s="679"/>
      <c r="O2019" s="362"/>
    </row>
    <row r="2020" spans="1:18" ht="15.75" customHeight="1">
      <c r="B2020" s="679"/>
      <c r="C2020" s="1198" t="s">
        <v>1219</v>
      </c>
      <c r="D2020" s="965"/>
      <c r="E2020" s="965"/>
      <c r="F2020" s="965"/>
      <c r="G2020" s="965"/>
      <c r="H2020" s="965"/>
      <c r="I2020" s="965"/>
      <c r="J2020" s="965"/>
      <c r="K2020" s="965"/>
      <c r="L2020" s="965"/>
      <c r="M2020" s="966"/>
      <c r="N2020" s="680">
        <f>ROUND(SUM(N2018,N2008,N1998,N1985),0)</f>
        <v>1240945</v>
      </c>
      <c r="O2020" s="362"/>
      <c r="Q2020" s="681">
        <f>VLOOKUP(C1974,PROPUESTASASERCO,8,FALSE)</f>
        <v>1240945</v>
      </c>
      <c r="R2020" s="682">
        <f>Q2020-N2020</f>
        <v>0</v>
      </c>
    </row>
    <row r="2021" spans="1:18" ht="15.75" customHeight="1">
      <c r="B2021" s="679"/>
      <c r="C2021" s="1129" t="s">
        <v>1220</v>
      </c>
      <c r="D2021" s="926"/>
      <c r="E2021" s="926"/>
      <c r="F2021" s="926"/>
      <c r="G2021" s="926"/>
      <c r="H2021" s="926"/>
      <c r="I2021" s="926"/>
      <c r="J2021" s="926"/>
      <c r="K2021" s="926"/>
      <c r="L2021" s="926"/>
      <c r="M2021" s="926"/>
      <c r="N2021" s="927"/>
      <c r="O2021" s="362"/>
    </row>
    <row r="2022" spans="1:18" ht="15.75" customHeight="1">
      <c r="B2022" s="679"/>
      <c r="C2022" s="920"/>
      <c r="D2022" s="922"/>
      <c r="E2022" s="922"/>
      <c r="F2022" s="922"/>
      <c r="G2022" s="922"/>
      <c r="H2022" s="922"/>
      <c r="I2022" s="922"/>
      <c r="J2022" s="922"/>
      <c r="K2022" s="922"/>
      <c r="L2022" s="922"/>
      <c r="M2022" s="922"/>
      <c r="N2022" s="924"/>
      <c r="O2022" s="362"/>
    </row>
    <row r="2023" spans="1:18" ht="15.75" customHeight="1">
      <c r="B2023" s="679"/>
      <c r="C2023" s="929"/>
      <c r="D2023" s="936"/>
      <c r="E2023" s="936"/>
      <c r="F2023" s="936"/>
      <c r="G2023" s="936"/>
      <c r="H2023" s="936"/>
      <c r="I2023" s="936"/>
      <c r="J2023" s="936"/>
      <c r="K2023" s="936"/>
      <c r="L2023" s="936"/>
      <c r="M2023" s="936"/>
      <c r="N2023" s="938"/>
      <c r="O2023" s="362"/>
    </row>
    <row r="2024" spans="1:18" ht="15.75" customHeight="1">
      <c r="B2024" s="679"/>
      <c r="C2024" s="1201" t="s">
        <v>1221</v>
      </c>
      <c r="D2024" s="1131"/>
      <c r="E2024" s="1131"/>
      <c r="F2024" s="1131"/>
      <c r="G2024" s="1131"/>
      <c r="H2024" s="1132"/>
      <c r="I2024" s="674"/>
      <c r="J2024" s="674"/>
      <c r="K2024" s="674"/>
      <c r="L2024" s="1206" t="s">
        <v>1222</v>
      </c>
      <c r="M2024" s="1000"/>
      <c r="N2024" s="678" t="s">
        <v>1223</v>
      </c>
      <c r="O2024" s="362"/>
    </row>
    <row r="2025" spans="1:18" ht="15.75" customHeight="1">
      <c r="B2025" s="679"/>
      <c r="C2025" s="1128" t="s">
        <v>19</v>
      </c>
      <c r="D2025" s="940"/>
      <c r="E2025" s="940"/>
      <c r="F2025" s="940"/>
      <c r="G2025" s="940"/>
      <c r="H2025" s="940"/>
      <c r="I2025" s="452"/>
      <c r="J2025" s="452"/>
      <c r="K2025" s="452"/>
      <c r="L2025" s="1148">
        <f>+Datos!$E$18</f>
        <v>0.25</v>
      </c>
      <c r="M2025" s="941"/>
      <c r="N2025" s="430">
        <f>+L2025*N2020</f>
        <v>310236.25</v>
      </c>
      <c r="O2025" s="362"/>
    </row>
    <row r="2026" spans="1:18" ht="15.75" customHeight="1">
      <c r="B2026" s="679"/>
      <c r="C2026" s="454" t="s">
        <v>20</v>
      </c>
      <c r="D2026" s="455"/>
      <c r="E2026" s="455"/>
      <c r="F2026" s="455"/>
      <c r="G2026" s="455"/>
      <c r="H2026" s="455"/>
      <c r="I2026" s="452"/>
      <c r="J2026" s="452"/>
      <c r="K2026" s="452"/>
      <c r="L2026" s="1148">
        <f>+Datos!$E$19</f>
        <v>0.01</v>
      </c>
      <c r="M2026" s="941"/>
      <c r="N2026" s="430">
        <f>+L2026*N2020</f>
        <v>12409.45</v>
      </c>
      <c r="O2026" s="362"/>
    </row>
    <row r="2027" spans="1:18" ht="15.75" customHeight="1">
      <c r="B2027" s="679"/>
      <c r="C2027" s="456" t="s">
        <v>21</v>
      </c>
      <c r="D2027" s="457"/>
      <c r="E2027" s="457"/>
      <c r="F2027" s="457"/>
      <c r="G2027" s="457"/>
      <c r="H2027" s="457"/>
      <c r="I2027" s="458"/>
      <c r="J2027" s="458"/>
      <c r="K2027" s="458"/>
      <c r="L2027" s="1148">
        <f>+Datos!$E$20</f>
        <v>0.05</v>
      </c>
      <c r="M2027" s="941"/>
      <c r="N2027" s="430">
        <f>+L2027*N2020</f>
        <v>62047.25</v>
      </c>
      <c r="O2027" s="362"/>
    </row>
    <row r="2028" spans="1:18" ht="15.75" customHeight="1">
      <c r="B2028" s="679"/>
      <c r="C2028" s="1127" t="s">
        <v>1202</v>
      </c>
      <c r="D2028" s="965"/>
      <c r="E2028" s="965"/>
      <c r="F2028" s="965"/>
      <c r="G2028" s="965"/>
      <c r="H2028" s="965"/>
      <c r="I2028" s="965"/>
      <c r="J2028" s="965"/>
      <c r="K2028" s="965"/>
      <c r="L2028" s="965"/>
      <c r="M2028" s="966"/>
      <c r="N2028" s="433">
        <f>+SUM(N2025:N2027)</f>
        <v>384692.95</v>
      </c>
      <c r="O2028" s="362"/>
    </row>
    <row r="2029" spans="1:18" ht="15.75" customHeight="1">
      <c r="B2029" s="679"/>
      <c r="C2029" s="418"/>
      <c r="D2029" s="39"/>
      <c r="E2029" s="39"/>
      <c r="F2029" s="39"/>
      <c r="G2029" s="39"/>
      <c r="H2029" s="39"/>
      <c r="I2029" s="39"/>
      <c r="J2029" s="39"/>
      <c r="K2029" s="39"/>
      <c r="L2029" s="39"/>
      <c r="M2029" s="39"/>
      <c r="N2029" s="40"/>
      <c r="O2029" s="362"/>
    </row>
    <row r="2030" spans="1:18" ht="15.75" customHeight="1">
      <c r="B2030" s="679"/>
      <c r="C2030" s="1198" t="s">
        <v>1224</v>
      </c>
      <c r="D2030" s="965"/>
      <c r="E2030" s="965"/>
      <c r="F2030" s="965"/>
      <c r="G2030" s="965"/>
      <c r="H2030" s="965"/>
      <c r="I2030" s="965"/>
      <c r="J2030" s="965"/>
      <c r="K2030" s="965"/>
      <c r="L2030" s="965"/>
      <c r="M2030" s="966"/>
      <c r="N2030" s="683">
        <f>+ROUND(SUM(N2028,N2020),0)</f>
        <v>1625638</v>
      </c>
      <c r="O2030" s="362"/>
    </row>
    <row r="2031" spans="1:18" ht="15.75" customHeight="1">
      <c r="B2031" s="679"/>
      <c r="C2031" s="418"/>
      <c r="D2031" s="39" t="s">
        <v>1225</v>
      </c>
      <c r="E2031" s="39"/>
      <c r="F2031" s="39"/>
      <c r="G2031" s="184"/>
      <c r="H2031" s="184"/>
      <c r="I2031" s="184"/>
      <c r="J2031" s="39" t="s">
        <v>1225</v>
      </c>
      <c r="K2031" s="39"/>
      <c r="L2031" s="39"/>
      <c r="M2031" s="39"/>
      <c r="N2031" s="40"/>
      <c r="O2031" s="362"/>
    </row>
    <row r="2032" spans="1:18" ht="15.75" customHeight="1">
      <c r="B2032" s="679"/>
      <c r="C2032" s="418"/>
      <c r="D2032" s="39" t="s">
        <v>1226</v>
      </c>
      <c r="E2032" s="39"/>
      <c r="F2032" s="39"/>
      <c r="G2032" s="184"/>
      <c r="H2032" s="184"/>
      <c r="I2032" s="184"/>
      <c r="J2032" s="39" t="s">
        <v>1227</v>
      </c>
      <c r="K2032" s="39"/>
      <c r="L2032" s="39"/>
      <c r="M2032" s="39"/>
      <c r="N2032" s="40"/>
      <c r="O2032" s="362"/>
    </row>
    <row r="2033" spans="1:15" ht="15.75" customHeight="1">
      <c r="B2033" s="679"/>
      <c r="C2033" s="404"/>
      <c r="D2033" s="39" t="s">
        <v>1228</v>
      </c>
      <c r="E2033" s="42"/>
      <c r="F2033" s="42"/>
      <c r="G2033" s="184"/>
      <c r="H2033" s="184"/>
      <c r="I2033" s="184"/>
      <c r="J2033" s="39" t="s">
        <v>1228</v>
      </c>
      <c r="K2033" s="42"/>
      <c r="L2033" s="42"/>
      <c r="M2033" s="42"/>
      <c r="N2033" s="43"/>
      <c r="O2033" s="362"/>
    </row>
    <row r="2034" spans="1:15" ht="15.75" customHeight="1">
      <c r="B2034" s="679"/>
      <c r="C2034" s="418"/>
      <c r="D2034" s="39"/>
      <c r="E2034" s="39"/>
      <c r="F2034" s="39"/>
      <c r="G2034" s="39" t="s">
        <v>1229</v>
      </c>
      <c r="H2034" s="39"/>
      <c r="I2034" s="39"/>
      <c r="J2034" s="39"/>
      <c r="K2034" s="39"/>
      <c r="L2034" s="39"/>
      <c r="M2034" s="39"/>
      <c r="N2034" s="40"/>
      <c r="O2034" s="362"/>
    </row>
    <row r="2035" spans="1:15" ht="15.75" customHeight="1">
      <c r="B2035" s="679"/>
      <c r="C2035" s="466"/>
      <c r="D2035" s="467"/>
      <c r="E2035" s="467"/>
      <c r="F2035" s="39"/>
      <c r="G2035" s="39"/>
      <c r="H2035" s="39"/>
      <c r="I2035" s="39"/>
      <c r="J2035" s="1149"/>
      <c r="K2035" s="922"/>
      <c r="L2035" s="922"/>
      <c r="M2035" s="922"/>
      <c r="N2035" s="924"/>
      <c r="O2035" s="362"/>
    </row>
    <row r="2036" spans="1:15" ht="15.75" customHeight="1">
      <c r="B2036" s="679"/>
      <c r="C2036" s="1150"/>
      <c r="D2036" s="936"/>
      <c r="E2036" s="936"/>
      <c r="F2036" s="416"/>
      <c r="G2036" s="416"/>
      <c r="H2036" s="416"/>
      <c r="I2036" s="416"/>
      <c r="J2036" s="936"/>
      <c r="K2036" s="936"/>
      <c r="L2036" s="936"/>
      <c r="M2036" s="936"/>
      <c r="N2036" s="938"/>
      <c r="O2036" s="362"/>
    </row>
    <row r="2037" spans="1:15" ht="15.75" customHeight="1">
      <c r="B2037" s="684"/>
      <c r="C2037" s="685"/>
      <c r="D2037" s="685"/>
      <c r="E2037" s="685"/>
      <c r="F2037" s="685"/>
      <c r="G2037" s="685"/>
      <c r="H2037" s="685"/>
      <c r="I2037" s="685"/>
      <c r="J2037" s="685"/>
      <c r="K2037" s="685"/>
      <c r="L2037" s="685"/>
      <c r="M2037" s="685"/>
      <c r="N2037" s="685"/>
      <c r="O2037" s="686"/>
    </row>
    <row r="2038" spans="1:15" ht="15.75" customHeight="1"/>
    <row r="2039" spans="1:15" ht="15.75" customHeight="1"/>
    <row r="2040" spans="1:15" ht="15.75" customHeight="1">
      <c r="A2040" s="395" t="s">
        <v>941</v>
      </c>
      <c r="B2040" s="184"/>
      <c r="C2040" s="184"/>
      <c r="D2040" s="184"/>
      <c r="E2040" s="184"/>
      <c r="F2040" s="184"/>
      <c r="G2040" s="184"/>
      <c r="H2040" s="184"/>
      <c r="I2040" s="184"/>
      <c r="J2040" s="184"/>
      <c r="K2040" s="184"/>
      <c r="L2040" s="184"/>
      <c r="M2040" s="184"/>
      <c r="N2040" s="184"/>
    </row>
    <row r="2041" spans="1:15" ht="15.75" customHeight="1">
      <c r="A2041" s="395"/>
      <c r="B2041" s="396"/>
      <c r="C2041" s="397"/>
      <c r="D2041" s="397"/>
      <c r="E2041" s="397"/>
      <c r="F2041" s="397"/>
      <c r="G2041" s="397"/>
      <c r="H2041" s="397"/>
      <c r="I2041" s="397"/>
      <c r="J2041" s="397"/>
      <c r="K2041" s="397"/>
      <c r="L2041" s="397"/>
      <c r="M2041" s="397"/>
      <c r="N2041" s="397"/>
      <c r="O2041" s="667"/>
    </row>
    <row r="2042" spans="1:15" ht="15.75" customHeight="1">
      <c r="A2042" s="395"/>
      <c r="B2042" s="399"/>
      <c r="C2042" s="1124"/>
      <c r="D2042" s="927"/>
      <c r="E2042" s="1207" t="str">
        <f>Datos!$C$9</f>
        <v>CONSEJO SUPERIOR  DE  JUDICATURA– DIRECCIÓN  EJECUTIVA  SECCIONAL  DE ADMINISTRACIÓN JUDICIAL DE BUCARAMANGA</v>
      </c>
      <c r="F2042" s="926"/>
      <c r="G2042" s="926"/>
      <c r="H2042" s="926"/>
      <c r="I2042" s="926"/>
      <c r="J2042" s="926"/>
      <c r="K2042" s="927"/>
      <c r="L2042" s="925" t="s">
        <v>1</v>
      </c>
      <c r="M2042" s="931"/>
      <c r="N2042" s="933">
        <v>1</v>
      </c>
      <c r="O2042" s="362"/>
    </row>
    <row r="2043" spans="1:15" ht="15.75" customHeight="1">
      <c r="A2043" s="395"/>
      <c r="B2043" s="399"/>
      <c r="C2043" s="920"/>
      <c r="D2043" s="924"/>
      <c r="E2043" s="920"/>
      <c r="F2043" s="922"/>
      <c r="G2043" s="922"/>
      <c r="H2043" s="922"/>
      <c r="I2043" s="922"/>
      <c r="J2043" s="922"/>
      <c r="K2043" s="924"/>
      <c r="L2043" s="920"/>
      <c r="M2043" s="932"/>
      <c r="N2043" s="934"/>
      <c r="O2043" s="362"/>
    </row>
    <row r="2044" spans="1:15" ht="15.75" customHeight="1">
      <c r="A2044" s="395"/>
      <c r="B2044" s="399"/>
      <c r="C2044" s="920"/>
      <c r="D2044" s="924"/>
      <c r="E2044" s="919" t="str">
        <f>Datos!$C$13</f>
        <v xml:space="preserve">BGA - 030 - 2026 </v>
      </c>
      <c r="F2044" s="922"/>
      <c r="G2044" s="922"/>
      <c r="H2044" s="922"/>
      <c r="I2044" s="922"/>
      <c r="J2044" s="922"/>
      <c r="K2044" s="922"/>
      <c r="L2044" s="925" t="s">
        <v>29</v>
      </c>
      <c r="M2044" s="926"/>
      <c r="N2044" s="927"/>
      <c r="O2044" s="362"/>
    </row>
    <row r="2045" spans="1:15" ht="15.75" customHeight="1">
      <c r="A2045" s="395"/>
      <c r="B2045" s="399"/>
      <c r="C2045" s="920"/>
      <c r="D2045" s="924"/>
      <c r="E2045"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045" s="922"/>
      <c r="G2045" s="922"/>
      <c r="H2045" s="922"/>
      <c r="I2045" s="922"/>
      <c r="J2045" s="922"/>
      <c r="K2045" s="924"/>
      <c r="L2045" s="919">
        <v>1</v>
      </c>
      <c r="M2045" s="921" t="s">
        <v>30</v>
      </c>
      <c r="N2045" s="923">
        <v>1</v>
      </c>
      <c r="O2045" s="362"/>
    </row>
    <row r="2046" spans="1:15" ht="15.75" customHeight="1">
      <c r="A2046" s="395"/>
      <c r="B2046" s="399"/>
      <c r="C2046" s="920"/>
      <c r="D2046" s="924"/>
      <c r="E2046" s="920"/>
      <c r="F2046" s="922"/>
      <c r="G2046" s="922"/>
      <c r="H2046" s="922"/>
      <c r="I2046" s="922"/>
      <c r="J2046" s="922"/>
      <c r="K2046" s="924"/>
      <c r="L2046" s="920"/>
      <c r="M2046" s="922"/>
      <c r="N2046" s="924"/>
      <c r="O2046" s="362"/>
    </row>
    <row r="2047" spans="1:15" ht="15.75" customHeight="1">
      <c r="A2047" s="395"/>
      <c r="B2047" s="399"/>
      <c r="C2047" s="920"/>
      <c r="D2047" s="924"/>
      <c r="E2047" s="920"/>
      <c r="F2047" s="922"/>
      <c r="G2047" s="922"/>
      <c r="H2047" s="922"/>
      <c r="I2047" s="922"/>
      <c r="J2047" s="922"/>
      <c r="K2047" s="924"/>
      <c r="L2047" s="925" t="s">
        <v>2</v>
      </c>
      <c r="M2047" s="926"/>
      <c r="N2047" s="927"/>
      <c r="O2047" s="362"/>
    </row>
    <row r="2048" spans="1:15" ht="15.75" customHeight="1">
      <c r="A2048" s="395"/>
      <c r="B2048" s="399"/>
      <c r="C2048" s="920"/>
      <c r="D2048" s="924"/>
      <c r="E2048" s="407"/>
      <c r="F2048" s="216"/>
      <c r="G2048" s="216"/>
      <c r="H2048" s="216"/>
      <c r="I2048" s="216"/>
      <c r="J2048" s="216"/>
      <c r="K2048" s="216"/>
      <c r="L2048" s="408" t="s">
        <v>3</v>
      </c>
      <c r="M2048" s="409" t="s">
        <v>4</v>
      </c>
      <c r="N2048" s="410" t="s">
        <v>5</v>
      </c>
      <c r="O2048" s="362"/>
    </row>
    <row r="2049" spans="1:15" ht="15.75" customHeight="1">
      <c r="A2049" s="395"/>
      <c r="B2049" s="399"/>
      <c r="C2049" s="920"/>
      <c r="D2049" s="924"/>
      <c r="E2049" s="1125" t="s">
        <v>1186</v>
      </c>
      <c r="F2049" s="945"/>
      <c r="G2049" s="945"/>
      <c r="H2049" s="945"/>
      <c r="I2049" s="945"/>
      <c r="J2049" s="945"/>
      <c r="K2049" s="945"/>
      <c r="L2049" s="928">
        <f>Datos!$C$7</f>
        <v>19</v>
      </c>
      <c r="M2049" s="935">
        <f>Datos!$D$7</f>
        <v>6</v>
      </c>
      <c r="N2049" s="937">
        <f>Datos!$E$7</f>
        <v>2026</v>
      </c>
      <c r="O2049" s="362"/>
    </row>
    <row r="2050" spans="1:15" ht="15.75" customHeight="1">
      <c r="A2050" s="395"/>
      <c r="B2050" s="399"/>
      <c r="C2050" s="929"/>
      <c r="D2050" s="938"/>
      <c r="E2050" s="929"/>
      <c r="F2050" s="936"/>
      <c r="G2050" s="936"/>
      <c r="H2050" s="936"/>
      <c r="I2050" s="936"/>
      <c r="J2050" s="936"/>
      <c r="K2050" s="936"/>
      <c r="L2050" s="929"/>
      <c r="M2050" s="936"/>
      <c r="N2050" s="938"/>
      <c r="O2050" s="362"/>
    </row>
    <row r="2051" spans="1:15" ht="15.75" customHeight="1">
      <c r="A2051" s="395"/>
      <c r="B2051" s="399"/>
      <c r="C2051" s="404"/>
      <c r="D2051" s="38"/>
      <c r="E2051" s="38"/>
      <c r="F2051" s="38"/>
      <c r="G2051" s="38"/>
      <c r="H2051" s="38"/>
      <c r="I2051" s="38"/>
      <c r="J2051" s="38"/>
      <c r="K2051" s="38"/>
      <c r="L2051" s="39"/>
      <c r="M2051" s="39"/>
      <c r="N2051" s="40"/>
      <c r="O2051" s="362"/>
    </row>
    <row r="2052" spans="1:15" ht="15.75" customHeight="1">
      <c r="A2052" s="395"/>
      <c r="B2052" s="399"/>
      <c r="C2052" s="412" t="s">
        <v>1187</v>
      </c>
      <c r="D2052" s="1199" t="str">
        <f>VLOOKUP(C2057,ListaAct,2,0)</f>
        <v>OBRA CIVIL</v>
      </c>
      <c r="E2052" s="922"/>
      <c r="F2052" s="922"/>
      <c r="G2052" s="922"/>
      <c r="H2052" s="922"/>
      <c r="I2052" s="922"/>
      <c r="J2052" s="922"/>
      <c r="K2052" s="922"/>
      <c r="L2052" s="922"/>
      <c r="M2052" s="1"/>
      <c r="N2052" s="413"/>
      <c r="O2052" s="362"/>
    </row>
    <row r="2053" spans="1:15" ht="15.75" customHeight="1">
      <c r="A2053" s="395"/>
      <c r="B2053" s="399"/>
      <c r="C2053" s="412" t="s">
        <v>1189</v>
      </c>
      <c r="D2053" s="1199" t="str">
        <f>VLOOKUP(C2057,ListaAct,3,0)</f>
        <v>DISPOSICION DE AGUAS LLUVIAS</v>
      </c>
      <c r="E2053" s="922"/>
      <c r="F2053" s="922"/>
      <c r="G2053" s="922"/>
      <c r="H2053" s="922"/>
      <c r="I2053" s="922"/>
      <c r="J2053" s="922"/>
      <c r="K2053" s="922"/>
      <c r="L2053" s="922"/>
      <c r="M2053" s="1"/>
      <c r="N2053" s="413"/>
      <c r="O2053" s="362"/>
    </row>
    <row r="2054" spans="1:15" ht="15.75" customHeight="1">
      <c r="A2054" s="395"/>
      <c r="B2054" s="399"/>
      <c r="C2054" s="925" t="s">
        <v>1191</v>
      </c>
      <c r="D2054" s="926"/>
      <c r="E2054" s="926"/>
      <c r="F2054" s="926"/>
      <c r="G2054" s="926"/>
      <c r="H2054" s="926"/>
      <c r="I2054" s="926"/>
      <c r="J2054" s="926"/>
      <c r="K2054" s="926"/>
      <c r="L2054" s="926"/>
      <c r="M2054" s="926"/>
      <c r="N2054" s="927"/>
      <c r="O2054" s="362"/>
    </row>
    <row r="2055" spans="1:15" ht="15.75" customHeight="1">
      <c r="A2055" s="395"/>
      <c r="B2055" s="399"/>
      <c r="C2055" s="418"/>
      <c r="D2055" s="39"/>
      <c r="E2055" s="39"/>
      <c r="F2055" s="39"/>
      <c r="G2055" s="39"/>
      <c r="H2055" s="39"/>
      <c r="I2055" s="39"/>
      <c r="J2055" s="39"/>
      <c r="K2055" s="39"/>
      <c r="L2055" s="39"/>
      <c r="M2055" s="39"/>
      <c r="N2055" s="40"/>
      <c r="O2055" s="362"/>
    </row>
    <row r="2056" spans="1:15" ht="15.75" customHeight="1">
      <c r="A2056" s="395"/>
      <c r="B2056" s="399"/>
      <c r="C2056" s="668" t="s">
        <v>965</v>
      </c>
      <c r="D2056" s="1200" t="s">
        <v>17</v>
      </c>
      <c r="E2056" s="1131"/>
      <c r="F2056" s="1131"/>
      <c r="G2056" s="1131"/>
      <c r="H2056" s="1131"/>
      <c r="I2056" s="1131"/>
      <c r="J2056" s="1131"/>
      <c r="K2056" s="1137"/>
      <c r="L2056" s="1201" t="s">
        <v>1192</v>
      </c>
      <c r="M2056" s="1137"/>
      <c r="N2056" s="668" t="s">
        <v>950</v>
      </c>
      <c r="O2056" s="362"/>
    </row>
    <row r="2057" spans="1:15" ht="15.75" customHeight="1">
      <c r="A2057" s="395"/>
      <c r="B2057" s="421"/>
      <c r="C2057" s="669" t="s">
        <v>1062</v>
      </c>
      <c r="D2057" s="1202" t="str">
        <f>IF($C2057&gt;0,(VLOOKUP($C2057,ListaAct,4,FALSE)),"")</f>
        <v xml:space="preserve">Tuberia de 4" aguas lluvias PVC  incluye accesorios de fijacion </v>
      </c>
      <c r="E2057" s="979"/>
      <c r="F2057" s="979"/>
      <c r="G2057" s="979"/>
      <c r="H2057" s="979"/>
      <c r="I2057" s="979"/>
      <c r="J2057" s="979"/>
      <c r="K2057" s="980"/>
      <c r="L2057" s="1203" t="str">
        <f>IF($C2057&gt;0,(VLOOKUP($C2057,ListaAct,5,FALSE)),"")</f>
        <v>ml</v>
      </c>
      <c r="M2057" s="980"/>
      <c r="N2057" s="423">
        <f>IF($C2057&gt;0,(VLOOKUP($C2057,ListaAct,6,FALSE)),"")</f>
        <v>6.54</v>
      </c>
      <c r="O2057" s="362"/>
    </row>
    <row r="2058" spans="1:15" ht="15.75" customHeight="1">
      <c r="A2058" s="395"/>
      <c r="B2058" s="399"/>
      <c r="C2058" s="1129" t="s">
        <v>1195</v>
      </c>
      <c r="D2058" s="926"/>
      <c r="E2058" s="926"/>
      <c r="F2058" s="926"/>
      <c r="G2058" s="926"/>
      <c r="H2058" s="926"/>
      <c r="I2058" s="926"/>
      <c r="J2058" s="926"/>
      <c r="K2058" s="926"/>
      <c r="L2058" s="926"/>
      <c r="M2058" s="926"/>
      <c r="N2058" s="927"/>
      <c r="O2058" s="362"/>
    </row>
    <row r="2059" spans="1:15" ht="15.75" customHeight="1">
      <c r="A2059" s="395"/>
      <c r="B2059" s="399"/>
      <c r="C2059" s="920"/>
      <c r="D2059" s="922"/>
      <c r="E2059" s="922"/>
      <c r="F2059" s="922"/>
      <c r="G2059" s="922"/>
      <c r="H2059" s="922"/>
      <c r="I2059" s="922"/>
      <c r="J2059" s="922"/>
      <c r="K2059" s="922"/>
      <c r="L2059" s="922"/>
      <c r="M2059" s="922"/>
      <c r="N2059" s="924"/>
      <c r="O2059" s="362"/>
    </row>
    <row r="2060" spans="1:15" ht="15.75" customHeight="1">
      <c r="A2060" s="395"/>
      <c r="B2060" s="399"/>
      <c r="C2060" s="929"/>
      <c r="D2060" s="936"/>
      <c r="E2060" s="936"/>
      <c r="F2060" s="936"/>
      <c r="G2060" s="936"/>
      <c r="H2060" s="936"/>
      <c r="I2060" s="936"/>
      <c r="J2060" s="936"/>
      <c r="K2060" s="936"/>
      <c r="L2060" s="936"/>
      <c r="M2060" s="936"/>
      <c r="N2060" s="938"/>
      <c r="O2060" s="362"/>
    </row>
    <row r="2061" spans="1:15" ht="15.75" customHeight="1">
      <c r="A2061" s="395"/>
      <c r="B2061" s="399"/>
      <c r="C2061" s="1201" t="s">
        <v>17</v>
      </c>
      <c r="D2061" s="1131"/>
      <c r="E2061" s="1131"/>
      <c r="F2061" s="1000"/>
      <c r="G2061" s="1204" t="s">
        <v>1196</v>
      </c>
      <c r="H2061" s="1000"/>
      <c r="I2061" s="1204" t="s">
        <v>1197</v>
      </c>
      <c r="J2061" s="1000"/>
      <c r="K2061" s="670" t="s">
        <v>1213</v>
      </c>
      <c r="L2061" s="1204" t="s">
        <v>1199</v>
      </c>
      <c r="M2061" s="1000"/>
      <c r="N2061" s="671" t="s">
        <v>1200</v>
      </c>
      <c r="O2061" s="362"/>
    </row>
    <row r="2062" spans="1:15" ht="15.75" customHeight="1">
      <c r="A2062" s="395"/>
      <c r="B2062" s="399"/>
      <c r="C2062" s="1128" t="s">
        <v>1201</v>
      </c>
      <c r="D2062" s="940"/>
      <c r="E2062" s="940"/>
      <c r="F2062" s="941"/>
      <c r="G2062" s="1142"/>
      <c r="H2062" s="941"/>
      <c r="I2062" s="1142"/>
      <c r="J2062" s="941"/>
      <c r="K2062" s="429"/>
      <c r="L2062" s="1143">
        <v>0.05</v>
      </c>
      <c r="M2062" s="941"/>
      <c r="N2062" s="430">
        <f>+L2062*N2101</f>
        <v>806.16559638292631</v>
      </c>
      <c r="O2062" s="362"/>
    </row>
    <row r="2063" spans="1:15" ht="15.75" customHeight="1">
      <c r="A2063" s="395">
        <f t="array" ref="A2063">IF(C2063&lt;&gt;0,INDEX(CodEquipos,MATCH(C2063,Equipos,0),),)</f>
        <v>0</v>
      </c>
      <c r="B2063" s="399"/>
      <c r="C2063" s="1128"/>
      <c r="D2063" s="940"/>
      <c r="E2063" s="940"/>
      <c r="F2063" s="941"/>
      <c r="G2063" s="1142"/>
      <c r="H2063" s="941"/>
      <c r="I2063" s="1142"/>
      <c r="J2063" s="941"/>
      <c r="K2063" s="432" t="str">
        <f>IF($A2063&gt;0,(VLOOKUP($A2063,TablaEquipos,7,FALSE)),"")</f>
        <v/>
      </c>
      <c r="L2063" s="1146"/>
      <c r="M2063" s="941"/>
      <c r="N2063" s="430" t="str">
        <f t="shared" ref="N2063:N2067" si="156">IF(L2063&gt;0,K2063/L2063,"")</f>
        <v/>
      </c>
      <c r="O2063" s="362"/>
    </row>
    <row r="2064" spans="1:15" ht="15.75" customHeight="1">
      <c r="A2064" s="395">
        <f t="array" ref="A2064">IF(C2064&lt;&gt;0,INDEX(CodEquipos,MATCH(C2064,Equipos,0),),)</f>
        <v>0</v>
      </c>
      <c r="B2064" s="399"/>
      <c r="C2064" s="1128"/>
      <c r="D2064" s="940"/>
      <c r="E2064" s="940"/>
      <c r="F2064" s="941"/>
      <c r="G2064" s="1142"/>
      <c r="H2064" s="941"/>
      <c r="I2064" s="1142"/>
      <c r="J2064" s="941"/>
      <c r="K2064" s="432" t="str">
        <f>IF($A2064&gt;0,(VLOOKUP($A2064,TablaEquipos,7,FALSE)),"")</f>
        <v/>
      </c>
      <c r="L2064" s="1146"/>
      <c r="M2064" s="941"/>
      <c r="N2064" s="430" t="str">
        <f t="shared" si="156"/>
        <v/>
      </c>
      <c r="O2064" s="362"/>
    </row>
    <row r="2065" spans="1:15" ht="15.75" customHeight="1">
      <c r="A2065" s="395">
        <f t="array" ref="A2065">IF(C2065&lt;&gt;0,INDEX(CodEquipos,MATCH(C2065,Equipos,0),),)</f>
        <v>0</v>
      </c>
      <c r="B2065" s="399"/>
      <c r="C2065" s="1128"/>
      <c r="D2065" s="940"/>
      <c r="E2065" s="940"/>
      <c r="F2065" s="941"/>
      <c r="G2065" s="1142"/>
      <c r="H2065" s="941"/>
      <c r="I2065" s="1142"/>
      <c r="J2065" s="941"/>
      <c r="K2065" s="432" t="str">
        <f>IF($A2065&gt;0,(VLOOKUP($A2065,TablaEquipos,7,FALSE)),"")</f>
        <v/>
      </c>
      <c r="L2065" s="1146"/>
      <c r="M2065" s="941"/>
      <c r="N2065" s="430" t="str">
        <f t="shared" si="156"/>
        <v/>
      </c>
      <c r="O2065" s="362"/>
    </row>
    <row r="2066" spans="1:15" ht="15.75" customHeight="1">
      <c r="A2066" s="395">
        <f t="array" ref="A2066">IF(C2066&lt;&gt;0,INDEX(CodEquipos,MATCH(C2066,Equipos,0),),)</f>
        <v>0</v>
      </c>
      <c r="B2066" s="399"/>
      <c r="C2066" s="1128"/>
      <c r="D2066" s="940"/>
      <c r="E2066" s="940"/>
      <c r="F2066" s="941"/>
      <c r="G2066" s="1142"/>
      <c r="H2066" s="941"/>
      <c r="I2066" s="1142"/>
      <c r="J2066" s="941"/>
      <c r="K2066" s="432" t="str">
        <f>IF($A2066&gt;0,(VLOOKUP($A2066,TablaEquipos,7,FALSE)),"")</f>
        <v/>
      </c>
      <c r="L2066" s="1141"/>
      <c r="M2066" s="941"/>
      <c r="N2066" s="430" t="str">
        <f t="shared" si="156"/>
        <v/>
      </c>
      <c r="O2066" s="362"/>
    </row>
    <row r="2067" spans="1:15" ht="15.75" customHeight="1">
      <c r="A2067" s="395">
        <f t="array" ref="A2067">IF(C2067&lt;&gt;0,INDEX(CodEquipos,MATCH(C2067,Equipos,0),),)</f>
        <v>0</v>
      </c>
      <c r="B2067" s="399"/>
      <c r="C2067" s="1128"/>
      <c r="D2067" s="940"/>
      <c r="E2067" s="940"/>
      <c r="F2067" s="941"/>
      <c r="G2067" s="1144"/>
      <c r="H2067" s="1145"/>
      <c r="I2067" s="1144"/>
      <c r="J2067" s="1145"/>
      <c r="K2067" s="432" t="str">
        <f>IF($A2067&gt;0,(VLOOKUP($A2067,TablaEquipos,7,FALSE)),"")</f>
        <v/>
      </c>
      <c r="L2067" s="1208"/>
      <c r="M2067" s="1145"/>
      <c r="N2067" s="430" t="str">
        <f t="shared" si="156"/>
        <v/>
      </c>
      <c r="O2067" s="362"/>
    </row>
    <row r="2068" spans="1:15" ht="15.75" customHeight="1">
      <c r="A2068" s="395"/>
      <c r="B2068" s="399"/>
      <c r="C2068" s="1127" t="s">
        <v>1202</v>
      </c>
      <c r="D2068" s="965"/>
      <c r="E2068" s="965"/>
      <c r="F2068" s="965"/>
      <c r="G2068" s="965"/>
      <c r="H2068" s="965"/>
      <c r="I2068" s="965"/>
      <c r="J2068" s="965"/>
      <c r="K2068" s="965"/>
      <c r="L2068" s="965"/>
      <c r="M2068" s="966"/>
      <c r="N2068" s="433">
        <f>+SUM(N2062:N2067)</f>
        <v>806.16559638292631</v>
      </c>
      <c r="O2068" s="362"/>
    </row>
    <row r="2069" spans="1:15" ht="15.75" customHeight="1">
      <c r="A2069" s="395"/>
      <c r="B2069" s="399"/>
      <c r="C2069" s="1129" t="s">
        <v>1203</v>
      </c>
      <c r="D2069" s="926"/>
      <c r="E2069" s="926"/>
      <c r="F2069" s="926"/>
      <c r="G2069" s="926"/>
      <c r="H2069" s="926"/>
      <c r="I2069" s="926"/>
      <c r="J2069" s="926"/>
      <c r="K2069" s="926"/>
      <c r="L2069" s="926"/>
      <c r="M2069" s="926"/>
      <c r="N2069" s="927"/>
      <c r="O2069" s="362"/>
    </row>
    <row r="2070" spans="1:15" ht="15.75" customHeight="1">
      <c r="A2070" s="395"/>
      <c r="B2070" s="399"/>
      <c r="C2070" s="920"/>
      <c r="D2070" s="922"/>
      <c r="E2070" s="922"/>
      <c r="F2070" s="922"/>
      <c r="G2070" s="922"/>
      <c r="H2070" s="922"/>
      <c r="I2070" s="922"/>
      <c r="J2070" s="922"/>
      <c r="K2070" s="922"/>
      <c r="L2070" s="922"/>
      <c r="M2070" s="922"/>
      <c r="N2070" s="924"/>
      <c r="O2070" s="362"/>
    </row>
    <row r="2071" spans="1:15" ht="15.75" customHeight="1">
      <c r="A2071" s="395"/>
      <c r="B2071" s="399"/>
      <c r="C2071" s="929"/>
      <c r="D2071" s="936"/>
      <c r="E2071" s="936"/>
      <c r="F2071" s="936"/>
      <c r="G2071" s="936"/>
      <c r="H2071" s="936"/>
      <c r="I2071" s="936"/>
      <c r="J2071" s="936"/>
      <c r="K2071" s="936"/>
      <c r="L2071" s="936"/>
      <c r="M2071" s="936"/>
      <c r="N2071" s="938"/>
      <c r="O2071" s="362"/>
    </row>
    <row r="2072" spans="1:15" ht="15.75" customHeight="1">
      <c r="A2072" s="395"/>
      <c r="B2072" s="399"/>
      <c r="C2072" s="1201" t="s">
        <v>17</v>
      </c>
      <c r="D2072" s="1131"/>
      <c r="E2072" s="1131"/>
      <c r="F2072" s="1131"/>
      <c r="G2072" s="1131"/>
      <c r="H2072" s="1131"/>
      <c r="I2072" s="1000"/>
      <c r="J2072" s="672" t="s">
        <v>1192</v>
      </c>
      <c r="K2072" s="670" t="s">
        <v>950</v>
      </c>
      <c r="L2072" s="1204" t="s">
        <v>1204</v>
      </c>
      <c r="M2072" s="1000"/>
      <c r="N2072" s="671" t="s">
        <v>1200</v>
      </c>
      <c r="O2072" s="362"/>
    </row>
    <row r="2073" spans="1:15" ht="15.75" customHeight="1">
      <c r="A2073" s="395" t="str">
        <f t="array" ref="A2073">IF(C2073&lt;&gt;0,INDEX(CodMat,MATCH(C2073,Materiales,0),),)</f>
        <v>MAT_H-118</v>
      </c>
      <c r="B2073" s="399"/>
      <c r="C2073" s="1128" t="s">
        <v>2538</v>
      </c>
      <c r="D2073" s="940"/>
      <c r="E2073" s="940"/>
      <c r="F2073" s="940"/>
      <c r="G2073" s="940"/>
      <c r="H2073" s="940"/>
      <c r="I2073" s="941"/>
      <c r="J2073" s="435" t="str">
        <f t="shared" ref="J2073:J2080" si="157">IF($A2073&gt;0,(VLOOKUP($A2073,TablaInsumos,5,FALSE)),"")</f>
        <v>ML</v>
      </c>
      <c r="K2073" s="673">
        <v>1</v>
      </c>
      <c r="L2073" s="1134">
        <f t="shared" ref="L2073:L2080" si="158">IF($A2073&gt;0,(VLOOKUP($A2073,TablaInsumos,7,FALSE)),"")</f>
        <v>17900</v>
      </c>
      <c r="M2073" s="941"/>
      <c r="N2073" s="430">
        <f t="shared" ref="N2073:N2080" si="159">IF(K2073&gt;0,L2073*K2073,"")</f>
        <v>17900</v>
      </c>
      <c r="O2073" s="362"/>
    </row>
    <row r="2074" spans="1:15" ht="15.75" customHeight="1">
      <c r="A2074" s="395" t="str">
        <f t="array" ref="A2074">IF(C2074&lt;&gt;0,INDEX(CodMat,MATCH(C2074,Materiales,0),),)</f>
        <v>MAT_H-121</v>
      </c>
      <c r="B2074" s="399"/>
      <c r="C2074" s="1128" t="s">
        <v>2539</v>
      </c>
      <c r="D2074" s="940"/>
      <c r="E2074" s="940"/>
      <c r="F2074" s="940"/>
      <c r="G2074" s="940"/>
      <c r="H2074" s="940"/>
      <c r="I2074" s="941"/>
      <c r="J2074" s="435" t="str">
        <f t="shared" si="157"/>
        <v>UND</v>
      </c>
      <c r="K2074" s="673">
        <v>1</v>
      </c>
      <c r="L2074" s="1134">
        <f t="shared" si="158"/>
        <v>5175</v>
      </c>
      <c r="M2074" s="941"/>
      <c r="N2074" s="430">
        <f t="shared" si="159"/>
        <v>5175</v>
      </c>
      <c r="O2074" s="362"/>
    </row>
    <row r="2075" spans="1:15" ht="15.75" customHeight="1">
      <c r="A2075" s="395" t="str">
        <f t="array" ref="A2075">IF(C2075&lt;&gt;0,INDEX(CodMat,MATCH(C2075,Materiales,0),),)</f>
        <v>MAT_H-54</v>
      </c>
      <c r="B2075" s="399"/>
      <c r="C2075" s="1128" t="s">
        <v>2541</v>
      </c>
      <c r="D2075" s="940"/>
      <c r="E2075" s="940"/>
      <c r="F2075" s="940"/>
      <c r="G2075" s="940"/>
      <c r="H2075" s="940"/>
      <c r="I2075" s="941"/>
      <c r="J2075" s="435" t="str">
        <f t="shared" si="157"/>
        <v>UND</v>
      </c>
      <c r="K2075" s="673">
        <v>1</v>
      </c>
      <c r="L2075" s="1134">
        <f t="shared" si="158"/>
        <v>2070</v>
      </c>
      <c r="M2075" s="941"/>
      <c r="N2075" s="430">
        <f t="shared" si="159"/>
        <v>2070</v>
      </c>
      <c r="O2075" s="362"/>
    </row>
    <row r="2076" spans="1:15" ht="15.75" customHeight="1">
      <c r="A2076" s="395" t="str">
        <f t="array" ref="A2076">IF(C2076&lt;&gt;0,INDEX(CodMat,MATCH(C2076,Materiales,0),),)</f>
        <v>MAT_H-107</v>
      </c>
      <c r="B2076" s="399"/>
      <c r="C2076" s="1128" t="s">
        <v>2542</v>
      </c>
      <c r="D2076" s="940"/>
      <c r="E2076" s="940"/>
      <c r="F2076" s="940"/>
      <c r="G2076" s="940"/>
      <c r="H2076" s="940"/>
      <c r="I2076" s="941"/>
      <c r="J2076" s="435" t="str">
        <f t="shared" si="157"/>
        <v>UND</v>
      </c>
      <c r="K2076" s="673">
        <v>1</v>
      </c>
      <c r="L2076" s="1134">
        <f t="shared" si="158"/>
        <v>7172</v>
      </c>
      <c r="M2076" s="941"/>
      <c r="N2076" s="430">
        <f t="shared" si="159"/>
        <v>7172</v>
      </c>
      <c r="O2076" s="362"/>
    </row>
    <row r="2077" spans="1:15" ht="15.75" customHeight="1">
      <c r="A2077" s="395" t="str">
        <f t="array" ref="A2077">IF(C2077&lt;&gt;0,INDEX(CodMat,MATCH(C2077,Materiales,0),),)</f>
        <v>MAT_H-34</v>
      </c>
      <c r="B2077" s="399"/>
      <c r="C2077" s="1128" t="s">
        <v>2543</v>
      </c>
      <c r="D2077" s="940"/>
      <c r="E2077" s="940"/>
      <c r="F2077" s="940"/>
      <c r="G2077" s="940"/>
      <c r="H2077" s="940"/>
      <c r="I2077" s="941"/>
      <c r="J2077" s="435" t="str">
        <f t="shared" si="157"/>
        <v>UND</v>
      </c>
      <c r="K2077" s="673">
        <v>2</v>
      </c>
      <c r="L2077" s="1134">
        <f t="shared" si="158"/>
        <v>5525</v>
      </c>
      <c r="M2077" s="941"/>
      <c r="N2077" s="430">
        <f t="shared" si="159"/>
        <v>11050</v>
      </c>
      <c r="O2077" s="362"/>
    </row>
    <row r="2078" spans="1:15" ht="15.75" customHeight="1">
      <c r="A2078" s="395">
        <f t="array" ref="A2078">IF(C2078&lt;&gt;0,INDEX(CodMat,MATCH(C2078,Materiales,0),),)</f>
        <v>0</v>
      </c>
      <c r="B2078" s="399"/>
      <c r="C2078" s="1128"/>
      <c r="D2078" s="940"/>
      <c r="E2078" s="940"/>
      <c r="F2078" s="940"/>
      <c r="G2078" s="940"/>
      <c r="H2078" s="940"/>
      <c r="I2078" s="941"/>
      <c r="J2078" s="435" t="str">
        <f t="shared" si="157"/>
        <v/>
      </c>
      <c r="K2078" s="673"/>
      <c r="L2078" s="1134" t="str">
        <f t="shared" si="158"/>
        <v/>
      </c>
      <c r="M2078" s="941"/>
      <c r="N2078" s="430" t="str">
        <f t="shared" si="159"/>
        <v/>
      </c>
      <c r="O2078" s="362"/>
    </row>
    <row r="2079" spans="1:15" ht="15.75" customHeight="1">
      <c r="A2079" s="395">
        <f t="array" ref="A2079">IF(C2079&lt;&gt;0,INDEX(CodMat,MATCH(C2079,Materiales,0),),)</f>
        <v>0</v>
      </c>
      <c r="B2079" s="399"/>
      <c r="C2079" s="1128"/>
      <c r="D2079" s="940"/>
      <c r="E2079" s="940"/>
      <c r="F2079" s="940"/>
      <c r="G2079" s="940"/>
      <c r="H2079" s="940"/>
      <c r="I2079" s="941"/>
      <c r="J2079" s="435" t="str">
        <f t="shared" si="157"/>
        <v/>
      </c>
      <c r="K2079" s="673"/>
      <c r="L2079" s="1134" t="str">
        <f t="shared" si="158"/>
        <v/>
      </c>
      <c r="M2079" s="941"/>
      <c r="N2079" s="430" t="str">
        <f t="shared" si="159"/>
        <v/>
      </c>
      <c r="O2079" s="362"/>
    </row>
    <row r="2080" spans="1:15" ht="15.75" customHeight="1">
      <c r="A2080" s="395">
        <f t="array" ref="A2080">IF(C2080&lt;&gt;0,INDEX(CodMat,MATCH(C2080,Materiales,0),),)</f>
        <v>0</v>
      </c>
      <c r="B2080" s="399"/>
      <c r="C2080" s="1128"/>
      <c r="D2080" s="940"/>
      <c r="E2080" s="940"/>
      <c r="F2080" s="940"/>
      <c r="G2080" s="940"/>
      <c r="H2080" s="940"/>
      <c r="I2080" s="941"/>
      <c r="J2080" s="435" t="str">
        <f t="shared" si="157"/>
        <v/>
      </c>
      <c r="K2080" s="673"/>
      <c r="L2080" s="1205" t="str">
        <f t="shared" si="158"/>
        <v/>
      </c>
      <c r="M2080" s="1145"/>
      <c r="N2080" s="430" t="str">
        <f t="shared" si="159"/>
        <v/>
      </c>
      <c r="O2080" s="362"/>
    </row>
    <row r="2081" spans="1:15" ht="15.75" customHeight="1">
      <c r="A2081" s="395"/>
      <c r="B2081" s="399"/>
      <c r="C2081" s="1127" t="s">
        <v>1202</v>
      </c>
      <c r="D2081" s="965"/>
      <c r="E2081" s="965"/>
      <c r="F2081" s="965"/>
      <c r="G2081" s="965"/>
      <c r="H2081" s="965"/>
      <c r="I2081" s="965"/>
      <c r="J2081" s="965"/>
      <c r="K2081" s="965"/>
      <c r="L2081" s="965"/>
      <c r="M2081" s="966"/>
      <c r="N2081" s="433">
        <f>+SUM(N2073:N2080)</f>
        <v>43367</v>
      </c>
      <c r="O2081" s="362"/>
    </row>
    <row r="2082" spans="1:15" ht="15.75" customHeight="1">
      <c r="A2082" s="395"/>
      <c r="B2082" s="399"/>
      <c r="C2082" s="1129" t="s">
        <v>1208</v>
      </c>
      <c r="D2082" s="926"/>
      <c r="E2082" s="926"/>
      <c r="F2082" s="926"/>
      <c r="G2082" s="926"/>
      <c r="H2082" s="926"/>
      <c r="I2082" s="926"/>
      <c r="J2082" s="926"/>
      <c r="K2082" s="926"/>
      <c r="L2082" s="926"/>
      <c r="M2082" s="926"/>
      <c r="N2082" s="927"/>
      <c r="O2082" s="362"/>
    </row>
    <row r="2083" spans="1:15" ht="15.75" customHeight="1">
      <c r="A2083" s="395"/>
      <c r="B2083" s="399"/>
      <c r="C2083" s="920"/>
      <c r="D2083" s="922"/>
      <c r="E2083" s="922"/>
      <c r="F2083" s="922"/>
      <c r="G2083" s="922"/>
      <c r="H2083" s="922"/>
      <c r="I2083" s="922"/>
      <c r="J2083" s="922"/>
      <c r="K2083" s="922"/>
      <c r="L2083" s="922"/>
      <c r="M2083" s="922"/>
      <c r="N2083" s="924"/>
      <c r="O2083" s="362"/>
    </row>
    <row r="2084" spans="1:15" ht="15.75" customHeight="1">
      <c r="A2084" s="395"/>
      <c r="B2084" s="399"/>
      <c r="C2084" s="929"/>
      <c r="D2084" s="936"/>
      <c r="E2084" s="936"/>
      <c r="F2084" s="936"/>
      <c r="G2084" s="936"/>
      <c r="H2084" s="936"/>
      <c r="I2084" s="936"/>
      <c r="J2084" s="936"/>
      <c r="K2084" s="936"/>
      <c r="L2084" s="936"/>
      <c r="M2084" s="936"/>
      <c r="N2084" s="938"/>
      <c r="O2084" s="362"/>
    </row>
    <row r="2085" spans="1:15" ht="15.75" customHeight="1">
      <c r="A2085" s="395"/>
      <c r="B2085" s="399"/>
      <c r="C2085" s="1201" t="s">
        <v>1209</v>
      </c>
      <c r="D2085" s="1131"/>
      <c r="E2085" s="1131"/>
      <c r="F2085" s="1131"/>
      <c r="G2085" s="1131"/>
      <c r="H2085" s="1000"/>
      <c r="I2085" s="670" t="s">
        <v>1210</v>
      </c>
      <c r="J2085" s="674" t="s">
        <v>1211</v>
      </c>
      <c r="K2085" s="675" t="s">
        <v>2318</v>
      </c>
      <c r="L2085" s="1204" t="s">
        <v>1213</v>
      </c>
      <c r="M2085" s="1000"/>
      <c r="N2085" s="671" t="s">
        <v>1200</v>
      </c>
      <c r="O2085" s="362"/>
    </row>
    <row r="2086" spans="1:15" ht="15.75" customHeight="1">
      <c r="A2086" s="395">
        <f t="array" ref="A2086">IF(C2086&lt;&gt;0,INDEX(CodTransporte,MATCH(C2086,Transporte,0),),)</f>
        <v>0</v>
      </c>
      <c r="B2086" s="399"/>
      <c r="C2086" s="1128"/>
      <c r="D2086" s="940"/>
      <c r="E2086" s="940"/>
      <c r="F2086" s="940"/>
      <c r="G2086" s="940"/>
      <c r="H2086" s="940"/>
      <c r="I2086" s="440"/>
      <c r="J2086" s="441" t="str">
        <f>IF($A2086&gt;0,(VLOOKUP($A2086,TablaTransporte,6,FALSE)),"")</f>
        <v/>
      </c>
      <c r="K2086" s="442" t="str">
        <f>IF($A2086&gt;0,(VLOOKUP($A2086,TablaTransporte,5,FALSE)),"")</f>
        <v/>
      </c>
      <c r="L2086" s="1134" t="str">
        <f>IF($A2086&gt;0,(VLOOKUP($A2086,TablaTransporte,7,FALSE)),"")</f>
        <v/>
      </c>
      <c r="M2086" s="941"/>
      <c r="N2086" s="430" t="str">
        <f t="shared" ref="N2086:N2090" si="160">IF(I2086&gt;0,J2086*L2086*I2086,"")</f>
        <v/>
      </c>
      <c r="O2086" s="362"/>
    </row>
    <row r="2087" spans="1:15" ht="15.75" customHeight="1">
      <c r="A2087" s="395">
        <f t="array" ref="A2087">IF(C2087&lt;&gt;0,INDEX(CodTransporte,MATCH(C2087,Transporte,0),),)</f>
        <v>0</v>
      </c>
      <c r="B2087" s="399"/>
      <c r="C2087" s="1128"/>
      <c r="D2087" s="940"/>
      <c r="E2087" s="940"/>
      <c r="F2087" s="940"/>
      <c r="G2087" s="940"/>
      <c r="H2087" s="940"/>
      <c r="I2087" s="440"/>
      <c r="J2087" s="441" t="str">
        <f>IF($A2087&gt;0,(VLOOKUP($A2087,TablaTransporte,6,FALSE)),"")</f>
        <v/>
      </c>
      <c r="K2087" s="442" t="str">
        <f>IF($A2087&gt;0,(VLOOKUP($A2087,TablaTransporte,5,FALSE)),"")</f>
        <v/>
      </c>
      <c r="L2087" s="1134" t="str">
        <f>IF($A2087&gt;0,(VLOOKUP($A2087,TablaTransporte,7,FALSE)),"")</f>
        <v/>
      </c>
      <c r="M2087" s="941"/>
      <c r="N2087" s="430" t="str">
        <f t="shared" si="160"/>
        <v/>
      </c>
      <c r="O2087" s="362"/>
    </row>
    <row r="2088" spans="1:15" ht="15.75" customHeight="1">
      <c r="A2088" s="395">
        <f t="array" ref="A2088">IF(C2088&lt;&gt;0,INDEX(CodTransporte,MATCH(C2088,Transporte,0),),)</f>
        <v>0</v>
      </c>
      <c r="B2088" s="399"/>
      <c r="C2088" s="1128"/>
      <c r="D2088" s="940"/>
      <c r="E2088" s="940"/>
      <c r="F2088" s="940"/>
      <c r="G2088" s="940"/>
      <c r="H2088" s="940"/>
      <c r="I2088" s="440"/>
      <c r="J2088" s="441" t="str">
        <f>IF($A2088&gt;0,(VLOOKUP($A2088,TablaTransporte,6,FALSE)),"")</f>
        <v/>
      </c>
      <c r="K2088" s="442" t="str">
        <f>IF($A2088&gt;0,(VLOOKUP($A2088,TablaTransporte,5,FALSE)),"")</f>
        <v/>
      </c>
      <c r="L2088" s="1134" t="str">
        <f>IF($A2088&gt;0,(VLOOKUP($A2088,TablaTransporte,7,FALSE)),"")</f>
        <v/>
      </c>
      <c r="M2088" s="941"/>
      <c r="N2088" s="430" t="str">
        <f t="shared" si="160"/>
        <v/>
      </c>
      <c r="O2088" s="362"/>
    </row>
    <row r="2089" spans="1:15" ht="15.75" customHeight="1">
      <c r="A2089" s="395">
        <f t="array" ref="A2089">IF(C2089&lt;&gt;0,INDEX(CodTransporte,MATCH(C2089,Transporte,0),),)</f>
        <v>0</v>
      </c>
      <c r="B2089" s="399"/>
      <c r="C2089" s="1128"/>
      <c r="D2089" s="940"/>
      <c r="E2089" s="940"/>
      <c r="F2089" s="940"/>
      <c r="G2089" s="940"/>
      <c r="H2089" s="940"/>
      <c r="I2089" s="440"/>
      <c r="J2089" s="441" t="str">
        <f>IF($A2089&gt;0,(VLOOKUP($A2089,TablaTransporte,6,FALSE)),"")</f>
        <v/>
      </c>
      <c r="K2089" s="442" t="str">
        <f>IF($A2089&gt;0,(VLOOKUP($A2089,TablaTransporte,5,FALSE)),"")</f>
        <v/>
      </c>
      <c r="L2089" s="1134" t="str">
        <f>IF($A2089&gt;0,(VLOOKUP($A2089,TablaTransporte,7,FALSE)),"")</f>
        <v/>
      </c>
      <c r="M2089" s="941"/>
      <c r="N2089" s="430" t="str">
        <f t="shared" si="160"/>
        <v/>
      </c>
      <c r="O2089" s="362"/>
    </row>
    <row r="2090" spans="1:15" ht="15.75" customHeight="1">
      <c r="A2090" s="395">
        <f t="array" ref="A2090">IF(C2090&lt;&gt;0,INDEX(CodTransporte,MATCH(C2090,Transporte,0),),)</f>
        <v>0</v>
      </c>
      <c r="B2090" s="399"/>
      <c r="C2090" s="1128"/>
      <c r="D2090" s="940"/>
      <c r="E2090" s="940"/>
      <c r="F2090" s="940"/>
      <c r="G2090" s="940"/>
      <c r="H2090" s="940"/>
      <c r="I2090" s="440"/>
      <c r="J2090" s="441" t="str">
        <f>IF($A2090&gt;0,(VLOOKUP($A2090,TablaTransporte,6,FALSE)),"")</f>
        <v/>
      </c>
      <c r="K2090" s="442" t="str">
        <f>IF($A2090&gt;0,(VLOOKUP($A2090,TablaTransporte,5,FALSE)),"")</f>
        <v/>
      </c>
      <c r="L2090" s="1205" t="str">
        <f>IF($A2090&gt;0,(VLOOKUP($A2090,TablaTransporte,7,FALSE)),"")</f>
        <v/>
      </c>
      <c r="M2090" s="1145"/>
      <c r="N2090" s="430" t="str">
        <f t="shared" si="160"/>
        <v/>
      </c>
      <c r="O2090" s="362"/>
    </row>
    <row r="2091" spans="1:15" ht="15.75" customHeight="1">
      <c r="A2091" s="395"/>
      <c r="B2091" s="399"/>
      <c r="C2091" s="1127" t="s">
        <v>1202</v>
      </c>
      <c r="D2091" s="965"/>
      <c r="E2091" s="965"/>
      <c r="F2091" s="965"/>
      <c r="G2091" s="965"/>
      <c r="H2091" s="965"/>
      <c r="I2091" s="965"/>
      <c r="J2091" s="965"/>
      <c r="K2091" s="965"/>
      <c r="L2091" s="965"/>
      <c r="M2091" s="966"/>
      <c r="N2091" s="433">
        <f>+SUM(N2086:N2090)</f>
        <v>0</v>
      </c>
      <c r="O2091" s="362"/>
    </row>
    <row r="2092" spans="1:15" ht="15.75" customHeight="1">
      <c r="A2092" s="395"/>
      <c r="B2092" s="399"/>
      <c r="C2092" s="1129" t="s">
        <v>1214</v>
      </c>
      <c r="D2092" s="926"/>
      <c r="E2092" s="926"/>
      <c r="F2092" s="926"/>
      <c r="G2092" s="926"/>
      <c r="H2092" s="926"/>
      <c r="I2092" s="926"/>
      <c r="J2092" s="926"/>
      <c r="K2092" s="926"/>
      <c r="L2092" s="926"/>
      <c r="M2092" s="926"/>
      <c r="N2092" s="927"/>
      <c r="O2092" s="362"/>
    </row>
    <row r="2093" spans="1:15" ht="15.75" customHeight="1">
      <c r="A2093" s="395"/>
      <c r="B2093" s="399"/>
      <c r="C2093" s="920"/>
      <c r="D2093" s="922"/>
      <c r="E2093" s="922"/>
      <c r="F2093" s="922"/>
      <c r="G2093" s="922"/>
      <c r="H2093" s="922"/>
      <c r="I2093" s="922"/>
      <c r="J2093" s="922"/>
      <c r="K2093" s="922"/>
      <c r="L2093" s="922"/>
      <c r="M2093" s="922"/>
      <c r="N2093" s="924"/>
      <c r="O2093" s="362"/>
    </row>
    <row r="2094" spans="1:15" ht="15.75" customHeight="1">
      <c r="A2094" s="395"/>
      <c r="B2094" s="399"/>
      <c r="C2094" s="929"/>
      <c r="D2094" s="936"/>
      <c r="E2094" s="936"/>
      <c r="F2094" s="936"/>
      <c r="G2094" s="936"/>
      <c r="H2094" s="936"/>
      <c r="I2094" s="936"/>
      <c r="J2094" s="936"/>
      <c r="K2094" s="936"/>
      <c r="L2094" s="936"/>
      <c r="M2094" s="936"/>
      <c r="N2094" s="938"/>
      <c r="O2094" s="362"/>
    </row>
    <row r="2095" spans="1:15" ht="15.75" customHeight="1">
      <c r="A2095" s="395"/>
      <c r="B2095" s="399"/>
      <c r="C2095" s="1201" t="s">
        <v>1215</v>
      </c>
      <c r="D2095" s="1131"/>
      <c r="E2095" s="1131"/>
      <c r="F2095" s="1131"/>
      <c r="G2095" s="1131"/>
      <c r="H2095" s="1000"/>
      <c r="I2095" s="670" t="s">
        <v>1216</v>
      </c>
      <c r="J2095" s="676" t="s">
        <v>1217</v>
      </c>
      <c r="K2095" s="677" t="s">
        <v>1218</v>
      </c>
      <c r="L2095" s="1206" t="s">
        <v>1199</v>
      </c>
      <c r="M2095" s="1000"/>
      <c r="N2095" s="678" t="s">
        <v>1200</v>
      </c>
      <c r="O2095" s="362"/>
    </row>
    <row r="2096" spans="1:15" ht="15.75" customHeight="1">
      <c r="A2096" s="395" t="str">
        <f t="array" ref="A2096">IF(C2096&lt;&gt;0,INDEX(CodMO,MATCH(C2096,MO,0),),)</f>
        <v>M.O-11</v>
      </c>
      <c r="B2096" s="399"/>
      <c r="C2096" s="1128" t="s">
        <v>2532</v>
      </c>
      <c r="D2096" s="940"/>
      <c r="E2096" s="940"/>
      <c r="F2096" s="940"/>
      <c r="G2096" s="940"/>
      <c r="H2096" s="940"/>
      <c r="I2096" s="447">
        <f>IF($A2096&gt;0,(VLOOKUP($A2096,TablaMO,8,FALSE)),"")</f>
        <v>183393.66666666666</v>
      </c>
      <c r="J2096" s="448">
        <f>IF($A2096&gt;0,(VLOOKUP($A2096,TablaMO,10,FALSE)),"")</f>
        <v>0.67071666666666663</v>
      </c>
      <c r="K2096" s="447">
        <f>IF($A2096&gt;0,(VLOOKUP($A2096,TablaMO,11,FALSE)),"")</f>
        <v>91920</v>
      </c>
      <c r="L2096" s="1146">
        <v>26.169685353304185</v>
      </c>
      <c r="M2096" s="941"/>
      <c r="N2096" s="430">
        <f t="shared" ref="N2096:N2100" si="161">IF(L2096&gt;0,K2096/L2096,"")</f>
        <v>3512.4610311141619</v>
      </c>
      <c r="O2096" s="362"/>
    </row>
    <row r="2097" spans="1:18" ht="15.75" customHeight="1">
      <c r="A2097" s="395" t="str">
        <f t="array" ref="A2097">IF(C2097&lt;&gt;0,INDEX(CodMO,MATCH(C2097,MO,0),),)</f>
        <v>M.O-05</v>
      </c>
      <c r="B2097" s="399"/>
      <c r="C2097" s="1128" t="s">
        <v>139</v>
      </c>
      <c r="D2097" s="940"/>
      <c r="E2097" s="940"/>
      <c r="F2097" s="940"/>
      <c r="G2097" s="940"/>
      <c r="H2097" s="940"/>
      <c r="I2097" s="447">
        <f>IF($A2097&gt;0,(VLOOKUP($A2097,TablaMO,8,FALSE)),"")</f>
        <v>125030.16666666667</v>
      </c>
      <c r="J2097" s="448">
        <f>IF($A2097&gt;0,(VLOOKUP($A2097,TablaMO,10,FALSE)),"")</f>
        <v>0.67071666666666663</v>
      </c>
      <c r="K2097" s="447">
        <f>IF($A2097&gt;0,(VLOOKUP($A2097,TablaMO,11,FALSE)),"")</f>
        <v>208890</v>
      </c>
      <c r="L2097" s="1146">
        <f>L2096</f>
        <v>26.169685353304185</v>
      </c>
      <c r="M2097" s="941"/>
      <c r="N2097" s="430">
        <f t="shared" si="161"/>
        <v>7982.1364750809107</v>
      </c>
      <c r="O2097" s="362"/>
    </row>
    <row r="2098" spans="1:18" ht="15.75" customHeight="1">
      <c r="A2098" s="395" t="str">
        <f t="array" ref="A2098">IF(C2098&lt;&gt;0,INDEX(CodMO,MATCH(C2098,MO,0),),)</f>
        <v>M.O-01</v>
      </c>
      <c r="B2098" s="399"/>
      <c r="C2098" s="1128" t="s">
        <v>130</v>
      </c>
      <c r="D2098" s="940"/>
      <c r="E2098" s="940"/>
      <c r="F2098" s="940"/>
      <c r="G2098" s="940"/>
      <c r="H2098" s="940"/>
      <c r="I2098" s="447">
        <f>IF($A2098&gt;0,(VLOOKUP($A2098,TablaMO,8,FALSE)),"")</f>
        <v>72503.016666666677</v>
      </c>
      <c r="J2098" s="448">
        <f>IF($A2098&gt;0,(VLOOKUP($A2098,TablaMO,10,FALSE)),"")</f>
        <v>0.67071666666666663</v>
      </c>
      <c r="K2098" s="447">
        <f>IF($A2098&gt;0,(VLOOKUP($A2098,TablaMO,11,FALSE)),"")</f>
        <v>121132</v>
      </c>
      <c r="L2098" s="1146">
        <f>L2097</f>
        <v>26.169685353304185</v>
      </c>
      <c r="M2098" s="941"/>
      <c r="N2098" s="430">
        <f t="shared" si="161"/>
        <v>4628.7144214634536</v>
      </c>
      <c r="O2098" s="362"/>
    </row>
    <row r="2099" spans="1:18" ht="15.75" customHeight="1">
      <c r="A2099" s="395">
        <f t="array" ref="A2099">IF(C2099&lt;&gt;0,INDEX(CodMO,MATCH(C2099,MO,0),),)</f>
        <v>0</v>
      </c>
      <c r="B2099" s="399"/>
      <c r="C2099" s="1128"/>
      <c r="D2099" s="940"/>
      <c r="E2099" s="940"/>
      <c r="F2099" s="940"/>
      <c r="G2099" s="940"/>
      <c r="H2099" s="940"/>
      <c r="I2099" s="447" t="str">
        <f>IF($A2099&gt;0,(VLOOKUP($A2099,TablaMO,8,FALSE)),"")</f>
        <v/>
      </c>
      <c r="J2099" s="448" t="str">
        <f>IF($A2099&gt;0,(VLOOKUP($A2099,TablaMO,10,FALSE)),"")</f>
        <v/>
      </c>
      <c r="K2099" s="447" t="str">
        <f>IF($A2099&gt;0,(VLOOKUP($A2099,TablaMO,11,FALSE)),"")</f>
        <v/>
      </c>
      <c r="L2099" s="1146"/>
      <c r="M2099" s="941"/>
      <c r="N2099" s="430" t="str">
        <f t="shared" si="161"/>
        <v/>
      </c>
      <c r="O2099" s="362"/>
    </row>
    <row r="2100" spans="1:18" ht="15.75" customHeight="1">
      <c r="A2100" s="395">
        <f t="array" ref="A2100">IF(C2100&lt;&gt;0,INDEX(CodMO,MATCH(C2100,MO,0),),)</f>
        <v>0</v>
      </c>
      <c r="B2100" s="399"/>
      <c r="C2100" s="1128"/>
      <c r="D2100" s="940"/>
      <c r="E2100" s="940"/>
      <c r="F2100" s="940"/>
      <c r="G2100" s="940"/>
      <c r="H2100" s="940"/>
      <c r="I2100" s="447" t="str">
        <f>IF($A2100&gt;0,(VLOOKUP($A2100,TablaMO,8,FALSE)),"")</f>
        <v/>
      </c>
      <c r="J2100" s="448" t="str">
        <f>IF($A2100&gt;0,(VLOOKUP($A2100,TablaMO,10,FALSE)),"")</f>
        <v/>
      </c>
      <c r="K2100" s="447" t="str">
        <f>IF($A2100&gt;0,(VLOOKUP($A2100,TablaMO,11,FALSE)),"")</f>
        <v/>
      </c>
      <c r="L2100" s="1146"/>
      <c r="M2100" s="941"/>
      <c r="N2100" s="430" t="str">
        <f t="shared" si="161"/>
        <v/>
      </c>
      <c r="O2100" s="362"/>
    </row>
    <row r="2101" spans="1:18" ht="15.75" customHeight="1">
      <c r="A2101" s="395"/>
      <c r="B2101" s="399"/>
      <c r="C2101" s="1127" t="s">
        <v>1202</v>
      </c>
      <c r="D2101" s="965"/>
      <c r="E2101" s="965"/>
      <c r="F2101" s="965"/>
      <c r="G2101" s="965"/>
      <c r="H2101" s="965"/>
      <c r="I2101" s="965"/>
      <c r="J2101" s="965"/>
      <c r="K2101" s="965"/>
      <c r="L2101" s="965"/>
      <c r="M2101" s="966"/>
      <c r="N2101" s="433">
        <f>+SUM(N2096:N2100)</f>
        <v>16123.311927658526</v>
      </c>
      <c r="O2101" s="362"/>
    </row>
    <row r="2102" spans="1:18" ht="15.75" customHeight="1">
      <c r="B2102" s="679"/>
      <c r="O2102" s="362"/>
    </row>
    <row r="2103" spans="1:18" ht="15.75" customHeight="1">
      <c r="B2103" s="679"/>
      <c r="C2103" s="1198" t="s">
        <v>1219</v>
      </c>
      <c r="D2103" s="965"/>
      <c r="E2103" s="965"/>
      <c r="F2103" s="965"/>
      <c r="G2103" s="965"/>
      <c r="H2103" s="965"/>
      <c r="I2103" s="965"/>
      <c r="J2103" s="965"/>
      <c r="K2103" s="965"/>
      <c r="L2103" s="965"/>
      <c r="M2103" s="966"/>
      <c r="N2103" s="680">
        <f>ROUND(SUM(N2101,N2091,N2081,N2068),0)</f>
        <v>60296</v>
      </c>
      <c r="O2103" s="362"/>
      <c r="Q2103" s="681">
        <f>VLOOKUP(C2057,PROPUESTASASERCO,8,FALSE)</f>
        <v>60296</v>
      </c>
      <c r="R2103" s="682">
        <f>Q2103-N2103</f>
        <v>0</v>
      </c>
    </row>
    <row r="2104" spans="1:18" ht="15.75" customHeight="1">
      <c r="B2104" s="679"/>
      <c r="C2104" s="1129" t="s">
        <v>1220</v>
      </c>
      <c r="D2104" s="926"/>
      <c r="E2104" s="926"/>
      <c r="F2104" s="926"/>
      <c r="G2104" s="926"/>
      <c r="H2104" s="926"/>
      <c r="I2104" s="926"/>
      <c r="J2104" s="926"/>
      <c r="K2104" s="926"/>
      <c r="L2104" s="926"/>
      <c r="M2104" s="926"/>
      <c r="N2104" s="927"/>
      <c r="O2104" s="362"/>
    </row>
    <row r="2105" spans="1:18" ht="15.75" customHeight="1">
      <c r="B2105" s="679"/>
      <c r="C2105" s="920"/>
      <c r="D2105" s="922"/>
      <c r="E2105" s="922"/>
      <c r="F2105" s="922"/>
      <c r="G2105" s="922"/>
      <c r="H2105" s="922"/>
      <c r="I2105" s="922"/>
      <c r="J2105" s="922"/>
      <c r="K2105" s="922"/>
      <c r="L2105" s="922"/>
      <c r="M2105" s="922"/>
      <c r="N2105" s="924"/>
      <c r="O2105" s="362"/>
    </row>
    <row r="2106" spans="1:18" ht="15.75" customHeight="1">
      <c r="B2106" s="679"/>
      <c r="C2106" s="929"/>
      <c r="D2106" s="936"/>
      <c r="E2106" s="936"/>
      <c r="F2106" s="936"/>
      <c r="G2106" s="936"/>
      <c r="H2106" s="936"/>
      <c r="I2106" s="936"/>
      <c r="J2106" s="936"/>
      <c r="K2106" s="936"/>
      <c r="L2106" s="936"/>
      <c r="M2106" s="936"/>
      <c r="N2106" s="938"/>
      <c r="O2106" s="362"/>
    </row>
    <row r="2107" spans="1:18" ht="15.75" customHeight="1">
      <c r="B2107" s="679"/>
      <c r="C2107" s="1201" t="s">
        <v>1221</v>
      </c>
      <c r="D2107" s="1131"/>
      <c r="E2107" s="1131"/>
      <c r="F2107" s="1131"/>
      <c r="G2107" s="1131"/>
      <c r="H2107" s="1132"/>
      <c r="I2107" s="674"/>
      <c r="J2107" s="674"/>
      <c r="K2107" s="674"/>
      <c r="L2107" s="1206" t="s">
        <v>1222</v>
      </c>
      <c r="M2107" s="1000"/>
      <c r="N2107" s="678" t="s">
        <v>1223</v>
      </c>
      <c r="O2107" s="362"/>
    </row>
    <row r="2108" spans="1:18" ht="15.75" customHeight="1">
      <c r="B2108" s="679"/>
      <c r="C2108" s="1128" t="s">
        <v>19</v>
      </c>
      <c r="D2108" s="940"/>
      <c r="E2108" s="940"/>
      <c r="F2108" s="940"/>
      <c r="G2108" s="940"/>
      <c r="H2108" s="940"/>
      <c r="I2108" s="452"/>
      <c r="J2108" s="452"/>
      <c r="K2108" s="452"/>
      <c r="L2108" s="1148">
        <f>+Datos!$E$18</f>
        <v>0.25</v>
      </c>
      <c r="M2108" s="941"/>
      <c r="N2108" s="430">
        <f>+L2108*N2103</f>
        <v>15074</v>
      </c>
      <c r="O2108" s="362"/>
    </row>
    <row r="2109" spans="1:18" ht="15.75" customHeight="1">
      <c r="B2109" s="679"/>
      <c r="C2109" s="454" t="s">
        <v>20</v>
      </c>
      <c r="D2109" s="455"/>
      <c r="E2109" s="455"/>
      <c r="F2109" s="455"/>
      <c r="G2109" s="455"/>
      <c r="H2109" s="455"/>
      <c r="I2109" s="452"/>
      <c r="J2109" s="452"/>
      <c r="K2109" s="452"/>
      <c r="L2109" s="1148">
        <f>+Datos!$E$19</f>
        <v>0.01</v>
      </c>
      <c r="M2109" s="941"/>
      <c r="N2109" s="430">
        <f>+L2109*N2103</f>
        <v>602.96</v>
      </c>
      <c r="O2109" s="362"/>
    </row>
    <row r="2110" spans="1:18" ht="15.75" customHeight="1">
      <c r="B2110" s="679"/>
      <c r="C2110" s="456" t="s">
        <v>21</v>
      </c>
      <c r="D2110" s="457"/>
      <c r="E2110" s="457"/>
      <c r="F2110" s="457"/>
      <c r="G2110" s="457"/>
      <c r="H2110" s="457"/>
      <c r="I2110" s="458"/>
      <c r="J2110" s="458"/>
      <c r="K2110" s="458"/>
      <c r="L2110" s="1148">
        <f>+Datos!$E$20</f>
        <v>0.05</v>
      </c>
      <c r="M2110" s="941"/>
      <c r="N2110" s="430">
        <f>+L2110*N2103</f>
        <v>3014.8</v>
      </c>
      <c r="O2110" s="362"/>
    </row>
    <row r="2111" spans="1:18" ht="15.75" customHeight="1">
      <c r="B2111" s="679"/>
      <c r="C2111" s="1127" t="s">
        <v>1202</v>
      </c>
      <c r="D2111" s="965"/>
      <c r="E2111" s="965"/>
      <c r="F2111" s="965"/>
      <c r="G2111" s="965"/>
      <c r="H2111" s="965"/>
      <c r="I2111" s="965"/>
      <c r="J2111" s="965"/>
      <c r="K2111" s="965"/>
      <c r="L2111" s="965"/>
      <c r="M2111" s="966"/>
      <c r="N2111" s="433">
        <f>+SUM(N2108:N2110)</f>
        <v>18691.759999999998</v>
      </c>
      <c r="O2111" s="362"/>
    </row>
    <row r="2112" spans="1:18" ht="15.75" customHeight="1">
      <c r="B2112" s="679"/>
      <c r="C2112" s="418"/>
      <c r="D2112" s="39"/>
      <c r="E2112" s="39"/>
      <c r="F2112" s="39"/>
      <c r="G2112" s="39"/>
      <c r="H2112" s="39"/>
      <c r="I2112" s="39"/>
      <c r="J2112" s="39"/>
      <c r="K2112" s="39"/>
      <c r="L2112" s="39"/>
      <c r="M2112" s="39"/>
      <c r="N2112" s="40"/>
      <c r="O2112" s="362"/>
    </row>
    <row r="2113" spans="1:15" ht="15.75" customHeight="1">
      <c r="B2113" s="679"/>
      <c r="C2113" s="1198" t="s">
        <v>1224</v>
      </c>
      <c r="D2113" s="965"/>
      <c r="E2113" s="965"/>
      <c r="F2113" s="965"/>
      <c r="G2113" s="965"/>
      <c r="H2113" s="965"/>
      <c r="I2113" s="965"/>
      <c r="J2113" s="965"/>
      <c r="K2113" s="965"/>
      <c r="L2113" s="965"/>
      <c r="M2113" s="966"/>
      <c r="N2113" s="683">
        <f>+ROUND(SUM(N2111,N2103),0)</f>
        <v>78988</v>
      </c>
      <c r="O2113" s="362"/>
    </row>
    <row r="2114" spans="1:15" ht="15.75" customHeight="1">
      <c r="B2114" s="679"/>
      <c r="C2114" s="418"/>
      <c r="D2114" s="39" t="s">
        <v>1225</v>
      </c>
      <c r="E2114" s="39"/>
      <c r="F2114" s="39"/>
      <c r="G2114" s="184"/>
      <c r="H2114" s="184"/>
      <c r="I2114" s="184"/>
      <c r="J2114" s="39" t="s">
        <v>1225</v>
      </c>
      <c r="K2114" s="39"/>
      <c r="L2114" s="39"/>
      <c r="M2114" s="39"/>
      <c r="N2114" s="40"/>
      <c r="O2114" s="362"/>
    </row>
    <row r="2115" spans="1:15" ht="15.75" customHeight="1">
      <c r="B2115" s="679"/>
      <c r="C2115" s="418"/>
      <c r="D2115" s="39" t="s">
        <v>1226</v>
      </c>
      <c r="E2115" s="39"/>
      <c r="F2115" s="39"/>
      <c r="G2115" s="184"/>
      <c r="H2115" s="184"/>
      <c r="I2115" s="184"/>
      <c r="J2115" s="39" t="s">
        <v>1227</v>
      </c>
      <c r="K2115" s="39"/>
      <c r="L2115" s="39"/>
      <c r="M2115" s="39"/>
      <c r="N2115" s="40"/>
      <c r="O2115" s="362"/>
    </row>
    <row r="2116" spans="1:15" ht="15.75" customHeight="1">
      <c r="B2116" s="679"/>
      <c r="C2116" s="404"/>
      <c r="D2116" s="39" t="s">
        <v>1228</v>
      </c>
      <c r="E2116" s="42"/>
      <c r="F2116" s="42"/>
      <c r="G2116" s="184"/>
      <c r="H2116" s="184"/>
      <c r="I2116" s="184"/>
      <c r="J2116" s="39" t="s">
        <v>1228</v>
      </c>
      <c r="K2116" s="42"/>
      <c r="L2116" s="42"/>
      <c r="M2116" s="42"/>
      <c r="N2116" s="43"/>
      <c r="O2116" s="362"/>
    </row>
    <row r="2117" spans="1:15" ht="15.75" customHeight="1">
      <c r="B2117" s="679"/>
      <c r="C2117" s="418"/>
      <c r="D2117" s="39"/>
      <c r="E2117" s="39"/>
      <c r="F2117" s="39"/>
      <c r="G2117" s="39" t="s">
        <v>1229</v>
      </c>
      <c r="H2117" s="39"/>
      <c r="I2117" s="39"/>
      <c r="J2117" s="39"/>
      <c r="K2117" s="39"/>
      <c r="L2117" s="39"/>
      <c r="M2117" s="39"/>
      <c r="N2117" s="40"/>
      <c r="O2117" s="362"/>
    </row>
    <row r="2118" spans="1:15" ht="15.75" customHeight="1">
      <c r="B2118" s="679"/>
      <c r="C2118" s="466"/>
      <c r="D2118" s="467"/>
      <c r="E2118" s="467"/>
      <c r="F2118" s="39"/>
      <c r="G2118" s="39"/>
      <c r="H2118" s="39"/>
      <c r="I2118" s="39"/>
      <c r="J2118" s="1149"/>
      <c r="K2118" s="922"/>
      <c r="L2118" s="922"/>
      <c r="M2118" s="922"/>
      <c r="N2118" s="924"/>
      <c r="O2118" s="362"/>
    </row>
    <row r="2119" spans="1:15" ht="15.75" customHeight="1">
      <c r="B2119" s="679"/>
      <c r="C2119" s="1150"/>
      <c r="D2119" s="936"/>
      <c r="E2119" s="936"/>
      <c r="F2119" s="416"/>
      <c r="G2119" s="416"/>
      <c r="H2119" s="416"/>
      <c r="I2119" s="416"/>
      <c r="J2119" s="936"/>
      <c r="K2119" s="936"/>
      <c r="L2119" s="936"/>
      <c r="M2119" s="936"/>
      <c r="N2119" s="938"/>
      <c r="O2119" s="362"/>
    </row>
    <row r="2120" spans="1:15" ht="15.75" customHeight="1">
      <c r="B2120" s="684"/>
      <c r="C2120" s="685"/>
      <c r="D2120" s="685"/>
      <c r="E2120" s="685"/>
      <c r="F2120" s="685"/>
      <c r="G2120" s="685"/>
      <c r="H2120" s="685"/>
      <c r="I2120" s="685"/>
      <c r="J2120" s="685"/>
      <c r="K2120" s="685"/>
      <c r="L2120" s="685"/>
      <c r="M2120" s="685"/>
      <c r="N2120" s="685"/>
      <c r="O2120" s="686"/>
    </row>
    <row r="2121" spans="1:15" ht="15.75" customHeight="1">
      <c r="B2121" s="808"/>
      <c r="C2121" s="808"/>
      <c r="D2121" s="808"/>
      <c r="E2121" s="808"/>
      <c r="F2121" s="808"/>
      <c r="G2121" s="808"/>
      <c r="H2121" s="808"/>
      <c r="I2121" s="808"/>
      <c r="J2121" s="808"/>
      <c r="K2121" s="808"/>
      <c r="L2121" s="808"/>
      <c r="M2121" s="808"/>
      <c r="N2121" s="808"/>
      <c r="O2121" s="808"/>
    </row>
    <row r="2122" spans="1:15" ht="15.75" customHeight="1">
      <c r="B2122" s="808"/>
      <c r="C2122" s="808"/>
      <c r="D2122" s="808"/>
      <c r="E2122" s="808"/>
      <c r="F2122" s="808"/>
      <c r="G2122" s="808"/>
      <c r="H2122" s="808"/>
      <c r="I2122" s="808"/>
      <c r="J2122" s="808"/>
      <c r="K2122" s="808"/>
      <c r="L2122" s="808"/>
      <c r="M2122" s="808"/>
      <c r="N2122" s="808"/>
      <c r="O2122" s="808"/>
    </row>
    <row r="2123" spans="1:15" ht="15.75" customHeight="1">
      <c r="B2123" s="808"/>
      <c r="C2123" s="808"/>
      <c r="D2123" s="808"/>
      <c r="E2123" s="808"/>
      <c r="F2123" s="808"/>
      <c r="G2123" s="808"/>
      <c r="H2123" s="808"/>
      <c r="I2123" s="808"/>
      <c r="J2123" s="808"/>
      <c r="K2123" s="808"/>
      <c r="L2123" s="808"/>
      <c r="M2123" s="808"/>
      <c r="N2123" s="808"/>
      <c r="O2123" s="808"/>
    </row>
    <row r="2124" spans="1:15" ht="15.75" customHeight="1" thickBot="1">
      <c r="A2124" s="395" t="s">
        <v>941</v>
      </c>
      <c r="B2124" s="184"/>
      <c r="C2124" s="184"/>
      <c r="D2124" s="184"/>
      <c r="E2124" s="184"/>
      <c r="F2124" s="184"/>
      <c r="G2124" s="184"/>
      <c r="H2124" s="184"/>
      <c r="I2124" s="184"/>
      <c r="J2124" s="184"/>
      <c r="K2124" s="184"/>
      <c r="L2124" s="184"/>
      <c r="M2124" s="184"/>
      <c r="N2124" s="184"/>
    </row>
    <row r="2125" spans="1:15" ht="15.75" customHeight="1" thickTop="1" thickBot="1">
      <c r="A2125" s="395"/>
      <c r="B2125" s="396"/>
      <c r="C2125" s="397"/>
      <c r="D2125" s="397"/>
      <c r="E2125" s="397"/>
      <c r="F2125" s="397"/>
      <c r="G2125" s="397"/>
      <c r="H2125" s="397"/>
      <c r="I2125" s="397"/>
      <c r="J2125" s="397"/>
      <c r="K2125" s="397"/>
      <c r="L2125" s="397"/>
      <c r="M2125" s="397"/>
      <c r="N2125" s="397"/>
      <c r="O2125" s="667"/>
    </row>
    <row r="2126" spans="1:15" ht="15.75" customHeight="1">
      <c r="A2126" s="395"/>
      <c r="B2126" s="399"/>
      <c r="C2126" s="1124"/>
      <c r="D2126" s="927"/>
      <c r="E2126" s="1207" t="str">
        <f>Datos!$C$9</f>
        <v>CONSEJO SUPERIOR  DE  JUDICATURA– DIRECCIÓN  EJECUTIVA  SECCIONAL  DE ADMINISTRACIÓN JUDICIAL DE BUCARAMANGA</v>
      </c>
      <c r="F2126" s="926"/>
      <c r="G2126" s="926"/>
      <c r="H2126" s="926"/>
      <c r="I2126" s="926"/>
      <c r="J2126" s="926"/>
      <c r="K2126" s="927"/>
      <c r="L2126" s="925" t="s">
        <v>1</v>
      </c>
      <c r="M2126" s="931"/>
      <c r="N2126" s="933">
        <v>1</v>
      </c>
      <c r="O2126" s="362"/>
    </row>
    <row r="2127" spans="1:15" ht="15.75" customHeight="1" thickBot="1">
      <c r="A2127" s="395"/>
      <c r="B2127" s="399"/>
      <c r="C2127" s="920"/>
      <c r="D2127" s="924"/>
      <c r="E2127" s="920"/>
      <c r="F2127" s="922"/>
      <c r="G2127" s="922"/>
      <c r="H2127" s="922"/>
      <c r="I2127" s="922"/>
      <c r="J2127" s="922"/>
      <c r="K2127" s="924"/>
      <c r="L2127" s="920"/>
      <c r="M2127" s="932"/>
      <c r="N2127" s="934"/>
      <c r="O2127" s="362"/>
    </row>
    <row r="2128" spans="1:15" ht="15.75" customHeight="1">
      <c r="A2128" s="395"/>
      <c r="B2128" s="399"/>
      <c r="C2128" s="920"/>
      <c r="D2128" s="924"/>
      <c r="E2128" s="919" t="str">
        <f>Datos!$C$13</f>
        <v xml:space="preserve">BGA - 030 - 2026 </v>
      </c>
      <c r="F2128" s="922"/>
      <c r="G2128" s="922"/>
      <c r="H2128" s="922"/>
      <c r="I2128" s="922"/>
      <c r="J2128" s="922"/>
      <c r="K2128" s="922"/>
      <c r="L2128" s="925" t="s">
        <v>29</v>
      </c>
      <c r="M2128" s="926"/>
      <c r="N2128" s="927"/>
      <c r="O2128" s="362"/>
    </row>
    <row r="2129" spans="1:15" ht="15.75" customHeight="1">
      <c r="A2129" s="395"/>
      <c r="B2129" s="399"/>
      <c r="C2129" s="920"/>
      <c r="D2129" s="924"/>
      <c r="E2129"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129" s="922"/>
      <c r="G2129" s="922"/>
      <c r="H2129" s="922"/>
      <c r="I2129" s="922"/>
      <c r="J2129" s="922"/>
      <c r="K2129" s="924"/>
      <c r="L2129" s="919">
        <v>1</v>
      </c>
      <c r="M2129" s="921" t="s">
        <v>30</v>
      </c>
      <c r="N2129" s="923">
        <v>1</v>
      </c>
      <c r="O2129" s="362"/>
    </row>
    <row r="2130" spans="1:15" ht="15.75" customHeight="1" thickBot="1">
      <c r="A2130" s="395"/>
      <c r="B2130" s="399"/>
      <c r="C2130" s="920"/>
      <c r="D2130" s="924"/>
      <c r="E2130" s="920"/>
      <c r="F2130" s="922"/>
      <c r="G2130" s="922"/>
      <c r="H2130" s="922"/>
      <c r="I2130" s="922"/>
      <c r="J2130" s="922"/>
      <c r="K2130" s="924"/>
      <c r="L2130" s="920"/>
      <c r="M2130" s="922"/>
      <c r="N2130" s="924"/>
      <c r="O2130" s="362"/>
    </row>
    <row r="2131" spans="1:15" ht="15.75" customHeight="1">
      <c r="A2131" s="395"/>
      <c r="B2131" s="399"/>
      <c r="C2131" s="920"/>
      <c r="D2131" s="924"/>
      <c r="E2131" s="920"/>
      <c r="F2131" s="922"/>
      <c r="G2131" s="922"/>
      <c r="H2131" s="922"/>
      <c r="I2131" s="922"/>
      <c r="J2131" s="922"/>
      <c r="K2131" s="924"/>
      <c r="L2131" s="925" t="s">
        <v>2</v>
      </c>
      <c r="M2131" s="926"/>
      <c r="N2131" s="927"/>
      <c r="O2131" s="362"/>
    </row>
    <row r="2132" spans="1:15" ht="15.75" customHeight="1">
      <c r="A2132" s="395"/>
      <c r="B2132" s="399"/>
      <c r="C2132" s="920"/>
      <c r="D2132" s="924"/>
      <c r="E2132" s="407"/>
      <c r="F2132" s="216"/>
      <c r="G2132" s="216"/>
      <c r="H2132" s="216"/>
      <c r="I2132" s="216"/>
      <c r="J2132" s="216"/>
      <c r="K2132" s="216"/>
      <c r="L2132" s="408" t="s">
        <v>3</v>
      </c>
      <c r="M2132" s="409" t="s">
        <v>4</v>
      </c>
      <c r="N2132" s="410" t="s">
        <v>5</v>
      </c>
      <c r="O2132" s="362"/>
    </row>
    <row r="2133" spans="1:15" ht="15.75" customHeight="1">
      <c r="A2133" s="395"/>
      <c r="B2133" s="399"/>
      <c r="C2133" s="920"/>
      <c r="D2133" s="924"/>
      <c r="E2133" s="1125" t="s">
        <v>1186</v>
      </c>
      <c r="F2133" s="945"/>
      <c r="G2133" s="945"/>
      <c r="H2133" s="945"/>
      <c r="I2133" s="945"/>
      <c r="J2133" s="945"/>
      <c r="K2133" s="945"/>
      <c r="L2133" s="928">
        <f>Datos!$C$7</f>
        <v>19</v>
      </c>
      <c r="M2133" s="935">
        <f>Datos!$D$7</f>
        <v>6</v>
      </c>
      <c r="N2133" s="937">
        <f>Datos!$E$7</f>
        <v>2026</v>
      </c>
      <c r="O2133" s="362"/>
    </row>
    <row r="2134" spans="1:15" ht="15.75" customHeight="1" thickBot="1">
      <c r="A2134" s="395"/>
      <c r="B2134" s="399"/>
      <c r="C2134" s="929"/>
      <c r="D2134" s="938"/>
      <c r="E2134" s="929"/>
      <c r="F2134" s="936"/>
      <c r="G2134" s="936"/>
      <c r="H2134" s="936"/>
      <c r="I2134" s="936"/>
      <c r="J2134" s="936"/>
      <c r="K2134" s="936"/>
      <c r="L2134" s="929"/>
      <c r="M2134" s="936"/>
      <c r="N2134" s="938"/>
      <c r="O2134" s="362"/>
    </row>
    <row r="2135" spans="1:15" ht="15.75" customHeight="1">
      <c r="A2135" s="395"/>
      <c r="B2135" s="399"/>
      <c r="C2135" s="404"/>
      <c r="D2135" s="38"/>
      <c r="E2135" s="38"/>
      <c r="F2135" s="38"/>
      <c r="G2135" s="38"/>
      <c r="H2135" s="38"/>
      <c r="I2135" s="38"/>
      <c r="J2135" s="38"/>
      <c r="K2135" s="38"/>
      <c r="L2135" s="39"/>
      <c r="M2135" s="39"/>
      <c r="N2135" s="40"/>
      <c r="O2135" s="362"/>
    </row>
    <row r="2136" spans="1:15" ht="15.75" customHeight="1">
      <c r="A2136" s="395"/>
      <c r="B2136" s="399"/>
      <c r="C2136" s="412" t="s">
        <v>1187</v>
      </c>
      <c r="D2136" s="1199" t="str">
        <f>VLOOKUP(C2141,ListaAct,2,0)</f>
        <v>OBRA CIVIL</v>
      </c>
      <c r="E2136" s="922"/>
      <c r="F2136" s="922"/>
      <c r="G2136" s="922"/>
      <c r="H2136" s="922"/>
      <c r="I2136" s="922"/>
      <c r="J2136" s="922"/>
      <c r="K2136" s="922"/>
      <c r="L2136" s="922"/>
      <c r="M2136" s="1"/>
      <c r="N2136" s="413"/>
      <c r="O2136" s="362"/>
    </row>
    <row r="2137" spans="1:15" ht="15.75" customHeight="1" thickBot="1">
      <c r="A2137" s="395"/>
      <c r="B2137" s="399"/>
      <c r="C2137" s="412" t="s">
        <v>1189</v>
      </c>
      <c r="D2137" s="1199" t="str">
        <f>VLOOKUP(C2141,ListaAct,3,0)</f>
        <v>DISPOSICION DE AGUAS LLUVIAS</v>
      </c>
      <c r="E2137" s="922"/>
      <c r="F2137" s="922"/>
      <c r="G2137" s="922"/>
      <c r="H2137" s="922"/>
      <c r="I2137" s="922"/>
      <c r="J2137" s="922"/>
      <c r="K2137" s="922"/>
      <c r="L2137" s="922"/>
      <c r="M2137" s="1"/>
      <c r="N2137" s="413"/>
      <c r="O2137" s="362"/>
    </row>
    <row r="2138" spans="1:15" ht="15.75" customHeight="1">
      <c r="A2138" s="395"/>
      <c r="B2138" s="399"/>
      <c r="C2138" s="925" t="s">
        <v>1191</v>
      </c>
      <c r="D2138" s="926"/>
      <c r="E2138" s="926"/>
      <c r="F2138" s="926"/>
      <c r="G2138" s="926"/>
      <c r="H2138" s="926"/>
      <c r="I2138" s="926"/>
      <c r="J2138" s="926"/>
      <c r="K2138" s="926"/>
      <c r="L2138" s="926"/>
      <c r="M2138" s="926"/>
      <c r="N2138" s="927"/>
      <c r="O2138" s="362"/>
    </row>
    <row r="2139" spans="1:15" ht="15.75" customHeight="1" thickBot="1">
      <c r="A2139" s="395"/>
      <c r="B2139" s="399"/>
      <c r="C2139" s="418"/>
      <c r="D2139" s="39"/>
      <c r="E2139" s="39"/>
      <c r="F2139" s="39"/>
      <c r="G2139" s="39"/>
      <c r="H2139" s="39"/>
      <c r="I2139" s="39"/>
      <c r="J2139" s="39"/>
      <c r="K2139" s="39"/>
      <c r="L2139" s="39"/>
      <c r="M2139" s="39"/>
      <c r="N2139" s="40"/>
      <c r="O2139" s="362"/>
    </row>
    <row r="2140" spans="1:15" ht="15.75" customHeight="1">
      <c r="A2140" s="395"/>
      <c r="B2140" s="399"/>
      <c r="C2140" s="668" t="s">
        <v>965</v>
      </c>
      <c r="D2140" s="1200" t="s">
        <v>17</v>
      </c>
      <c r="E2140" s="1131"/>
      <c r="F2140" s="1131"/>
      <c r="G2140" s="1131"/>
      <c r="H2140" s="1131"/>
      <c r="I2140" s="1131"/>
      <c r="J2140" s="1131"/>
      <c r="K2140" s="1137"/>
      <c r="L2140" s="1201" t="s">
        <v>1192</v>
      </c>
      <c r="M2140" s="1137"/>
      <c r="N2140" s="668" t="s">
        <v>950</v>
      </c>
      <c r="O2140" s="362"/>
    </row>
    <row r="2141" spans="1:15" ht="15.75" customHeight="1" thickBot="1">
      <c r="A2141" s="395"/>
      <c r="B2141" s="421"/>
      <c r="C2141" s="669" t="s">
        <v>1065</v>
      </c>
      <c r="D2141" s="1202" t="str">
        <f>IF($C2141&gt;0,(VLOOKUP($C2141,ListaAct,4,FALSE)),"")</f>
        <v>Suministro e instalación de canal metalica cal 22 según diseño exterior incluye salida de 4" y fijaciones metalicas cada 50 cm.</v>
      </c>
      <c r="E2141" s="979"/>
      <c r="F2141" s="979"/>
      <c r="G2141" s="979"/>
      <c r="H2141" s="979"/>
      <c r="I2141" s="979"/>
      <c r="J2141" s="979"/>
      <c r="K2141" s="980"/>
      <c r="L2141" s="1203" t="str">
        <f>IF($C2141&gt;0,(VLOOKUP($C2141,ListaAct,5,FALSE)),"")</f>
        <v>ml</v>
      </c>
      <c r="M2141" s="980"/>
      <c r="N2141" s="423">
        <f>IF($C2141&gt;0,(VLOOKUP($C2141,ListaAct,6,FALSE)),"")</f>
        <v>12.7</v>
      </c>
      <c r="O2141" s="362"/>
    </row>
    <row r="2142" spans="1:15" ht="15.75" customHeight="1">
      <c r="A2142" s="395"/>
      <c r="B2142" s="399"/>
      <c r="C2142" s="1129" t="s">
        <v>1195</v>
      </c>
      <c r="D2142" s="926"/>
      <c r="E2142" s="926"/>
      <c r="F2142" s="926"/>
      <c r="G2142" s="926"/>
      <c r="H2142" s="926"/>
      <c r="I2142" s="926"/>
      <c r="J2142" s="926"/>
      <c r="K2142" s="926"/>
      <c r="L2142" s="926"/>
      <c r="M2142" s="926"/>
      <c r="N2142" s="927"/>
      <c r="O2142" s="362"/>
    </row>
    <row r="2143" spans="1:15" ht="15.75" customHeight="1">
      <c r="A2143" s="395"/>
      <c r="B2143" s="399"/>
      <c r="C2143" s="920"/>
      <c r="D2143" s="922"/>
      <c r="E2143" s="922"/>
      <c r="F2143" s="922"/>
      <c r="G2143" s="922"/>
      <c r="H2143" s="922"/>
      <c r="I2143" s="922"/>
      <c r="J2143" s="922"/>
      <c r="K2143" s="922"/>
      <c r="L2143" s="922"/>
      <c r="M2143" s="922"/>
      <c r="N2143" s="924"/>
      <c r="O2143" s="362"/>
    </row>
    <row r="2144" spans="1:15" ht="15.75" customHeight="1" thickBot="1">
      <c r="A2144" s="395"/>
      <c r="B2144" s="399"/>
      <c r="C2144" s="929"/>
      <c r="D2144" s="936"/>
      <c r="E2144" s="936"/>
      <c r="F2144" s="936"/>
      <c r="G2144" s="936"/>
      <c r="H2144" s="936"/>
      <c r="I2144" s="936"/>
      <c r="J2144" s="936"/>
      <c r="K2144" s="936"/>
      <c r="L2144" s="936"/>
      <c r="M2144" s="936"/>
      <c r="N2144" s="938"/>
      <c r="O2144" s="362"/>
    </row>
    <row r="2145" spans="1:15" ht="15.75" customHeight="1">
      <c r="A2145" s="395"/>
      <c r="B2145" s="399"/>
      <c r="C2145" s="1201" t="s">
        <v>17</v>
      </c>
      <c r="D2145" s="1131"/>
      <c r="E2145" s="1131"/>
      <c r="F2145" s="1000"/>
      <c r="G2145" s="1204" t="s">
        <v>1196</v>
      </c>
      <c r="H2145" s="1000"/>
      <c r="I2145" s="1204" t="s">
        <v>1197</v>
      </c>
      <c r="J2145" s="1000"/>
      <c r="K2145" s="670" t="s">
        <v>1213</v>
      </c>
      <c r="L2145" s="1204" t="s">
        <v>1199</v>
      </c>
      <c r="M2145" s="1000"/>
      <c r="N2145" s="671" t="s">
        <v>1200</v>
      </c>
      <c r="O2145" s="362"/>
    </row>
    <row r="2146" spans="1:15" ht="15.75" customHeight="1">
      <c r="A2146" s="395"/>
      <c r="B2146" s="399"/>
      <c r="C2146" s="1128" t="s">
        <v>1201</v>
      </c>
      <c r="D2146" s="940"/>
      <c r="E2146" s="940"/>
      <c r="F2146" s="941"/>
      <c r="G2146" s="1142"/>
      <c r="H2146" s="941"/>
      <c r="I2146" s="1142"/>
      <c r="J2146" s="941"/>
      <c r="K2146" s="429"/>
      <c r="L2146" s="1143">
        <v>0.05</v>
      </c>
      <c r="M2146" s="941"/>
      <c r="N2146" s="430">
        <f>+L2146*N2185</f>
        <v>1106.783902289766</v>
      </c>
      <c r="O2146" s="362"/>
    </row>
    <row r="2147" spans="1:15" ht="15.75" customHeight="1">
      <c r="A2147" s="395">
        <f t="array" ref="A2147">IF(C2147&lt;&gt;0,INDEX(CodEquipos,MATCH(C2147,Equipos,0),),)</f>
        <v>0</v>
      </c>
      <c r="B2147" s="399"/>
      <c r="C2147" s="1128"/>
      <c r="D2147" s="940"/>
      <c r="E2147" s="940"/>
      <c r="F2147" s="941"/>
      <c r="G2147" s="1142"/>
      <c r="H2147" s="941"/>
      <c r="I2147" s="1142"/>
      <c r="J2147" s="941"/>
      <c r="K2147" s="432" t="str">
        <f>IF($A2147&gt;0,(VLOOKUP($A2147,TablaEquipos,7,FALSE)),"")</f>
        <v/>
      </c>
      <c r="L2147" s="1146"/>
      <c r="M2147" s="941"/>
      <c r="N2147" s="430" t="str">
        <f t="shared" ref="N2147:N2151" si="162">IF(L2147&gt;0,K2147/L2147,"")</f>
        <v/>
      </c>
      <c r="O2147" s="362"/>
    </row>
    <row r="2148" spans="1:15" ht="15.75" customHeight="1">
      <c r="A2148" s="395">
        <f t="array" ref="A2148">IF(C2148&lt;&gt;0,INDEX(CodEquipos,MATCH(C2148,Equipos,0),),)</f>
        <v>0</v>
      </c>
      <c r="B2148" s="399"/>
      <c r="C2148" s="1128"/>
      <c r="D2148" s="940"/>
      <c r="E2148" s="940"/>
      <c r="F2148" s="941"/>
      <c r="G2148" s="1142"/>
      <c r="H2148" s="941"/>
      <c r="I2148" s="1142"/>
      <c r="J2148" s="941"/>
      <c r="K2148" s="432" t="str">
        <f>IF($A2148&gt;0,(VLOOKUP($A2148,TablaEquipos,7,FALSE)),"")</f>
        <v/>
      </c>
      <c r="L2148" s="1146"/>
      <c r="M2148" s="941"/>
      <c r="N2148" s="430" t="str">
        <f t="shared" si="162"/>
        <v/>
      </c>
      <c r="O2148" s="362"/>
    </row>
    <row r="2149" spans="1:15" ht="15.75" customHeight="1">
      <c r="A2149" s="395">
        <f t="array" ref="A2149">IF(C2149&lt;&gt;0,INDEX(CodEquipos,MATCH(C2149,Equipos,0),),)</f>
        <v>0</v>
      </c>
      <c r="B2149" s="399"/>
      <c r="C2149" s="1128"/>
      <c r="D2149" s="940"/>
      <c r="E2149" s="940"/>
      <c r="F2149" s="941"/>
      <c r="G2149" s="1142"/>
      <c r="H2149" s="941"/>
      <c r="I2149" s="1142"/>
      <c r="J2149" s="941"/>
      <c r="K2149" s="432" t="str">
        <f>IF($A2149&gt;0,(VLOOKUP($A2149,TablaEquipos,7,FALSE)),"")</f>
        <v/>
      </c>
      <c r="L2149" s="1146"/>
      <c r="M2149" s="941"/>
      <c r="N2149" s="430" t="str">
        <f t="shared" si="162"/>
        <v/>
      </c>
      <c r="O2149" s="362"/>
    </row>
    <row r="2150" spans="1:15" ht="15.75" customHeight="1">
      <c r="A2150" s="395">
        <f t="array" ref="A2150">IF(C2150&lt;&gt;0,INDEX(CodEquipos,MATCH(C2150,Equipos,0),),)</f>
        <v>0</v>
      </c>
      <c r="B2150" s="399"/>
      <c r="C2150" s="1128"/>
      <c r="D2150" s="940"/>
      <c r="E2150" s="940"/>
      <c r="F2150" s="941"/>
      <c r="G2150" s="1142"/>
      <c r="H2150" s="941"/>
      <c r="I2150" s="1142"/>
      <c r="J2150" s="941"/>
      <c r="K2150" s="432" t="str">
        <f>IF($A2150&gt;0,(VLOOKUP($A2150,TablaEquipos,7,FALSE)),"")</f>
        <v/>
      </c>
      <c r="L2150" s="1141"/>
      <c r="M2150" s="941"/>
      <c r="N2150" s="430" t="str">
        <f t="shared" si="162"/>
        <v/>
      </c>
      <c r="O2150" s="362"/>
    </row>
    <row r="2151" spans="1:15" ht="15.75" customHeight="1" thickBot="1">
      <c r="A2151" s="395">
        <f t="array" ref="A2151">IF(C2151&lt;&gt;0,INDEX(CodEquipos,MATCH(C2151,Equipos,0),),)</f>
        <v>0</v>
      </c>
      <c r="B2151" s="399"/>
      <c r="C2151" s="1128"/>
      <c r="D2151" s="940"/>
      <c r="E2151" s="940"/>
      <c r="F2151" s="941"/>
      <c r="G2151" s="1144"/>
      <c r="H2151" s="1145"/>
      <c r="I2151" s="1144"/>
      <c r="J2151" s="1145"/>
      <c r="K2151" s="432" t="str">
        <f>IF($A2151&gt;0,(VLOOKUP($A2151,TablaEquipos,7,FALSE)),"")</f>
        <v/>
      </c>
      <c r="L2151" s="1208"/>
      <c r="M2151" s="1145"/>
      <c r="N2151" s="430" t="str">
        <f t="shared" si="162"/>
        <v/>
      </c>
      <c r="O2151" s="362"/>
    </row>
    <row r="2152" spans="1:15" ht="15.75" customHeight="1" thickBot="1">
      <c r="A2152" s="395"/>
      <c r="B2152" s="399"/>
      <c r="C2152" s="1127" t="s">
        <v>1202</v>
      </c>
      <c r="D2152" s="965"/>
      <c r="E2152" s="965"/>
      <c r="F2152" s="965"/>
      <c r="G2152" s="965"/>
      <c r="H2152" s="965"/>
      <c r="I2152" s="965"/>
      <c r="J2152" s="965"/>
      <c r="K2152" s="965"/>
      <c r="L2152" s="965"/>
      <c r="M2152" s="966"/>
      <c r="N2152" s="433">
        <f>+SUM(N2146:N2151)</f>
        <v>1106.783902289766</v>
      </c>
      <c r="O2152" s="362"/>
    </row>
    <row r="2153" spans="1:15" ht="15.75" customHeight="1">
      <c r="A2153" s="395"/>
      <c r="B2153" s="399"/>
      <c r="C2153" s="1129" t="s">
        <v>1203</v>
      </c>
      <c r="D2153" s="926"/>
      <c r="E2153" s="926"/>
      <c r="F2153" s="926"/>
      <c r="G2153" s="926"/>
      <c r="H2153" s="926"/>
      <c r="I2153" s="926"/>
      <c r="J2153" s="926"/>
      <c r="K2153" s="926"/>
      <c r="L2153" s="926"/>
      <c r="M2153" s="926"/>
      <c r="N2153" s="927"/>
      <c r="O2153" s="362"/>
    </row>
    <row r="2154" spans="1:15" ht="15.75" customHeight="1">
      <c r="A2154" s="395"/>
      <c r="B2154" s="399"/>
      <c r="C2154" s="920"/>
      <c r="D2154" s="922"/>
      <c r="E2154" s="922"/>
      <c r="F2154" s="922"/>
      <c r="G2154" s="922"/>
      <c r="H2154" s="922"/>
      <c r="I2154" s="922"/>
      <c r="J2154" s="922"/>
      <c r="K2154" s="922"/>
      <c r="L2154" s="922"/>
      <c r="M2154" s="922"/>
      <c r="N2154" s="924"/>
      <c r="O2154" s="362"/>
    </row>
    <row r="2155" spans="1:15" ht="15.75" customHeight="1" thickBot="1">
      <c r="A2155" s="395"/>
      <c r="B2155" s="399"/>
      <c r="C2155" s="929"/>
      <c r="D2155" s="936"/>
      <c r="E2155" s="936"/>
      <c r="F2155" s="936"/>
      <c r="G2155" s="936"/>
      <c r="H2155" s="936"/>
      <c r="I2155" s="936"/>
      <c r="J2155" s="936"/>
      <c r="K2155" s="936"/>
      <c r="L2155" s="936"/>
      <c r="M2155" s="936"/>
      <c r="N2155" s="938"/>
      <c r="O2155" s="362"/>
    </row>
    <row r="2156" spans="1:15" ht="15.75" customHeight="1">
      <c r="A2156" s="395"/>
      <c r="B2156" s="399"/>
      <c r="C2156" s="1201" t="s">
        <v>17</v>
      </c>
      <c r="D2156" s="1131"/>
      <c r="E2156" s="1131"/>
      <c r="F2156" s="1131"/>
      <c r="G2156" s="1131"/>
      <c r="H2156" s="1131"/>
      <c r="I2156" s="1000"/>
      <c r="J2156" s="672" t="s">
        <v>1192</v>
      </c>
      <c r="K2156" s="670" t="s">
        <v>950</v>
      </c>
      <c r="L2156" s="1204" t="s">
        <v>1204</v>
      </c>
      <c r="M2156" s="1000"/>
      <c r="N2156" s="671" t="s">
        <v>1200</v>
      </c>
      <c r="O2156" s="362"/>
    </row>
    <row r="2157" spans="1:15" ht="15.75" customHeight="1">
      <c r="A2157" s="395" t="str">
        <f t="array" ref="A2157">IF(C2157&lt;&gt;0,INDEX(CodMat,MATCH(C2157,Materiales,0),),)</f>
        <v>MAT_M-33</v>
      </c>
      <c r="B2157" s="399"/>
      <c r="C2157" s="1128" t="s">
        <v>2544</v>
      </c>
      <c r="D2157" s="940"/>
      <c r="E2157" s="940"/>
      <c r="F2157" s="940"/>
      <c r="G2157" s="940"/>
      <c r="H2157" s="940"/>
      <c r="I2157" s="941"/>
      <c r="J2157" s="435" t="str">
        <f t="shared" ref="J2157:J2164" si="163">IF($A2157&gt;0,(VLOOKUP($A2157,TablaInsumos,5,FALSE)),"")</f>
        <v>ML</v>
      </c>
      <c r="K2157" s="673">
        <v>1.05</v>
      </c>
      <c r="L2157" s="1134">
        <f t="shared" ref="L2157:L2164" si="164">IF($A2157&gt;0,(VLOOKUP($A2157,TablaInsumos,7,FALSE)),"")</f>
        <v>87500</v>
      </c>
      <c r="M2157" s="941"/>
      <c r="N2157" s="430">
        <f t="shared" ref="N2157:N2164" si="165">IF(K2157&gt;0,L2157*K2157,"")</f>
        <v>91875</v>
      </c>
      <c r="O2157" s="362"/>
    </row>
    <row r="2158" spans="1:15" ht="15.75" customHeight="1">
      <c r="A2158" s="395" t="str">
        <f t="array" ref="A2158">IF(C2158&lt;&gt;0,INDEX(CodMat,MATCH(C2158,Materiales,0),),)</f>
        <v>MAT_M-34</v>
      </c>
      <c r="B2158" s="399"/>
      <c r="C2158" s="1128" t="s">
        <v>2431</v>
      </c>
      <c r="D2158" s="940"/>
      <c r="E2158" s="940"/>
      <c r="F2158" s="940"/>
      <c r="G2158" s="940"/>
      <c r="H2158" s="940"/>
      <c r="I2158" s="941"/>
      <c r="J2158" s="435" t="str">
        <f t="shared" si="163"/>
        <v>UND</v>
      </c>
      <c r="K2158" s="673">
        <v>1</v>
      </c>
      <c r="L2158" s="1134">
        <f t="shared" si="164"/>
        <v>15000</v>
      </c>
      <c r="M2158" s="941"/>
      <c r="N2158" s="430">
        <f t="shared" si="165"/>
        <v>15000</v>
      </c>
      <c r="O2158" s="362"/>
    </row>
    <row r="2159" spans="1:15" ht="15.75" customHeight="1">
      <c r="A2159" s="395" t="str">
        <f t="array" ref="A2159">IF(C2159&lt;&gt;0,INDEX(CodMat,MATCH(C2159,Materiales,0),),)</f>
        <v>MAT_M-35</v>
      </c>
      <c r="B2159" s="399"/>
      <c r="C2159" s="1128" t="s">
        <v>2433</v>
      </c>
      <c r="D2159" s="940"/>
      <c r="E2159" s="940"/>
      <c r="F2159" s="940"/>
      <c r="G2159" s="940"/>
      <c r="H2159" s="940"/>
      <c r="I2159" s="941"/>
      <c r="J2159" s="435" t="str">
        <f t="shared" si="163"/>
        <v>UND</v>
      </c>
      <c r="K2159" s="673">
        <v>1</v>
      </c>
      <c r="L2159" s="1134">
        <f t="shared" si="164"/>
        <v>4000</v>
      </c>
      <c r="M2159" s="941"/>
      <c r="N2159" s="430">
        <f t="shared" si="165"/>
        <v>4000</v>
      </c>
      <c r="O2159" s="362"/>
    </row>
    <row r="2160" spans="1:15" ht="15.75" customHeight="1">
      <c r="A2160" s="395">
        <f t="array" ref="A2160">IF(C2160&lt;&gt;0,INDEX(CodMat,MATCH(C2160,Materiales,0),),)</f>
        <v>0</v>
      </c>
      <c r="B2160" s="399"/>
      <c r="C2160" s="1128"/>
      <c r="D2160" s="940"/>
      <c r="E2160" s="940"/>
      <c r="F2160" s="940"/>
      <c r="G2160" s="940"/>
      <c r="H2160" s="940"/>
      <c r="I2160" s="941"/>
      <c r="J2160" s="435" t="str">
        <f t="shared" si="163"/>
        <v/>
      </c>
      <c r="K2160" s="673"/>
      <c r="L2160" s="1134" t="str">
        <f t="shared" si="164"/>
        <v/>
      </c>
      <c r="M2160" s="941"/>
      <c r="N2160" s="430" t="str">
        <f t="shared" si="165"/>
        <v/>
      </c>
      <c r="O2160" s="362"/>
    </row>
    <row r="2161" spans="1:15" ht="15.75" customHeight="1">
      <c r="A2161" s="395">
        <f t="array" ref="A2161">IF(C2161&lt;&gt;0,INDEX(CodMat,MATCH(C2161,Materiales,0),),)</f>
        <v>0</v>
      </c>
      <c r="B2161" s="399"/>
      <c r="C2161" s="1128"/>
      <c r="D2161" s="940"/>
      <c r="E2161" s="940"/>
      <c r="F2161" s="940"/>
      <c r="G2161" s="940"/>
      <c r="H2161" s="940"/>
      <c r="I2161" s="941"/>
      <c r="J2161" s="435" t="str">
        <f t="shared" si="163"/>
        <v/>
      </c>
      <c r="K2161" s="673"/>
      <c r="L2161" s="1134" t="str">
        <f t="shared" si="164"/>
        <v/>
      </c>
      <c r="M2161" s="941"/>
      <c r="N2161" s="430" t="str">
        <f t="shared" si="165"/>
        <v/>
      </c>
      <c r="O2161" s="362"/>
    </row>
    <row r="2162" spans="1:15" ht="15.75" customHeight="1">
      <c r="A2162" s="395">
        <f t="array" ref="A2162">IF(C2162&lt;&gt;0,INDEX(CodMat,MATCH(C2162,Materiales,0),),)</f>
        <v>0</v>
      </c>
      <c r="B2162" s="399"/>
      <c r="C2162" s="1128"/>
      <c r="D2162" s="940"/>
      <c r="E2162" s="940"/>
      <c r="F2162" s="940"/>
      <c r="G2162" s="940"/>
      <c r="H2162" s="940"/>
      <c r="I2162" s="941"/>
      <c r="J2162" s="435" t="str">
        <f t="shared" si="163"/>
        <v/>
      </c>
      <c r="K2162" s="673"/>
      <c r="L2162" s="1134" t="str">
        <f t="shared" si="164"/>
        <v/>
      </c>
      <c r="M2162" s="941"/>
      <c r="N2162" s="430" t="str">
        <f t="shared" si="165"/>
        <v/>
      </c>
      <c r="O2162" s="362"/>
    </row>
    <row r="2163" spans="1:15" ht="15.75" customHeight="1">
      <c r="A2163" s="395">
        <f t="array" ref="A2163">IF(C2163&lt;&gt;0,INDEX(CodMat,MATCH(C2163,Materiales,0),),)</f>
        <v>0</v>
      </c>
      <c r="B2163" s="399"/>
      <c r="C2163" s="1128"/>
      <c r="D2163" s="940"/>
      <c r="E2163" s="940"/>
      <c r="F2163" s="940"/>
      <c r="G2163" s="940"/>
      <c r="H2163" s="940"/>
      <c r="I2163" s="941"/>
      <c r="J2163" s="435" t="str">
        <f t="shared" si="163"/>
        <v/>
      </c>
      <c r="K2163" s="673"/>
      <c r="L2163" s="1134" t="str">
        <f t="shared" si="164"/>
        <v/>
      </c>
      <c r="M2163" s="941"/>
      <c r="N2163" s="430" t="str">
        <f t="shared" si="165"/>
        <v/>
      </c>
      <c r="O2163" s="362"/>
    </row>
    <row r="2164" spans="1:15" ht="15.75" customHeight="1" thickBot="1">
      <c r="A2164" s="395">
        <f t="array" ref="A2164">IF(C2164&lt;&gt;0,INDEX(CodMat,MATCH(C2164,Materiales,0),),)</f>
        <v>0</v>
      </c>
      <c r="B2164" s="399"/>
      <c r="C2164" s="1128"/>
      <c r="D2164" s="940"/>
      <c r="E2164" s="940"/>
      <c r="F2164" s="940"/>
      <c r="G2164" s="940"/>
      <c r="H2164" s="940"/>
      <c r="I2164" s="941"/>
      <c r="J2164" s="435" t="str">
        <f t="shared" si="163"/>
        <v/>
      </c>
      <c r="K2164" s="673"/>
      <c r="L2164" s="1205" t="str">
        <f t="shared" si="164"/>
        <v/>
      </c>
      <c r="M2164" s="1145"/>
      <c r="N2164" s="430" t="str">
        <f t="shared" si="165"/>
        <v/>
      </c>
      <c r="O2164" s="362"/>
    </row>
    <row r="2165" spans="1:15" ht="15.75" customHeight="1" thickBot="1">
      <c r="A2165" s="395"/>
      <c r="B2165" s="399"/>
      <c r="C2165" s="1127" t="s">
        <v>1202</v>
      </c>
      <c r="D2165" s="965"/>
      <c r="E2165" s="965"/>
      <c r="F2165" s="965"/>
      <c r="G2165" s="965"/>
      <c r="H2165" s="965"/>
      <c r="I2165" s="965"/>
      <c r="J2165" s="965"/>
      <c r="K2165" s="965"/>
      <c r="L2165" s="965"/>
      <c r="M2165" s="966"/>
      <c r="N2165" s="433">
        <f>+SUM(N2157:N2164)</f>
        <v>110875</v>
      </c>
      <c r="O2165" s="362"/>
    </row>
    <row r="2166" spans="1:15" ht="15.75" customHeight="1">
      <c r="A2166" s="395"/>
      <c r="B2166" s="399"/>
      <c r="C2166" s="1129" t="s">
        <v>1208</v>
      </c>
      <c r="D2166" s="926"/>
      <c r="E2166" s="926"/>
      <c r="F2166" s="926"/>
      <c r="G2166" s="926"/>
      <c r="H2166" s="926"/>
      <c r="I2166" s="926"/>
      <c r="J2166" s="926"/>
      <c r="K2166" s="926"/>
      <c r="L2166" s="926"/>
      <c r="M2166" s="926"/>
      <c r="N2166" s="927"/>
      <c r="O2166" s="362"/>
    </row>
    <row r="2167" spans="1:15" ht="15.75" customHeight="1">
      <c r="A2167" s="395"/>
      <c r="B2167" s="399"/>
      <c r="C2167" s="920"/>
      <c r="D2167" s="922"/>
      <c r="E2167" s="922"/>
      <c r="F2167" s="922"/>
      <c r="G2167" s="922"/>
      <c r="H2167" s="922"/>
      <c r="I2167" s="922"/>
      <c r="J2167" s="922"/>
      <c r="K2167" s="922"/>
      <c r="L2167" s="922"/>
      <c r="M2167" s="922"/>
      <c r="N2167" s="924"/>
      <c r="O2167" s="362"/>
    </row>
    <row r="2168" spans="1:15" ht="15.75" customHeight="1" thickBot="1">
      <c r="A2168" s="395"/>
      <c r="B2168" s="399"/>
      <c r="C2168" s="929"/>
      <c r="D2168" s="936"/>
      <c r="E2168" s="936"/>
      <c r="F2168" s="936"/>
      <c r="G2168" s="936"/>
      <c r="H2168" s="936"/>
      <c r="I2168" s="936"/>
      <c r="J2168" s="936"/>
      <c r="K2168" s="936"/>
      <c r="L2168" s="936"/>
      <c r="M2168" s="936"/>
      <c r="N2168" s="938"/>
      <c r="O2168" s="362"/>
    </row>
    <row r="2169" spans="1:15" ht="15.75" customHeight="1">
      <c r="A2169" s="395"/>
      <c r="B2169" s="399"/>
      <c r="C2169" s="1201" t="s">
        <v>1209</v>
      </c>
      <c r="D2169" s="1131"/>
      <c r="E2169" s="1131"/>
      <c r="F2169" s="1131"/>
      <c r="G2169" s="1131"/>
      <c r="H2169" s="1000"/>
      <c r="I2169" s="670" t="s">
        <v>1210</v>
      </c>
      <c r="J2169" s="674" t="s">
        <v>1211</v>
      </c>
      <c r="K2169" s="675" t="s">
        <v>2318</v>
      </c>
      <c r="L2169" s="1204" t="s">
        <v>1213</v>
      </c>
      <c r="M2169" s="1000"/>
      <c r="N2169" s="671" t="s">
        <v>1200</v>
      </c>
      <c r="O2169" s="362"/>
    </row>
    <row r="2170" spans="1:15" ht="15.75" customHeight="1">
      <c r="A2170" s="395">
        <f t="array" ref="A2170">IF(C2170&lt;&gt;0,INDEX(CodTransporte,MATCH(C2170,Transporte,0),),)</f>
        <v>0</v>
      </c>
      <c r="B2170" s="399"/>
      <c r="C2170" s="1128"/>
      <c r="D2170" s="940"/>
      <c r="E2170" s="940"/>
      <c r="F2170" s="940"/>
      <c r="G2170" s="940"/>
      <c r="H2170" s="940"/>
      <c r="I2170" s="440"/>
      <c r="J2170" s="441" t="str">
        <f>IF($A2170&gt;0,(VLOOKUP($A2170,TablaTransporte,6,FALSE)),"")</f>
        <v/>
      </c>
      <c r="K2170" s="442" t="str">
        <f>IF($A2170&gt;0,(VLOOKUP($A2170,TablaTransporte,5,FALSE)),"")</f>
        <v/>
      </c>
      <c r="L2170" s="1134" t="str">
        <f>IF($A2170&gt;0,(VLOOKUP($A2170,TablaTransporte,7,FALSE)),"")</f>
        <v/>
      </c>
      <c r="M2170" s="941"/>
      <c r="N2170" s="430" t="str">
        <f t="shared" ref="N2170:N2174" si="166">IF(I2170&gt;0,J2170*L2170*I2170,"")</f>
        <v/>
      </c>
      <c r="O2170" s="362"/>
    </row>
    <row r="2171" spans="1:15" ht="15.75" customHeight="1">
      <c r="A2171" s="395">
        <f t="array" ref="A2171">IF(C2171&lt;&gt;0,INDEX(CodTransporte,MATCH(C2171,Transporte,0),),)</f>
        <v>0</v>
      </c>
      <c r="B2171" s="399"/>
      <c r="C2171" s="1128"/>
      <c r="D2171" s="940"/>
      <c r="E2171" s="940"/>
      <c r="F2171" s="940"/>
      <c r="G2171" s="940"/>
      <c r="H2171" s="940"/>
      <c r="I2171" s="440"/>
      <c r="J2171" s="441" t="str">
        <f>IF($A2171&gt;0,(VLOOKUP($A2171,TablaTransporte,6,FALSE)),"")</f>
        <v/>
      </c>
      <c r="K2171" s="442" t="str">
        <f>IF($A2171&gt;0,(VLOOKUP($A2171,TablaTransporte,5,FALSE)),"")</f>
        <v/>
      </c>
      <c r="L2171" s="1134" t="str">
        <f>IF($A2171&gt;0,(VLOOKUP($A2171,TablaTransporte,7,FALSE)),"")</f>
        <v/>
      </c>
      <c r="M2171" s="941"/>
      <c r="N2171" s="430" t="str">
        <f t="shared" si="166"/>
        <v/>
      </c>
      <c r="O2171" s="362"/>
    </row>
    <row r="2172" spans="1:15" ht="15.75" customHeight="1">
      <c r="A2172" s="395">
        <f t="array" ref="A2172">IF(C2172&lt;&gt;0,INDEX(CodTransporte,MATCH(C2172,Transporte,0),),)</f>
        <v>0</v>
      </c>
      <c r="B2172" s="399"/>
      <c r="C2172" s="1128"/>
      <c r="D2172" s="940"/>
      <c r="E2172" s="940"/>
      <c r="F2172" s="940"/>
      <c r="G2172" s="940"/>
      <c r="H2172" s="940"/>
      <c r="I2172" s="440"/>
      <c r="J2172" s="441" t="str">
        <f>IF($A2172&gt;0,(VLOOKUP($A2172,TablaTransporte,6,FALSE)),"")</f>
        <v/>
      </c>
      <c r="K2172" s="442" t="str">
        <f>IF($A2172&gt;0,(VLOOKUP($A2172,TablaTransporte,5,FALSE)),"")</f>
        <v/>
      </c>
      <c r="L2172" s="1134" t="str">
        <f>IF($A2172&gt;0,(VLOOKUP($A2172,TablaTransporte,7,FALSE)),"")</f>
        <v/>
      </c>
      <c r="M2172" s="941"/>
      <c r="N2172" s="430" t="str">
        <f t="shared" si="166"/>
        <v/>
      </c>
      <c r="O2172" s="362"/>
    </row>
    <row r="2173" spans="1:15" ht="15.75" customHeight="1">
      <c r="A2173" s="395">
        <f t="array" ref="A2173">IF(C2173&lt;&gt;0,INDEX(CodTransporte,MATCH(C2173,Transporte,0),),)</f>
        <v>0</v>
      </c>
      <c r="B2173" s="399"/>
      <c r="C2173" s="1128"/>
      <c r="D2173" s="940"/>
      <c r="E2173" s="940"/>
      <c r="F2173" s="940"/>
      <c r="G2173" s="940"/>
      <c r="H2173" s="940"/>
      <c r="I2173" s="440"/>
      <c r="J2173" s="441" t="str">
        <f>IF($A2173&gt;0,(VLOOKUP($A2173,TablaTransporte,6,FALSE)),"")</f>
        <v/>
      </c>
      <c r="K2173" s="442" t="str">
        <f>IF($A2173&gt;0,(VLOOKUP($A2173,TablaTransporte,5,FALSE)),"")</f>
        <v/>
      </c>
      <c r="L2173" s="1134" t="str">
        <f>IF($A2173&gt;0,(VLOOKUP($A2173,TablaTransporte,7,FALSE)),"")</f>
        <v/>
      </c>
      <c r="M2173" s="941"/>
      <c r="N2173" s="430" t="str">
        <f t="shared" si="166"/>
        <v/>
      </c>
      <c r="O2173" s="362"/>
    </row>
    <row r="2174" spans="1:15" ht="15.75" customHeight="1" thickBot="1">
      <c r="A2174" s="395">
        <f t="array" ref="A2174">IF(C2174&lt;&gt;0,INDEX(CodTransporte,MATCH(C2174,Transporte,0),),)</f>
        <v>0</v>
      </c>
      <c r="B2174" s="399"/>
      <c r="C2174" s="1128"/>
      <c r="D2174" s="940"/>
      <c r="E2174" s="940"/>
      <c r="F2174" s="940"/>
      <c r="G2174" s="940"/>
      <c r="H2174" s="940"/>
      <c r="I2174" s="440"/>
      <c r="J2174" s="441" t="str">
        <f>IF($A2174&gt;0,(VLOOKUP($A2174,TablaTransporte,6,FALSE)),"")</f>
        <v/>
      </c>
      <c r="K2174" s="442" t="str">
        <f>IF($A2174&gt;0,(VLOOKUP($A2174,TablaTransporte,5,FALSE)),"")</f>
        <v/>
      </c>
      <c r="L2174" s="1205" t="str">
        <f>IF($A2174&gt;0,(VLOOKUP($A2174,TablaTransporte,7,FALSE)),"")</f>
        <v/>
      </c>
      <c r="M2174" s="1145"/>
      <c r="N2174" s="430" t="str">
        <f t="shared" si="166"/>
        <v/>
      </c>
      <c r="O2174" s="362"/>
    </row>
    <row r="2175" spans="1:15" ht="15.75" customHeight="1" thickBot="1">
      <c r="A2175" s="395"/>
      <c r="B2175" s="399"/>
      <c r="C2175" s="1127" t="s">
        <v>1202</v>
      </c>
      <c r="D2175" s="965"/>
      <c r="E2175" s="965"/>
      <c r="F2175" s="965"/>
      <c r="G2175" s="965"/>
      <c r="H2175" s="965"/>
      <c r="I2175" s="965"/>
      <c r="J2175" s="965"/>
      <c r="K2175" s="965"/>
      <c r="L2175" s="965"/>
      <c r="M2175" s="966"/>
      <c r="N2175" s="433">
        <f>+SUM(N2170:N2174)</f>
        <v>0</v>
      </c>
      <c r="O2175" s="362"/>
    </row>
    <row r="2176" spans="1:15" ht="15.75" customHeight="1">
      <c r="A2176" s="395"/>
      <c r="B2176" s="399"/>
      <c r="C2176" s="1129" t="s">
        <v>1214</v>
      </c>
      <c r="D2176" s="926"/>
      <c r="E2176" s="926"/>
      <c r="F2176" s="926"/>
      <c r="G2176" s="926"/>
      <c r="H2176" s="926"/>
      <c r="I2176" s="926"/>
      <c r="J2176" s="926"/>
      <c r="K2176" s="926"/>
      <c r="L2176" s="926"/>
      <c r="M2176" s="926"/>
      <c r="N2176" s="927"/>
      <c r="O2176" s="362"/>
    </row>
    <row r="2177" spans="1:18" ht="15.75" customHeight="1">
      <c r="A2177" s="395"/>
      <c r="B2177" s="399"/>
      <c r="C2177" s="920"/>
      <c r="D2177" s="922"/>
      <c r="E2177" s="922"/>
      <c r="F2177" s="922"/>
      <c r="G2177" s="922"/>
      <c r="H2177" s="922"/>
      <c r="I2177" s="922"/>
      <c r="J2177" s="922"/>
      <c r="K2177" s="922"/>
      <c r="L2177" s="922"/>
      <c r="M2177" s="922"/>
      <c r="N2177" s="924"/>
      <c r="O2177" s="362"/>
    </row>
    <row r="2178" spans="1:18" ht="15.75" customHeight="1" thickBot="1">
      <c r="A2178" s="395"/>
      <c r="B2178" s="399"/>
      <c r="C2178" s="929"/>
      <c r="D2178" s="936"/>
      <c r="E2178" s="936"/>
      <c r="F2178" s="936"/>
      <c r="G2178" s="936"/>
      <c r="H2178" s="936"/>
      <c r="I2178" s="936"/>
      <c r="J2178" s="936"/>
      <c r="K2178" s="936"/>
      <c r="L2178" s="936"/>
      <c r="M2178" s="936"/>
      <c r="N2178" s="938"/>
      <c r="O2178" s="362"/>
    </row>
    <row r="2179" spans="1:18" ht="15.75" customHeight="1">
      <c r="A2179" s="395"/>
      <c r="B2179" s="399"/>
      <c r="C2179" s="1201" t="s">
        <v>1215</v>
      </c>
      <c r="D2179" s="1131"/>
      <c r="E2179" s="1131"/>
      <c r="F2179" s="1131"/>
      <c r="G2179" s="1131"/>
      <c r="H2179" s="1000"/>
      <c r="I2179" s="670" t="s">
        <v>1216</v>
      </c>
      <c r="J2179" s="676" t="s">
        <v>1217</v>
      </c>
      <c r="K2179" s="677" t="s">
        <v>1218</v>
      </c>
      <c r="L2179" s="1206" t="s">
        <v>1199</v>
      </c>
      <c r="M2179" s="1000"/>
      <c r="N2179" s="678" t="s">
        <v>1200</v>
      </c>
      <c r="O2179" s="362"/>
    </row>
    <row r="2180" spans="1:18" ht="15.75" customHeight="1">
      <c r="A2180" s="395" t="str">
        <f t="array" ref="A2180">IF(C2180&lt;&gt;0,INDEX(CodMO,MATCH(C2180,MO,0),),)</f>
        <v>M.O-11</v>
      </c>
      <c r="B2180" s="399"/>
      <c r="C2180" s="1128" t="s">
        <v>2532</v>
      </c>
      <c r="D2180" s="940"/>
      <c r="E2180" s="940"/>
      <c r="F2180" s="940"/>
      <c r="G2180" s="940"/>
      <c r="H2180" s="940"/>
      <c r="I2180" s="447">
        <f>IF($A2180&gt;0,(VLOOKUP($A2180,TablaMO,8,FALSE)),"")</f>
        <v>183393.66666666666</v>
      </c>
      <c r="J2180" s="448">
        <f>IF($A2180&gt;0,(VLOOKUP($A2180,TablaMO,10,FALSE)),"")</f>
        <v>0.67071666666666663</v>
      </c>
      <c r="K2180" s="447">
        <f>IF($A2180&gt;0,(VLOOKUP($A2180,TablaMO,11,FALSE)),"")</f>
        <v>91920</v>
      </c>
      <c r="L2180" s="1146">
        <v>19.061625269714657</v>
      </c>
      <c r="M2180" s="941"/>
      <c r="N2180" s="430">
        <f t="shared" ref="N2180:N2184" si="167">IF(L2180&gt;0,K2180/L2180,"")</f>
        <v>4822.2540680223956</v>
      </c>
      <c r="O2180" s="362"/>
    </row>
    <row r="2181" spans="1:18" ht="15.75" customHeight="1">
      <c r="A2181" s="395" t="str">
        <f t="array" ref="A2181">IF(C2181&lt;&gt;0,INDEX(CodMO,MATCH(C2181,MO,0),),)</f>
        <v>M.O-05</v>
      </c>
      <c r="B2181" s="399"/>
      <c r="C2181" s="1128" t="s">
        <v>139</v>
      </c>
      <c r="D2181" s="940"/>
      <c r="E2181" s="940"/>
      <c r="F2181" s="940"/>
      <c r="G2181" s="940"/>
      <c r="H2181" s="940"/>
      <c r="I2181" s="447">
        <f>IF($A2181&gt;0,(VLOOKUP($A2181,TablaMO,8,FALSE)),"")</f>
        <v>125030.16666666667</v>
      </c>
      <c r="J2181" s="448">
        <f>IF($A2181&gt;0,(VLOOKUP($A2181,TablaMO,10,FALSE)),"")</f>
        <v>0.67071666666666663</v>
      </c>
      <c r="K2181" s="447">
        <f>IF($A2181&gt;0,(VLOOKUP($A2181,TablaMO,11,FALSE)),"")</f>
        <v>208890</v>
      </c>
      <c r="L2181" s="1146">
        <f>L2180</f>
        <v>19.061625269714657</v>
      </c>
      <c r="M2181" s="941"/>
      <c r="N2181" s="430">
        <f t="shared" si="167"/>
        <v>10958.666800143585</v>
      </c>
      <c r="O2181" s="362"/>
    </row>
    <row r="2182" spans="1:18" ht="15.75" customHeight="1">
      <c r="A2182" s="395" t="str">
        <f t="array" ref="A2182">IF(C2182&lt;&gt;0,INDEX(CodMO,MATCH(C2182,MO,0),),)</f>
        <v>M.O-01</v>
      </c>
      <c r="B2182" s="399"/>
      <c r="C2182" s="1128" t="s">
        <v>130</v>
      </c>
      <c r="D2182" s="940"/>
      <c r="E2182" s="940"/>
      <c r="F2182" s="940"/>
      <c r="G2182" s="940"/>
      <c r="H2182" s="940"/>
      <c r="I2182" s="447">
        <f>IF($A2182&gt;0,(VLOOKUP($A2182,TablaMO,8,FALSE)),"")</f>
        <v>72503.016666666677</v>
      </c>
      <c r="J2182" s="448">
        <f>IF($A2182&gt;0,(VLOOKUP($A2182,TablaMO,10,FALSE)),"")</f>
        <v>0.67071666666666663</v>
      </c>
      <c r="K2182" s="447">
        <f>IF($A2182&gt;0,(VLOOKUP($A2182,TablaMO,11,FALSE)),"")</f>
        <v>121132</v>
      </c>
      <c r="L2182" s="1146">
        <f>L2181</f>
        <v>19.061625269714657</v>
      </c>
      <c r="M2182" s="941"/>
      <c r="N2182" s="430">
        <f t="shared" si="167"/>
        <v>6354.7571776293389</v>
      </c>
      <c r="O2182" s="362"/>
    </row>
    <row r="2183" spans="1:18" ht="15.75" customHeight="1">
      <c r="A2183" s="395">
        <f t="array" ref="A2183">IF(C2183&lt;&gt;0,INDEX(CodMO,MATCH(C2183,MO,0),),)</f>
        <v>0</v>
      </c>
      <c r="B2183" s="399"/>
      <c r="C2183" s="1128"/>
      <c r="D2183" s="940"/>
      <c r="E2183" s="940"/>
      <c r="F2183" s="940"/>
      <c r="G2183" s="940"/>
      <c r="H2183" s="940"/>
      <c r="I2183" s="447" t="str">
        <f>IF($A2183&gt;0,(VLOOKUP($A2183,TablaMO,8,FALSE)),"")</f>
        <v/>
      </c>
      <c r="J2183" s="448" t="str">
        <f>IF($A2183&gt;0,(VLOOKUP($A2183,TablaMO,10,FALSE)),"")</f>
        <v/>
      </c>
      <c r="K2183" s="447" t="str">
        <f>IF($A2183&gt;0,(VLOOKUP($A2183,TablaMO,11,FALSE)),"")</f>
        <v/>
      </c>
      <c r="L2183" s="1146"/>
      <c r="M2183" s="941"/>
      <c r="N2183" s="430" t="str">
        <f t="shared" si="167"/>
        <v/>
      </c>
      <c r="O2183" s="362"/>
    </row>
    <row r="2184" spans="1:18" ht="15.75" customHeight="1" thickBot="1">
      <c r="A2184" s="395">
        <f t="array" ref="A2184">IF(C2184&lt;&gt;0,INDEX(CodMO,MATCH(C2184,MO,0),),)</f>
        <v>0</v>
      </c>
      <c r="B2184" s="399"/>
      <c r="C2184" s="1128"/>
      <c r="D2184" s="940"/>
      <c r="E2184" s="940"/>
      <c r="F2184" s="940"/>
      <c r="G2184" s="940"/>
      <c r="H2184" s="940"/>
      <c r="I2184" s="447" t="str">
        <f>IF($A2184&gt;0,(VLOOKUP($A2184,TablaMO,8,FALSE)),"")</f>
        <v/>
      </c>
      <c r="J2184" s="448" t="str">
        <f>IF($A2184&gt;0,(VLOOKUP($A2184,TablaMO,10,FALSE)),"")</f>
        <v/>
      </c>
      <c r="K2184" s="447" t="str">
        <f>IF($A2184&gt;0,(VLOOKUP($A2184,TablaMO,11,FALSE)),"")</f>
        <v/>
      </c>
      <c r="L2184" s="1146"/>
      <c r="M2184" s="941"/>
      <c r="N2184" s="430" t="str">
        <f t="shared" si="167"/>
        <v/>
      </c>
      <c r="O2184" s="362"/>
    </row>
    <row r="2185" spans="1:18" ht="15.75" customHeight="1" thickBot="1">
      <c r="A2185" s="395"/>
      <c r="B2185" s="399"/>
      <c r="C2185" s="1127" t="s">
        <v>1202</v>
      </c>
      <c r="D2185" s="965"/>
      <c r="E2185" s="965"/>
      <c r="F2185" s="965"/>
      <c r="G2185" s="965"/>
      <c r="H2185" s="965"/>
      <c r="I2185" s="965"/>
      <c r="J2185" s="965"/>
      <c r="K2185" s="965"/>
      <c r="L2185" s="965"/>
      <c r="M2185" s="966"/>
      <c r="N2185" s="433">
        <f>+SUM(N2180:N2184)</f>
        <v>22135.678045795321</v>
      </c>
      <c r="O2185" s="362"/>
    </row>
    <row r="2186" spans="1:18" ht="15.75" customHeight="1" thickBot="1">
      <c r="B2186" s="679"/>
      <c r="O2186" s="362"/>
    </row>
    <row r="2187" spans="1:18" ht="15.75" customHeight="1" thickBot="1">
      <c r="B2187" s="679"/>
      <c r="C2187" s="1198" t="s">
        <v>1219</v>
      </c>
      <c r="D2187" s="965"/>
      <c r="E2187" s="965"/>
      <c r="F2187" s="965"/>
      <c r="G2187" s="965"/>
      <c r="H2187" s="965"/>
      <c r="I2187" s="965"/>
      <c r="J2187" s="965"/>
      <c r="K2187" s="965"/>
      <c r="L2187" s="965"/>
      <c r="M2187" s="966"/>
      <c r="N2187" s="680">
        <f>ROUND(SUM(N2185,N2175,N2165,N2152),0)</f>
        <v>134117</v>
      </c>
      <c r="O2187" s="362"/>
      <c r="Q2187" s="681">
        <f>VLOOKUP(C2141,PROPUESTASASERCO,8,FALSE)</f>
        <v>134117</v>
      </c>
      <c r="R2187" s="682">
        <f>Q2187-N2187</f>
        <v>0</v>
      </c>
    </row>
    <row r="2188" spans="1:18" ht="15.75" customHeight="1">
      <c r="B2188" s="679"/>
      <c r="C2188" s="1129" t="s">
        <v>1220</v>
      </c>
      <c r="D2188" s="926"/>
      <c r="E2188" s="926"/>
      <c r="F2188" s="926"/>
      <c r="G2188" s="926"/>
      <c r="H2188" s="926"/>
      <c r="I2188" s="926"/>
      <c r="J2188" s="926"/>
      <c r="K2188" s="926"/>
      <c r="L2188" s="926"/>
      <c r="M2188" s="926"/>
      <c r="N2188" s="927"/>
      <c r="O2188" s="362"/>
    </row>
    <row r="2189" spans="1:18" ht="15.75" customHeight="1">
      <c r="B2189" s="679"/>
      <c r="C2189" s="920"/>
      <c r="D2189" s="922"/>
      <c r="E2189" s="922"/>
      <c r="F2189" s="922"/>
      <c r="G2189" s="922"/>
      <c r="H2189" s="922"/>
      <c r="I2189" s="922"/>
      <c r="J2189" s="922"/>
      <c r="K2189" s="922"/>
      <c r="L2189" s="922"/>
      <c r="M2189" s="922"/>
      <c r="N2189" s="924"/>
      <c r="O2189" s="362"/>
    </row>
    <row r="2190" spans="1:18" ht="15.75" customHeight="1" thickBot="1">
      <c r="B2190" s="679"/>
      <c r="C2190" s="929"/>
      <c r="D2190" s="936"/>
      <c r="E2190" s="936"/>
      <c r="F2190" s="936"/>
      <c r="G2190" s="936"/>
      <c r="H2190" s="936"/>
      <c r="I2190" s="936"/>
      <c r="J2190" s="936"/>
      <c r="K2190" s="936"/>
      <c r="L2190" s="936"/>
      <c r="M2190" s="936"/>
      <c r="N2190" s="938"/>
      <c r="O2190" s="362"/>
    </row>
    <row r="2191" spans="1:18" ht="15.75" customHeight="1">
      <c r="B2191" s="679"/>
      <c r="C2191" s="1201" t="s">
        <v>1221</v>
      </c>
      <c r="D2191" s="1131"/>
      <c r="E2191" s="1131"/>
      <c r="F2191" s="1131"/>
      <c r="G2191" s="1131"/>
      <c r="H2191" s="1132"/>
      <c r="I2191" s="674"/>
      <c r="J2191" s="674"/>
      <c r="K2191" s="674"/>
      <c r="L2191" s="1206" t="s">
        <v>1222</v>
      </c>
      <c r="M2191" s="1000"/>
      <c r="N2191" s="678" t="s">
        <v>1223</v>
      </c>
      <c r="O2191" s="362"/>
    </row>
    <row r="2192" spans="1:18" ht="15.75" customHeight="1">
      <c r="B2192" s="679"/>
      <c r="C2192" s="1128" t="s">
        <v>19</v>
      </c>
      <c r="D2192" s="940"/>
      <c r="E2192" s="940"/>
      <c r="F2192" s="940"/>
      <c r="G2192" s="940"/>
      <c r="H2192" s="940"/>
      <c r="I2192" s="452"/>
      <c r="J2192" s="452"/>
      <c r="K2192" s="452"/>
      <c r="L2192" s="1148">
        <f>+Datos!$E$18</f>
        <v>0.25</v>
      </c>
      <c r="M2192" s="941"/>
      <c r="N2192" s="430">
        <f>+L2192*N2187</f>
        <v>33529.25</v>
      </c>
      <c r="O2192" s="362"/>
    </row>
    <row r="2193" spans="2:15" ht="15.75" customHeight="1">
      <c r="B2193" s="679"/>
      <c r="C2193" s="454" t="s">
        <v>20</v>
      </c>
      <c r="D2193" s="455"/>
      <c r="E2193" s="455"/>
      <c r="F2193" s="455"/>
      <c r="G2193" s="455"/>
      <c r="H2193" s="455"/>
      <c r="I2193" s="452"/>
      <c r="J2193" s="452"/>
      <c r="K2193" s="452"/>
      <c r="L2193" s="1148">
        <f>+Datos!$E$19</f>
        <v>0.01</v>
      </c>
      <c r="M2193" s="941"/>
      <c r="N2193" s="430">
        <f>+L2193*N2187</f>
        <v>1341.17</v>
      </c>
      <c r="O2193" s="362"/>
    </row>
    <row r="2194" spans="2:15" ht="15.75" customHeight="1" thickBot="1">
      <c r="B2194" s="679"/>
      <c r="C2194" s="456" t="s">
        <v>21</v>
      </c>
      <c r="D2194" s="457"/>
      <c r="E2194" s="457"/>
      <c r="F2194" s="457"/>
      <c r="G2194" s="457"/>
      <c r="H2194" s="457"/>
      <c r="I2194" s="458"/>
      <c r="J2194" s="458"/>
      <c r="K2194" s="458"/>
      <c r="L2194" s="1148">
        <f>+Datos!$E$20</f>
        <v>0.05</v>
      </c>
      <c r="M2194" s="941"/>
      <c r="N2194" s="430">
        <f>+L2194*N2187</f>
        <v>6705.85</v>
      </c>
      <c r="O2194" s="362"/>
    </row>
    <row r="2195" spans="2:15" ht="15.75" customHeight="1" thickBot="1">
      <c r="B2195" s="679"/>
      <c r="C2195" s="1127" t="s">
        <v>1202</v>
      </c>
      <c r="D2195" s="965"/>
      <c r="E2195" s="965"/>
      <c r="F2195" s="965"/>
      <c r="G2195" s="965"/>
      <c r="H2195" s="965"/>
      <c r="I2195" s="965"/>
      <c r="J2195" s="965"/>
      <c r="K2195" s="965"/>
      <c r="L2195" s="965"/>
      <c r="M2195" s="966"/>
      <c r="N2195" s="433">
        <f>+SUM(N2192:N2194)</f>
        <v>41576.269999999997</v>
      </c>
      <c r="O2195" s="362"/>
    </row>
    <row r="2196" spans="2:15" ht="15.75" customHeight="1" thickBot="1">
      <c r="B2196" s="679"/>
      <c r="C2196" s="418"/>
      <c r="D2196" s="39"/>
      <c r="E2196" s="39"/>
      <c r="F2196" s="39"/>
      <c r="G2196" s="39"/>
      <c r="H2196" s="39"/>
      <c r="I2196" s="39"/>
      <c r="J2196" s="39"/>
      <c r="K2196" s="39"/>
      <c r="L2196" s="39"/>
      <c r="M2196" s="39"/>
      <c r="N2196" s="40"/>
      <c r="O2196" s="362"/>
    </row>
    <row r="2197" spans="2:15" ht="15.75" customHeight="1" thickBot="1">
      <c r="B2197" s="679"/>
      <c r="C2197" s="1198" t="s">
        <v>1224</v>
      </c>
      <c r="D2197" s="965"/>
      <c r="E2197" s="965"/>
      <c r="F2197" s="965"/>
      <c r="G2197" s="965"/>
      <c r="H2197" s="965"/>
      <c r="I2197" s="965"/>
      <c r="J2197" s="965"/>
      <c r="K2197" s="965"/>
      <c r="L2197" s="965"/>
      <c r="M2197" s="966"/>
      <c r="N2197" s="683">
        <f>+ROUND(SUM(N2195,N2187),0)</f>
        <v>175693</v>
      </c>
      <c r="O2197" s="362"/>
    </row>
    <row r="2198" spans="2:15" ht="15.75" customHeight="1">
      <c r="B2198" s="679"/>
      <c r="C2198" s="418"/>
      <c r="D2198" s="39" t="s">
        <v>1225</v>
      </c>
      <c r="E2198" s="39"/>
      <c r="F2198" s="39"/>
      <c r="G2198" s="184"/>
      <c r="H2198" s="184"/>
      <c r="I2198" s="184"/>
      <c r="J2198" s="39" t="s">
        <v>1225</v>
      </c>
      <c r="K2198" s="39"/>
      <c r="L2198" s="39"/>
      <c r="M2198" s="39"/>
      <c r="N2198" s="40"/>
      <c r="O2198" s="362"/>
    </row>
    <row r="2199" spans="2:15" ht="15.75" customHeight="1">
      <c r="B2199" s="679"/>
      <c r="C2199" s="418"/>
      <c r="D2199" s="39" t="s">
        <v>1226</v>
      </c>
      <c r="E2199" s="39"/>
      <c r="F2199" s="39"/>
      <c r="G2199" s="184"/>
      <c r="H2199" s="184"/>
      <c r="I2199" s="184"/>
      <c r="J2199" s="39" t="s">
        <v>1227</v>
      </c>
      <c r="K2199" s="39"/>
      <c r="L2199" s="39"/>
      <c r="M2199" s="39"/>
      <c r="N2199" s="40"/>
      <c r="O2199" s="362"/>
    </row>
    <row r="2200" spans="2:15" ht="15.75" customHeight="1">
      <c r="B2200" s="679"/>
      <c r="C2200" s="404"/>
      <c r="D2200" s="39" t="s">
        <v>1228</v>
      </c>
      <c r="E2200" s="42"/>
      <c r="F2200" s="42"/>
      <c r="G2200" s="184"/>
      <c r="H2200" s="184"/>
      <c r="I2200" s="184"/>
      <c r="J2200" s="39" t="s">
        <v>1228</v>
      </c>
      <c r="K2200" s="42"/>
      <c r="L2200" s="42"/>
      <c r="M2200" s="42"/>
      <c r="N2200" s="43"/>
      <c r="O2200" s="362"/>
    </row>
    <row r="2201" spans="2:15" ht="15.75" customHeight="1">
      <c r="B2201" s="679"/>
      <c r="C2201" s="418"/>
      <c r="D2201" s="39"/>
      <c r="E2201" s="39"/>
      <c r="F2201" s="39"/>
      <c r="G2201" s="39" t="s">
        <v>1229</v>
      </c>
      <c r="H2201" s="39"/>
      <c r="I2201" s="39"/>
      <c r="J2201" s="39"/>
      <c r="K2201" s="39"/>
      <c r="L2201" s="39"/>
      <c r="M2201" s="39"/>
      <c r="N2201" s="40"/>
      <c r="O2201" s="362"/>
    </row>
    <row r="2202" spans="2:15" ht="15.75" customHeight="1">
      <c r="B2202" s="679"/>
      <c r="C2202" s="466"/>
      <c r="D2202" s="467"/>
      <c r="E2202" s="467"/>
      <c r="F2202" s="39"/>
      <c r="G2202" s="39"/>
      <c r="H2202" s="39"/>
      <c r="I2202" s="39"/>
      <c r="J2202" s="1149"/>
      <c r="K2202" s="922"/>
      <c r="L2202" s="922"/>
      <c r="M2202" s="922"/>
      <c r="N2202" s="924"/>
      <c r="O2202" s="362"/>
    </row>
    <row r="2203" spans="2:15" ht="15.75" customHeight="1" thickBot="1">
      <c r="B2203" s="679"/>
      <c r="C2203" s="1150"/>
      <c r="D2203" s="936"/>
      <c r="E2203" s="936"/>
      <c r="F2203" s="416"/>
      <c r="G2203" s="416"/>
      <c r="H2203" s="416"/>
      <c r="I2203" s="416"/>
      <c r="J2203" s="936"/>
      <c r="K2203" s="936"/>
      <c r="L2203" s="936"/>
      <c r="M2203" s="936"/>
      <c r="N2203" s="938"/>
      <c r="O2203" s="362"/>
    </row>
    <row r="2204" spans="2:15" ht="15.75" customHeight="1" thickBot="1">
      <c r="B2204" s="684"/>
      <c r="C2204" s="685"/>
      <c r="D2204" s="685"/>
      <c r="E2204" s="685"/>
      <c r="F2204" s="685"/>
      <c r="G2204" s="685"/>
      <c r="H2204" s="685"/>
      <c r="I2204" s="685"/>
      <c r="J2204" s="685"/>
      <c r="K2204" s="685"/>
      <c r="L2204" s="685"/>
      <c r="M2204" s="685"/>
      <c r="N2204" s="685"/>
      <c r="O2204" s="686"/>
    </row>
    <row r="2205" spans="2:15" ht="15.75" customHeight="1" thickTop="1"/>
    <row r="2206" spans="2:15" ht="15.75" customHeight="1"/>
    <row r="2207" spans="2:15" ht="15.75" customHeight="1"/>
    <row r="2208" spans="2:15" ht="15.75" customHeight="1"/>
    <row r="2209" spans="1:15" ht="15.75" customHeight="1"/>
    <row r="2210" spans="1:15" ht="15.75" customHeight="1"/>
    <row r="2211" spans="1:15" ht="15.75" customHeight="1"/>
    <row r="2212" spans="1:15" ht="15.75" customHeight="1"/>
    <row r="2213" spans="1:15" ht="15.75" customHeight="1">
      <c r="A2213" s="395" t="s">
        <v>941</v>
      </c>
      <c r="B2213" s="184"/>
      <c r="C2213" s="184"/>
      <c r="D2213" s="184"/>
      <c r="E2213" s="184"/>
      <c r="F2213" s="184"/>
      <c r="G2213" s="184"/>
      <c r="H2213" s="184"/>
      <c r="I2213" s="184"/>
      <c r="J2213" s="184"/>
      <c r="K2213" s="184"/>
      <c r="L2213" s="184"/>
      <c r="M2213" s="184"/>
      <c r="N2213" s="184"/>
    </row>
    <row r="2214" spans="1:15" ht="15.75" customHeight="1">
      <c r="A2214" s="395"/>
      <c r="B2214" s="396"/>
      <c r="C2214" s="397"/>
      <c r="D2214" s="397"/>
      <c r="E2214" s="397"/>
      <c r="F2214" s="397"/>
      <c r="G2214" s="397"/>
      <c r="H2214" s="397"/>
      <c r="I2214" s="397"/>
      <c r="J2214" s="397"/>
      <c r="K2214" s="397"/>
      <c r="L2214" s="397"/>
      <c r="M2214" s="397"/>
      <c r="N2214" s="397"/>
      <c r="O2214" s="667"/>
    </row>
    <row r="2215" spans="1:15" ht="15.75" customHeight="1">
      <c r="A2215" s="395"/>
      <c r="B2215" s="399"/>
      <c r="C2215" s="1124"/>
      <c r="D2215" s="927"/>
      <c r="E2215" s="1207" t="str">
        <f>Datos!$C$9</f>
        <v>CONSEJO SUPERIOR  DE  JUDICATURA– DIRECCIÓN  EJECUTIVA  SECCIONAL  DE ADMINISTRACIÓN JUDICIAL DE BUCARAMANGA</v>
      </c>
      <c r="F2215" s="926"/>
      <c r="G2215" s="926"/>
      <c r="H2215" s="926"/>
      <c r="I2215" s="926"/>
      <c r="J2215" s="926"/>
      <c r="K2215" s="927"/>
      <c r="L2215" s="925" t="s">
        <v>1</v>
      </c>
      <c r="M2215" s="931"/>
      <c r="N2215" s="933">
        <v>1</v>
      </c>
      <c r="O2215" s="362"/>
    </row>
    <row r="2216" spans="1:15" ht="15.75" customHeight="1">
      <c r="A2216" s="395"/>
      <c r="B2216" s="399"/>
      <c r="C2216" s="920"/>
      <c r="D2216" s="924"/>
      <c r="E2216" s="920"/>
      <c r="F2216" s="922"/>
      <c r="G2216" s="922"/>
      <c r="H2216" s="922"/>
      <c r="I2216" s="922"/>
      <c r="J2216" s="922"/>
      <c r="K2216" s="924"/>
      <c r="L2216" s="920"/>
      <c r="M2216" s="932"/>
      <c r="N2216" s="934"/>
      <c r="O2216" s="362"/>
    </row>
    <row r="2217" spans="1:15" ht="15.75" customHeight="1">
      <c r="A2217" s="395"/>
      <c r="B2217" s="399"/>
      <c r="C2217" s="920"/>
      <c r="D2217" s="924"/>
      <c r="E2217" s="919" t="str">
        <f>Datos!$C$13</f>
        <v xml:space="preserve">BGA - 030 - 2026 </v>
      </c>
      <c r="F2217" s="922"/>
      <c r="G2217" s="922"/>
      <c r="H2217" s="922"/>
      <c r="I2217" s="922"/>
      <c r="J2217" s="922"/>
      <c r="K2217" s="922"/>
      <c r="L2217" s="925" t="s">
        <v>29</v>
      </c>
      <c r="M2217" s="926"/>
      <c r="N2217" s="927"/>
      <c r="O2217" s="362"/>
    </row>
    <row r="2218" spans="1:15" ht="15.75" customHeight="1">
      <c r="A2218" s="395"/>
      <c r="B2218" s="399"/>
      <c r="C2218" s="920"/>
      <c r="D2218" s="924"/>
      <c r="E2218"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218" s="922"/>
      <c r="G2218" s="922"/>
      <c r="H2218" s="922"/>
      <c r="I2218" s="922"/>
      <c r="J2218" s="922"/>
      <c r="K2218" s="924"/>
      <c r="L2218" s="919">
        <v>1</v>
      </c>
      <c r="M2218" s="921" t="s">
        <v>30</v>
      </c>
      <c r="N2218" s="923">
        <v>1</v>
      </c>
      <c r="O2218" s="362"/>
    </row>
    <row r="2219" spans="1:15" ht="15.75" customHeight="1">
      <c r="A2219" s="395"/>
      <c r="B2219" s="399"/>
      <c r="C2219" s="920"/>
      <c r="D2219" s="924"/>
      <c r="E2219" s="920"/>
      <c r="F2219" s="922"/>
      <c r="G2219" s="922"/>
      <c r="H2219" s="922"/>
      <c r="I2219" s="922"/>
      <c r="J2219" s="922"/>
      <c r="K2219" s="924"/>
      <c r="L2219" s="920"/>
      <c r="M2219" s="922"/>
      <c r="N2219" s="924"/>
      <c r="O2219" s="362"/>
    </row>
    <row r="2220" spans="1:15" ht="15.75" customHeight="1">
      <c r="A2220" s="395"/>
      <c r="B2220" s="399"/>
      <c r="C2220" s="920"/>
      <c r="D2220" s="924"/>
      <c r="E2220" s="920"/>
      <c r="F2220" s="922"/>
      <c r="G2220" s="922"/>
      <c r="H2220" s="922"/>
      <c r="I2220" s="922"/>
      <c r="J2220" s="922"/>
      <c r="K2220" s="924"/>
      <c r="L2220" s="925" t="s">
        <v>2</v>
      </c>
      <c r="M2220" s="926"/>
      <c r="N2220" s="927"/>
      <c r="O2220" s="362"/>
    </row>
    <row r="2221" spans="1:15" ht="15.75" customHeight="1">
      <c r="A2221" s="395"/>
      <c r="B2221" s="399"/>
      <c r="C2221" s="920"/>
      <c r="D2221" s="924"/>
      <c r="E2221" s="407"/>
      <c r="F2221" s="216"/>
      <c r="G2221" s="216"/>
      <c r="H2221" s="216"/>
      <c r="I2221" s="216"/>
      <c r="J2221" s="216"/>
      <c r="K2221" s="216"/>
      <c r="L2221" s="408" t="s">
        <v>3</v>
      </c>
      <c r="M2221" s="409" t="s">
        <v>4</v>
      </c>
      <c r="N2221" s="410" t="s">
        <v>5</v>
      </c>
      <c r="O2221" s="362"/>
    </row>
    <row r="2222" spans="1:15" ht="15.75" customHeight="1">
      <c r="A2222" s="395"/>
      <c r="B2222" s="399"/>
      <c r="C2222" s="920"/>
      <c r="D2222" s="924"/>
      <c r="E2222" s="1125" t="s">
        <v>1186</v>
      </c>
      <c r="F2222" s="945"/>
      <c r="G2222" s="945"/>
      <c r="H2222" s="945"/>
      <c r="I2222" s="945"/>
      <c r="J2222" s="945"/>
      <c r="K2222" s="945"/>
      <c r="L2222" s="928">
        <f>Datos!$C$7</f>
        <v>19</v>
      </c>
      <c r="M2222" s="935">
        <f>Datos!$D$7</f>
        <v>6</v>
      </c>
      <c r="N2222" s="937">
        <f>Datos!$E$7</f>
        <v>2026</v>
      </c>
      <c r="O2222" s="362"/>
    </row>
    <row r="2223" spans="1:15" ht="15.75" customHeight="1">
      <c r="A2223" s="395"/>
      <c r="B2223" s="399"/>
      <c r="C2223" s="929"/>
      <c r="D2223" s="938"/>
      <c r="E2223" s="929"/>
      <c r="F2223" s="936"/>
      <c r="G2223" s="936"/>
      <c r="H2223" s="936"/>
      <c r="I2223" s="936"/>
      <c r="J2223" s="936"/>
      <c r="K2223" s="936"/>
      <c r="L2223" s="929"/>
      <c r="M2223" s="936"/>
      <c r="N2223" s="938"/>
      <c r="O2223" s="362"/>
    </row>
    <row r="2224" spans="1:15" ht="15.75" customHeight="1">
      <c r="A2224" s="395"/>
      <c r="B2224" s="399"/>
      <c r="C2224" s="404"/>
      <c r="D2224" s="38"/>
      <c r="E2224" s="38"/>
      <c r="F2224" s="38"/>
      <c r="G2224" s="38"/>
      <c r="H2224" s="38"/>
      <c r="I2224" s="38"/>
      <c r="J2224" s="38"/>
      <c r="K2224" s="38"/>
      <c r="L2224" s="39"/>
      <c r="M2224" s="39"/>
      <c r="N2224" s="40"/>
      <c r="O2224" s="362"/>
    </row>
    <row r="2225" spans="1:15" ht="15.75" customHeight="1">
      <c r="A2225" s="395"/>
      <c r="B2225" s="399"/>
      <c r="C2225" s="412" t="s">
        <v>1187</v>
      </c>
      <c r="D2225" s="1199" t="str">
        <f>VLOOKUP(C2230,ListaAct,2,0)</f>
        <v>OBRA CIVIL</v>
      </c>
      <c r="E2225" s="922"/>
      <c r="F2225" s="922"/>
      <c r="G2225" s="922"/>
      <c r="H2225" s="922"/>
      <c r="I2225" s="922"/>
      <c r="J2225" s="922"/>
      <c r="K2225" s="922"/>
      <c r="L2225" s="922"/>
      <c r="M2225" s="1"/>
      <c r="N2225" s="413"/>
      <c r="O2225" s="362"/>
    </row>
    <row r="2226" spans="1:15" ht="15.75" customHeight="1">
      <c r="A2226" s="395"/>
      <c r="B2226" s="399"/>
      <c r="C2226" s="412" t="s">
        <v>1189</v>
      </c>
      <c r="D2226" s="1199" t="str">
        <f>VLOOKUP(C2230,ListaAct,3,0)</f>
        <v>DISPOSICION DE AGUAS LLUVIAS</v>
      </c>
      <c r="E2226" s="922"/>
      <c r="F2226" s="922"/>
      <c r="G2226" s="922"/>
      <c r="H2226" s="922"/>
      <c r="I2226" s="922"/>
      <c r="J2226" s="922"/>
      <c r="K2226" s="922"/>
      <c r="L2226" s="922"/>
      <c r="M2226" s="1"/>
      <c r="N2226" s="413"/>
      <c r="O2226" s="362"/>
    </row>
    <row r="2227" spans="1:15" ht="15.75" customHeight="1">
      <c r="A2227" s="395"/>
      <c r="B2227" s="399"/>
      <c r="C2227" s="925" t="s">
        <v>1191</v>
      </c>
      <c r="D2227" s="926"/>
      <c r="E2227" s="926"/>
      <c r="F2227" s="926"/>
      <c r="G2227" s="926"/>
      <c r="H2227" s="926"/>
      <c r="I2227" s="926"/>
      <c r="J2227" s="926"/>
      <c r="K2227" s="926"/>
      <c r="L2227" s="926"/>
      <c r="M2227" s="926"/>
      <c r="N2227" s="927"/>
      <c r="O2227" s="362"/>
    </row>
    <row r="2228" spans="1:15" ht="15.75" customHeight="1">
      <c r="A2228" s="395"/>
      <c r="B2228" s="399"/>
      <c r="C2228" s="418"/>
      <c r="D2228" s="39"/>
      <c r="E2228" s="39"/>
      <c r="F2228" s="39"/>
      <c r="G2228" s="39"/>
      <c r="H2228" s="39"/>
      <c r="I2228" s="39"/>
      <c r="J2228" s="39"/>
      <c r="K2228" s="39"/>
      <c r="L2228" s="39"/>
      <c r="M2228" s="39"/>
      <c r="N2228" s="40"/>
      <c r="O2228" s="362"/>
    </row>
    <row r="2229" spans="1:15" ht="15.75" customHeight="1">
      <c r="A2229" s="395"/>
      <c r="B2229" s="399"/>
      <c r="C2229" s="668" t="s">
        <v>965</v>
      </c>
      <c r="D2229" s="1200" t="s">
        <v>17</v>
      </c>
      <c r="E2229" s="1131"/>
      <c r="F2229" s="1131"/>
      <c r="G2229" s="1131"/>
      <c r="H2229" s="1131"/>
      <c r="I2229" s="1131"/>
      <c r="J2229" s="1131"/>
      <c r="K2229" s="1137"/>
      <c r="L2229" s="1201" t="s">
        <v>1192</v>
      </c>
      <c r="M2229" s="1137"/>
      <c r="N2229" s="668" t="s">
        <v>950</v>
      </c>
      <c r="O2229" s="362"/>
    </row>
    <row r="2230" spans="1:15" ht="15.75" customHeight="1">
      <c r="A2230" s="395"/>
      <c r="B2230" s="421"/>
      <c r="C2230" s="669" t="s">
        <v>1068</v>
      </c>
      <c r="D2230" s="1202" t="str">
        <f>IF($C2230&gt;0,(VLOOKUP($C2230,ListaAct,4,FALSE)),"")</f>
        <v>Reinstalación de bajantes aguas lluvias 4" PVC incluye regata en muro y piso, accesorios, fijaciones.</v>
      </c>
      <c r="E2230" s="979"/>
      <c r="F2230" s="979"/>
      <c r="G2230" s="979"/>
      <c r="H2230" s="979"/>
      <c r="I2230" s="979"/>
      <c r="J2230" s="979"/>
      <c r="K2230" s="980"/>
      <c r="L2230" s="1203" t="str">
        <f>IF($C2230&gt;0,(VLOOKUP($C2230,ListaAct,5,FALSE)),"")</f>
        <v>ml</v>
      </c>
      <c r="M2230" s="980"/>
      <c r="N2230" s="423">
        <f>IF($C2230&gt;0,(VLOOKUP($C2230,ListaAct,6,FALSE)),"")</f>
        <v>10.57</v>
      </c>
      <c r="O2230" s="362"/>
    </row>
    <row r="2231" spans="1:15" ht="15.75" customHeight="1">
      <c r="A2231" s="395"/>
      <c r="B2231" s="399"/>
      <c r="C2231" s="1129" t="s">
        <v>1195</v>
      </c>
      <c r="D2231" s="926"/>
      <c r="E2231" s="926"/>
      <c r="F2231" s="926"/>
      <c r="G2231" s="926"/>
      <c r="H2231" s="926"/>
      <c r="I2231" s="926"/>
      <c r="J2231" s="926"/>
      <c r="K2231" s="926"/>
      <c r="L2231" s="926"/>
      <c r="M2231" s="926"/>
      <c r="N2231" s="927"/>
      <c r="O2231" s="362"/>
    </row>
    <row r="2232" spans="1:15" ht="15.75" customHeight="1">
      <c r="A2232" s="395"/>
      <c r="B2232" s="399"/>
      <c r="C2232" s="920"/>
      <c r="D2232" s="922"/>
      <c r="E2232" s="922"/>
      <c r="F2232" s="922"/>
      <c r="G2232" s="922"/>
      <c r="H2232" s="922"/>
      <c r="I2232" s="922"/>
      <c r="J2232" s="922"/>
      <c r="K2232" s="922"/>
      <c r="L2232" s="922"/>
      <c r="M2232" s="922"/>
      <c r="N2232" s="924"/>
      <c r="O2232" s="362"/>
    </row>
    <row r="2233" spans="1:15" ht="15.75" customHeight="1">
      <c r="A2233" s="395"/>
      <c r="B2233" s="399"/>
      <c r="C2233" s="929"/>
      <c r="D2233" s="936"/>
      <c r="E2233" s="936"/>
      <c r="F2233" s="936"/>
      <c r="G2233" s="936"/>
      <c r="H2233" s="936"/>
      <c r="I2233" s="936"/>
      <c r="J2233" s="936"/>
      <c r="K2233" s="936"/>
      <c r="L2233" s="936"/>
      <c r="M2233" s="936"/>
      <c r="N2233" s="938"/>
      <c r="O2233" s="362"/>
    </row>
    <row r="2234" spans="1:15" ht="15.75" customHeight="1">
      <c r="A2234" s="395"/>
      <c r="B2234" s="399"/>
      <c r="C2234" s="1201" t="s">
        <v>17</v>
      </c>
      <c r="D2234" s="1131"/>
      <c r="E2234" s="1131"/>
      <c r="F2234" s="1000"/>
      <c r="G2234" s="1204" t="s">
        <v>1196</v>
      </c>
      <c r="H2234" s="1000"/>
      <c r="I2234" s="1204" t="s">
        <v>1197</v>
      </c>
      <c r="J2234" s="1000"/>
      <c r="K2234" s="670" t="s">
        <v>1213</v>
      </c>
      <c r="L2234" s="1204" t="s">
        <v>1199</v>
      </c>
      <c r="M2234" s="1000"/>
      <c r="N2234" s="671" t="s">
        <v>1200</v>
      </c>
      <c r="O2234" s="362"/>
    </row>
    <row r="2235" spans="1:15" ht="15.75" customHeight="1">
      <c r="A2235" s="395"/>
      <c r="B2235" s="399"/>
      <c r="C2235" s="1128" t="s">
        <v>1201</v>
      </c>
      <c r="D2235" s="940"/>
      <c r="E2235" s="940"/>
      <c r="F2235" s="941"/>
      <c r="G2235" s="1142"/>
      <c r="H2235" s="941"/>
      <c r="I2235" s="1142"/>
      <c r="J2235" s="941"/>
      <c r="K2235" s="429"/>
      <c r="L2235" s="1143">
        <v>0.06</v>
      </c>
      <c r="M2235" s="941"/>
      <c r="N2235" s="430">
        <f>+L2235*N2274</f>
        <v>2757.7632604364203</v>
      </c>
      <c r="O2235" s="362"/>
    </row>
    <row r="2236" spans="1:15" ht="15.75" customHeight="1">
      <c r="A2236" s="395">
        <f t="array" ref="A2236">IF(C2236&lt;&gt;0,INDEX(CodEquipos,MATCH(C2236,Equipos,0),),)</f>
        <v>0</v>
      </c>
      <c r="B2236" s="399"/>
      <c r="C2236" s="1128"/>
      <c r="D2236" s="940"/>
      <c r="E2236" s="940"/>
      <c r="F2236" s="941"/>
      <c r="G2236" s="1142"/>
      <c r="H2236" s="941"/>
      <c r="I2236" s="1142"/>
      <c r="J2236" s="941"/>
      <c r="K2236" s="432" t="str">
        <f>IF($A2236&gt;0,(VLOOKUP($A2236,TablaEquipos,7,FALSE)),"")</f>
        <v/>
      </c>
      <c r="L2236" s="1146"/>
      <c r="M2236" s="941"/>
      <c r="N2236" s="430" t="str">
        <f t="shared" ref="N2236:N2240" si="168">IF(L2236&gt;0,K2236/L2236,"")</f>
        <v/>
      </c>
      <c r="O2236" s="362"/>
    </row>
    <row r="2237" spans="1:15" ht="15.75" customHeight="1">
      <c r="A2237" s="395">
        <f t="array" ref="A2237">IF(C2237&lt;&gt;0,INDEX(CodEquipos,MATCH(C2237,Equipos,0),),)</f>
        <v>0</v>
      </c>
      <c r="B2237" s="399"/>
      <c r="C2237" s="1128"/>
      <c r="D2237" s="940"/>
      <c r="E2237" s="940"/>
      <c r="F2237" s="941"/>
      <c r="G2237" s="1142"/>
      <c r="H2237" s="941"/>
      <c r="I2237" s="1142"/>
      <c r="J2237" s="941"/>
      <c r="K2237" s="432" t="str">
        <f>IF($A2237&gt;0,(VLOOKUP($A2237,TablaEquipos,7,FALSE)),"")</f>
        <v/>
      </c>
      <c r="L2237" s="1146"/>
      <c r="M2237" s="941"/>
      <c r="N2237" s="430" t="str">
        <f t="shared" si="168"/>
        <v/>
      </c>
      <c r="O2237" s="362"/>
    </row>
    <row r="2238" spans="1:15" ht="15.75" customHeight="1">
      <c r="A2238" s="395">
        <f t="array" ref="A2238">IF(C2238&lt;&gt;0,INDEX(CodEquipos,MATCH(C2238,Equipos,0),),)</f>
        <v>0</v>
      </c>
      <c r="B2238" s="399"/>
      <c r="C2238" s="1128"/>
      <c r="D2238" s="940"/>
      <c r="E2238" s="940"/>
      <c r="F2238" s="941"/>
      <c r="G2238" s="1142"/>
      <c r="H2238" s="941"/>
      <c r="I2238" s="1142"/>
      <c r="J2238" s="941"/>
      <c r="K2238" s="432" t="str">
        <f>IF($A2238&gt;0,(VLOOKUP($A2238,TablaEquipos,7,FALSE)),"")</f>
        <v/>
      </c>
      <c r="L2238" s="1146"/>
      <c r="M2238" s="941"/>
      <c r="N2238" s="430" t="str">
        <f t="shared" si="168"/>
        <v/>
      </c>
      <c r="O2238" s="362"/>
    </row>
    <row r="2239" spans="1:15" ht="15.75" customHeight="1">
      <c r="A2239" s="395">
        <f t="array" ref="A2239">IF(C2239&lt;&gt;0,INDEX(CodEquipos,MATCH(C2239,Equipos,0),),)</f>
        <v>0</v>
      </c>
      <c r="B2239" s="399"/>
      <c r="C2239" s="1128"/>
      <c r="D2239" s="940"/>
      <c r="E2239" s="940"/>
      <c r="F2239" s="941"/>
      <c r="G2239" s="1142"/>
      <c r="H2239" s="941"/>
      <c r="I2239" s="1142"/>
      <c r="J2239" s="941"/>
      <c r="K2239" s="432" t="str">
        <f>IF($A2239&gt;0,(VLOOKUP($A2239,TablaEquipos,7,FALSE)),"")</f>
        <v/>
      </c>
      <c r="L2239" s="1141"/>
      <c r="M2239" s="941"/>
      <c r="N2239" s="430" t="str">
        <f t="shared" si="168"/>
        <v/>
      </c>
      <c r="O2239" s="362"/>
    </row>
    <row r="2240" spans="1:15" ht="15.75" customHeight="1">
      <c r="A2240" s="395">
        <f t="array" ref="A2240">IF(C2240&lt;&gt;0,INDEX(CodEquipos,MATCH(C2240,Equipos,0),),)</f>
        <v>0</v>
      </c>
      <c r="B2240" s="399"/>
      <c r="C2240" s="1128"/>
      <c r="D2240" s="940"/>
      <c r="E2240" s="940"/>
      <c r="F2240" s="941"/>
      <c r="G2240" s="1144"/>
      <c r="H2240" s="1145"/>
      <c r="I2240" s="1144"/>
      <c r="J2240" s="1145"/>
      <c r="K2240" s="432" t="str">
        <f>IF($A2240&gt;0,(VLOOKUP($A2240,TablaEquipos,7,FALSE)),"")</f>
        <v/>
      </c>
      <c r="L2240" s="1208"/>
      <c r="M2240" s="1145"/>
      <c r="N2240" s="430" t="str">
        <f t="shared" si="168"/>
        <v/>
      </c>
      <c r="O2240" s="362"/>
    </row>
    <row r="2241" spans="1:15" ht="15.75" customHeight="1">
      <c r="A2241" s="395"/>
      <c r="B2241" s="399"/>
      <c r="C2241" s="1127" t="s">
        <v>1202</v>
      </c>
      <c r="D2241" s="965"/>
      <c r="E2241" s="965"/>
      <c r="F2241" s="965"/>
      <c r="G2241" s="965"/>
      <c r="H2241" s="965"/>
      <c r="I2241" s="965"/>
      <c r="J2241" s="965"/>
      <c r="K2241" s="965"/>
      <c r="L2241" s="965"/>
      <c r="M2241" s="966"/>
      <c r="N2241" s="433">
        <f>+SUM(N2235:N2240)</f>
        <v>2757.7632604364203</v>
      </c>
      <c r="O2241" s="362"/>
    </row>
    <row r="2242" spans="1:15" ht="15.75" customHeight="1">
      <c r="A2242" s="395"/>
      <c r="B2242" s="399"/>
      <c r="C2242" s="1129" t="s">
        <v>1203</v>
      </c>
      <c r="D2242" s="926"/>
      <c r="E2242" s="926"/>
      <c r="F2242" s="926"/>
      <c r="G2242" s="926"/>
      <c r="H2242" s="926"/>
      <c r="I2242" s="926"/>
      <c r="J2242" s="926"/>
      <c r="K2242" s="926"/>
      <c r="L2242" s="926"/>
      <c r="M2242" s="926"/>
      <c r="N2242" s="927"/>
      <c r="O2242" s="362"/>
    </row>
    <row r="2243" spans="1:15" ht="15.75" customHeight="1">
      <c r="A2243" s="395"/>
      <c r="B2243" s="399"/>
      <c r="C2243" s="920"/>
      <c r="D2243" s="922"/>
      <c r="E2243" s="922"/>
      <c r="F2243" s="922"/>
      <c r="G2243" s="922"/>
      <c r="H2243" s="922"/>
      <c r="I2243" s="922"/>
      <c r="J2243" s="922"/>
      <c r="K2243" s="922"/>
      <c r="L2243" s="922"/>
      <c r="M2243" s="922"/>
      <c r="N2243" s="924"/>
      <c r="O2243" s="362"/>
    </row>
    <row r="2244" spans="1:15" ht="15.75" customHeight="1">
      <c r="A2244" s="395"/>
      <c r="B2244" s="399"/>
      <c r="C2244" s="929"/>
      <c r="D2244" s="936"/>
      <c r="E2244" s="936"/>
      <c r="F2244" s="936"/>
      <c r="G2244" s="936"/>
      <c r="H2244" s="936"/>
      <c r="I2244" s="936"/>
      <c r="J2244" s="936"/>
      <c r="K2244" s="936"/>
      <c r="L2244" s="936"/>
      <c r="M2244" s="936"/>
      <c r="N2244" s="938"/>
      <c r="O2244" s="362"/>
    </row>
    <row r="2245" spans="1:15" ht="15.75" customHeight="1">
      <c r="A2245" s="395"/>
      <c r="B2245" s="399"/>
      <c r="C2245" s="1201" t="s">
        <v>17</v>
      </c>
      <c r="D2245" s="1131"/>
      <c r="E2245" s="1131"/>
      <c r="F2245" s="1131"/>
      <c r="G2245" s="1131"/>
      <c r="H2245" s="1131"/>
      <c r="I2245" s="1000"/>
      <c r="J2245" s="672" t="s">
        <v>1192</v>
      </c>
      <c r="K2245" s="670" t="s">
        <v>950</v>
      </c>
      <c r="L2245" s="1204" t="s">
        <v>1204</v>
      </c>
      <c r="M2245" s="1000"/>
      <c r="N2245" s="671" t="s">
        <v>1200</v>
      </c>
      <c r="O2245" s="362"/>
    </row>
    <row r="2246" spans="1:15" ht="15.75" customHeight="1">
      <c r="A2246" s="395" t="str">
        <f t="array" ref="A2246">IF(C2246&lt;&gt;0,INDEX(CodMat,MATCH(C2246,Materiales,0),),)</f>
        <v>MAT_H-95</v>
      </c>
      <c r="B2246" s="399"/>
      <c r="C2246" s="1128" t="s">
        <v>2545</v>
      </c>
      <c r="D2246" s="940"/>
      <c r="E2246" s="940"/>
      <c r="F2246" s="940"/>
      <c r="G2246" s="940"/>
      <c r="H2246" s="940"/>
      <c r="I2246" s="941"/>
      <c r="J2246" s="435" t="str">
        <f t="shared" ref="J2246:J2253" si="169">IF($A2246&gt;0,(VLOOKUP($A2246,TablaInsumos,5,FALSE)),"")</f>
        <v>M</v>
      </c>
      <c r="K2246" s="673">
        <v>1</v>
      </c>
      <c r="L2246" s="1134">
        <f t="shared" ref="L2246:L2253" si="170">IF($A2246&gt;0,(VLOOKUP($A2246,TablaInsumos,7,FALSE)),"")</f>
        <v>25300</v>
      </c>
      <c r="M2246" s="941"/>
      <c r="N2246" s="430">
        <f t="shared" ref="N2246:N2253" si="171">IF(K2246&gt;0,L2246*K2246,"")</f>
        <v>25300</v>
      </c>
      <c r="O2246" s="362"/>
    </row>
    <row r="2247" spans="1:15" ht="15.75" customHeight="1">
      <c r="A2247" s="395" t="str">
        <f t="array" ref="A2247">IF(C2247&lt;&gt;0,INDEX(CodMat,MATCH(C2247,Materiales,0),),)</f>
        <v>MAT_H-121</v>
      </c>
      <c r="B2247" s="399"/>
      <c r="C2247" s="1128" t="s">
        <v>2539</v>
      </c>
      <c r="D2247" s="940"/>
      <c r="E2247" s="940"/>
      <c r="F2247" s="940"/>
      <c r="G2247" s="940"/>
      <c r="H2247" s="940"/>
      <c r="I2247" s="941"/>
      <c r="J2247" s="435" t="str">
        <f t="shared" si="169"/>
        <v>UND</v>
      </c>
      <c r="K2247" s="673">
        <v>1</v>
      </c>
      <c r="L2247" s="1134">
        <f t="shared" si="170"/>
        <v>5175</v>
      </c>
      <c r="M2247" s="941"/>
      <c r="N2247" s="430">
        <f t="shared" si="171"/>
        <v>5175</v>
      </c>
      <c r="O2247" s="362"/>
    </row>
    <row r="2248" spans="1:15" ht="15.75" customHeight="1">
      <c r="A2248" s="395" t="str">
        <f t="array" ref="A2248">IF(C2248&lt;&gt;0,INDEX(CodMat,MATCH(C2248,Materiales,0),),)</f>
        <v>MAT_H-54</v>
      </c>
      <c r="B2248" s="399"/>
      <c r="C2248" s="1128" t="s">
        <v>2541</v>
      </c>
      <c r="D2248" s="940"/>
      <c r="E2248" s="940"/>
      <c r="F2248" s="940"/>
      <c r="G2248" s="940"/>
      <c r="H2248" s="940"/>
      <c r="I2248" s="941"/>
      <c r="J2248" s="435" t="str">
        <f t="shared" si="169"/>
        <v>UND</v>
      </c>
      <c r="K2248" s="673">
        <f>K2247</f>
        <v>1</v>
      </c>
      <c r="L2248" s="1134">
        <f t="shared" si="170"/>
        <v>2070</v>
      </c>
      <c r="M2248" s="941"/>
      <c r="N2248" s="430">
        <f t="shared" si="171"/>
        <v>2070</v>
      </c>
      <c r="O2248" s="362"/>
    </row>
    <row r="2249" spans="1:15" ht="15.75" customHeight="1">
      <c r="A2249" s="395" t="str">
        <f t="array" ref="A2249">IF(C2249&lt;&gt;0,INDEX(CodMat,MATCH(C2249,Materiales,0),),)</f>
        <v>MAT_H-107</v>
      </c>
      <c r="B2249" s="399"/>
      <c r="C2249" s="1128" t="s">
        <v>2542</v>
      </c>
      <c r="D2249" s="940"/>
      <c r="E2249" s="940"/>
      <c r="F2249" s="940"/>
      <c r="G2249" s="940"/>
      <c r="H2249" s="940"/>
      <c r="I2249" s="941"/>
      <c r="J2249" s="435" t="str">
        <f t="shared" si="169"/>
        <v>UND</v>
      </c>
      <c r="K2249" s="673">
        <v>1</v>
      </c>
      <c r="L2249" s="1134">
        <f t="shared" si="170"/>
        <v>7172</v>
      </c>
      <c r="M2249" s="941"/>
      <c r="N2249" s="430">
        <f t="shared" si="171"/>
        <v>7172</v>
      </c>
      <c r="O2249" s="362"/>
    </row>
    <row r="2250" spans="1:15" s="1323" customFormat="1" ht="15.75" customHeight="1">
      <c r="A2250" s="1314" t="str">
        <f t="array" ref="A2250">IF(C2250&lt;&gt;0,INDEX(CodMat,MATCH(C2250,Materiales,0),),)</f>
        <v>MAT_H-34</v>
      </c>
      <c r="B2250" s="1315"/>
      <c r="C2250" s="1316" t="s">
        <v>2543</v>
      </c>
      <c r="D2250" s="1317"/>
      <c r="E2250" s="1317"/>
      <c r="F2250" s="1317"/>
      <c r="G2250" s="1317"/>
      <c r="H2250" s="1317"/>
      <c r="I2250" s="1318"/>
      <c r="J2250" s="1319" t="str">
        <f t="shared" si="169"/>
        <v>UND</v>
      </c>
      <c r="K2250" s="673">
        <v>2</v>
      </c>
      <c r="L2250" s="1320">
        <f t="shared" si="170"/>
        <v>5525</v>
      </c>
      <c r="M2250" s="1318"/>
      <c r="N2250" s="1321">
        <f t="shared" si="171"/>
        <v>11050</v>
      </c>
      <c r="O2250" s="1322"/>
    </row>
    <row r="2251" spans="1:15" ht="15.75" customHeight="1">
      <c r="A2251" s="395">
        <f t="array" ref="A2251">IF(C2251&lt;&gt;0,INDEX(CodMat,MATCH(C2251,Materiales,0),),)</f>
        <v>0</v>
      </c>
      <c r="B2251" s="399"/>
      <c r="C2251" s="1128"/>
      <c r="D2251" s="940"/>
      <c r="E2251" s="940"/>
      <c r="F2251" s="940"/>
      <c r="G2251" s="940"/>
      <c r="H2251" s="940"/>
      <c r="I2251" s="941"/>
      <c r="J2251" s="435" t="str">
        <f t="shared" si="169"/>
        <v/>
      </c>
      <c r="K2251" s="673"/>
      <c r="L2251" s="1134" t="str">
        <f t="shared" si="170"/>
        <v/>
      </c>
      <c r="M2251" s="941"/>
      <c r="N2251" s="430" t="str">
        <f t="shared" si="171"/>
        <v/>
      </c>
      <c r="O2251" s="362"/>
    </row>
    <row r="2252" spans="1:15" ht="15.75" customHeight="1">
      <c r="A2252" s="395">
        <f t="array" ref="A2252">IF(C2252&lt;&gt;0,INDEX(CodMat,MATCH(C2252,Materiales,0),),)</f>
        <v>0</v>
      </c>
      <c r="B2252" s="399"/>
      <c r="C2252" s="1128"/>
      <c r="D2252" s="940"/>
      <c r="E2252" s="940"/>
      <c r="F2252" s="940"/>
      <c r="G2252" s="940"/>
      <c r="H2252" s="940"/>
      <c r="I2252" s="941"/>
      <c r="J2252" s="435" t="str">
        <f t="shared" si="169"/>
        <v/>
      </c>
      <c r="K2252" s="673"/>
      <c r="L2252" s="1134" t="str">
        <f t="shared" si="170"/>
        <v/>
      </c>
      <c r="M2252" s="941"/>
      <c r="N2252" s="430" t="str">
        <f t="shared" si="171"/>
        <v/>
      </c>
      <c r="O2252" s="362"/>
    </row>
    <row r="2253" spans="1:15" ht="15.75" customHeight="1">
      <c r="A2253" s="395">
        <f t="array" ref="A2253">IF(C2253&lt;&gt;0,INDEX(CodMat,MATCH(C2253,Materiales,0),),)</f>
        <v>0</v>
      </c>
      <c r="B2253" s="399"/>
      <c r="C2253" s="1128"/>
      <c r="D2253" s="940"/>
      <c r="E2253" s="940"/>
      <c r="F2253" s="940"/>
      <c r="G2253" s="940"/>
      <c r="H2253" s="940"/>
      <c r="I2253" s="941"/>
      <c r="J2253" s="435" t="str">
        <f t="shared" si="169"/>
        <v/>
      </c>
      <c r="K2253" s="673"/>
      <c r="L2253" s="1205" t="str">
        <f t="shared" si="170"/>
        <v/>
      </c>
      <c r="M2253" s="1145"/>
      <c r="N2253" s="430" t="str">
        <f t="shared" si="171"/>
        <v/>
      </c>
      <c r="O2253" s="362"/>
    </row>
    <row r="2254" spans="1:15" ht="15.75" customHeight="1">
      <c r="A2254" s="395"/>
      <c r="B2254" s="399"/>
      <c r="C2254" s="1127" t="s">
        <v>1202</v>
      </c>
      <c r="D2254" s="965"/>
      <c r="E2254" s="965"/>
      <c r="F2254" s="965"/>
      <c r="G2254" s="965"/>
      <c r="H2254" s="965"/>
      <c r="I2254" s="965"/>
      <c r="J2254" s="965"/>
      <c r="K2254" s="965"/>
      <c r="L2254" s="965"/>
      <c r="M2254" s="966"/>
      <c r="N2254" s="433">
        <f>+SUM(N2246:N2253)</f>
        <v>50767</v>
      </c>
      <c r="O2254" s="362"/>
    </row>
    <row r="2255" spans="1:15" ht="15.75" customHeight="1">
      <c r="A2255" s="395"/>
      <c r="B2255" s="399"/>
      <c r="C2255" s="1129" t="s">
        <v>1208</v>
      </c>
      <c r="D2255" s="926"/>
      <c r="E2255" s="926"/>
      <c r="F2255" s="926"/>
      <c r="G2255" s="926"/>
      <c r="H2255" s="926"/>
      <c r="I2255" s="926"/>
      <c r="J2255" s="926"/>
      <c r="K2255" s="926"/>
      <c r="L2255" s="926"/>
      <c r="M2255" s="926"/>
      <c r="N2255" s="927"/>
      <c r="O2255" s="362"/>
    </row>
    <row r="2256" spans="1:15" ht="15.75" customHeight="1">
      <c r="A2256" s="395"/>
      <c r="B2256" s="399"/>
      <c r="C2256" s="920"/>
      <c r="D2256" s="922"/>
      <c r="E2256" s="922"/>
      <c r="F2256" s="922"/>
      <c r="G2256" s="922"/>
      <c r="H2256" s="922"/>
      <c r="I2256" s="922"/>
      <c r="J2256" s="922"/>
      <c r="K2256" s="922"/>
      <c r="L2256" s="922"/>
      <c r="M2256" s="922"/>
      <c r="N2256" s="924"/>
      <c r="O2256" s="362"/>
    </row>
    <row r="2257" spans="1:15" ht="15.75" customHeight="1">
      <c r="A2257" s="395"/>
      <c r="B2257" s="399"/>
      <c r="C2257" s="929"/>
      <c r="D2257" s="936"/>
      <c r="E2257" s="936"/>
      <c r="F2257" s="936"/>
      <c r="G2257" s="936"/>
      <c r="H2257" s="936"/>
      <c r="I2257" s="936"/>
      <c r="J2257" s="936"/>
      <c r="K2257" s="936"/>
      <c r="L2257" s="936"/>
      <c r="M2257" s="936"/>
      <c r="N2257" s="938"/>
      <c r="O2257" s="362"/>
    </row>
    <row r="2258" spans="1:15" ht="15.75" customHeight="1">
      <c r="A2258" s="395"/>
      <c r="B2258" s="399"/>
      <c r="C2258" s="1201" t="s">
        <v>1209</v>
      </c>
      <c r="D2258" s="1131"/>
      <c r="E2258" s="1131"/>
      <c r="F2258" s="1131"/>
      <c r="G2258" s="1131"/>
      <c r="H2258" s="1000"/>
      <c r="I2258" s="670" t="s">
        <v>1210</v>
      </c>
      <c r="J2258" s="674" t="s">
        <v>1211</v>
      </c>
      <c r="K2258" s="675" t="s">
        <v>2318</v>
      </c>
      <c r="L2258" s="1204" t="s">
        <v>1213</v>
      </c>
      <c r="M2258" s="1000"/>
      <c r="N2258" s="671" t="s">
        <v>1200</v>
      </c>
      <c r="O2258" s="362"/>
    </row>
    <row r="2259" spans="1:15" ht="15.75" customHeight="1">
      <c r="A2259" s="395">
        <f t="array" ref="A2259">IF(C2259&lt;&gt;0,INDEX(CodTransporte,MATCH(C2259,Transporte,0),),)</f>
        <v>0</v>
      </c>
      <c r="B2259" s="399"/>
      <c r="C2259" s="1128"/>
      <c r="D2259" s="940"/>
      <c r="E2259" s="940"/>
      <c r="F2259" s="940"/>
      <c r="G2259" s="940"/>
      <c r="H2259" s="940"/>
      <c r="I2259" s="440"/>
      <c r="J2259" s="441" t="str">
        <f>IF($A2259&gt;0,(VLOOKUP($A2259,TablaTransporte,6,FALSE)),"")</f>
        <v/>
      </c>
      <c r="K2259" s="442" t="str">
        <f>IF($A2259&gt;0,(VLOOKUP($A2259,TablaTransporte,5,FALSE)),"")</f>
        <v/>
      </c>
      <c r="L2259" s="1134" t="str">
        <f>IF($A2259&gt;0,(VLOOKUP($A2259,TablaTransporte,7,FALSE)),"")</f>
        <v/>
      </c>
      <c r="M2259" s="941"/>
      <c r="N2259" s="430" t="str">
        <f t="shared" ref="N2259:N2263" si="172">IF(I2259&gt;0,J2259*L2259*I2259,"")</f>
        <v/>
      </c>
      <c r="O2259" s="362"/>
    </row>
    <row r="2260" spans="1:15" ht="15.75" customHeight="1">
      <c r="A2260" s="395">
        <f t="array" ref="A2260">IF(C2260&lt;&gt;0,INDEX(CodTransporte,MATCH(C2260,Transporte,0),),)</f>
        <v>0</v>
      </c>
      <c r="B2260" s="399"/>
      <c r="C2260" s="1128"/>
      <c r="D2260" s="940"/>
      <c r="E2260" s="940"/>
      <c r="F2260" s="940"/>
      <c r="G2260" s="940"/>
      <c r="H2260" s="940"/>
      <c r="I2260" s="440"/>
      <c r="J2260" s="441" t="str">
        <f>IF($A2260&gt;0,(VLOOKUP($A2260,TablaTransporte,6,FALSE)),"")</f>
        <v/>
      </c>
      <c r="K2260" s="442" t="str">
        <f>IF($A2260&gt;0,(VLOOKUP($A2260,TablaTransporte,5,FALSE)),"")</f>
        <v/>
      </c>
      <c r="L2260" s="1134" t="str">
        <f>IF($A2260&gt;0,(VLOOKUP($A2260,TablaTransporte,7,FALSE)),"")</f>
        <v/>
      </c>
      <c r="M2260" s="941"/>
      <c r="N2260" s="430" t="str">
        <f t="shared" si="172"/>
        <v/>
      </c>
      <c r="O2260" s="362"/>
    </row>
    <row r="2261" spans="1:15" ht="15.75" customHeight="1">
      <c r="A2261" s="395">
        <f t="array" ref="A2261">IF(C2261&lt;&gt;0,INDEX(CodTransporte,MATCH(C2261,Transporte,0),),)</f>
        <v>0</v>
      </c>
      <c r="B2261" s="399"/>
      <c r="C2261" s="1128"/>
      <c r="D2261" s="940"/>
      <c r="E2261" s="940"/>
      <c r="F2261" s="940"/>
      <c r="G2261" s="940"/>
      <c r="H2261" s="940"/>
      <c r="I2261" s="440"/>
      <c r="J2261" s="441" t="str">
        <f>IF($A2261&gt;0,(VLOOKUP($A2261,TablaTransporte,6,FALSE)),"")</f>
        <v/>
      </c>
      <c r="K2261" s="442" t="str">
        <f>IF($A2261&gt;0,(VLOOKUP($A2261,TablaTransporte,5,FALSE)),"")</f>
        <v/>
      </c>
      <c r="L2261" s="1134" t="str">
        <f>IF($A2261&gt;0,(VLOOKUP($A2261,TablaTransporte,7,FALSE)),"")</f>
        <v/>
      </c>
      <c r="M2261" s="941"/>
      <c r="N2261" s="430" t="str">
        <f t="shared" si="172"/>
        <v/>
      </c>
      <c r="O2261" s="362"/>
    </row>
    <row r="2262" spans="1:15" ht="15.75" customHeight="1">
      <c r="A2262" s="395">
        <f t="array" ref="A2262">IF(C2262&lt;&gt;0,INDEX(CodTransporte,MATCH(C2262,Transporte,0),),)</f>
        <v>0</v>
      </c>
      <c r="B2262" s="399"/>
      <c r="C2262" s="1128"/>
      <c r="D2262" s="940"/>
      <c r="E2262" s="940"/>
      <c r="F2262" s="940"/>
      <c r="G2262" s="940"/>
      <c r="H2262" s="940"/>
      <c r="I2262" s="440"/>
      <c r="J2262" s="441" t="str">
        <f>IF($A2262&gt;0,(VLOOKUP($A2262,TablaTransporte,6,FALSE)),"")</f>
        <v/>
      </c>
      <c r="K2262" s="442" t="str">
        <f>IF($A2262&gt;0,(VLOOKUP($A2262,TablaTransporte,5,FALSE)),"")</f>
        <v/>
      </c>
      <c r="L2262" s="1134" t="str">
        <f>IF($A2262&gt;0,(VLOOKUP($A2262,TablaTransporte,7,FALSE)),"")</f>
        <v/>
      </c>
      <c r="M2262" s="941"/>
      <c r="N2262" s="430" t="str">
        <f t="shared" si="172"/>
        <v/>
      </c>
      <c r="O2262" s="362"/>
    </row>
    <row r="2263" spans="1:15" ht="15.75" customHeight="1">
      <c r="A2263" s="395">
        <f t="array" ref="A2263">IF(C2263&lt;&gt;0,INDEX(CodTransporte,MATCH(C2263,Transporte,0),),)</f>
        <v>0</v>
      </c>
      <c r="B2263" s="399"/>
      <c r="C2263" s="1128"/>
      <c r="D2263" s="940"/>
      <c r="E2263" s="940"/>
      <c r="F2263" s="940"/>
      <c r="G2263" s="940"/>
      <c r="H2263" s="940"/>
      <c r="I2263" s="440"/>
      <c r="J2263" s="441" t="str">
        <f>IF($A2263&gt;0,(VLOOKUP($A2263,TablaTransporte,6,FALSE)),"")</f>
        <v/>
      </c>
      <c r="K2263" s="442" t="str">
        <f>IF($A2263&gt;0,(VLOOKUP($A2263,TablaTransporte,5,FALSE)),"")</f>
        <v/>
      </c>
      <c r="L2263" s="1205" t="str">
        <f>IF($A2263&gt;0,(VLOOKUP($A2263,TablaTransporte,7,FALSE)),"")</f>
        <v/>
      </c>
      <c r="M2263" s="1145"/>
      <c r="N2263" s="430" t="str">
        <f t="shared" si="172"/>
        <v/>
      </c>
      <c r="O2263" s="362"/>
    </row>
    <row r="2264" spans="1:15" ht="15.75" customHeight="1">
      <c r="A2264" s="395"/>
      <c r="B2264" s="399"/>
      <c r="C2264" s="1127" t="s">
        <v>1202</v>
      </c>
      <c r="D2264" s="965"/>
      <c r="E2264" s="965"/>
      <c r="F2264" s="965"/>
      <c r="G2264" s="965"/>
      <c r="H2264" s="965"/>
      <c r="I2264" s="965"/>
      <c r="J2264" s="965"/>
      <c r="K2264" s="965"/>
      <c r="L2264" s="965"/>
      <c r="M2264" s="966"/>
      <c r="N2264" s="433">
        <f>+SUM(N2259:N2263)</f>
        <v>0</v>
      </c>
      <c r="O2264" s="362"/>
    </row>
    <row r="2265" spans="1:15" ht="15.75" customHeight="1">
      <c r="A2265" s="395"/>
      <c r="B2265" s="399"/>
      <c r="C2265" s="1129" t="s">
        <v>1214</v>
      </c>
      <c r="D2265" s="926"/>
      <c r="E2265" s="926"/>
      <c r="F2265" s="926"/>
      <c r="G2265" s="926"/>
      <c r="H2265" s="926"/>
      <c r="I2265" s="926"/>
      <c r="J2265" s="926"/>
      <c r="K2265" s="926"/>
      <c r="L2265" s="926"/>
      <c r="M2265" s="926"/>
      <c r="N2265" s="927"/>
      <c r="O2265" s="362"/>
    </row>
    <row r="2266" spans="1:15" ht="15.75" customHeight="1">
      <c r="A2266" s="395"/>
      <c r="B2266" s="399"/>
      <c r="C2266" s="920"/>
      <c r="D2266" s="922"/>
      <c r="E2266" s="922"/>
      <c r="F2266" s="922"/>
      <c r="G2266" s="922"/>
      <c r="H2266" s="922"/>
      <c r="I2266" s="922"/>
      <c r="J2266" s="922"/>
      <c r="K2266" s="922"/>
      <c r="L2266" s="922"/>
      <c r="M2266" s="922"/>
      <c r="N2266" s="924"/>
      <c r="O2266" s="362"/>
    </row>
    <row r="2267" spans="1:15" ht="15.75" customHeight="1">
      <c r="A2267" s="395"/>
      <c r="B2267" s="399"/>
      <c r="C2267" s="929"/>
      <c r="D2267" s="936"/>
      <c r="E2267" s="936"/>
      <c r="F2267" s="936"/>
      <c r="G2267" s="936"/>
      <c r="H2267" s="936"/>
      <c r="I2267" s="936"/>
      <c r="J2267" s="936"/>
      <c r="K2267" s="936"/>
      <c r="L2267" s="936"/>
      <c r="M2267" s="936"/>
      <c r="N2267" s="938"/>
      <c r="O2267" s="362"/>
    </row>
    <row r="2268" spans="1:15" ht="15.75" customHeight="1">
      <c r="A2268" s="395"/>
      <c r="B2268" s="399"/>
      <c r="C2268" s="1201" t="s">
        <v>1215</v>
      </c>
      <c r="D2268" s="1131"/>
      <c r="E2268" s="1131"/>
      <c r="F2268" s="1131"/>
      <c r="G2268" s="1131"/>
      <c r="H2268" s="1000"/>
      <c r="I2268" s="670" t="s">
        <v>1216</v>
      </c>
      <c r="J2268" s="676" t="s">
        <v>1217</v>
      </c>
      <c r="K2268" s="677" t="s">
        <v>1218</v>
      </c>
      <c r="L2268" s="1206" t="s">
        <v>1199</v>
      </c>
      <c r="M2268" s="1000"/>
      <c r="N2268" s="678" t="s">
        <v>1200</v>
      </c>
      <c r="O2268" s="362"/>
    </row>
    <row r="2269" spans="1:15" ht="15.75" customHeight="1">
      <c r="A2269" s="395" t="str">
        <f t="array" ref="A2269">IF(C2269&lt;&gt;0,INDEX(CodMO,MATCH(C2269,MO,0),),)</f>
        <v>M.O-11</v>
      </c>
      <c r="B2269" s="399"/>
      <c r="C2269" s="1128" t="s">
        <v>2532</v>
      </c>
      <c r="D2269" s="940"/>
      <c r="E2269" s="940"/>
      <c r="F2269" s="940"/>
      <c r="G2269" s="940"/>
      <c r="H2269" s="940"/>
      <c r="I2269" s="447">
        <f>IF($A2269&gt;0,(VLOOKUP($A2269,TablaMO,8,FALSE)),"")</f>
        <v>183393.66666666666</v>
      </c>
      <c r="J2269" s="448">
        <f>IF($A2269&gt;0,(VLOOKUP($A2269,TablaMO,10,FALSE)),"")</f>
        <v>0.67071666666666663</v>
      </c>
      <c r="K2269" s="447">
        <f>IF($A2269&gt;0,(VLOOKUP($A2269,TablaMO,11,FALSE)),"")</f>
        <v>91920</v>
      </c>
      <c r="L2269" s="1312">
        <v>9.1800918386278099</v>
      </c>
      <c r="M2269" s="1313"/>
      <c r="N2269" s="430">
        <f t="shared" ref="N2269:N2273" si="173">IF(L2269&gt;0,K2269/L2269,"")</f>
        <v>10012.971723574794</v>
      </c>
      <c r="O2269" s="362"/>
    </row>
    <row r="2270" spans="1:15" ht="15.75" customHeight="1">
      <c r="A2270" s="395" t="str">
        <f t="array" ref="A2270">IF(C2270&lt;&gt;0,INDEX(CodMO,MATCH(C2270,MO,0),),)</f>
        <v>M.O-05</v>
      </c>
      <c r="B2270" s="399"/>
      <c r="C2270" s="1128" t="s">
        <v>139</v>
      </c>
      <c r="D2270" s="940"/>
      <c r="E2270" s="940"/>
      <c r="F2270" s="940"/>
      <c r="G2270" s="940"/>
      <c r="H2270" s="940"/>
      <c r="I2270" s="447">
        <f>IF($A2270&gt;0,(VLOOKUP($A2270,TablaMO,8,FALSE)),"")</f>
        <v>125030.16666666667</v>
      </c>
      <c r="J2270" s="448">
        <f>IF($A2270&gt;0,(VLOOKUP($A2270,TablaMO,10,FALSE)),"")</f>
        <v>0.67071666666666663</v>
      </c>
      <c r="K2270" s="447">
        <f>IF($A2270&gt;0,(VLOOKUP($A2270,TablaMO,11,FALSE)),"")</f>
        <v>208890</v>
      </c>
      <c r="L2270" s="1312">
        <f>L2269</f>
        <v>9.1800918386278099</v>
      </c>
      <c r="M2270" s="1313"/>
      <c r="N2270" s="430">
        <f t="shared" si="173"/>
        <v>22754.674318293502</v>
      </c>
      <c r="O2270" s="362"/>
    </row>
    <row r="2271" spans="1:15" ht="15.75" customHeight="1">
      <c r="A2271" s="395" t="str">
        <f t="array" ref="A2271">IF(C2271&lt;&gt;0,INDEX(CodMO,MATCH(C2271,MO,0),),)</f>
        <v>M.O-01</v>
      </c>
      <c r="B2271" s="399"/>
      <c r="C2271" s="1128" t="s">
        <v>130</v>
      </c>
      <c r="D2271" s="940"/>
      <c r="E2271" s="940"/>
      <c r="F2271" s="940"/>
      <c r="G2271" s="940"/>
      <c r="H2271" s="940"/>
      <c r="I2271" s="447">
        <f>IF($A2271&gt;0,(VLOOKUP($A2271,TablaMO,8,FALSE)),"")</f>
        <v>72503.016666666677</v>
      </c>
      <c r="J2271" s="448">
        <f>IF($A2271&gt;0,(VLOOKUP($A2271,TablaMO,10,FALSE)),"")</f>
        <v>0.67071666666666663</v>
      </c>
      <c r="K2271" s="447">
        <f>IF($A2271&gt;0,(VLOOKUP($A2271,TablaMO,11,FALSE)),"")</f>
        <v>121132</v>
      </c>
      <c r="L2271" s="1312">
        <f>L2270</f>
        <v>9.1800918386278099</v>
      </c>
      <c r="M2271" s="1313"/>
      <c r="N2271" s="430">
        <f t="shared" si="173"/>
        <v>13195.074965405374</v>
      </c>
      <c r="O2271" s="362"/>
    </row>
    <row r="2272" spans="1:15" ht="15.75" customHeight="1">
      <c r="A2272" s="395">
        <f t="array" ref="A2272">IF(C2272&lt;&gt;0,INDEX(CodMO,MATCH(C2272,MO,0),),)</f>
        <v>0</v>
      </c>
      <c r="B2272" s="399"/>
      <c r="C2272" s="1128"/>
      <c r="D2272" s="940"/>
      <c r="E2272" s="940"/>
      <c r="F2272" s="940"/>
      <c r="G2272" s="940"/>
      <c r="H2272" s="940"/>
      <c r="I2272" s="447" t="str">
        <f>IF($A2272&gt;0,(VLOOKUP($A2272,TablaMO,8,FALSE)),"")</f>
        <v/>
      </c>
      <c r="J2272" s="448" t="str">
        <f>IF($A2272&gt;0,(VLOOKUP($A2272,TablaMO,10,FALSE)),"")</f>
        <v/>
      </c>
      <c r="K2272" s="447" t="str">
        <f>IF($A2272&gt;0,(VLOOKUP($A2272,TablaMO,11,FALSE)),"")</f>
        <v/>
      </c>
      <c r="L2272" s="1146"/>
      <c r="M2272" s="941"/>
      <c r="N2272" s="430" t="str">
        <f t="shared" si="173"/>
        <v/>
      </c>
      <c r="O2272" s="362"/>
    </row>
    <row r="2273" spans="1:18" ht="15.75" customHeight="1">
      <c r="A2273" s="395">
        <f t="array" ref="A2273">IF(C2273&lt;&gt;0,INDEX(CodMO,MATCH(C2273,MO,0),),)</f>
        <v>0</v>
      </c>
      <c r="B2273" s="399"/>
      <c r="C2273" s="1128"/>
      <c r="D2273" s="940"/>
      <c r="E2273" s="940"/>
      <c r="F2273" s="940"/>
      <c r="G2273" s="940"/>
      <c r="H2273" s="940"/>
      <c r="I2273" s="447" t="str">
        <f>IF($A2273&gt;0,(VLOOKUP($A2273,TablaMO,8,FALSE)),"")</f>
        <v/>
      </c>
      <c r="J2273" s="448" t="str">
        <f>IF($A2273&gt;0,(VLOOKUP($A2273,TablaMO,10,FALSE)),"")</f>
        <v/>
      </c>
      <c r="K2273" s="447" t="str">
        <f>IF($A2273&gt;0,(VLOOKUP($A2273,TablaMO,11,FALSE)),"")</f>
        <v/>
      </c>
      <c r="L2273" s="1146"/>
      <c r="M2273" s="941"/>
      <c r="N2273" s="430" t="str">
        <f t="shared" si="173"/>
        <v/>
      </c>
      <c r="O2273" s="362"/>
    </row>
    <row r="2274" spans="1:18" ht="15.75" customHeight="1">
      <c r="A2274" s="395"/>
      <c r="B2274" s="399"/>
      <c r="C2274" s="1127" t="s">
        <v>1202</v>
      </c>
      <c r="D2274" s="965"/>
      <c r="E2274" s="965"/>
      <c r="F2274" s="965"/>
      <c r="G2274" s="965"/>
      <c r="H2274" s="965"/>
      <c r="I2274" s="965"/>
      <c r="J2274" s="965"/>
      <c r="K2274" s="965"/>
      <c r="L2274" s="965"/>
      <c r="M2274" s="966"/>
      <c r="N2274" s="433">
        <f>+SUM(N2269:N2273)</f>
        <v>45962.721007273671</v>
      </c>
      <c r="O2274" s="362"/>
    </row>
    <row r="2275" spans="1:18" ht="15.75" customHeight="1">
      <c r="B2275" s="679"/>
      <c r="O2275" s="362"/>
    </row>
    <row r="2276" spans="1:18" ht="15.75" customHeight="1">
      <c r="B2276" s="679"/>
      <c r="C2276" s="1198" t="s">
        <v>1219</v>
      </c>
      <c r="D2276" s="965"/>
      <c r="E2276" s="965"/>
      <c r="F2276" s="965"/>
      <c r="G2276" s="965"/>
      <c r="H2276" s="965"/>
      <c r="I2276" s="965"/>
      <c r="J2276" s="965"/>
      <c r="K2276" s="965"/>
      <c r="L2276" s="965"/>
      <c r="M2276" s="966"/>
      <c r="N2276" s="680">
        <f>ROUND(SUM(N2274,N2264,N2254,N2241),0)</f>
        <v>99487</v>
      </c>
      <c r="O2276" s="362"/>
      <c r="Q2276" s="681">
        <f>VLOOKUP(C2230,PROPUESTASASERCO,8,FALSE)</f>
        <v>99487</v>
      </c>
      <c r="R2276" s="682">
        <f>Q2276-N2276</f>
        <v>0</v>
      </c>
    </row>
    <row r="2277" spans="1:18" ht="15.75" customHeight="1">
      <c r="B2277" s="679"/>
      <c r="C2277" s="1129" t="s">
        <v>1220</v>
      </c>
      <c r="D2277" s="926"/>
      <c r="E2277" s="926"/>
      <c r="F2277" s="926"/>
      <c r="G2277" s="926"/>
      <c r="H2277" s="926"/>
      <c r="I2277" s="926"/>
      <c r="J2277" s="926"/>
      <c r="K2277" s="926"/>
      <c r="L2277" s="926"/>
      <c r="M2277" s="926"/>
      <c r="N2277" s="927"/>
      <c r="O2277" s="362"/>
    </row>
    <row r="2278" spans="1:18" ht="15.75" customHeight="1">
      <c r="B2278" s="679"/>
      <c r="C2278" s="920"/>
      <c r="D2278" s="922"/>
      <c r="E2278" s="922"/>
      <c r="F2278" s="922"/>
      <c r="G2278" s="922"/>
      <c r="H2278" s="922"/>
      <c r="I2278" s="922"/>
      <c r="J2278" s="922"/>
      <c r="K2278" s="922"/>
      <c r="L2278" s="922"/>
      <c r="M2278" s="922"/>
      <c r="N2278" s="924"/>
      <c r="O2278" s="362"/>
    </row>
    <row r="2279" spans="1:18" ht="15.75" customHeight="1">
      <c r="B2279" s="679"/>
      <c r="C2279" s="929"/>
      <c r="D2279" s="936"/>
      <c r="E2279" s="936"/>
      <c r="F2279" s="936"/>
      <c r="G2279" s="936"/>
      <c r="H2279" s="936"/>
      <c r="I2279" s="936"/>
      <c r="J2279" s="936"/>
      <c r="K2279" s="936"/>
      <c r="L2279" s="936"/>
      <c r="M2279" s="936"/>
      <c r="N2279" s="938"/>
      <c r="O2279" s="362"/>
    </row>
    <row r="2280" spans="1:18" ht="15.75" customHeight="1">
      <c r="B2280" s="679"/>
      <c r="C2280" s="1201" t="s">
        <v>1221</v>
      </c>
      <c r="D2280" s="1131"/>
      <c r="E2280" s="1131"/>
      <c r="F2280" s="1131"/>
      <c r="G2280" s="1131"/>
      <c r="H2280" s="1132"/>
      <c r="I2280" s="674"/>
      <c r="J2280" s="674"/>
      <c r="K2280" s="674"/>
      <c r="L2280" s="1206" t="s">
        <v>1222</v>
      </c>
      <c r="M2280" s="1000"/>
      <c r="N2280" s="678" t="s">
        <v>1223</v>
      </c>
      <c r="O2280" s="362"/>
    </row>
    <row r="2281" spans="1:18" ht="15.75" customHeight="1">
      <c r="B2281" s="679"/>
      <c r="C2281" s="1128" t="s">
        <v>19</v>
      </c>
      <c r="D2281" s="940"/>
      <c r="E2281" s="940"/>
      <c r="F2281" s="940"/>
      <c r="G2281" s="940"/>
      <c r="H2281" s="940"/>
      <c r="I2281" s="452"/>
      <c r="J2281" s="452"/>
      <c r="K2281" s="452"/>
      <c r="L2281" s="1148">
        <f>+Datos!$E$18</f>
        <v>0.25</v>
      </c>
      <c r="M2281" s="941"/>
      <c r="N2281" s="430">
        <f>+L2281*N2276</f>
        <v>24871.75</v>
      </c>
      <c r="O2281" s="362"/>
    </row>
    <row r="2282" spans="1:18" ht="15.75" customHeight="1">
      <c r="B2282" s="679"/>
      <c r="C2282" s="454" t="s">
        <v>20</v>
      </c>
      <c r="D2282" s="455"/>
      <c r="E2282" s="455"/>
      <c r="F2282" s="455"/>
      <c r="G2282" s="455"/>
      <c r="H2282" s="455"/>
      <c r="I2282" s="452"/>
      <c r="J2282" s="452"/>
      <c r="K2282" s="452"/>
      <c r="L2282" s="1148">
        <f>+Datos!$E$19</f>
        <v>0.01</v>
      </c>
      <c r="M2282" s="941"/>
      <c r="N2282" s="430">
        <f>+L2282*N2276</f>
        <v>994.87</v>
      </c>
      <c r="O2282" s="362"/>
    </row>
    <row r="2283" spans="1:18" ht="15.75" customHeight="1">
      <c r="B2283" s="679"/>
      <c r="C2283" s="456" t="s">
        <v>21</v>
      </c>
      <c r="D2283" s="457"/>
      <c r="E2283" s="457"/>
      <c r="F2283" s="457"/>
      <c r="G2283" s="457"/>
      <c r="H2283" s="457"/>
      <c r="I2283" s="458"/>
      <c r="J2283" s="458"/>
      <c r="K2283" s="458"/>
      <c r="L2283" s="1148">
        <f>+Datos!$E$20</f>
        <v>0.05</v>
      </c>
      <c r="M2283" s="941"/>
      <c r="N2283" s="430">
        <f>+L2283*N2276</f>
        <v>4974.3500000000004</v>
      </c>
      <c r="O2283" s="362"/>
    </row>
    <row r="2284" spans="1:18" ht="15.75" customHeight="1">
      <c r="B2284" s="679"/>
      <c r="C2284" s="1127" t="s">
        <v>1202</v>
      </c>
      <c r="D2284" s="965"/>
      <c r="E2284" s="965"/>
      <c r="F2284" s="965"/>
      <c r="G2284" s="965"/>
      <c r="H2284" s="965"/>
      <c r="I2284" s="965"/>
      <c r="J2284" s="965"/>
      <c r="K2284" s="965"/>
      <c r="L2284" s="965"/>
      <c r="M2284" s="966"/>
      <c r="N2284" s="433">
        <f>+SUM(N2281:N2283)</f>
        <v>30840.97</v>
      </c>
      <c r="O2284" s="362"/>
    </row>
    <row r="2285" spans="1:18" ht="15.75" customHeight="1">
      <c r="B2285" s="679"/>
      <c r="C2285" s="418"/>
      <c r="D2285" s="39"/>
      <c r="E2285" s="39"/>
      <c r="F2285" s="39"/>
      <c r="G2285" s="39"/>
      <c r="H2285" s="39"/>
      <c r="I2285" s="39"/>
      <c r="J2285" s="39"/>
      <c r="K2285" s="39"/>
      <c r="L2285" s="39"/>
      <c r="M2285" s="39"/>
      <c r="N2285" s="40"/>
      <c r="O2285" s="362"/>
    </row>
    <row r="2286" spans="1:18" ht="15.75" customHeight="1">
      <c r="B2286" s="679"/>
      <c r="C2286" s="1198" t="s">
        <v>1224</v>
      </c>
      <c r="D2286" s="965"/>
      <c r="E2286" s="965"/>
      <c r="F2286" s="965"/>
      <c r="G2286" s="965"/>
      <c r="H2286" s="965"/>
      <c r="I2286" s="965"/>
      <c r="J2286" s="965"/>
      <c r="K2286" s="965"/>
      <c r="L2286" s="965"/>
      <c r="M2286" s="966"/>
      <c r="N2286" s="683">
        <f>+ROUND(SUM(N2284,N2276),0)</f>
        <v>130328</v>
      </c>
      <c r="O2286" s="362"/>
    </row>
    <row r="2287" spans="1:18" ht="15.75" customHeight="1">
      <c r="B2287" s="679"/>
      <c r="C2287" s="418"/>
      <c r="D2287" s="39" t="s">
        <v>1225</v>
      </c>
      <c r="E2287" s="39"/>
      <c r="F2287" s="39"/>
      <c r="G2287" s="184"/>
      <c r="H2287" s="184"/>
      <c r="I2287" s="184"/>
      <c r="J2287" s="39" t="s">
        <v>1225</v>
      </c>
      <c r="K2287" s="39"/>
      <c r="L2287" s="39"/>
      <c r="M2287" s="39"/>
      <c r="N2287" s="40"/>
      <c r="O2287" s="362"/>
    </row>
    <row r="2288" spans="1:18" ht="15.75" customHeight="1">
      <c r="B2288" s="679"/>
      <c r="C2288" s="418"/>
      <c r="D2288" s="39" t="s">
        <v>1226</v>
      </c>
      <c r="E2288" s="39"/>
      <c r="F2288" s="39"/>
      <c r="G2288" s="184"/>
      <c r="H2288" s="184"/>
      <c r="I2288" s="184"/>
      <c r="J2288" s="39" t="s">
        <v>1227</v>
      </c>
      <c r="K2288" s="39"/>
      <c r="L2288" s="39"/>
      <c r="M2288" s="39"/>
      <c r="N2288" s="40"/>
      <c r="O2288" s="362"/>
    </row>
    <row r="2289" spans="1:15" ht="15.75" customHeight="1">
      <c r="B2289" s="679"/>
      <c r="C2289" s="404"/>
      <c r="D2289" s="39" t="s">
        <v>1228</v>
      </c>
      <c r="E2289" s="42"/>
      <c r="F2289" s="42"/>
      <c r="G2289" s="184"/>
      <c r="H2289" s="184"/>
      <c r="I2289" s="184"/>
      <c r="J2289" s="39" t="s">
        <v>1228</v>
      </c>
      <c r="K2289" s="42"/>
      <c r="L2289" s="42"/>
      <c r="M2289" s="42"/>
      <c r="N2289" s="43"/>
      <c r="O2289" s="362"/>
    </row>
    <row r="2290" spans="1:15" ht="15.75" customHeight="1">
      <c r="B2290" s="679"/>
      <c r="C2290" s="418"/>
      <c r="D2290" s="39"/>
      <c r="E2290" s="39"/>
      <c r="F2290" s="39"/>
      <c r="G2290" s="39" t="s">
        <v>1229</v>
      </c>
      <c r="H2290" s="39"/>
      <c r="I2290" s="39"/>
      <c r="J2290" s="39"/>
      <c r="K2290" s="39"/>
      <c r="L2290" s="39"/>
      <c r="M2290" s="39"/>
      <c r="N2290" s="40"/>
      <c r="O2290" s="362"/>
    </row>
    <row r="2291" spans="1:15" ht="15.75" customHeight="1">
      <c r="B2291" s="679"/>
      <c r="C2291" s="466"/>
      <c r="D2291" s="467"/>
      <c r="E2291" s="467"/>
      <c r="F2291" s="39"/>
      <c r="G2291" s="39"/>
      <c r="H2291" s="39"/>
      <c r="I2291" s="39"/>
      <c r="J2291" s="1149"/>
      <c r="K2291" s="922"/>
      <c r="L2291" s="922"/>
      <c r="M2291" s="922"/>
      <c r="N2291" s="924"/>
      <c r="O2291" s="362"/>
    </row>
    <row r="2292" spans="1:15" ht="15.75" customHeight="1">
      <c r="B2292" s="679"/>
      <c r="C2292" s="1150"/>
      <c r="D2292" s="936"/>
      <c r="E2292" s="936"/>
      <c r="F2292" s="416"/>
      <c r="G2292" s="416"/>
      <c r="H2292" s="416"/>
      <c r="I2292" s="416"/>
      <c r="J2292" s="936"/>
      <c r="K2292" s="936"/>
      <c r="L2292" s="936"/>
      <c r="M2292" s="936"/>
      <c r="N2292" s="938"/>
      <c r="O2292" s="362"/>
    </row>
    <row r="2293" spans="1:15" ht="15.75" customHeight="1">
      <c r="B2293" s="684"/>
      <c r="C2293" s="685"/>
      <c r="D2293" s="685"/>
      <c r="E2293" s="685"/>
      <c r="F2293" s="685"/>
      <c r="G2293" s="685"/>
      <c r="H2293" s="685"/>
      <c r="I2293" s="685"/>
      <c r="J2293" s="685"/>
      <c r="K2293" s="685"/>
      <c r="L2293" s="685"/>
      <c r="M2293" s="685"/>
      <c r="N2293" s="685"/>
      <c r="O2293" s="686"/>
    </row>
    <row r="2294" spans="1:15" ht="15.75" customHeight="1"/>
    <row r="2295" spans="1:15" ht="15.75" customHeight="1"/>
    <row r="2296" spans="1:15" ht="15.75" customHeight="1"/>
    <row r="2297" spans="1:15" ht="15.75" customHeight="1">
      <c r="A2297" s="395" t="s">
        <v>941</v>
      </c>
      <c r="B2297" s="184"/>
      <c r="C2297" s="184"/>
      <c r="D2297" s="184"/>
      <c r="E2297" s="184"/>
      <c r="F2297" s="184"/>
      <c r="G2297" s="184"/>
      <c r="H2297" s="184"/>
      <c r="I2297" s="184"/>
      <c r="J2297" s="184"/>
      <c r="K2297" s="184"/>
      <c r="L2297" s="184"/>
      <c r="M2297" s="184"/>
      <c r="N2297" s="184"/>
    </row>
    <row r="2298" spans="1:15" ht="15.75" customHeight="1">
      <c r="A2298" s="395"/>
      <c r="B2298" s="396"/>
      <c r="C2298" s="397"/>
      <c r="D2298" s="397"/>
      <c r="E2298" s="397"/>
      <c r="F2298" s="397"/>
      <c r="G2298" s="397"/>
      <c r="H2298" s="397"/>
      <c r="I2298" s="397"/>
      <c r="J2298" s="397"/>
      <c r="K2298" s="397"/>
      <c r="L2298" s="397"/>
      <c r="M2298" s="397"/>
      <c r="N2298" s="397"/>
      <c r="O2298" s="667"/>
    </row>
    <row r="2299" spans="1:15" ht="15.75" customHeight="1">
      <c r="A2299" s="395"/>
      <c r="B2299" s="399"/>
      <c r="C2299" s="1124"/>
      <c r="D2299" s="927"/>
      <c r="E2299" s="1207" t="str">
        <f>Datos!$C$9</f>
        <v>CONSEJO SUPERIOR  DE  JUDICATURA– DIRECCIÓN  EJECUTIVA  SECCIONAL  DE ADMINISTRACIÓN JUDICIAL DE BUCARAMANGA</v>
      </c>
      <c r="F2299" s="926"/>
      <c r="G2299" s="926"/>
      <c r="H2299" s="926"/>
      <c r="I2299" s="926"/>
      <c r="J2299" s="926"/>
      <c r="K2299" s="927"/>
      <c r="L2299" s="925" t="s">
        <v>1</v>
      </c>
      <c r="M2299" s="931"/>
      <c r="N2299" s="933">
        <v>1</v>
      </c>
      <c r="O2299" s="362"/>
    </row>
    <row r="2300" spans="1:15" ht="15.75" customHeight="1">
      <c r="A2300" s="395"/>
      <c r="B2300" s="399"/>
      <c r="C2300" s="920"/>
      <c r="D2300" s="924"/>
      <c r="E2300" s="920"/>
      <c r="F2300" s="922"/>
      <c r="G2300" s="922"/>
      <c r="H2300" s="922"/>
      <c r="I2300" s="922"/>
      <c r="J2300" s="922"/>
      <c r="K2300" s="924"/>
      <c r="L2300" s="920"/>
      <c r="M2300" s="932"/>
      <c r="N2300" s="934"/>
      <c r="O2300" s="362"/>
    </row>
    <row r="2301" spans="1:15" ht="15.75" customHeight="1">
      <c r="A2301" s="395"/>
      <c r="B2301" s="399"/>
      <c r="C2301" s="920"/>
      <c r="D2301" s="924"/>
      <c r="E2301" s="919" t="str">
        <f>Datos!$C$13</f>
        <v xml:space="preserve">BGA - 030 - 2026 </v>
      </c>
      <c r="F2301" s="922"/>
      <c r="G2301" s="922"/>
      <c r="H2301" s="922"/>
      <c r="I2301" s="922"/>
      <c r="J2301" s="922"/>
      <c r="K2301" s="922"/>
      <c r="L2301" s="925" t="s">
        <v>29</v>
      </c>
      <c r="M2301" s="926"/>
      <c r="N2301" s="927"/>
      <c r="O2301" s="362"/>
    </row>
    <row r="2302" spans="1:15" ht="15.75" customHeight="1">
      <c r="A2302" s="395"/>
      <c r="B2302" s="399"/>
      <c r="C2302" s="920"/>
      <c r="D2302" s="924"/>
      <c r="E230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302" s="922"/>
      <c r="G2302" s="922"/>
      <c r="H2302" s="922"/>
      <c r="I2302" s="922"/>
      <c r="J2302" s="922"/>
      <c r="K2302" s="924"/>
      <c r="L2302" s="919">
        <v>1</v>
      </c>
      <c r="M2302" s="921" t="s">
        <v>30</v>
      </c>
      <c r="N2302" s="923">
        <v>1</v>
      </c>
      <c r="O2302" s="362"/>
    </row>
    <row r="2303" spans="1:15" ht="15.75" customHeight="1">
      <c r="A2303" s="395"/>
      <c r="B2303" s="399"/>
      <c r="C2303" s="920"/>
      <c r="D2303" s="924"/>
      <c r="E2303" s="920"/>
      <c r="F2303" s="922"/>
      <c r="G2303" s="922"/>
      <c r="H2303" s="922"/>
      <c r="I2303" s="922"/>
      <c r="J2303" s="922"/>
      <c r="K2303" s="924"/>
      <c r="L2303" s="920"/>
      <c r="M2303" s="922"/>
      <c r="N2303" s="924"/>
      <c r="O2303" s="362"/>
    </row>
    <row r="2304" spans="1:15" ht="15.75" customHeight="1">
      <c r="A2304" s="395"/>
      <c r="B2304" s="399"/>
      <c r="C2304" s="920"/>
      <c r="D2304" s="924"/>
      <c r="E2304" s="920"/>
      <c r="F2304" s="922"/>
      <c r="G2304" s="922"/>
      <c r="H2304" s="922"/>
      <c r="I2304" s="922"/>
      <c r="J2304" s="922"/>
      <c r="K2304" s="924"/>
      <c r="L2304" s="925" t="s">
        <v>2</v>
      </c>
      <c r="M2304" s="926"/>
      <c r="N2304" s="927"/>
      <c r="O2304" s="362"/>
    </row>
    <row r="2305" spans="1:15" ht="15.75" customHeight="1">
      <c r="A2305" s="395"/>
      <c r="B2305" s="399"/>
      <c r="C2305" s="920"/>
      <c r="D2305" s="924"/>
      <c r="E2305" s="407"/>
      <c r="F2305" s="216"/>
      <c r="G2305" s="216"/>
      <c r="H2305" s="216"/>
      <c r="I2305" s="216"/>
      <c r="J2305" s="216"/>
      <c r="K2305" s="216"/>
      <c r="L2305" s="408" t="s">
        <v>3</v>
      </c>
      <c r="M2305" s="409" t="s">
        <v>4</v>
      </c>
      <c r="N2305" s="410" t="s">
        <v>5</v>
      </c>
      <c r="O2305" s="362"/>
    </row>
    <row r="2306" spans="1:15" ht="15.75" customHeight="1">
      <c r="A2306" s="395"/>
      <c r="B2306" s="399"/>
      <c r="C2306" s="920"/>
      <c r="D2306" s="924"/>
      <c r="E2306" s="1125" t="s">
        <v>1186</v>
      </c>
      <c r="F2306" s="945"/>
      <c r="G2306" s="945"/>
      <c r="H2306" s="945"/>
      <c r="I2306" s="945"/>
      <c r="J2306" s="945"/>
      <c r="K2306" s="945"/>
      <c r="L2306" s="928">
        <f>Datos!$C$7</f>
        <v>19</v>
      </c>
      <c r="M2306" s="935">
        <f>Datos!$D$7</f>
        <v>6</v>
      </c>
      <c r="N2306" s="937">
        <f>Datos!$E$7</f>
        <v>2026</v>
      </c>
      <c r="O2306" s="362"/>
    </row>
    <row r="2307" spans="1:15" ht="15.75" customHeight="1">
      <c r="A2307" s="395"/>
      <c r="B2307" s="399"/>
      <c r="C2307" s="929"/>
      <c r="D2307" s="938"/>
      <c r="E2307" s="929"/>
      <c r="F2307" s="936"/>
      <c r="G2307" s="936"/>
      <c r="H2307" s="936"/>
      <c r="I2307" s="936"/>
      <c r="J2307" s="936"/>
      <c r="K2307" s="936"/>
      <c r="L2307" s="929"/>
      <c r="M2307" s="936"/>
      <c r="N2307" s="938"/>
      <c r="O2307" s="362"/>
    </row>
    <row r="2308" spans="1:15" ht="15.75" customHeight="1">
      <c r="A2308" s="395"/>
      <c r="B2308" s="399"/>
      <c r="C2308" s="404"/>
      <c r="D2308" s="38"/>
      <c r="E2308" s="38"/>
      <c r="F2308" s="38"/>
      <c r="G2308" s="38"/>
      <c r="H2308" s="38"/>
      <c r="I2308" s="38"/>
      <c r="J2308" s="38"/>
      <c r="K2308" s="38"/>
      <c r="L2308" s="39"/>
      <c r="M2308" s="39"/>
      <c r="N2308" s="40"/>
      <c r="O2308" s="362"/>
    </row>
    <row r="2309" spans="1:15" ht="15.75" customHeight="1">
      <c r="A2309" s="395"/>
      <c r="B2309" s="399"/>
      <c r="C2309" s="412" t="s">
        <v>1187</v>
      </c>
      <c r="D2309" s="1199" t="str">
        <f>VLOOKUP(C2314,ListaAct,2,0)</f>
        <v>OBRA CIVIL</v>
      </c>
      <c r="E2309" s="922"/>
      <c r="F2309" s="922"/>
      <c r="G2309" s="922"/>
      <c r="H2309" s="922"/>
      <c r="I2309" s="922"/>
      <c r="J2309" s="922"/>
      <c r="K2309" s="922"/>
      <c r="L2309" s="922"/>
      <c r="M2309" s="1"/>
      <c r="N2309" s="413"/>
      <c r="O2309" s="362"/>
    </row>
    <row r="2310" spans="1:15" ht="15.75" customHeight="1">
      <c r="A2310" s="395"/>
      <c r="B2310" s="399"/>
      <c r="C2310" s="412" t="s">
        <v>1189</v>
      </c>
      <c r="D2310" s="1199" t="str">
        <f>VLOOKUP(C2314,ListaAct,3,0)</f>
        <v>ACABADOS</v>
      </c>
      <c r="E2310" s="922"/>
      <c r="F2310" s="922"/>
      <c r="G2310" s="922"/>
      <c r="H2310" s="922"/>
      <c r="I2310" s="922"/>
      <c r="J2310" s="922"/>
      <c r="K2310" s="922"/>
      <c r="L2310" s="922"/>
      <c r="M2310" s="1"/>
      <c r="N2310" s="413"/>
      <c r="O2310" s="362"/>
    </row>
    <row r="2311" spans="1:15" ht="15.75" customHeight="1">
      <c r="A2311" s="395"/>
      <c r="B2311" s="399"/>
      <c r="C2311" s="925" t="s">
        <v>1191</v>
      </c>
      <c r="D2311" s="926"/>
      <c r="E2311" s="926"/>
      <c r="F2311" s="926"/>
      <c r="G2311" s="926"/>
      <c r="H2311" s="926"/>
      <c r="I2311" s="926"/>
      <c r="J2311" s="926"/>
      <c r="K2311" s="926"/>
      <c r="L2311" s="926"/>
      <c r="M2311" s="926"/>
      <c r="N2311" s="927"/>
      <c r="O2311" s="362"/>
    </row>
    <row r="2312" spans="1:15" ht="15.75" customHeight="1">
      <c r="A2312" s="395"/>
      <c r="B2312" s="399"/>
      <c r="C2312" s="418"/>
      <c r="D2312" s="39"/>
      <c r="E2312" s="39"/>
      <c r="F2312" s="39"/>
      <c r="G2312" s="39"/>
      <c r="H2312" s="39"/>
      <c r="I2312" s="39"/>
      <c r="J2312" s="39"/>
      <c r="K2312" s="39"/>
      <c r="L2312" s="39"/>
      <c r="M2312" s="39"/>
      <c r="N2312" s="40"/>
      <c r="O2312" s="362"/>
    </row>
    <row r="2313" spans="1:15" ht="15.75" customHeight="1">
      <c r="A2313" s="395"/>
      <c r="B2313" s="399"/>
      <c r="C2313" s="668" t="s">
        <v>965</v>
      </c>
      <c r="D2313" s="1200" t="s">
        <v>17</v>
      </c>
      <c r="E2313" s="1131"/>
      <c r="F2313" s="1131"/>
      <c r="G2313" s="1131"/>
      <c r="H2313" s="1131"/>
      <c r="I2313" s="1131"/>
      <c r="J2313" s="1131"/>
      <c r="K2313" s="1137"/>
      <c r="L2313" s="1201" t="s">
        <v>1192</v>
      </c>
      <c r="M2313" s="1137"/>
      <c r="N2313" s="668" t="s">
        <v>950</v>
      </c>
      <c r="O2313" s="362"/>
    </row>
    <row r="2314" spans="1:15" ht="15.75" customHeight="1">
      <c r="A2314" s="395"/>
      <c r="B2314" s="421"/>
      <c r="C2314" s="669" t="s">
        <v>1072</v>
      </c>
      <c r="D2314" s="1202" t="str">
        <f>IF($C2314&gt;0,(VLOOKUP($C2314,ListaAct,4,FALSE)),"")</f>
        <v xml:space="preserve"> Pintura para muros interior y exterior mezcla real apichada de cal y agua, tres manos  </v>
      </c>
      <c r="E2314" s="979"/>
      <c r="F2314" s="979"/>
      <c r="G2314" s="979"/>
      <c r="H2314" s="979"/>
      <c r="I2314" s="979"/>
      <c r="J2314" s="979"/>
      <c r="K2314" s="980"/>
      <c r="L2314" s="1203" t="str">
        <f>IF($C2314&gt;0,(VLOOKUP($C2314,ListaAct,5,FALSE)),"")</f>
        <v>m2</v>
      </c>
      <c r="M2314" s="980"/>
      <c r="N2314" s="423">
        <f>IF($C2314&gt;0,(VLOOKUP($C2314,ListaAct,6,FALSE)),"")</f>
        <v>148.94</v>
      </c>
      <c r="O2314" s="362"/>
    </row>
    <row r="2315" spans="1:15" ht="15.75" customHeight="1">
      <c r="A2315" s="395"/>
      <c r="B2315" s="399"/>
      <c r="C2315" s="1129" t="s">
        <v>1195</v>
      </c>
      <c r="D2315" s="926"/>
      <c r="E2315" s="926"/>
      <c r="F2315" s="926"/>
      <c r="G2315" s="926"/>
      <c r="H2315" s="926"/>
      <c r="I2315" s="926"/>
      <c r="J2315" s="926"/>
      <c r="K2315" s="926"/>
      <c r="L2315" s="926"/>
      <c r="M2315" s="926"/>
      <c r="N2315" s="927"/>
      <c r="O2315" s="362"/>
    </row>
    <row r="2316" spans="1:15" ht="15.75" customHeight="1">
      <c r="A2316" s="395"/>
      <c r="B2316" s="399"/>
      <c r="C2316" s="920"/>
      <c r="D2316" s="922"/>
      <c r="E2316" s="922"/>
      <c r="F2316" s="922"/>
      <c r="G2316" s="922"/>
      <c r="H2316" s="922"/>
      <c r="I2316" s="922"/>
      <c r="J2316" s="922"/>
      <c r="K2316" s="922"/>
      <c r="L2316" s="922"/>
      <c r="M2316" s="922"/>
      <c r="N2316" s="924"/>
      <c r="O2316" s="362"/>
    </row>
    <row r="2317" spans="1:15" ht="15.75" customHeight="1">
      <c r="A2317" s="395"/>
      <c r="B2317" s="399"/>
      <c r="C2317" s="929"/>
      <c r="D2317" s="936"/>
      <c r="E2317" s="936"/>
      <c r="F2317" s="936"/>
      <c r="G2317" s="936"/>
      <c r="H2317" s="936"/>
      <c r="I2317" s="936"/>
      <c r="J2317" s="936"/>
      <c r="K2317" s="936"/>
      <c r="L2317" s="936"/>
      <c r="M2317" s="936"/>
      <c r="N2317" s="938"/>
      <c r="O2317" s="362"/>
    </row>
    <row r="2318" spans="1:15" ht="15.75" customHeight="1">
      <c r="A2318" s="395"/>
      <c r="B2318" s="399"/>
      <c r="C2318" s="1201" t="s">
        <v>17</v>
      </c>
      <c r="D2318" s="1131"/>
      <c r="E2318" s="1131"/>
      <c r="F2318" s="1000"/>
      <c r="G2318" s="1204" t="s">
        <v>1196</v>
      </c>
      <c r="H2318" s="1000"/>
      <c r="I2318" s="1204" t="s">
        <v>1197</v>
      </c>
      <c r="J2318" s="1000"/>
      <c r="K2318" s="670" t="s">
        <v>1213</v>
      </c>
      <c r="L2318" s="1204" t="s">
        <v>1199</v>
      </c>
      <c r="M2318" s="1000"/>
      <c r="N2318" s="671" t="s">
        <v>1200</v>
      </c>
      <c r="O2318" s="362"/>
    </row>
    <row r="2319" spans="1:15" ht="15.75" customHeight="1">
      <c r="A2319" s="395"/>
      <c r="B2319" s="399"/>
      <c r="C2319" s="1128" t="s">
        <v>1201</v>
      </c>
      <c r="D2319" s="940"/>
      <c r="E2319" s="940"/>
      <c r="F2319" s="941"/>
      <c r="G2319" s="1142"/>
      <c r="H2319" s="941"/>
      <c r="I2319" s="1142"/>
      <c r="J2319" s="941"/>
      <c r="K2319" s="429"/>
      <c r="L2319" s="1143">
        <v>0.06</v>
      </c>
      <c r="M2319" s="941"/>
      <c r="N2319" s="430">
        <f>+L2319*N2358</f>
        <v>293.87739277204167</v>
      </c>
      <c r="O2319" s="362"/>
    </row>
    <row r="2320" spans="1:15" ht="15.75" customHeight="1">
      <c r="A2320" s="395" t="str">
        <f t="array" ref="A2320">IF(C2320&lt;&gt;0,INDEX(CodEquipos,MATCH(C2320,Equipos,0),),)</f>
        <v>EQ-18</v>
      </c>
      <c r="B2320" s="399"/>
      <c r="C2320" s="1128" t="s">
        <v>2510</v>
      </c>
      <c r="D2320" s="940"/>
      <c r="E2320" s="940"/>
      <c r="F2320" s="941"/>
      <c r="G2320" s="1142"/>
      <c r="H2320" s="941"/>
      <c r="I2320" s="1142"/>
      <c r="J2320" s="941"/>
      <c r="K2320" s="432">
        <f>IF($A2320&gt;0,(VLOOKUP($A2320,TablaEquipos,7,FALSE)),"")</f>
        <v>195499.99999999997</v>
      </c>
      <c r="L2320" s="1146">
        <v>0.1</v>
      </c>
      <c r="M2320" s="941"/>
      <c r="N2320" s="430">
        <f>IF(L2320&gt;0,K2320*L2320,"")</f>
        <v>19549.999999999996</v>
      </c>
      <c r="O2320" s="362"/>
    </row>
    <row r="2321" spans="1:15" ht="15.75" customHeight="1">
      <c r="A2321" s="395">
        <f t="array" ref="A2321">IF(C2321&lt;&gt;0,INDEX(CodEquipos,MATCH(C2321,Equipos,0),),)</f>
        <v>0</v>
      </c>
      <c r="B2321" s="399"/>
      <c r="C2321" s="1128"/>
      <c r="D2321" s="940"/>
      <c r="E2321" s="940"/>
      <c r="F2321" s="941"/>
      <c r="G2321" s="1142"/>
      <c r="H2321" s="941"/>
      <c r="I2321" s="1142"/>
      <c r="J2321" s="941"/>
      <c r="K2321" s="432" t="str">
        <f>IF($A2321&gt;0,(VLOOKUP($A2321,TablaEquipos,7,FALSE)),"")</f>
        <v/>
      </c>
      <c r="L2321" s="1146"/>
      <c r="M2321" s="941"/>
      <c r="N2321" s="430" t="str">
        <f t="shared" ref="N2321:N2324" si="174">IF(L2321&gt;0,K2321/L2321,"")</f>
        <v/>
      </c>
      <c r="O2321" s="362"/>
    </row>
    <row r="2322" spans="1:15" ht="15.75" customHeight="1">
      <c r="A2322" s="395">
        <f t="array" ref="A2322">IF(C2322&lt;&gt;0,INDEX(CodEquipos,MATCH(C2322,Equipos,0),),)</f>
        <v>0</v>
      </c>
      <c r="B2322" s="399"/>
      <c r="C2322" s="1128"/>
      <c r="D2322" s="940"/>
      <c r="E2322" s="940"/>
      <c r="F2322" s="941"/>
      <c r="G2322" s="1142"/>
      <c r="H2322" s="941"/>
      <c r="I2322" s="1142"/>
      <c r="J2322" s="941"/>
      <c r="K2322" s="432" t="str">
        <f>IF($A2322&gt;0,(VLOOKUP($A2322,TablaEquipos,7,FALSE)),"")</f>
        <v/>
      </c>
      <c r="L2322" s="1146"/>
      <c r="M2322" s="941"/>
      <c r="N2322" s="430" t="str">
        <f t="shared" si="174"/>
        <v/>
      </c>
      <c r="O2322" s="362"/>
    </row>
    <row r="2323" spans="1:15" ht="15.75" customHeight="1">
      <c r="A2323" s="395">
        <f t="array" ref="A2323">IF(C2323&lt;&gt;0,INDEX(CodEquipos,MATCH(C2323,Equipos,0),),)</f>
        <v>0</v>
      </c>
      <c r="B2323" s="399"/>
      <c r="C2323" s="1128"/>
      <c r="D2323" s="940"/>
      <c r="E2323" s="940"/>
      <c r="F2323" s="941"/>
      <c r="G2323" s="1142"/>
      <c r="H2323" s="941"/>
      <c r="I2323" s="1142"/>
      <c r="J2323" s="941"/>
      <c r="K2323" s="432" t="str">
        <f>IF($A2323&gt;0,(VLOOKUP($A2323,TablaEquipos,7,FALSE)),"")</f>
        <v/>
      </c>
      <c r="L2323" s="1141"/>
      <c r="M2323" s="941"/>
      <c r="N2323" s="430" t="str">
        <f t="shared" si="174"/>
        <v/>
      </c>
      <c r="O2323" s="362"/>
    </row>
    <row r="2324" spans="1:15" ht="15.75" customHeight="1">
      <c r="A2324" s="395">
        <f t="array" ref="A2324">IF(C2324&lt;&gt;0,INDEX(CodEquipos,MATCH(C2324,Equipos,0),),)</f>
        <v>0</v>
      </c>
      <c r="B2324" s="399"/>
      <c r="C2324" s="1128"/>
      <c r="D2324" s="940"/>
      <c r="E2324" s="940"/>
      <c r="F2324" s="941"/>
      <c r="G2324" s="1144"/>
      <c r="H2324" s="1145"/>
      <c r="I2324" s="1144"/>
      <c r="J2324" s="1145"/>
      <c r="K2324" s="432" t="str">
        <f>IF($A2324&gt;0,(VLOOKUP($A2324,TablaEquipos,7,FALSE)),"")</f>
        <v/>
      </c>
      <c r="L2324" s="1208"/>
      <c r="M2324" s="1145"/>
      <c r="N2324" s="430" t="str">
        <f t="shared" si="174"/>
        <v/>
      </c>
      <c r="O2324" s="362"/>
    </row>
    <row r="2325" spans="1:15" ht="15.75" customHeight="1">
      <c r="A2325" s="395"/>
      <c r="B2325" s="399"/>
      <c r="C2325" s="1127" t="s">
        <v>1202</v>
      </c>
      <c r="D2325" s="965"/>
      <c r="E2325" s="965"/>
      <c r="F2325" s="965"/>
      <c r="G2325" s="965"/>
      <c r="H2325" s="965"/>
      <c r="I2325" s="965"/>
      <c r="J2325" s="965"/>
      <c r="K2325" s="965"/>
      <c r="L2325" s="965"/>
      <c r="M2325" s="966"/>
      <c r="N2325" s="433">
        <f>+SUM(N2319:N2324)</f>
        <v>19843.877392772039</v>
      </c>
      <c r="O2325" s="362"/>
    </row>
    <row r="2326" spans="1:15" ht="15.75" customHeight="1">
      <c r="A2326" s="395"/>
      <c r="B2326" s="399"/>
      <c r="C2326" s="1129" t="s">
        <v>1203</v>
      </c>
      <c r="D2326" s="926"/>
      <c r="E2326" s="926"/>
      <c r="F2326" s="926"/>
      <c r="G2326" s="926"/>
      <c r="H2326" s="926"/>
      <c r="I2326" s="926"/>
      <c r="J2326" s="926"/>
      <c r="K2326" s="926"/>
      <c r="L2326" s="926"/>
      <c r="M2326" s="926"/>
      <c r="N2326" s="927"/>
      <c r="O2326" s="362"/>
    </row>
    <row r="2327" spans="1:15" ht="15.75" customHeight="1">
      <c r="A2327" s="395"/>
      <c r="B2327" s="399"/>
      <c r="C2327" s="920"/>
      <c r="D2327" s="922"/>
      <c r="E2327" s="922"/>
      <c r="F2327" s="922"/>
      <c r="G2327" s="922"/>
      <c r="H2327" s="922"/>
      <c r="I2327" s="922"/>
      <c r="J2327" s="922"/>
      <c r="K2327" s="922"/>
      <c r="L2327" s="922"/>
      <c r="M2327" s="922"/>
      <c r="N2327" s="924"/>
      <c r="O2327" s="362"/>
    </row>
    <row r="2328" spans="1:15" ht="15.75" customHeight="1">
      <c r="A2328" s="395"/>
      <c r="B2328" s="399"/>
      <c r="C2328" s="929"/>
      <c r="D2328" s="936"/>
      <c r="E2328" s="936"/>
      <c r="F2328" s="936"/>
      <c r="G2328" s="936"/>
      <c r="H2328" s="936"/>
      <c r="I2328" s="936"/>
      <c r="J2328" s="936"/>
      <c r="K2328" s="936"/>
      <c r="L2328" s="936"/>
      <c r="M2328" s="936"/>
      <c r="N2328" s="938"/>
      <c r="O2328" s="362"/>
    </row>
    <row r="2329" spans="1:15" ht="15.75" customHeight="1">
      <c r="A2329" s="395"/>
      <c r="B2329" s="399"/>
      <c r="C2329" s="1201" t="s">
        <v>17</v>
      </c>
      <c r="D2329" s="1131"/>
      <c r="E2329" s="1131"/>
      <c r="F2329" s="1131"/>
      <c r="G2329" s="1131"/>
      <c r="H2329" s="1131"/>
      <c r="I2329" s="1000"/>
      <c r="J2329" s="672" t="s">
        <v>1192</v>
      </c>
      <c r="K2329" s="670" t="s">
        <v>950</v>
      </c>
      <c r="L2329" s="1204" t="s">
        <v>1204</v>
      </c>
      <c r="M2329" s="1000"/>
      <c r="N2329" s="671" t="s">
        <v>1200</v>
      </c>
      <c r="O2329" s="362"/>
    </row>
    <row r="2330" spans="1:15" ht="15.75" customHeight="1">
      <c r="A2330" s="395" t="str">
        <f t="array" ref="A2330">IF(C2330&lt;&gt;0,INDEX(CodMat,MATCH(C2330,Materiales,0),),)</f>
        <v>MAT_C-89</v>
      </c>
      <c r="B2330" s="399"/>
      <c r="C2330" s="1128" t="s">
        <v>2546</v>
      </c>
      <c r="D2330" s="940"/>
      <c r="E2330" s="940"/>
      <c r="F2330" s="940"/>
      <c r="G2330" s="940"/>
      <c r="H2330" s="940"/>
      <c r="I2330" s="941"/>
      <c r="J2330" s="435" t="str">
        <f t="shared" ref="J2330:J2337" si="175">IF($A2330&gt;0,(VLOOKUP($A2330,TablaInsumos,5,FALSE)),"")</f>
        <v>KG</v>
      </c>
      <c r="K2330" s="673">
        <v>2</v>
      </c>
      <c r="L2330" s="1134">
        <f t="shared" ref="L2330:L2337" si="176">IF($A2330&gt;0,(VLOOKUP($A2330,TablaInsumos,7,FALSE)),"")</f>
        <v>9085</v>
      </c>
      <c r="M2330" s="941"/>
      <c r="N2330" s="430">
        <f t="shared" ref="N2330:N2337" si="177">IF(K2330&gt;0,L2330*K2330,"")</f>
        <v>18170</v>
      </c>
      <c r="O2330" s="362"/>
    </row>
    <row r="2331" spans="1:15" ht="15.75" customHeight="1">
      <c r="A2331" s="395" t="str">
        <f t="array" ref="A2331">IF(C2331&lt;&gt;0,INDEX(CodMat,MATCH(C2331,Materiales,0),),)</f>
        <v>MAT_C-90</v>
      </c>
      <c r="B2331" s="399"/>
      <c r="C2331" s="1128" t="s">
        <v>2547</v>
      </c>
      <c r="D2331" s="940"/>
      <c r="E2331" s="940"/>
      <c r="F2331" s="940"/>
      <c r="G2331" s="940"/>
      <c r="H2331" s="940"/>
      <c r="I2331" s="941"/>
      <c r="J2331" s="435" t="str">
        <f t="shared" si="175"/>
        <v>LITRO</v>
      </c>
      <c r="K2331" s="673">
        <v>1</v>
      </c>
      <c r="L2331" s="1134">
        <f t="shared" si="176"/>
        <v>165</v>
      </c>
      <c r="M2331" s="941"/>
      <c r="N2331" s="430">
        <f t="shared" si="177"/>
        <v>165</v>
      </c>
      <c r="O2331" s="362"/>
    </row>
    <row r="2332" spans="1:15" ht="15.75" customHeight="1">
      <c r="A2332" s="395" t="str">
        <f t="array" ref="A2332">IF(C2332&lt;&gt;0,INDEX(CodMat,MATCH(C2332,Materiales,0),),)</f>
        <v>MAT_P-01</v>
      </c>
      <c r="B2332" s="399"/>
      <c r="C2332" s="1128" t="s">
        <v>2549</v>
      </c>
      <c r="D2332" s="940"/>
      <c r="E2332" s="940"/>
      <c r="F2332" s="940"/>
      <c r="G2332" s="940"/>
      <c r="H2332" s="940"/>
      <c r="I2332" s="941"/>
      <c r="J2332" s="435" t="str">
        <f t="shared" si="175"/>
        <v xml:space="preserve">UND </v>
      </c>
      <c r="K2332" s="673">
        <v>0.1</v>
      </c>
      <c r="L2332" s="1134">
        <f t="shared" si="176"/>
        <v>8900</v>
      </c>
      <c r="M2332" s="941"/>
      <c r="N2332" s="430">
        <f t="shared" si="177"/>
        <v>890</v>
      </c>
      <c r="O2332" s="362"/>
    </row>
    <row r="2333" spans="1:15" ht="15.75" customHeight="1">
      <c r="A2333" s="395" t="str">
        <f t="array" ref="A2333">IF(C2333&lt;&gt;0,INDEX(CodMat,MATCH(C2333,Materiales,0),),)</f>
        <v>MAT_P-17</v>
      </c>
      <c r="B2333" s="399"/>
      <c r="C2333" s="1128" t="s">
        <v>2550</v>
      </c>
      <c r="D2333" s="940"/>
      <c r="E2333" s="940"/>
      <c r="F2333" s="940"/>
      <c r="G2333" s="940"/>
      <c r="H2333" s="940"/>
      <c r="I2333" s="941"/>
      <c r="J2333" s="435" t="str">
        <f t="shared" si="175"/>
        <v xml:space="preserve">UND </v>
      </c>
      <c r="K2333" s="673">
        <v>7.0000000000000007E-2</v>
      </c>
      <c r="L2333" s="1134">
        <f t="shared" si="176"/>
        <v>15900</v>
      </c>
      <c r="M2333" s="941"/>
      <c r="N2333" s="430">
        <f t="shared" si="177"/>
        <v>1113</v>
      </c>
      <c r="O2333" s="362"/>
    </row>
    <row r="2334" spans="1:15" ht="15.75" customHeight="1">
      <c r="A2334" s="395" t="str">
        <f t="array" ref="A2334">IF(C2334&lt;&gt;0,INDEX(CodMat,MATCH(C2334,Materiales,0),),)</f>
        <v>MAT_P-19</v>
      </c>
      <c r="B2334" s="399"/>
      <c r="C2334" s="1128" t="s">
        <v>2551</v>
      </c>
      <c r="D2334" s="940"/>
      <c r="E2334" s="940"/>
      <c r="F2334" s="940"/>
      <c r="G2334" s="940"/>
      <c r="H2334" s="940"/>
      <c r="I2334" s="941"/>
      <c r="J2334" s="435" t="str">
        <f t="shared" si="175"/>
        <v>UND</v>
      </c>
      <c r="K2334" s="673">
        <v>7.0000000000000007E-2</v>
      </c>
      <c r="L2334" s="1134">
        <f t="shared" si="176"/>
        <v>10890</v>
      </c>
      <c r="M2334" s="941"/>
      <c r="N2334" s="430">
        <f t="shared" si="177"/>
        <v>762.30000000000007</v>
      </c>
      <c r="O2334" s="362"/>
    </row>
    <row r="2335" spans="1:15" ht="15.75" customHeight="1">
      <c r="A2335" s="395" t="str">
        <f t="array" ref="A2335">IF(C2335&lt;&gt;0,INDEX(CodMat,MATCH(C2335,Materiales,0),),)</f>
        <v>MAT_P-02</v>
      </c>
      <c r="B2335" s="399"/>
      <c r="C2335" s="1128" t="s">
        <v>2552</v>
      </c>
      <c r="D2335" s="940"/>
      <c r="E2335" s="940"/>
      <c r="F2335" s="940"/>
      <c r="G2335" s="940"/>
      <c r="H2335" s="940"/>
      <c r="I2335" s="941"/>
      <c r="J2335" s="435" t="str">
        <f t="shared" si="175"/>
        <v>UND</v>
      </c>
      <c r="K2335" s="673">
        <v>7.0000000000000007E-2</v>
      </c>
      <c r="L2335" s="1134">
        <f t="shared" si="176"/>
        <v>12700</v>
      </c>
      <c r="M2335" s="941"/>
      <c r="N2335" s="430">
        <f t="shared" si="177"/>
        <v>889.00000000000011</v>
      </c>
      <c r="O2335" s="362"/>
    </row>
    <row r="2336" spans="1:15" ht="15.75" customHeight="1">
      <c r="A2336" s="395">
        <f t="array" ref="A2336">IF(C2336&lt;&gt;0,INDEX(CodMat,MATCH(C2336,Materiales,0),),)</f>
        <v>0</v>
      </c>
      <c r="B2336" s="399"/>
      <c r="C2336" s="1128"/>
      <c r="D2336" s="940"/>
      <c r="E2336" s="940"/>
      <c r="F2336" s="940"/>
      <c r="G2336" s="940"/>
      <c r="H2336" s="940"/>
      <c r="I2336" s="941"/>
      <c r="J2336" s="435" t="str">
        <f t="shared" si="175"/>
        <v/>
      </c>
      <c r="K2336" s="673"/>
      <c r="L2336" s="1134" t="str">
        <f t="shared" si="176"/>
        <v/>
      </c>
      <c r="M2336" s="941"/>
      <c r="N2336" s="430" t="str">
        <f t="shared" si="177"/>
        <v/>
      </c>
      <c r="O2336" s="362"/>
    </row>
    <row r="2337" spans="1:15" ht="15.75" customHeight="1">
      <c r="A2337" s="395">
        <f t="array" ref="A2337">IF(C2337&lt;&gt;0,INDEX(CodMat,MATCH(C2337,Materiales,0),),)</f>
        <v>0</v>
      </c>
      <c r="B2337" s="399"/>
      <c r="C2337" s="1128"/>
      <c r="D2337" s="940"/>
      <c r="E2337" s="940"/>
      <c r="F2337" s="940"/>
      <c r="G2337" s="940"/>
      <c r="H2337" s="940"/>
      <c r="I2337" s="941"/>
      <c r="J2337" s="435" t="str">
        <f t="shared" si="175"/>
        <v/>
      </c>
      <c r="K2337" s="673"/>
      <c r="L2337" s="1205" t="str">
        <f t="shared" si="176"/>
        <v/>
      </c>
      <c r="M2337" s="1145"/>
      <c r="N2337" s="430" t="str">
        <f t="shared" si="177"/>
        <v/>
      </c>
      <c r="O2337" s="362"/>
    </row>
    <row r="2338" spans="1:15" ht="15.75" customHeight="1">
      <c r="A2338" s="395"/>
      <c r="B2338" s="399"/>
      <c r="C2338" s="1127" t="s">
        <v>1202</v>
      </c>
      <c r="D2338" s="965"/>
      <c r="E2338" s="965"/>
      <c r="F2338" s="965"/>
      <c r="G2338" s="965"/>
      <c r="H2338" s="965"/>
      <c r="I2338" s="965"/>
      <c r="J2338" s="965"/>
      <c r="K2338" s="965"/>
      <c r="L2338" s="965"/>
      <c r="M2338" s="966"/>
      <c r="N2338" s="433">
        <f>+SUM(N2330:N2337)</f>
        <v>21989.3</v>
      </c>
      <c r="O2338" s="362"/>
    </row>
    <row r="2339" spans="1:15" ht="15.75" customHeight="1">
      <c r="A2339" s="395"/>
      <c r="B2339" s="399"/>
      <c r="C2339" s="1129" t="s">
        <v>1208</v>
      </c>
      <c r="D2339" s="926"/>
      <c r="E2339" s="926"/>
      <c r="F2339" s="926"/>
      <c r="G2339" s="926"/>
      <c r="H2339" s="926"/>
      <c r="I2339" s="926"/>
      <c r="J2339" s="926"/>
      <c r="K2339" s="926"/>
      <c r="L2339" s="926"/>
      <c r="M2339" s="926"/>
      <c r="N2339" s="927"/>
      <c r="O2339" s="362"/>
    </row>
    <row r="2340" spans="1:15" ht="15.75" customHeight="1">
      <c r="A2340" s="395"/>
      <c r="B2340" s="399"/>
      <c r="C2340" s="920"/>
      <c r="D2340" s="922"/>
      <c r="E2340" s="922"/>
      <c r="F2340" s="922"/>
      <c r="G2340" s="922"/>
      <c r="H2340" s="922"/>
      <c r="I2340" s="922"/>
      <c r="J2340" s="922"/>
      <c r="K2340" s="922"/>
      <c r="L2340" s="922"/>
      <c r="M2340" s="922"/>
      <c r="N2340" s="924"/>
      <c r="O2340" s="362"/>
    </row>
    <row r="2341" spans="1:15" ht="15.75" customHeight="1">
      <c r="A2341" s="395"/>
      <c r="B2341" s="399"/>
      <c r="C2341" s="929"/>
      <c r="D2341" s="936"/>
      <c r="E2341" s="936"/>
      <c r="F2341" s="936"/>
      <c r="G2341" s="936"/>
      <c r="H2341" s="936"/>
      <c r="I2341" s="936"/>
      <c r="J2341" s="936"/>
      <c r="K2341" s="936"/>
      <c r="L2341" s="936"/>
      <c r="M2341" s="936"/>
      <c r="N2341" s="938"/>
      <c r="O2341" s="362"/>
    </row>
    <row r="2342" spans="1:15" ht="15.75" customHeight="1">
      <c r="A2342" s="395"/>
      <c r="B2342" s="399"/>
      <c r="C2342" s="1201" t="s">
        <v>1209</v>
      </c>
      <c r="D2342" s="1131"/>
      <c r="E2342" s="1131"/>
      <c r="F2342" s="1131"/>
      <c r="G2342" s="1131"/>
      <c r="H2342" s="1000"/>
      <c r="I2342" s="670" t="s">
        <v>1210</v>
      </c>
      <c r="J2342" s="674" t="s">
        <v>1211</v>
      </c>
      <c r="K2342" s="675" t="s">
        <v>2318</v>
      </c>
      <c r="L2342" s="1204" t="s">
        <v>1213</v>
      </c>
      <c r="M2342" s="1000"/>
      <c r="N2342" s="671" t="s">
        <v>1200</v>
      </c>
      <c r="O2342" s="362"/>
    </row>
    <row r="2343" spans="1:15" ht="15.75" customHeight="1">
      <c r="A2343" s="395">
        <f t="array" ref="A2343">IF(C2343&lt;&gt;0,INDEX(CodTransporte,MATCH(C2343,Transporte,0),),)</f>
        <v>0</v>
      </c>
      <c r="B2343" s="399"/>
      <c r="C2343" s="1128"/>
      <c r="D2343" s="940"/>
      <c r="E2343" s="940"/>
      <c r="F2343" s="940"/>
      <c r="G2343" s="940"/>
      <c r="H2343" s="940"/>
      <c r="I2343" s="440"/>
      <c r="J2343" s="441" t="str">
        <f>IF($A2343&gt;0,(VLOOKUP($A2343,TablaTransporte,6,FALSE)),"")</f>
        <v/>
      </c>
      <c r="K2343" s="442" t="str">
        <f>IF($A2343&gt;0,(VLOOKUP($A2343,TablaTransporte,5,FALSE)),"")</f>
        <v/>
      </c>
      <c r="L2343" s="1134" t="str">
        <f>IF($A2343&gt;0,(VLOOKUP($A2343,TablaTransporte,7,FALSE)),"")</f>
        <v/>
      </c>
      <c r="M2343" s="941"/>
      <c r="N2343" s="430" t="str">
        <f t="shared" ref="N2343:N2347" si="178">IF(I2343&gt;0,J2343*L2343*I2343,"")</f>
        <v/>
      </c>
      <c r="O2343" s="362"/>
    </row>
    <row r="2344" spans="1:15" ht="15.75" customHeight="1">
      <c r="A2344" s="395">
        <f t="array" ref="A2344">IF(C2344&lt;&gt;0,INDEX(CodTransporte,MATCH(C2344,Transporte,0),),)</f>
        <v>0</v>
      </c>
      <c r="B2344" s="399"/>
      <c r="C2344" s="1128"/>
      <c r="D2344" s="940"/>
      <c r="E2344" s="940"/>
      <c r="F2344" s="940"/>
      <c r="G2344" s="940"/>
      <c r="H2344" s="940"/>
      <c r="I2344" s="440"/>
      <c r="J2344" s="441" t="str">
        <f>IF($A2344&gt;0,(VLOOKUP($A2344,TablaTransporte,6,FALSE)),"")</f>
        <v/>
      </c>
      <c r="K2344" s="442" t="str">
        <f>IF($A2344&gt;0,(VLOOKUP($A2344,TablaTransporte,5,FALSE)),"")</f>
        <v/>
      </c>
      <c r="L2344" s="1134" t="str">
        <f>IF($A2344&gt;0,(VLOOKUP($A2344,TablaTransporte,7,FALSE)),"")</f>
        <v/>
      </c>
      <c r="M2344" s="941"/>
      <c r="N2344" s="430" t="str">
        <f t="shared" si="178"/>
        <v/>
      </c>
      <c r="O2344" s="362"/>
    </row>
    <row r="2345" spans="1:15" ht="15.75" customHeight="1">
      <c r="A2345" s="395">
        <f t="array" ref="A2345">IF(C2345&lt;&gt;0,INDEX(CodTransporte,MATCH(C2345,Transporte,0),),)</f>
        <v>0</v>
      </c>
      <c r="B2345" s="399"/>
      <c r="C2345" s="1128"/>
      <c r="D2345" s="940"/>
      <c r="E2345" s="940"/>
      <c r="F2345" s="940"/>
      <c r="G2345" s="940"/>
      <c r="H2345" s="940"/>
      <c r="I2345" s="440"/>
      <c r="J2345" s="441" t="str">
        <f>IF($A2345&gt;0,(VLOOKUP($A2345,TablaTransporte,6,FALSE)),"")</f>
        <v/>
      </c>
      <c r="K2345" s="442" t="str">
        <f>IF($A2345&gt;0,(VLOOKUP($A2345,TablaTransporte,5,FALSE)),"")</f>
        <v/>
      </c>
      <c r="L2345" s="1134" t="str">
        <f>IF($A2345&gt;0,(VLOOKUP($A2345,TablaTransporte,7,FALSE)),"")</f>
        <v/>
      </c>
      <c r="M2345" s="941"/>
      <c r="N2345" s="430" t="str">
        <f t="shared" si="178"/>
        <v/>
      </c>
      <c r="O2345" s="362"/>
    </row>
    <row r="2346" spans="1:15" ht="15.75" customHeight="1">
      <c r="A2346" s="395">
        <f t="array" ref="A2346">IF(C2346&lt;&gt;0,INDEX(CodTransporte,MATCH(C2346,Transporte,0),),)</f>
        <v>0</v>
      </c>
      <c r="B2346" s="399"/>
      <c r="C2346" s="1128"/>
      <c r="D2346" s="940"/>
      <c r="E2346" s="940"/>
      <c r="F2346" s="940"/>
      <c r="G2346" s="940"/>
      <c r="H2346" s="940"/>
      <c r="I2346" s="440"/>
      <c r="J2346" s="441" t="str">
        <f>IF($A2346&gt;0,(VLOOKUP($A2346,TablaTransporte,6,FALSE)),"")</f>
        <v/>
      </c>
      <c r="K2346" s="442" t="str">
        <f>IF($A2346&gt;0,(VLOOKUP($A2346,TablaTransporte,5,FALSE)),"")</f>
        <v/>
      </c>
      <c r="L2346" s="1134" t="str">
        <f>IF($A2346&gt;0,(VLOOKUP($A2346,TablaTransporte,7,FALSE)),"")</f>
        <v/>
      </c>
      <c r="M2346" s="941"/>
      <c r="N2346" s="430" t="str">
        <f t="shared" si="178"/>
        <v/>
      </c>
      <c r="O2346" s="362"/>
    </row>
    <row r="2347" spans="1:15" ht="15.75" customHeight="1">
      <c r="A2347" s="395">
        <f t="array" ref="A2347">IF(C2347&lt;&gt;0,INDEX(CodTransporte,MATCH(C2347,Transporte,0),),)</f>
        <v>0</v>
      </c>
      <c r="B2347" s="399"/>
      <c r="C2347" s="1128"/>
      <c r="D2347" s="940"/>
      <c r="E2347" s="940"/>
      <c r="F2347" s="940"/>
      <c r="G2347" s="940"/>
      <c r="H2347" s="940"/>
      <c r="I2347" s="440"/>
      <c r="J2347" s="441" t="str">
        <f>IF($A2347&gt;0,(VLOOKUP($A2347,TablaTransporte,6,FALSE)),"")</f>
        <v/>
      </c>
      <c r="K2347" s="442" t="str">
        <f>IF($A2347&gt;0,(VLOOKUP($A2347,TablaTransporte,5,FALSE)),"")</f>
        <v/>
      </c>
      <c r="L2347" s="1205" t="str">
        <f>IF($A2347&gt;0,(VLOOKUP($A2347,TablaTransporte,7,FALSE)),"")</f>
        <v/>
      </c>
      <c r="M2347" s="1145"/>
      <c r="N2347" s="430" t="str">
        <f t="shared" si="178"/>
        <v/>
      </c>
      <c r="O2347" s="362"/>
    </row>
    <row r="2348" spans="1:15" ht="15.75" customHeight="1">
      <c r="A2348" s="395"/>
      <c r="B2348" s="399"/>
      <c r="C2348" s="1127" t="s">
        <v>1202</v>
      </c>
      <c r="D2348" s="965"/>
      <c r="E2348" s="965"/>
      <c r="F2348" s="965"/>
      <c r="G2348" s="965"/>
      <c r="H2348" s="965"/>
      <c r="I2348" s="965"/>
      <c r="J2348" s="965"/>
      <c r="K2348" s="965"/>
      <c r="L2348" s="965"/>
      <c r="M2348" s="966"/>
      <c r="N2348" s="433">
        <f>+SUM(N2343:N2347)</f>
        <v>0</v>
      </c>
      <c r="O2348" s="362"/>
    </row>
    <row r="2349" spans="1:15" ht="15.75" customHeight="1">
      <c r="A2349" s="395"/>
      <c r="B2349" s="399"/>
      <c r="C2349" s="1129" t="s">
        <v>1214</v>
      </c>
      <c r="D2349" s="926"/>
      <c r="E2349" s="926"/>
      <c r="F2349" s="926"/>
      <c r="G2349" s="926"/>
      <c r="H2349" s="926"/>
      <c r="I2349" s="926"/>
      <c r="J2349" s="926"/>
      <c r="K2349" s="926"/>
      <c r="L2349" s="926"/>
      <c r="M2349" s="926"/>
      <c r="N2349" s="927"/>
      <c r="O2349" s="362"/>
    </row>
    <row r="2350" spans="1:15" ht="15.75" customHeight="1">
      <c r="A2350" s="395"/>
      <c r="B2350" s="399"/>
      <c r="C2350" s="920"/>
      <c r="D2350" s="922"/>
      <c r="E2350" s="922"/>
      <c r="F2350" s="922"/>
      <c r="G2350" s="922"/>
      <c r="H2350" s="922"/>
      <c r="I2350" s="922"/>
      <c r="J2350" s="922"/>
      <c r="K2350" s="922"/>
      <c r="L2350" s="922"/>
      <c r="M2350" s="922"/>
      <c r="N2350" s="924"/>
      <c r="O2350" s="362"/>
    </row>
    <row r="2351" spans="1:15" ht="15.75" customHeight="1">
      <c r="A2351" s="395"/>
      <c r="B2351" s="399"/>
      <c r="C2351" s="929"/>
      <c r="D2351" s="936"/>
      <c r="E2351" s="936"/>
      <c r="F2351" s="936"/>
      <c r="G2351" s="936"/>
      <c r="H2351" s="936"/>
      <c r="I2351" s="936"/>
      <c r="J2351" s="936"/>
      <c r="K2351" s="936"/>
      <c r="L2351" s="936"/>
      <c r="M2351" s="936"/>
      <c r="N2351" s="938"/>
      <c r="O2351" s="362"/>
    </row>
    <row r="2352" spans="1:15" ht="15.75" customHeight="1">
      <c r="A2352" s="395"/>
      <c r="B2352" s="399"/>
      <c r="C2352" s="1201" t="s">
        <v>1215</v>
      </c>
      <c r="D2352" s="1131"/>
      <c r="E2352" s="1131"/>
      <c r="F2352" s="1131"/>
      <c r="G2352" s="1131"/>
      <c r="H2352" s="1000"/>
      <c r="I2352" s="670" t="s">
        <v>1216</v>
      </c>
      <c r="J2352" s="676" t="s">
        <v>1217</v>
      </c>
      <c r="K2352" s="677" t="s">
        <v>1218</v>
      </c>
      <c r="L2352" s="1206" t="s">
        <v>1199</v>
      </c>
      <c r="M2352" s="1000"/>
      <c r="N2352" s="678" t="s">
        <v>1200</v>
      </c>
      <c r="O2352" s="362"/>
    </row>
    <row r="2353" spans="1:18" ht="15.75" customHeight="1">
      <c r="A2353" s="395" t="str">
        <f t="array" ref="A2353">IF(C2353&lt;&gt;0,INDEX(CodMO,MATCH(C2353,MO,0),),)</f>
        <v>M.O-05</v>
      </c>
      <c r="B2353" s="399"/>
      <c r="C2353" s="1128" t="s">
        <v>139</v>
      </c>
      <c r="D2353" s="940"/>
      <c r="E2353" s="940"/>
      <c r="F2353" s="940"/>
      <c r="G2353" s="940"/>
      <c r="H2353" s="940"/>
      <c r="I2353" s="447">
        <f>IF($A2353&gt;0,(VLOOKUP($A2353,TablaMO,8,FALSE)),"")</f>
        <v>125030.16666666667</v>
      </c>
      <c r="J2353" s="448">
        <f>IF($A2353&gt;0,(VLOOKUP($A2353,TablaMO,10,FALSE)),"")</f>
        <v>0.67071666666666663</v>
      </c>
      <c r="K2353" s="447">
        <f>IF($A2353&gt;0,(VLOOKUP($A2353,TablaMO,11,FALSE)),"")</f>
        <v>208890</v>
      </c>
      <c r="L2353" s="1146">
        <v>67.379527949466066</v>
      </c>
      <c r="M2353" s="941"/>
      <c r="N2353" s="430">
        <f t="shared" ref="N2353:N2357" si="179">IF(L2353&gt;0,K2353/L2353,"")</f>
        <v>3100.199813757456</v>
      </c>
      <c r="O2353" s="362"/>
    </row>
    <row r="2354" spans="1:18" ht="15.75" customHeight="1">
      <c r="A2354" s="395" t="str">
        <f t="array" ref="A2354">IF(C2354&lt;&gt;0,INDEX(CodMO,MATCH(C2354,MO,0),),)</f>
        <v>M.O-01</v>
      </c>
      <c r="B2354" s="399"/>
      <c r="C2354" s="1128" t="s">
        <v>130</v>
      </c>
      <c r="D2354" s="940"/>
      <c r="E2354" s="940"/>
      <c r="F2354" s="940"/>
      <c r="G2354" s="940"/>
      <c r="H2354" s="940"/>
      <c r="I2354" s="447">
        <f>IF($A2354&gt;0,(VLOOKUP($A2354,TablaMO,8,FALSE)),"")</f>
        <v>72503.016666666677</v>
      </c>
      <c r="J2354" s="448">
        <f>IF($A2354&gt;0,(VLOOKUP($A2354,TablaMO,10,FALSE)),"")</f>
        <v>0.67071666666666663</v>
      </c>
      <c r="K2354" s="447">
        <f>IF($A2354&gt;0,(VLOOKUP($A2354,TablaMO,11,FALSE)),"")</f>
        <v>121132</v>
      </c>
      <c r="L2354" s="1146">
        <f>L2353</f>
        <v>67.379527949466066</v>
      </c>
      <c r="M2354" s="941"/>
      <c r="N2354" s="430">
        <f t="shared" si="179"/>
        <v>1797.7567324432389</v>
      </c>
      <c r="O2354" s="362"/>
    </row>
    <row r="2355" spans="1:18" ht="15.75" customHeight="1">
      <c r="A2355" s="395">
        <f t="array" ref="A2355">IF(C2355&lt;&gt;0,INDEX(CodMO,MATCH(C2355,MO,0),),)</f>
        <v>0</v>
      </c>
      <c r="B2355" s="399"/>
      <c r="C2355" s="1128"/>
      <c r="D2355" s="940"/>
      <c r="E2355" s="940"/>
      <c r="F2355" s="940"/>
      <c r="G2355" s="940"/>
      <c r="H2355" s="940"/>
      <c r="I2355" s="447" t="str">
        <f>IF($A2355&gt;0,(VLOOKUP($A2355,TablaMO,8,FALSE)),"")</f>
        <v/>
      </c>
      <c r="J2355" s="448" t="str">
        <f>IF($A2355&gt;0,(VLOOKUP($A2355,TablaMO,10,FALSE)),"")</f>
        <v/>
      </c>
      <c r="K2355" s="447" t="str">
        <f>IF($A2355&gt;0,(VLOOKUP($A2355,TablaMO,11,FALSE)),"")</f>
        <v/>
      </c>
      <c r="L2355" s="1146"/>
      <c r="M2355" s="941"/>
      <c r="N2355" s="430" t="str">
        <f t="shared" si="179"/>
        <v/>
      </c>
      <c r="O2355" s="362"/>
    </row>
    <row r="2356" spans="1:18" ht="15.75" customHeight="1">
      <c r="A2356" s="395">
        <f t="array" ref="A2356">IF(C2356&lt;&gt;0,INDEX(CodMO,MATCH(C2356,MO,0),),)</f>
        <v>0</v>
      </c>
      <c r="B2356" s="399"/>
      <c r="C2356" s="1128"/>
      <c r="D2356" s="940"/>
      <c r="E2356" s="940"/>
      <c r="F2356" s="940"/>
      <c r="G2356" s="940"/>
      <c r="H2356" s="940"/>
      <c r="I2356" s="447" t="str">
        <f>IF($A2356&gt;0,(VLOOKUP($A2356,TablaMO,8,FALSE)),"")</f>
        <v/>
      </c>
      <c r="J2356" s="448" t="str">
        <f>IF($A2356&gt;0,(VLOOKUP($A2356,TablaMO,10,FALSE)),"")</f>
        <v/>
      </c>
      <c r="K2356" s="447" t="str">
        <f>IF($A2356&gt;0,(VLOOKUP($A2356,TablaMO,11,FALSE)),"")</f>
        <v/>
      </c>
      <c r="L2356" s="1146"/>
      <c r="M2356" s="941"/>
      <c r="N2356" s="430" t="str">
        <f t="shared" si="179"/>
        <v/>
      </c>
      <c r="O2356" s="362"/>
    </row>
    <row r="2357" spans="1:18" ht="15.75" customHeight="1">
      <c r="A2357" s="395">
        <f t="array" ref="A2357">IF(C2357&lt;&gt;0,INDEX(CodMO,MATCH(C2357,MO,0),),)</f>
        <v>0</v>
      </c>
      <c r="B2357" s="399"/>
      <c r="C2357" s="1128"/>
      <c r="D2357" s="940"/>
      <c r="E2357" s="940"/>
      <c r="F2357" s="940"/>
      <c r="G2357" s="940"/>
      <c r="H2357" s="940"/>
      <c r="I2357" s="447" t="str">
        <f>IF($A2357&gt;0,(VLOOKUP($A2357,TablaMO,8,FALSE)),"")</f>
        <v/>
      </c>
      <c r="J2357" s="448" t="str">
        <f>IF($A2357&gt;0,(VLOOKUP($A2357,TablaMO,10,FALSE)),"")</f>
        <v/>
      </c>
      <c r="K2357" s="447" t="str">
        <f>IF($A2357&gt;0,(VLOOKUP($A2357,TablaMO,11,FALSE)),"")</f>
        <v/>
      </c>
      <c r="L2357" s="1146"/>
      <c r="M2357" s="941"/>
      <c r="N2357" s="430" t="str">
        <f t="shared" si="179"/>
        <v/>
      </c>
      <c r="O2357" s="362"/>
    </row>
    <row r="2358" spans="1:18" ht="15.75" customHeight="1">
      <c r="A2358" s="395"/>
      <c r="B2358" s="399"/>
      <c r="C2358" s="1127" t="s">
        <v>1202</v>
      </c>
      <c r="D2358" s="965"/>
      <c r="E2358" s="965"/>
      <c r="F2358" s="965"/>
      <c r="G2358" s="965"/>
      <c r="H2358" s="965"/>
      <c r="I2358" s="965"/>
      <c r="J2358" s="965"/>
      <c r="K2358" s="965"/>
      <c r="L2358" s="965"/>
      <c r="M2358" s="966"/>
      <c r="N2358" s="433">
        <f>+SUM(N2353:N2357)</f>
        <v>4897.9565462006949</v>
      </c>
      <c r="O2358" s="362"/>
    </row>
    <row r="2359" spans="1:18" ht="15.75" customHeight="1">
      <c r="B2359" s="679"/>
      <c r="O2359" s="362"/>
    </row>
    <row r="2360" spans="1:18" ht="15.75" customHeight="1">
      <c r="B2360" s="679"/>
      <c r="C2360" s="1198" t="s">
        <v>1219</v>
      </c>
      <c r="D2360" s="965"/>
      <c r="E2360" s="965"/>
      <c r="F2360" s="965"/>
      <c r="G2360" s="965"/>
      <c r="H2360" s="965"/>
      <c r="I2360" s="965"/>
      <c r="J2360" s="965"/>
      <c r="K2360" s="965"/>
      <c r="L2360" s="965"/>
      <c r="M2360" s="966"/>
      <c r="N2360" s="680">
        <f>ROUND(SUM(N2358,N2348,N2338,N2325),0)</f>
        <v>46731</v>
      </c>
      <c r="O2360" s="362"/>
      <c r="Q2360" s="681">
        <f>VLOOKUP(C2314,PROPUESTASASERCO,8,FALSE)</f>
        <v>46731</v>
      </c>
      <c r="R2360" s="682">
        <f>Q2360-N2360</f>
        <v>0</v>
      </c>
    </row>
    <row r="2361" spans="1:18" ht="15.75" customHeight="1">
      <c r="B2361" s="679"/>
      <c r="C2361" s="1129" t="s">
        <v>1220</v>
      </c>
      <c r="D2361" s="926"/>
      <c r="E2361" s="926"/>
      <c r="F2361" s="926"/>
      <c r="G2361" s="926"/>
      <c r="H2361" s="926"/>
      <c r="I2361" s="926"/>
      <c r="J2361" s="926"/>
      <c r="K2361" s="926"/>
      <c r="L2361" s="926"/>
      <c r="M2361" s="926"/>
      <c r="N2361" s="927"/>
      <c r="O2361" s="362"/>
    </row>
    <row r="2362" spans="1:18" ht="15.75" customHeight="1">
      <c r="B2362" s="679"/>
      <c r="C2362" s="920"/>
      <c r="D2362" s="922"/>
      <c r="E2362" s="922"/>
      <c r="F2362" s="922"/>
      <c r="G2362" s="922"/>
      <c r="H2362" s="922"/>
      <c r="I2362" s="922"/>
      <c r="J2362" s="922"/>
      <c r="K2362" s="922"/>
      <c r="L2362" s="922"/>
      <c r="M2362" s="922"/>
      <c r="N2362" s="924"/>
      <c r="O2362" s="362"/>
    </row>
    <row r="2363" spans="1:18" ht="15.75" customHeight="1">
      <c r="B2363" s="679"/>
      <c r="C2363" s="929"/>
      <c r="D2363" s="936"/>
      <c r="E2363" s="936"/>
      <c r="F2363" s="936"/>
      <c r="G2363" s="936"/>
      <c r="H2363" s="936"/>
      <c r="I2363" s="936"/>
      <c r="J2363" s="936"/>
      <c r="K2363" s="936"/>
      <c r="L2363" s="936"/>
      <c r="M2363" s="936"/>
      <c r="N2363" s="938"/>
      <c r="O2363" s="362"/>
    </row>
    <row r="2364" spans="1:18" ht="15.75" customHeight="1">
      <c r="B2364" s="679"/>
      <c r="C2364" s="1201" t="s">
        <v>1221</v>
      </c>
      <c r="D2364" s="1131"/>
      <c r="E2364" s="1131"/>
      <c r="F2364" s="1131"/>
      <c r="G2364" s="1131"/>
      <c r="H2364" s="1132"/>
      <c r="I2364" s="674"/>
      <c r="J2364" s="674"/>
      <c r="K2364" s="674"/>
      <c r="L2364" s="1206" t="s">
        <v>1222</v>
      </c>
      <c r="M2364" s="1000"/>
      <c r="N2364" s="678" t="s">
        <v>1223</v>
      </c>
      <c r="O2364" s="362"/>
    </row>
    <row r="2365" spans="1:18" ht="15.75" customHeight="1">
      <c r="B2365" s="679"/>
      <c r="C2365" s="1128" t="s">
        <v>19</v>
      </c>
      <c r="D2365" s="940"/>
      <c r="E2365" s="940"/>
      <c r="F2365" s="940"/>
      <c r="G2365" s="940"/>
      <c r="H2365" s="940"/>
      <c r="I2365" s="452"/>
      <c r="J2365" s="452"/>
      <c r="K2365" s="452"/>
      <c r="L2365" s="1148">
        <f>+Datos!$E$18</f>
        <v>0.25</v>
      </c>
      <c r="M2365" s="941"/>
      <c r="N2365" s="430">
        <f>+L2365*N2360</f>
        <v>11682.75</v>
      </c>
      <c r="O2365" s="362"/>
    </row>
    <row r="2366" spans="1:18" ht="15.75" customHeight="1">
      <c r="B2366" s="679"/>
      <c r="C2366" s="454" t="s">
        <v>20</v>
      </c>
      <c r="D2366" s="455"/>
      <c r="E2366" s="455"/>
      <c r="F2366" s="455"/>
      <c r="G2366" s="455"/>
      <c r="H2366" s="455"/>
      <c r="I2366" s="452"/>
      <c r="J2366" s="452"/>
      <c r="K2366" s="452"/>
      <c r="L2366" s="1148">
        <f>+Datos!$E$19</f>
        <v>0.01</v>
      </c>
      <c r="M2366" s="941"/>
      <c r="N2366" s="430">
        <f>+L2366*N2360</f>
        <v>467.31</v>
      </c>
      <c r="O2366" s="362"/>
    </row>
    <row r="2367" spans="1:18" ht="15.75" customHeight="1">
      <c r="B2367" s="679"/>
      <c r="C2367" s="456" t="s">
        <v>21</v>
      </c>
      <c r="D2367" s="457"/>
      <c r="E2367" s="457"/>
      <c r="F2367" s="457"/>
      <c r="G2367" s="457"/>
      <c r="H2367" s="457"/>
      <c r="I2367" s="458"/>
      <c r="J2367" s="458"/>
      <c r="K2367" s="458"/>
      <c r="L2367" s="1148">
        <f>+Datos!$E$20</f>
        <v>0.05</v>
      </c>
      <c r="M2367" s="941"/>
      <c r="N2367" s="430">
        <f>+L2367*N2360</f>
        <v>2336.5500000000002</v>
      </c>
      <c r="O2367" s="362"/>
    </row>
    <row r="2368" spans="1:18" ht="15.75" customHeight="1">
      <c r="B2368" s="679"/>
      <c r="C2368" s="1127" t="s">
        <v>1202</v>
      </c>
      <c r="D2368" s="965"/>
      <c r="E2368" s="965"/>
      <c r="F2368" s="965"/>
      <c r="G2368" s="965"/>
      <c r="H2368" s="965"/>
      <c r="I2368" s="965"/>
      <c r="J2368" s="965"/>
      <c r="K2368" s="965"/>
      <c r="L2368" s="965"/>
      <c r="M2368" s="966"/>
      <c r="N2368" s="433">
        <f>+SUM(N2365:N2367)</f>
        <v>14486.61</v>
      </c>
      <c r="O2368" s="362"/>
    </row>
    <row r="2369" spans="1:15" ht="15.75" customHeight="1">
      <c r="B2369" s="679"/>
      <c r="C2369" s="418"/>
      <c r="D2369" s="39"/>
      <c r="E2369" s="39"/>
      <c r="F2369" s="39"/>
      <c r="G2369" s="39"/>
      <c r="H2369" s="39"/>
      <c r="I2369" s="39"/>
      <c r="J2369" s="39"/>
      <c r="K2369" s="39"/>
      <c r="L2369" s="39"/>
      <c r="M2369" s="39"/>
      <c r="N2369" s="40"/>
      <c r="O2369" s="362"/>
    </row>
    <row r="2370" spans="1:15" ht="15.75" customHeight="1">
      <c r="B2370" s="679"/>
      <c r="C2370" s="1198" t="s">
        <v>1224</v>
      </c>
      <c r="D2370" s="965"/>
      <c r="E2370" s="965"/>
      <c r="F2370" s="965"/>
      <c r="G2370" s="965"/>
      <c r="H2370" s="965"/>
      <c r="I2370" s="965"/>
      <c r="J2370" s="965"/>
      <c r="K2370" s="965"/>
      <c r="L2370" s="965"/>
      <c r="M2370" s="966"/>
      <c r="N2370" s="683">
        <f>+ROUND(SUM(N2368,N2360),0)</f>
        <v>61218</v>
      </c>
      <c r="O2370" s="362"/>
    </row>
    <row r="2371" spans="1:15" ht="15.75" customHeight="1">
      <c r="B2371" s="679"/>
      <c r="C2371" s="418"/>
      <c r="D2371" s="39" t="s">
        <v>1225</v>
      </c>
      <c r="E2371" s="39"/>
      <c r="F2371" s="39"/>
      <c r="G2371" s="184"/>
      <c r="H2371" s="184"/>
      <c r="I2371" s="184"/>
      <c r="J2371" s="39" t="s">
        <v>1225</v>
      </c>
      <c r="K2371" s="39"/>
      <c r="L2371" s="39"/>
      <c r="M2371" s="39"/>
      <c r="N2371" s="40"/>
      <c r="O2371" s="362"/>
    </row>
    <row r="2372" spans="1:15" ht="15.75" customHeight="1">
      <c r="B2372" s="679"/>
      <c r="C2372" s="418"/>
      <c r="D2372" s="39" t="s">
        <v>1226</v>
      </c>
      <c r="E2372" s="39"/>
      <c r="F2372" s="39"/>
      <c r="G2372" s="184"/>
      <c r="H2372" s="184"/>
      <c r="I2372" s="184"/>
      <c r="J2372" s="39" t="s">
        <v>1227</v>
      </c>
      <c r="K2372" s="39"/>
      <c r="L2372" s="39"/>
      <c r="M2372" s="39"/>
      <c r="N2372" s="40"/>
      <c r="O2372" s="362"/>
    </row>
    <row r="2373" spans="1:15" ht="15.75" customHeight="1">
      <c r="B2373" s="679"/>
      <c r="C2373" s="404"/>
      <c r="D2373" s="39" t="s">
        <v>1228</v>
      </c>
      <c r="E2373" s="42"/>
      <c r="F2373" s="42"/>
      <c r="G2373" s="184"/>
      <c r="H2373" s="184"/>
      <c r="I2373" s="184"/>
      <c r="J2373" s="39" t="s">
        <v>1228</v>
      </c>
      <c r="K2373" s="42"/>
      <c r="L2373" s="42"/>
      <c r="M2373" s="42"/>
      <c r="N2373" s="43"/>
      <c r="O2373" s="362"/>
    </row>
    <row r="2374" spans="1:15" ht="15.75" customHeight="1">
      <c r="B2374" s="679"/>
      <c r="C2374" s="418"/>
      <c r="D2374" s="39"/>
      <c r="E2374" s="39"/>
      <c r="F2374" s="39"/>
      <c r="G2374" s="39" t="s">
        <v>1229</v>
      </c>
      <c r="H2374" s="39"/>
      <c r="I2374" s="39"/>
      <c r="J2374" s="39"/>
      <c r="K2374" s="39"/>
      <c r="L2374" s="39"/>
      <c r="M2374" s="39"/>
      <c r="N2374" s="40"/>
      <c r="O2374" s="362"/>
    </row>
    <row r="2375" spans="1:15" ht="15.75" customHeight="1">
      <c r="B2375" s="679"/>
      <c r="C2375" s="466"/>
      <c r="D2375" s="467"/>
      <c r="E2375" s="467"/>
      <c r="F2375" s="39"/>
      <c r="G2375" s="39"/>
      <c r="H2375" s="39"/>
      <c r="I2375" s="39"/>
      <c r="J2375" s="1149"/>
      <c r="K2375" s="922"/>
      <c r="L2375" s="922"/>
      <c r="M2375" s="922"/>
      <c r="N2375" s="924"/>
      <c r="O2375" s="362"/>
    </row>
    <row r="2376" spans="1:15" ht="15.75" customHeight="1">
      <c r="B2376" s="679"/>
      <c r="C2376" s="1150"/>
      <c r="D2376" s="936"/>
      <c r="E2376" s="936"/>
      <c r="F2376" s="416"/>
      <c r="G2376" s="416"/>
      <c r="H2376" s="416"/>
      <c r="I2376" s="416"/>
      <c r="J2376" s="936"/>
      <c r="K2376" s="936"/>
      <c r="L2376" s="936"/>
      <c r="M2376" s="936"/>
      <c r="N2376" s="938"/>
      <c r="O2376" s="362"/>
    </row>
    <row r="2377" spans="1:15" ht="15.75" customHeight="1">
      <c r="B2377" s="684"/>
      <c r="C2377" s="685"/>
      <c r="D2377" s="685"/>
      <c r="E2377" s="685"/>
      <c r="F2377" s="685"/>
      <c r="G2377" s="685"/>
      <c r="H2377" s="685"/>
      <c r="I2377" s="685"/>
      <c r="J2377" s="685"/>
      <c r="K2377" s="685"/>
      <c r="L2377" s="685"/>
      <c r="M2377" s="685"/>
      <c r="N2377" s="685"/>
      <c r="O2377" s="686"/>
    </row>
    <row r="2378" spans="1:15" ht="15.75" customHeight="1"/>
    <row r="2379" spans="1:15" ht="15.75" customHeight="1"/>
    <row r="2380" spans="1:15" ht="15.75" customHeight="1"/>
    <row r="2381" spans="1:15" ht="15.75" customHeight="1">
      <c r="A2381" s="395" t="s">
        <v>941</v>
      </c>
      <c r="B2381" s="184"/>
      <c r="C2381" s="184"/>
      <c r="D2381" s="184"/>
      <c r="E2381" s="184"/>
      <c r="F2381" s="184"/>
      <c r="G2381" s="184"/>
      <c r="H2381" s="184"/>
      <c r="I2381" s="184"/>
      <c r="J2381" s="184"/>
      <c r="K2381" s="184"/>
      <c r="L2381" s="184"/>
      <c r="M2381" s="184"/>
      <c r="N2381" s="184"/>
    </row>
    <row r="2382" spans="1:15" ht="15.75" customHeight="1">
      <c r="A2382" s="395"/>
      <c r="B2382" s="396"/>
      <c r="C2382" s="397"/>
      <c r="D2382" s="397"/>
      <c r="E2382" s="397"/>
      <c r="F2382" s="397"/>
      <c r="G2382" s="397"/>
      <c r="H2382" s="397"/>
      <c r="I2382" s="397"/>
      <c r="J2382" s="397"/>
      <c r="K2382" s="397"/>
      <c r="L2382" s="397"/>
      <c r="M2382" s="397"/>
      <c r="N2382" s="397"/>
      <c r="O2382" s="667"/>
    </row>
    <row r="2383" spans="1:15" ht="15.75" customHeight="1">
      <c r="A2383" s="395"/>
      <c r="B2383" s="399"/>
      <c r="C2383" s="1124"/>
      <c r="D2383" s="927"/>
      <c r="E2383" s="1207" t="str">
        <f>Datos!$C$9</f>
        <v>CONSEJO SUPERIOR  DE  JUDICATURA– DIRECCIÓN  EJECUTIVA  SECCIONAL  DE ADMINISTRACIÓN JUDICIAL DE BUCARAMANGA</v>
      </c>
      <c r="F2383" s="926"/>
      <c r="G2383" s="926"/>
      <c r="H2383" s="926"/>
      <c r="I2383" s="926"/>
      <c r="J2383" s="926"/>
      <c r="K2383" s="927"/>
      <c r="L2383" s="925" t="s">
        <v>1</v>
      </c>
      <c r="M2383" s="931"/>
      <c r="N2383" s="933">
        <v>1</v>
      </c>
      <c r="O2383" s="362"/>
    </row>
    <row r="2384" spans="1:15" ht="15.75" customHeight="1">
      <c r="A2384" s="395"/>
      <c r="B2384" s="399"/>
      <c r="C2384" s="920"/>
      <c r="D2384" s="924"/>
      <c r="E2384" s="920"/>
      <c r="F2384" s="922"/>
      <c r="G2384" s="922"/>
      <c r="H2384" s="922"/>
      <c r="I2384" s="922"/>
      <c r="J2384" s="922"/>
      <c r="K2384" s="924"/>
      <c r="L2384" s="920"/>
      <c r="M2384" s="932"/>
      <c r="N2384" s="934"/>
      <c r="O2384" s="362"/>
    </row>
    <row r="2385" spans="1:15" ht="15.75" customHeight="1">
      <c r="A2385" s="395"/>
      <c r="B2385" s="399"/>
      <c r="C2385" s="920"/>
      <c r="D2385" s="924"/>
      <c r="E2385" s="919" t="str">
        <f>Datos!$C$13</f>
        <v xml:space="preserve">BGA - 030 - 2026 </v>
      </c>
      <c r="F2385" s="922"/>
      <c r="G2385" s="922"/>
      <c r="H2385" s="922"/>
      <c r="I2385" s="922"/>
      <c r="J2385" s="922"/>
      <c r="K2385" s="922"/>
      <c r="L2385" s="925" t="s">
        <v>29</v>
      </c>
      <c r="M2385" s="926"/>
      <c r="N2385" s="927"/>
      <c r="O2385" s="362"/>
    </row>
    <row r="2386" spans="1:15" ht="15.75" customHeight="1">
      <c r="A2386" s="395"/>
      <c r="B2386" s="399"/>
      <c r="C2386" s="920"/>
      <c r="D2386" s="924"/>
      <c r="E2386"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386" s="922"/>
      <c r="G2386" s="922"/>
      <c r="H2386" s="922"/>
      <c r="I2386" s="922"/>
      <c r="J2386" s="922"/>
      <c r="K2386" s="924"/>
      <c r="L2386" s="919">
        <v>1</v>
      </c>
      <c r="M2386" s="921" t="s">
        <v>30</v>
      </c>
      <c r="N2386" s="923">
        <v>1</v>
      </c>
      <c r="O2386" s="362"/>
    </row>
    <row r="2387" spans="1:15" ht="15.75" customHeight="1">
      <c r="A2387" s="395"/>
      <c r="B2387" s="399"/>
      <c r="C2387" s="920"/>
      <c r="D2387" s="924"/>
      <c r="E2387" s="920"/>
      <c r="F2387" s="922"/>
      <c r="G2387" s="922"/>
      <c r="H2387" s="922"/>
      <c r="I2387" s="922"/>
      <c r="J2387" s="922"/>
      <c r="K2387" s="924"/>
      <c r="L2387" s="920"/>
      <c r="M2387" s="922"/>
      <c r="N2387" s="924"/>
      <c r="O2387" s="362"/>
    </row>
    <row r="2388" spans="1:15" ht="15.75" customHeight="1">
      <c r="A2388" s="395"/>
      <c r="B2388" s="399"/>
      <c r="C2388" s="920"/>
      <c r="D2388" s="924"/>
      <c r="E2388" s="920"/>
      <c r="F2388" s="922"/>
      <c r="G2388" s="922"/>
      <c r="H2388" s="922"/>
      <c r="I2388" s="922"/>
      <c r="J2388" s="922"/>
      <c r="K2388" s="924"/>
      <c r="L2388" s="925" t="s">
        <v>2</v>
      </c>
      <c r="M2388" s="926"/>
      <c r="N2388" s="927"/>
      <c r="O2388" s="362"/>
    </row>
    <row r="2389" spans="1:15" ht="15.75" customHeight="1">
      <c r="A2389" s="395"/>
      <c r="B2389" s="399"/>
      <c r="C2389" s="920"/>
      <c r="D2389" s="924"/>
      <c r="E2389" s="407"/>
      <c r="F2389" s="216"/>
      <c r="G2389" s="216"/>
      <c r="H2389" s="216"/>
      <c r="I2389" s="216"/>
      <c r="J2389" s="216"/>
      <c r="K2389" s="216"/>
      <c r="L2389" s="408" t="s">
        <v>3</v>
      </c>
      <c r="M2389" s="409" t="s">
        <v>4</v>
      </c>
      <c r="N2389" s="410" t="s">
        <v>5</v>
      </c>
      <c r="O2389" s="362"/>
    </row>
    <row r="2390" spans="1:15" ht="15.75" customHeight="1">
      <c r="A2390" s="395"/>
      <c r="B2390" s="399"/>
      <c r="C2390" s="920"/>
      <c r="D2390" s="924"/>
      <c r="E2390" s="1125" t="s">
        <v>1186</v>
      </c>
      <c r="F2390" s="945"/>
      <c r="G2390" s="945"/>
      <c r="H2390" s="945"/>
      <c r="I2390" s="945"/>
      <c r="J2390" s="945"/>
      <c r="K2390" s="945"/>
      <c r="L2390" s="928">
        <f>Datos!$C$7</f>
        <v>19</v>
      </c>
      <c r="M2390" s="935">
        <f>Datos!$D$7</f>
        <v>6</v>
      </c>
      <c r="N2390" s="937">
        <f>Datos!$E$7</f>
        <v>2026</v>
      </c>
      <c r="O2390" s="362"/>
    </row>
    <row r="2391" spans="1:15" ht="15.75" customHeight="1">
      <c r="A2391" s="395"/>
      <c r="B2391" s="399"/>
      <c r="C2391" s="929"/>
      <c r="D2391" s="938"/>
      <c r="E2391" s="929"/>
      <c r="F2391" s="936"/>
      <c r="G2391" s="936"/>
      <c r="H2391" s="936"/>
      <c r="I2391" s="936"/>
      <c r="J2391" s="936"/>
      <c r="K2391" s="936"/>
      <c r="L2391" s="929"/>
      <c r="M2391" s="936"/>
      <c r="N2391" s="938"/>
      <c r="O2391" s="362"/>
    </row>
    <row r="2392" spans="1:15" ht="15.75" customHeight="1">
      <c r="A2392" s="395"/>
      <c r="B2392" s="399"/>
      <c r="C2392" s="404"/>
      <c r="D2392" s="38"/>
      <c r="E2392" s="38"/>
      <c r="F2392" s="38"/>
      <c r="G2392" s="38"/>
      <c r="H2392" s="38"/>
      <c r="I2392" s="38"/>
      <c r="J2392" s="38"/>
      <c r="K2392" s="38"/>
      <c r="L2392" s="39"/>
      <c r="M2392" s="39"/>
      <c r="N2392" s="40"/>
      <c r="O2392" s="362"/>
    </row>
    <row r="2393" spans="1:15" ht="15.75" customHeight="1">
      <c r="A2393" s="395"/>
      <c r="B2393" s="399"/>
      <c r="C2393" s="412" t="s">
        <v>1187</v>
      </c>
      <c r="D2393" s="1199" t="str">
        <f>VLOOKUP(C2398,ListaAct,2,0)</f>
        <v>OBRA CIVIL</v>
      </c>
      <c r="E2393" s="922"/>
      <c r="F2393" s="922"/>
      <c r="G2393" s="922"/>
      <c r="H2393" s="922"/>
      <c r="I2393" s="922"/>
      <c r="J2393" s="922"/>
      <c r="K2393" s="922"/>
      <c r="L2393" s="922"/>
      <c r="M2393" s="1"/>
      <c r="N2393" s="413"/>
      <c r="O2393" s="362"/>
    </row>
    <row r="2394" spans="1:15" ht="15.75" customHeight="1">
      <c r="A2394" s="395"/>
      <c r="B2394" s="399"/>
      <c r="C2394" s="412" t="s">
        <v>1189</v>
      </c>
      <c r="D2394" s="1199" t="str">
        <f>VLOOKUP(C2398,ListaAct,3,0)</f>
        <v>ACABADOS</v>
      </c>
      <c r="E2394" s="922"/>
      <c r="F2394" s="922"/>
      <c r="G2394" s="922"/>
      <c r="H2394" s="922"/>
      <c r="I2394" s="922"/>
      <c r="J2394" s="922"/>
      <c r="K2394" s="922"/>
      <c r="L2394" s="922"/>
      <c r="M2394" s="1"/>
      <c r="N2394" s="413"/>
      <c r="O2394" s="362"/>
    </row>
    <row r="2395" spans="1:15" ht="15.75" customHeight="1">
      <c r="A2395" s="395"/>
      <c r="B2395" s="399"/>
      <c r="C2395" s="925" t="s">
        <v>1191</v>
      </c>
      <c r="D2395" s="926"/>
      <c r="E2395" s="926"/>
      <c r="F2395" s="926"/>
      <c r="G2395" s="926"/>
      <c r="H2395" s="926"/>
      <c r="I2395" s="926"/>
      <c r="J2395" s="926"/>
      <c r="K2395" s="926"/>
      <c r="L2395" s="926"/>
      <c r="M2395" s="926"/>
      <c r="N2395" s="927"/>
      <c r="O2395" s="362"/>
    </row>
    <row r="2396" spans="1:15" ht="15.75" customHeight="1">
      <c r="A2396" s="395"/>
      <c r="B2396" s="399"/>
      <c r="C2396" s="418"/>
      <c r="D2396" s="39"/>
      <c r="E2396" s="39"/>
      <c r="F2396" s="39"/>
      <c r="G2396" s="39"/>
      <c r="H2396" s="39"/>
      <c r="I2396" s="39"/>
      <c r="J2396" s="39"/>
      <c r="K2396" s="39"/>
      <c r="L2396" s="39"/>
      <c r="M2396" s="39"/>
      <c r="N2396" s="40"/>
      <c r="O2396" s="362"/>
    </row>
    <row r="2397" spans="1:15" ht="15.75" customHeight="1">
      <c r="A2397" s="395"/>
      <c r="B2397" s="399"/>
      <c r="C2397" s="668" t="s">
        <v>965</v>
      </c>
      <c r="D2397" s="1200" t="s">
        <v>17</v>
      </c>
      <c r="E2397" s="1131"/>
      <c r="F2397" s="1131"/>
      <c r="G2397" s="1131"/>
      <c r="H2397" s="1131"/>
      <c r="I2397" s="1131"/>
      <c r="J2397" s="1131"/>
      <c r="K2397" s="1137"/>
      <c r="L2397" s="1201" t="s">
        <v>1192</v>
      </c>
      <c r="M2397" s="1137"/>
      <c r="N2397" s="668" t="s">
        <v>950</v>
      </c>
      <c r="O2397" s="362"/>
    </row>
    <row r="2398" spans="1:15" ht="15.75" customHeight="1">
      <c r="A2398" s="395"/>
      <c r="B2398" s="421"/>
      <c r="C2398" s="669" t="s">
        <v>1075</v>
      </c>
      <c r="D2398" s="1202" t="str">
        <f>IF($C2398&gt;0,(VLOOKUP($C2398,ListaAct,4,FALSE)),"")</f>
        <v xml:space="preserve"> Pintura para socalo de muros interior mezcla real apichada de cal, mina de color y agua, tres manos  </v>
      </c>
      <c r="E2398" s="979"/>
      <c r="F2398" s="979"/>
      <c r="G2398" s="979"/>
      <c r="H2398" s="979"/>
      <c r="I2398" s="979"/>
      <c r="J2398" s="979"/>
      <c r="K2398" s="980"/>
      <c r="L2398" s="1203" t="str">
        <f>IF($C2398&gt;0,(VLOOKUP($C2398,ListaAct,5,FALSE)),"")</f>
        <v>m2</v>
      </c>
      <c r="M2398" s="980"/>
      <c r="N2398" s="423">
        <f>IF($C2398&gt;0,(VLOOKUP($C2398,ListaAct,6,FALSE)),"")</f>
        <v>11.09</v>
      </c>
      <c r="O2398" s="362"/>
    </row>
    <row r="2399" spans="1:15" ht="15.75" customHeight="1">
      <c r="A2399" s="395"/>
      <c r="B2399" s="399"/>
      <c r="C2399" s="1129" t="s">
        <v>1195</v>
      </c>
      <c r="D2399" s="926"/>
      <c r="E2399" s="926"/>
      <c r="F2399" s="926"/>
      <c r="G2399" s="926"/>
      <c r="H2399" s="926"/>
      <c r="I2399" s="926"/>
      <c r="J2399" s="926"/>
      <c r="K2399" s="926"/>
      <c r="L2399" s="926"/>
      <c r="M2399" s="926"/>
      <c r="N2399" s="927"/>
      <c r="O2399" s="362"/>
    </row>
    <row r="2400" spans="1:15" ht="15.75" customHeight="1">
      <c r="A2400" s="395"/>
      <c r="B2400" s="399"/>
      <c r="C2400" s="920"/>
      <c r="D2400" s="922"/>
      <c r="E2400" s="922"/>
      <c r="F2400" s="922"/>
      <c r="G2400" s="922"/>
      <c r="H2400" s="922"/>
      <c r="I2400" s="922"/>
      <c r="J2400" s="922"/>
      <c r="K2400" s="922"/>
      <c r="L2400" s="922"/>
      <c r="M2400" s="922"/>
      <c r="N2400" s="924"/>
      <c r="O2400" s="362"/>
    </row>
    <row r="2401" spans="1:15" ht="15.75" customHeight="1">
      <c r="A2401" s="395"/>
      <c r="B2401" s="399"/>
      <c r="C2401" s="929"/>
      <c r="D2401" s="936"/>
      <c r="E2401" s="936"/>
      <c r="F2401" s="936"/>
      <c r="G2401" s="936"/>
      <c r="H2401" s="936"/>
      <c r="I2401" s="936"/>
      <c r="J2401" s="936"/>
      <c r="K2401" s="936"/>
      <c r="L2401" s="936"/>
      <c r="M2401" s="936"/>
      <c r="N2401" s="938"/>
      <c r="O2401" s="362"/>
    </row>
    <row r="2402" spans="1:15" ht="15.75" customHeight="1">
      <c r="A2402" s="395"/>
      <c r="B2402" s="399"/>
      <c r="C2402" s="1201" t="s">
        <v>17</v>
      </c>
      <c r="D2402" s="1131"/>
      <c r="E2402" s="1131"/>
      <c r="F2402" s="1000"/>
      <c r="G2402" s="1204" t="s">
        <v>1196</v>
      </c>
      <c r="H2402" s="1000"/>
      <c r="I2402" s="1204" t="s">
        <v>1197</v>
      </c>
      <c r="J2402" s="1000"/>
      <c r="K2402" s="670" t="s">
        <v>1213</v>
      </c>
      <c r="L2402" s="1204" t="s">
        <v>1199</v>
      </c>
      <c r="M2402" s="1000"/>
      <c r="N2402" s="671" t="s">
        <v>1200</v>
      </c>
      <c r="O2402" s="362"/>
    </row>
    <row r="2403" spans="1:15" ht="15.75" customHeight="1">
      <c r="A2403" s="395"/>
      <c r="B2403" s="399"/>
      <c r="C2403" s="1128" t="s">
        <v>1201</v>
      </c>
      <c r="D2403" s="940"/>
      <c r="E2403" s="940"/>
      <c r="F2403" s="941"/>
      <c r="G2403" s="1142"/>
      <c r="H2403" s="941"/>
      <c r="I2403" s="1142"/>
      <c r="J2403" s="941"/>
      <c r="K2403" s="429"/>
      <c r="L2403" s="1143">
        <v>0.06</v>
      </c>
      <c r="M2403" s="941"/>
      <c r="N2403" s="430">
        <f>+L2403*N2442</f>
        <v>465.79663758840735</v>
      </c>
      <c r="O2403" s="362"/>
    </row>
    <row r="2404" spans="1:15" ht="15.75" customHeight="1">
      <c r="A2404" s="395" t="str">
        <f t="array" ref="A2404">IF(C2404&lt;&gt;0,INDEX(CodEquipos,MATCH(C2404,Equipos,0),),)</f>
        <v>EQ-18</v>
      </c>
      <c r="B2404" s="399"/>
      <c r="C2404" s="1128" t="s">
        <v>2510</v>
      </c>
      <c r="D2404" s="940"/>
      <c r="E2404" s="940"/>
      <c r="F2404" s="941"/>
      <c r="G2404" s="1142"/>
      <c r="H2404" s="941"/>
      <c r="I2404" s="1142"/>
      <c r="J2404" s="941"/>
      <c r="K2404" s="432">
        <f>IF($A2404&gt;0,(VLOOKUP($A2404,TablaEquipos,7,FALSE)),"")</f>
        <v>195499.99999999997</v>
      </c>
      <c r="L2404" s="1146">
        <v>0</v>
      </c>
      <c r="M2404" s="941"/>
      <c r="N2404" s="430" t="str">
        <f>IF(L2404&gt;0,K2404*L2404,"")</f>
        <v/>
      </c>
      <c r="O2404" s="362"/>
    </row>
    <row r="2405" spans="1:15" ht="15.75" customHeight="1">
      <c r="A2405" s="395">
        <f t="array" ref="A2405">IF(C2405&lt;&gt;0,INDEX(CodEquipos,MATCH(C2405,Equipos,0),),)</f>
        <v>0</v>
      </c>
      <c r="B2405" s="399"/>
      <c r="C2405" s="1128"/>
      <c r="D2405" s="940"/>
      <c r="E2405" s="940"/>
      <c r="F2405" s="941"/>
      <c r="G2405" s="1142"/>
      <c r="H2405" s="941"/>
      <c r="I2405" s="1142"/>
      <c r="J2405" s="941"/>
      <c r="K2405" s="432" t="str">
        <f>IF($A2405&gt;0,(VLOOKUP($A2405,TablaEquipos,7,FALSE)),"")</f>
        <v/>
      </c>
      <c r="L2405" s="1146"/>
      <c r="M2405" s="941"/>
      <c r="N2405" s="430" t="str">
        <f t="shared" ref="N2405:N2408" si="180">IF(L2405&gt;0,K2405/L2405,"")</f>
        <v/>
      </c>
      <c r="O2405" s="362"/>
    </row>
    <row r="2406" spans="1:15" ht="15.75" customHeight="1">
      <c r="A2406" s="395">
        <f t="array" ref="A2406">IF(C2406&lt;&gt;0,INDEX(CodEquipos,MATCH(C2406,Equipos,0),),)</f>
        <v>0</v>
      </c>
      <c r="B2406" s="399"/>
      <c r="C2406" s="1128"/>
      <c r="D2406" s="940"/>
      <c r="E2406" s="940"/>
      <c r="F2406" s="941"/>
      <c r="G2406" s="1142"/>
      <c r="H2406" s="941"/>
      <c r="I2406" s="1142"/>
      <c r="J2406" s="941"/>
      <c r="K2406" s="432" t="str">
        <f>IF($A2406&gt;0,(VLOOKUP($A2406,TablaEquipos,7,FALSE)),"")</f>
        <v/>
      </c>
      <c r="L2406" s="1146"/>
      <c r="M2406" s="941"/>
      <c r="N2406" s="430" t="str">
        <f t="shared" si="180"/>
        <v/>
      </c>
      <c r="O2406" s="362"/>
    </row>
    <row r="2407" spans="1:15" ht="15.75" customHeight="1">
      <c r="A2407" s="395">
        <f t="array" ref="A2407">IF(C2407&lt;&gt;0,INDEX(CodEquipos,MATCH(C2407,Equipos,0),),)</f>
        <v>0</v>
      </c>
      <c r="B2407" s="399"/>
      <c r="C2407" s="1128"/>
      <c r="D2407" s="940"/>
      <c r="E2407" s="940"/>
      <c r="F2407" s="941"/>
      <c r="G2407" s="1142"/>
      <c r="H2407" s="941"/>
      <c r="I2407" s="1142"/>
      <c r="J2407" s="941"/>
      <c r="K2407" s="432" t="str">
        <f>IF($A2407&gt;0,(VLOOKUP($A2407,TablaEquipos,7,FALSE)),"")</f>
        <v/>
      </c>
      <c r="L2407" s="1141"/>
      <c r="M2407" s="941"/>
      <c r="N2407" s="430" t="str">
        <f t="shared" si="180"/>
        <v/>
      </c>
      <c r="O2407" s="362"/>
    </row>
    <row r="2408" spans="1:15" ht="15.75" customHeight="1">
      <c r="A2408" s="395">
        <f t="array" ref="A2408">IF(C2408&lt;&gt;0,INDEX(CodEquipos,MATCH(C2408,Equipos,0),),)</f>
        <v>0</v>
      </c>
      <c r="B2408" s="399"/>
      <c r="C2408" s="1128"/>
      <c r="D2408" s="940"/>
      <c r="E2408" s="940"/>
      <c r="F2408" s="941"/>
      <c r="G2408" s="1144"/>
      <c r="H2408" s="1145"/>
      <c r="I2408" s="1144"/>
      <c r="J2408" s="1145"/>
      <c r="K2408" s="432" t="str">
        <f>IF($A2408&gt;0,(VLOOKUP($A2408,TablaEquipos,7,FALSE)),"")</f>
        <v/>
      </c>
      <c r="L2408" s="1208"/>
      <c r="M2408" s="1145"/>
      <c r="N2408" s="430" t="str">
        <f t="shared" si="180"/>
        <v/>
      </c>
      <c r="O2408" s="362"/>
    </row>
    <row r="2409" spans="1:15" ht="15.75" customHeight="1">
      <c r="A2409" s="395"/>
      <c r="B2409" s="399"/>
      <c r="C2409" s="1127" t="s">
        <v>1202</v>
      </c>
      <c r="D2409" s="965"/>
      <c r="E2409" s="965"/>
      <c r="F2409" s="965"/>
      <c r="G2409" s="965"/>
      <c r="H2409" s="965"/>
      <c r="I2409" s="965"/>
      <c r="J2409" s="965"/>
      <c r="K2409" s="965"/>
      <c r="L2409" s="965"/>
      <c r="M2409" s="966"/>
      <c r="N2409" s="433">
        <f>+SUM(N2403:N2408)</f>
        <v>465.79663758840735</v>
      </c>
      <c r="O2409" s="362"/>
    </row>
    <row r="2410" spans="1:15" ht="15.75" customHeight="1">
      <c r="A2410" s="395"/>
      <c r="B2410" s="399"/>
      <c r="C2410" s="1129" t="s">
        <v>1203</v>
      </c>
      <c r="D2410" s="926"/>
      <c r="E2410" s="926"/>
      <c r="F2410" s="926"/>
      <c r="G2410" s="926"/>
      <c r="H2410" s="926"/>
      <c r="I2410" s="926"/>
      <c r="J2410" s="926"/>
      <c r="K2410" s="926"/>
      <c r="L2410" s="926"/>
      <c r="M2410" s="926"/>
      <c r="N2410" s="927"/>
      <c r="O2410" s="362"/>
    </row>
    <row r="2411" spans="1:15" ht="15.75" customHeight="1">
      <c r="A2411" s="395"/>
      <c r="B2411" s="399"/>
      <c r="C2411" s="920"/>
      <c r="D2411" s="922"/>
      <c r="E2411" s="922"/>
      <c r="F2411" s="922"/>
      <c r="G2411" s="922"/>
      <c r="H2411" s="922"/>
      <c r="I2411" s="922"/>
      <c r="J2411" s="922"/>
      <c r="K2411" s="922"/>
      <c r="L2411" s="922"/>
      <c r="M2411" s="922"/>
      <c r="N2411" s="924"/>
      <c r="O2411" s="362"/>
    </row>
    <row r="2412" spans="1:15" ht="15.75" customHeight="1">
      <c r="A2412" s="395"/>
      <c r="B2412" s="399"/>
      <c r="C2412" s="929"/>
      <c r="D2412" s="936"/>
      <c r="E2412" s="936"/>
      <c r="F2412" s="936"/>
      <c r="G2412" s="936"/>
      <c r="H2412" s="936"/>
      <c r="I2412" s="936"/>
      <c r="J2412" s="936"/>
      <c r="K2412" s="936"/>
      <c r="L2412" s="936"/>
      <c r="M2412" s="936"/>
      <c r="N2412" s="938"/>
      <c r="O2412" s="362"/>
    </row>
    <row r="2413" spans="1:15" ht="15.75" customHeight="1">
      <c r="A2413" s="395"/>
      <c r="B2413" s="399"/>
      <c r="C2413" s="1201" t="s">
        <v>17</v>
      </c>
      <c r="D2413" s="1131"/>
      <c r="E2413" s="1131"/>
      <c r="F2413" s="1131"/>
      <c r="G2413" s="1131"/>
      <c r="H2413" s="1131"/>
      <c r="I2413" s="1000"/>
      <c r="J2413" s="672" t="s">
        <v>1192</v>
      </c>
      <c r="K2413" s="670" t="s">
        <v>950</v>
      </c>
      <c r="L2413" s="1204" t="s">
        <v>1204</v>
      </c>
      <c r="M2413" s="1000"/>
      <c r="N2413" s="671" t="s">
        <v>1200</v>
      </c>
      <c r="O2413" s="362"/>
    </row>
    <row r="2414" spans="1:15" ht="15.75" customHeight="1">
      <c r="A2414" s="395" t="str">
        <f t="array" ref="A2414">IF(C2414&lt;&gt;0,INDEX(CodMat,MATCH(C2414,Materiales,0),),)</f>
        <v>MAT_C-89</v>
      </c>
      <c r="B2414" s="399"/>
      <c r="C2414" s="1128" t="s">
        <v>2546</v>
      </c>
      <c r="D2414" s="940"/>
      <c r="E2414" s="940"/>
      <c r="F2414" s="940"/>
      <c r="G2414" s="940"/>
      <c r="H2414" s="940"/>
      <c r="I2414" s="941"/>
      <c r="J2414" s="435" t="str">
        <f t="shared" ref="J2414:J2421" si="181">IF($A2414&gt;0,(VLOOKUP($A2414,TablaInsumos,5,FALSE)),"")</f>
        <v>KG</v>
      </c>
      <c r="K2414" s="673">
        <v>2</v>
      </c>
      <c r="L2414" s="1134">
        <f t="shared" ref="L2414:L2421" si="182">IF($A2414&gt;0,(VLOOKUP($A2414,TablaInsumos,7,FALSE)),"")</f>
        <v>9085</v>
      </c>
      <c r="M2414" s="941"/>
      <c r="N2414" s="430">
        <f t="shared" ref="N2414:N2421" si="183">IF(K2414&gt;0,L2414*K2414,"")</f>
        <v>18170</v>
      </c>
      <c r="O2414" s="362"/>
    </row>
    <row r="2415" spans="1:15" ht="15.75" customHeight="1">
      <c r="A2415" s="395" t="str">
        <f t="array" ref="A2415">IF(C2415&lt;&gt;0,INDEX(CodMat,MATCH(C2415,Materiales,0),),)</f>
        <v>MAT_C-90</v>
      </c>
      <c r="B2415" s="399"/>
      <c r="C2415" s="1128" t="s">
        <v>2547</v>
      </c>
      <c r="D2415" s="940"/>
      <c r="E2415" s="940"/>
      <c r="F2415" s="940"/>
      <c r="G2415" s="940"/>
      <c r="H2415" s="940"/>
      <c r="I2415" s="941"/>
      <c r="J2415" s="435" t="str">
        <f t="shared" si="181"/>
        <v>LITRO</v>
      </c>
      <c r="K2415" s="673">
        <v>1</v>
      </c>
      <c r="L2415" s="1134">
        <f t="shared" si="182"/>
        <v>165</v>
      </c>
      <c r="M2415" s="941"/>
      <c r="N2415" s="430">
        <f t="shared" si="183"/>
        <v>165</v>
      </c>
      <c r="O2415" s="362"/>
    </row>
    <row r="2416" spans="1:15" ht="15.75" customHeight="1">
      <c r="A2416" s="395" t="str">
        <f t="array" ref="A2416">IF(C2416&lt;&gt;0,INDEX(CodMat,MATCH(C2416,Materiales,0),),)</f>
        <v>MAT_P-01</v>
      </c>
      <c r="B2416" s="399"/>
      <c r="C2416" s="1128" t="s">
        <v>2549</v>
      </c>
      <c r="D2416" s="940"/>
      <c r="E2416" s="940"/>
      <c r="F2416" s="940"/>
      <c r="G2416" s="940"/>
      <c r="H2416" s="940"/>
      <c r="I2416" s="941"/>
      <c r="J2416" s="435" t="str">
        <f t="shared" si="181"/>
        <v xml:space="preserve">UND </v>
      </c>
      <c r="K2416" s="673">
        <v>0.1</v>
      </c>
      <c r="L2416" s="1134">
        <f t="shared" si="182"/>
        <v>8900</v>
      </c>
      <c r="M2416" s="941"/>
      <c r="N2416" s="430">
        <f t="shared" si="183"/>
        <v>890</v>
      </c>
      <c r="O2416" s="362"/>
    </row>
    <row r="2417" spans="1:15" ht="15.75" customHeight="1">
      <c r="A2417" s="395" t="str">
        <f t="array" ref="A2417">IF(C2417&lt;&gt;0,INDEX(CodMat,MATCH(C2417,Materiales,0),),)</f>
        <v>MAT_P-17</v>
      </c>
      <c r="B2417" s="399"/>
      <c r="C2417" s="1128" t="s">
        <v>2550</v>
      </c>
      <c r="D2417" s="940"/>
      <c r="E2417" s="940"/>
      <c r="F2417" s="940"/>
      <c r="G2417" s="940"/>
      <c r="H2417" s="940"/>
      <c r="I2417" s="941"/>
      <c r="J2417" s="435" t="str">
        <f t="shared" si="181"/>
        <v xml:space="preserve">UND </v>
      </c>
      <c r="K2417" s="673">
        <v>7.0000000000000007E-2</v>
      </c>
      <c r="L2417" s="1134">
        <f t="shared" si="182"/>
        <v>15900</v>
      </c>
      <c r="M2417" s="941"/>
      <c r="N2417" s="430">
        <f t="shared" si="183"/>
        <v>1113</v>
      </c>
      <c r="O2417" s="362"/>
    </row>
    <row r="2418" spans="1:15" ht="15.75" customHeight="1">
      <c r="A2418" s="395" t="str">
        <f t="array" ref="A2418">IF(C2418&lt;&gt;0,INDEX(CodMat,MATCH(C2418,Materiales,0),),)</f>
        <v>MAT_P-19</v>
      </c>
      <c r="B2418" s="399"/>
      <c r="C2418" s="1128" t="s">
        <v>2551</v>
      </c>
      <c r="D2418" s="940"/>
      <c r="E2418" s="940"/>
      <c r="F2418" s="940"/>
      <c r="G2418" s="940"/>
      <c r="H2418" s="940"/>
      <c r="I2418" s="941"/>
      <c r="J2418" s="435" t="str">
        <f t="shared" si="181"/>
        <v>UND</v>
      </c>
      <c r="K2418" s="673">
        <v>7.0000000000000007E-2</v>
      </c>
      <c r="L2418" s="1134">
        <f t="shared" si="182"/>
        <v>10890</v>
      </c>
      <c r="M2418" s="941"/>
      <c r="N2418" s="430">
        <f t="shared" si="183"/>
        <v>762.30000000000007</v>
      </c>
      <c r="O2418" s="362"/>
    </row>
    <row r="2419" spans="1:15" ht="15.75" customHeight="1">
      <c r="A2419" s="395" t="str">
        <f t="array" ref="A2419">IF(C2419&lt;&gt;0,INDEX(CodMat,MATCH(C2419,Materiales,0),),)</f>
        <v>MAT_P-02</v>
      </c>
      <c r="B2419" s="399"/>
      <c r="C2419" s="1128" t="s">
        <v>2552</v>
      </c>
      <c r="D2419" s="940"/>
      <c r="E2419" s="940"/>
      <c r="F2419" s="940"/>
      <c r="G2419" s="940"/>
      <c r="H2419" s="940"/>
      <c r="I2419" s="941"/>
      <c r="J2419" s="435" t="str">
        <f t="shared" si="181"/>
        <v>UND</v>
      </c>
      <c r="K2419" s="673">
        <v>7.0000000000000007E-2</v>
      </c>
      <c r="L2419" s="1134">
        <f t="shared" si="182"/>
        <v>12700</v>
      </c>
      <c r="M2419" s="941"/>
      <c r="N2419" s="430">
        <f t="shared" si="183"/>
        <v>889.00000000000011</v>
      </c>
      <c r="O2419" s="362"/>
    </row>
    <row r="2420" spans="1:15" ht="15.75" customHeight="1">
      <c r="A2420" s="395" t="str">
        <f t="array" ref="A2420">IF(C2420&lt;&gt;0,INDEX(CodMat,MATCH(C2420,Materiales,0),),)</f>
        <v>MAT_P-20</v>
      </c>
      <c r="B2420" s="399"/>
      <c r="C2420" s="1128" t="s">
        <v>2553</v>
      </c>
      <c r="D2420" s="940"/>
      <c r="E2420" s="940"/>
      <c r="F2420" s="940"/>
      <c r="G2420" s="940"/>
      <c r="H2420" s="940"/>
      <c r="I2420" s="941"/>
      <c r="J2420" s="435" t="str">
        <f t="shared" si="181"/>
        <v>KG</v>
      </c>
      <c r="K2420" s="673">
        <v>0.25</v>
      </c>
      <c r="L2420" s="1134">
        <f t="shared" si="182"/>
        <v>4950</v>
      </c>
      <c r="M2420" s="941"/>
      <c r="N2420" s="430">
        <f t="shared" si="183"/>
        <v>1237.5</v>
      </c>
      <c r="O2420" s="362"/>
    </row>
    <row r="2421" spans="1:15" ht="15.75" customHeight="1">
      <c r="A2421" s="395">
        <f t="array" ref="A2421">IF(C2421&lt;&gt;0,INDEX(CodMat,MATCH(C2421,Materiales,0),),)</f>
        <v>0</v>
      </c>
      <c r="B2421" s="399"/>
      <c r="C2421" s="1128"/>
      <c r="D2421" s="940"/>
      <c r="E2421" s="940"/>
      <c r="F2421" s="940"/>
      <c r="G2421" s="940"/>
      <c r="H2421" s="940"/>
      <c r="I2421" s="941"/>
      <c r="J2421" s="435" t="str">
        <f t="shared" si="181"/>
        <v/>
      </c>
      <c r="K2421" s="673"/>
      <c r="L2421" s="1205" t="str">
        <f t="shared" si="182"/>
        <v/>
      </c>
      <c r="M2421" s="1145"/>
      <c r="N2421" s="430" t="str">
        <f t="shared" si="183"/>
        <v/>
      </c>
      <c r="O2421" s="362"/>
    </row>
    <row r="2422" spans="1:15" ht="15.75" customHeight="1">
      <c r="A2422" s="395"/>
      <c r="B2422" s="399"/>
      <c r="C2422" s="1127" t="s">
        <v>1202</v>
      </c>
      <c r="D2422" s="965"/>
      <c r="E2422" s="965"/>
      <c r="F2422" s="965"/>
      <c r="G2422" s="965"/>
      <c r="H2422" s="965"/>
      <c r="I2422" s="965"/>
      <c r="J2422" s="965"/>
      <c r="K2422" s="965"/>
      <c r="L2422" s="965"/>
      <c r="M2422" s="966"/>
      <c r="N2422" s="433">
        <f>+SUM(N2414:N2421)</f>
        <v>23226.799999999999</v>
      </c>
      <c r="O2422" s="362"/>
    </row>
    <row r="2423" spans="1:15" ht="15.75" customHeight="1">
      <c r="A2423" s="395"/>
      <c r="B2423" s="399"/>
      <c r="C2423" s="1129" t="s">
        <v>1208</v>
      </c>
      <c r="D2423" s="926"/>
      <c r="E2423" s="926"/>
      <c r="F2423" s="926"/>
      <c r="G2423" s="926"/>
      <c r="H2423" s="926"/>
      <c r="I2423" s="926"/>
      <c r="J2423" s="926"/>
      <c r="K2423" s="926"/>
      <c r="L2423" s="926"/>
      <c r="M2423" s="926"/>
      <c r="N2423" s="927"/>
      <c r="O2423" s="362"/>
    </row>
    <row r="2424" spans="1:15" ht="15.75" customHeight="1">
      <c r="A2424" s="395"/>
      <c r="B2424" s="399"/>
      <c r="C2424" s="920"/>
      <c r="D2424" s="922"/>
      <c r="E2424" s="922"/>
      <c r="F2424" s="922"/>
      <c r="G2424" s="922"/>
      <c r="H2424" s="922"/>
      <c r="I2424" s="922"/>
      <c r="J2424" s="922"/>
      <c r="K2424" s="922"/>
      <c r="L2424" s="922"/>
      <c r="M2424" s="922"/>
      <c r="N2424" s="924"/>
      <c r="O2424" s="362"/>
    </row>
    <row r="2425" spans="1:15" ht="15.75" customHeight="1">
      <c r="A2425" s="395"/>
      <c r="B2425" s="399"/>
      <c r="C2425" s="929"/>
      <c r="D2425" s="936"/>
      <c r="E2425" s="936"/>
      <c r="F2425" s="936"/>
      <c r="G2425" s="936"/>
      <c r="H2425" s="936"/>
      <c r="I2425" s="936"/>
      <c r="J2425" s="936"/>
      <c r="K2425" s="936"/>
      <c r="L2425" s="936"/>
      <c r="M2425" s="936"/>
      <c r="N2425" s="938"/>
      <c r="O2425" s="362"/>
    </row>
    <row r="2426" spans="1:15" ht="15.75" customHeight="1">
      <c r="A2426" s="395"/>
      <c r="B2426" s="399"/>
      <c r="C2426" s="1201" t="s">
        <v>1209</v>
      </c>
      <c r="D2426" s="1131"/>
      <c r="E2426" s="1131"/>
      <c r="F2426" s="1131"/>
      <c r="G2426" s="1131"/>
      <c r="H2426" s="1000"/>
      <c r="I2426" s="670" t="s">
        <v>1210</v>
      </c>
      <c r="J2426" s="674" t="s">
        <v>1211</v>
      </c>
      <c r="K2426" s="675" t="s">
        <v>2318</v>
      </c>
      <c r="L2426" s="1204" t="s">
        <v>1213</v>
      </c>
      <c r="M2426" s="1000"/>
      <c r="N2426" s="671" t="s">
        <v>1200</v>
      </c>
      <c r="O2426" s="362"/>
    </row>
    <row r="2427" spans="1:15" ht="15.75" customHeight="1">
      <c r="A2427" s="395">
        <f t="array" ref="A2427">IF(C2427&lt;&gt;0,INDEX(CodTransporte,MATCH(C2427,Transporte,0),),)</f>
        <v>0</v>
      </c>
      <c r="B2427" s="399"/>
      <c r="C2427" s="1128"/>
      <c r="D2427" s="940"/>
      <c r="E2427" s="940"/>
      <c r="F2427" s="940"/>
      <c r="G2427" s="940"/>
      <c r="H2427" s="940"/>
      <c r="I2427" s="440"/>
      <c r="J2427" s="441" t="str">
        <f>IF($A2427&gt;0,(VLOOKUP($A2427,TablaTransporte,6,FALSE)),"")</f>
        <v/>
      </c>
      <c r="K2427" s="442" t="str">
        <f>IF($A2427&gt;0,(VLOOKUP($A2427,TablaTransporte,5,FALSE)),"")</f>
        <v/>
      </c>
      <c r="L2427" s="1134" t="str">
        <f>IF($A2427&gt;0,(VLOOKUP($A2427,TablaTransporte,7,FALSE)),"")</f>
        <v/>
      </c>
      <c r="M2427" s="941"/>
      <c r="N2427" s="430" t="str">
        <f t="shared" ref="N2427:N2431" si="184">IF(I2427&gt;0,J2427*L2427*I2427,"")</f>
        <v/>
      </c>
      <c r="O2427" s="362"/>
    </row>
    <row r="2428" spans="1:15" ht="15.75" customHeight="1">
      <c r="A2428" s="395">
        <f t="array" ref="A2428">IF(C2428&lt;&gt;0,INDEX(CodTransporte,MATCH(C2428,Transporte,0),),)</f>
        <v>0</v>
      </c>
      <c r="B2428" s="399"/>
      <c r="C2428" s="1128"/>
      <c r="D2428" s="940"/>
      <c r="E2428" s="940"/>
      <c r="F2428" s="940"/>
      <c r="G2428" s="940"/>
      <c r="H2428" s="940"/>
      <c r="I2428" s="440"/>
      <c r="J2428" s="441" t="str">
        <f>IF($A2428&gt;0,(VLOOKUP($A2428,TablaTransporte,6,FALSE)),"")</f>
        <v/>
      </c>
      <c r="K2428" s="442" t="str">
        <f>IF($A2428&gt;0,(VLOOKUP($A2428,TablaTransporte,5,FALSE)),"")</f>
        <v/>
      </c>
      <c r="L2428" s="1134" t="str">
        <f>IF($A2428&gt;0,(VLOOKUP($A2428,TablaTransporte,7,FALSE)),"")</f>
        <v/>
      </c>
      <c r="M2428" s="941"/>
      <c r="N2428" s="430" t="str">
        <f t="shared" si="184"/>
        <v/>
      </c>
      <c r="O2428" s="362"/>
    </row>
    <row r="2429" spans="1:15" ht="15.75" customHeight="1">
      <c r="A2429" s="395">
        <f t="array" ref="A2429">IF(C2429&lt;&gt;0,INDEX(CodTransporte,MATCH(C2429,Transporte,0),),)</f>
        <v>0</v>
      </c>
      <c r="B2429" s="399"/>
      <c r="C2429" s="1128"/>
      <c r="D2429" s="940"/>
      <c r="E2429" s="940"/>
      <c r="F2429" s="940"/>
      <c r="G2429" s="940"/>
      <c r="H2429" s="940"/>
      <c r="I2429" s="440"/>
      <c r="J2429" s="441" t="str">
        <f>IF($A2429&gt;0,(VLOOKUP($A2429,TablaTransporte,6,FALSE)),"")</f>
        <v/>
      </c>
      <c r="K2429" s="442" t="str">
        <f>IF($A2429&gt;0,(VLOOKUP($A2429,TablaTransporte,5,FALSE)),"")</f>
        <v/>
      </c>
      <c r="L2429" s="1134" t="str">
        <f>IF($A2429&gt;0,(VLOOKUP($A2429,TablaTransporte,7,FALSE)),"")</f>
        <v/>
      </c>
      <c r="M2429" s="941"/>
      <c r="N2429" s="430" t="str">
        <f t="shared" si="184"/>
        <v/>
      </c>
      <c r="O2429" s="362"/>
    </row>
    <row r="2430" spans="1:15" ht="15.75" customHeight="1">
      <c r="A2430" s="395">
        <f t="array" ref="A2430">IF(C2430&lt;&gt;0,INDEX(CodTransporte,MATCH(C2430,Transporte,0),),)</f>
        <v>0</v>
      </c>
      <c r="B2430" s="399"/>
      <c r="C2430" s="1128"/>
      <c r="D2430" s="940"/>
      <c r="E2430" s="940"/>
      <c r="F2430" s="940"/>
      <c r="G2430" s="940"/>
      <c r="H2430" s="940"/>
      <c r="I2430" s="440"/>
      <c r="J2430" s="441" t="str">
        <f>IF($A2430&gt;0,(VLOOKUP($A2430,TablaTransporte,6,FALSE)),"")</f>
        <v/>
      </c>
      <c r="K2430" s="442" t="str">
        <f>IF($A2430&gt;0,(VLOOKUP($A2430,TablaTransporte,5,FALSE)),"")</f>
        <v/>
      </c>
      <c r="L2430" s="1134" t="str">
        <f>IF($A2430&gt;0,(VLOOKUP($A2430,TablaTransporte,7,FALSE)),"")</f>
        <v/>
      </c>
      <c r="M2430" s="941"/>
      <c r="N2430" s="430" t="str">
        <f t="shared" si="184"/>
        <v/>
      </c>
      <c r="O2430" s="362"/>
    </row>
    <row r="2431" spans="1:15" ht="15.75" customHeight="1">
      <c r="A2431" s="395">
        <f t="array" ref="A2431">IF(C2431&lt;&gt;0,INDEX(CodTransporte,MATCH(C2431,Transporte,0),),)</f>
        <v>0</v>
      </c>
      <c r="B2431" s="399"/>
      <c r="C2431" s="1128"/>
      <c r="D2431" s="940"/>
      <c r="E2431" s="940"/>
      <c r="F2431" s="940"/>
      <c r="G2431" s="940"/>
      <c r="H2431" s="940"/>
      <c r="I2431" s="440"/>
      <c r="J2431" s="441" t="str">
        <f>IF($A2431&gt;0,(VLOOKUP($A2431,TablaTransporte,6,FALSE)),"")</f>
        <v/>
      </c>
      <c r="K2431" s="442" t="str">
        <f>IF($A2431&gt;0,(VLOOKUP($A2431,TablaTransporte,5,FALSE)),"")</f>
        <v/>
      </c>
      <c r="L2431" s="1205" t="str">
        <f>IF($A2431&gt;0,(VLOOKUP($A2431,TablaTransporte,7,FALSE)),"")</f>
        <v/>
      </c>
      <c r="M2431" s="1145"/>
      <c r="N2431" s="430" t="str">
        <f t="shared" si="184"/>
        <v/>
      </c>
      <c r="O2431" s="362"/>
    </row>
    <row r="2432" spans="1:15" ht="15.75" customHeight="1">
      <c r="A2432" s="395"/>
      <c r="B2432" s="399"/>
      <c r="C2432" s="1127" t="s">
        <v>1202</v>
      </c>
      <c r="D2432" s="965"/>
      <c r="E2432" s="965"/>
      <c r="F2432" s="965"/>
      <c r="G2432" s="965"/>
      <c r="H2432" s="965"/>
      <c r="I2432" s="965"/>
      <c r="J2432" s="965"/>
      <c r="K2432" s="965"/>
      <c r="L2432" s="965"/>
      <c r="M2432" s="966"/>
      <c r="N2432" s="433">
        <f>+SUM(N2427:N2431)</f>
        <v>0</v>
      </c>
      <c r="O2432" s="362"/>
    </row>
    <row r="2433" spans="1:18" ht="15.75" customHeight="1">
      <c r="A2433" s="395"/>
      <c r="B2433" s="399"/>
      <c r="C2433" s="1129" t="s">
        <v>1214</v>
      </c>
      <c r="D2433" s="926"/>
      <c r="E2433" s="926"/>
      <c r="F2433" s="926"/>
      <c r="G2433" s="926"/>
      <c r="H2433" s="926"/>
      <c r="I2433" s="926"/>
      <c r="J2433" s="926"/>
      <c r="K2433" s="926"/>
      <c r="L2433" s="926"/>
      <c r="M2433" s="926"/>
      <c r="N2433" s="927"/>
      <c r="O2433" s="362"/>
    </row>
    <row r="2434" spans="1:18" ht="15.75" customHeight="1">
      <c r="A2434" s="395"/>
      <c r="B2434" s="399"/>
      <c r="C2434" s="920"/>
      <c r="D2434" s="922"/>
      <c r="E2434" s="922"/>
      <c r="F2434" s="922"/>
      <c r="G2434" s="922"/>
      <c r="H2434" s="922"/>
      <c r="I2434" s="922"/>
      <c r="J2434" s="922"/>
      <c r="K2434" s="922"/>
      <c r="L2434" s="922"/>
      <c r="M2434" s="922"/>
      <c r="N2434" s="924"/>
      <c r="O2434" s="362"/>
    </row>
    <row r="2435" spans="1:18" ht="15.75" customHeight="1">
      <c r="A2435" s="395"/>
      <c r="B2435" s="399"/>
      <c r="C2435" s="929"/>
      <c r="D2435" s="936"/>
      <c r="E2435" s="936"/>
      <c r="F2435" s="936"/>
      <c r="G2435" s="936"/>
      <c r="H2435" s="936"/>
      <c r="I2435" s="936"/>
      <c r="J2435" s="936"/>
      <c r="K2435" s="936"/>
      <c r="L2435" s="936"/>
      <c r="M2435" s="936"/>
      <c r="N2435" s="938"/>
      <c r="O2435" s="362"/>
    </row>
    <row r="2436" spans="1:18" ht="15.75" customHeight="1">
      <c r="A2436" s="395"/>
      <c r="B2436" s="399"/>
      <c r="C2436" s="1201" t="s">
        <v>1215</v>
      </c>
      <c r="D2436" s="1131"/>
      <c r="E2436" s="1131"/>
      <c r="F2436" s="1131"/>
      <c r="G2436" s="1131"/>
      <c r="H2436" s="1000"/>
      <c r="I2436" s="670" t="s">
        <v>1216</v>
      </c>
      <c r="J2436" s="676" t="s">
        <v>1217</v>
      </c>
      <c r="K2436" s="677" t="s">
        <v>1218</v>
      </c>
      <c r="L2436" s="1206" t="s">
        <v>1199</v>
      </c>
      <c r="M2436" s="1000"/>
      <c r="N2436" s="678" t="s">
        <v>1200</v>
      </c>
      <c r="O2436" s="362"/>
    </row>
    <row r="2437" spans="1:18" ht="15.75" customHeight="1">
      <c r="A2437" s="395" t="str">
        <f t="array" ref="A2437">IF(C2437&lt;&gt;0,INDEX(CodMO,MATCH(C2437,MO,0),),)</f>
        <v>M.O-05</v>
      </c>
      <c r="B2437" s="399"/>
      <c r="C2437" s="1128" t="s">
        <v>139</v>
      </c>
      <c r="D2437" s="940"/>
      <c r="E2437" s="940"/>
      <c r="F2437" s="940"/>
      <c r="G2437" s="940"/>
      <c r="H2437" s="940"/>
      <c r="I2437" s="447">
        <f>IF($A2437&gt;0,(VLOOKUP($A2437,TablaMO,8,FALSE)),"")</f>
        <v>125030.16666666667</v>
      </c>
      <c r="J2437" s="448">
        <f>IF($A2437&gt;0,(VLOOKUP($A2437,TablaMO,10,FALSE)),"")</f>
        <v>0.67071666666666663</v>
      </c>
      <c r="K2437" s="447">
        <f>IF($A2437&gt;0,(VLOOKUP($A2437,TablaMO,11,FALSE)),"")</f>
        <v>208890</v>
      </c>
      <c r="L2437" s="1146">
        <v>42.510654655040838</v>
      </c>
      <c r="M2437" s="941"/>
      <c r="N2437" s="430">
        <f t="shared" ref="N2437:N2441" si="185">IF(L2437&gt;0,K2437/L2437,"")</f>
        <v>4913.8269380951579</v>
      </c>
      <c r="O2437" s="362"/>
    </row>
    <row r="2438" spans="1:18" ht="15.75" customHeight="1">
      <c r="A2438" s="395" t="str">
        <f t="array" ref="A2438">IF(C2438&lt;&gt;0,INDEX(CodMO,MATCH(C2438,MO,0),),)</f>
        <v>M.O-01</v>
      </c>
      <c r="B2438" s="399"/>
      <c r="C2438" s="1128" t="s">
        <v>130</v>
      </c>
      <c r="D2438" s="940"/>
      <c r="E2438" s="940"/>
      <c r="F2438" s="940"/>
      <c r="G2438" s="940"/>
      <c r="H2438" s="940"/>
      <c r="I2438" s="447">
        <f>IF($A2438&gt;0,(VLOOKUP($A2438,TablaMO,8,FALSE)),"")</f>
        <v>72503.016666666677</v>
      </c>
      <c r="J2438" s="448">
        <f>IF($A2438&gt;0,(VLOOKUP($A2438,TablaMO,10,FALSE)),"")</f>
        <v>0.67071666666666663</v>
      </c>
      <c r="K2438" s="447">
        <f>IF($A2438&gt;0,(VLOOKUP($A2438,TablaMO,11,FALSE)),"")</f>
        <v>121132</v>
      </c>
      <c r="L2438" s="1146">
        <f>L2437</f>
        <v>42.510654655040838</v>
      </c>
      <c r="M2438" s="941"/>
      <c r="N2438" s="430">
        <f t="shared" si="185"/>
        <v>2849.4503550449649</v>
      </c>
      <c r="O2438" s="362"/>
    </row>
    <row r="2439" spans="1:18" ht="15.75" customHeight="1">
      <c r="A2439" s="395">
        <f t="array" ref="A2439">IF(C2439&lt;&gt;0,INDEX(CodMO,MATCH(C2439,MO,0),),)</f>
        <v>0</v>
      </c>
      <c r="B2439" s="399"/>
      <c r="C2439" s="1128"/>
      <c r="D2439" s="940"/>
      <c r="E2439" s="940"/>
      <c r="F2439" s="940"/>
      <c r="G2439" s="940"/>
      <c r="H2439" s="940"/>
      <c r="I2439" s="447" t="str">
        <f>IF($A2439&gt;0,(VLOOKUP($A2439,TablaMO,8,FALSE)),"")</f>
        <v/>
      </c>
      <c r="J2439" s="448" t="str">
        <f>IF($A2439&gt;0,(VLOOKUP($A2439,TablaMO,10,FALSE)),"")</f>
        <v/>
      </c>
      <c r="K2439" s="447" t="str">
        <f>IF($A2439&gt;0,(VLOOKUP($A2439,TablaMO,11,FALSE)),"")</f>
        <v/>
      </c>
      <c r="L2439" s="1146"/>
      <c r="M2439" s="941"/>
      <c r="N2439" s="430" t="str">
        <f t="shared" si="185"/>
        <v/>
      </c>
      <c r="O2439" s="362"/>
    </row>
    <row r="2440" spans="1:18" ht="15.75" customHeight="1">
      <c r="A2440" s="395">
        <f t="array" ref="A2440">IF(C2440&lt;&gt;0,INDEX(CodMO,MATCH(C2440,MO,0),),)</f>
        <v>0</v>
      </c>
      <c r="B2440" s="399"/>
      <c r="C2440" s="1128"/>
      <c r="D2440" s="940"/>
      <c r="E2440" s="940"/>
      <c r="F2440" s="940"/>
      <c r="G2440" s="940"/>
      <c r="H2440" s="940"/>
      <c r="I2440" s="447" t="str">
        <f>IF($A2440&gt;0,(VLOOKUP($A2440,TablaMO,8,FALSE)),"")</f>
        <v/>
      </c>
      <c r="J2440" s="448" t="str">
        <f>IF($A2440&gt;0,(VLOOKUP($A2440,TablaMO,10,FALSE)),"")</f>
        <v/>
      </c>
      <c r="K2440" s="447" t="str">
        <f>IF($A2440&gt;0,(VLOOKUP($A2440,TablaMO,11,FALSE)),"")</f>
        <v/>
      </c>
      <c r="L2440" s="1146"/>
      <c r="M2440" s="941"/>
      <c r="N2440" s="430" t="str">
        <f t="shared" si="185"/>
        <v/>
      </c>
      <c r="O2440" s="362"/>
    </row>
    <row r="2441" spans="1:18" ht="15.75" customHeight="1">
      <c r="A2441" s="395">
        <f t="array" ref="A2441">IF(C2441&lt;&gt;0,INDEX(CodMO,MATCH(C2441,MO,0),),)</f>
        <v>0</v>
      </c>
      <c r="B2441" s="399"/>
      <c r="C2441" s="1128"/>
      <c r="D2441" s="940"/>
      <c r="E2441" s="940"/>
      <c r="F2441" s="940"/>
      <c r="G2441" s="940"/>
      <c r="H2441" s="940"/>
      <c r="I2441" s="447" t="str">
        <f>IF($A2441&gt;0,(VLOOKUP($A2441,TablaMO,8,FALSE)),"")</f>
        <v/>
      </c>
      <c r="J2441" s="448" t="str">
        <f>IF($A2441&gt;0,(VLOOKUP($A2441,TablaMO,10,FALSE)),"")</f>
        <v/>
      </c>
      <c r="K2441" s="447" t="str">
        <f>IF($A2441&gt;0,(VLOOKUP($A2441,TablaMO,11,FALSE)),"")</f>
        <v/>
      </c>
      <c r="L2441" s="1146"/>
      <c r="M2441" s="941"/>
      <c r="N2441" s="430" t="str">
        <f t="shared" si="185"/>
        <v/>
      </c>
      <c r="O2441" s="362"/>
    </row>
    <row r="2442" spans="1:18" ht="15.75" customHeight="1">
      <c r="A2442" s="395"/>
      <c r="B2442" s="399"/>
      <c r="C2442" s="1127" t="s">
        <v>1202</v>
      </c>
      <c r="D2442" s="965"/>
      <c r="E2442" s="965"/>
      <c r="F2442" s="965"/>
      <c r="G2442" s="965"/>
      <c r="H2442" s="965"/>
      <c r="I2442" s="965"/>
      <c r="J2442" s="965"/>
      <c r="K2442" s="965"/>
      <c r="L2442" s="965"/>
      <c r="M2442" s="966"/>
      <c r="N2442" s="433">
        <f>+SUM(N2437:N2441)</f>
        <v>7763.2772931401232</v>
      </c>
      <c r="O2442" s="362"/>
    </row>
    <row r="2443" spans="1:18" ht="15.75" customHeight="1">
      <c r="B2443" s="679"/>
      <c r="O2443" s="362"/>
    </row>
    <row r="2444" spans="1:18" ht="15.75" customHeight="1">
      <c r="B2444" s="679"/>
      <c r="C2444" s="1198" t="s">
        <v>1219</v>
      </c>
      <c r="D2444" s="965"/>
      <c r="E2444" s="965"/>
      <c r="F2444" s="965"/>
      <c r="G2444" s="965"/>
      <c r="H2444" s="965"/>
      <c r="I2444" s="965"/>
      <c r="J2444" s="965"/>
      <c r="K2444" s="965"/>
      <c r="L2444" s="965"/>
      <c r="M2444" s="966"/>
      <c r="N2444" s="680">
        <f>ROUND(SUM(N2442,N2432,N2422,N2409),0)</f>
        <v>31456</v>
      </c>
      <c r="O2444" s="362"/>
      <c r="Q2444" s="681">
        <f>VLOOKUP(C2398,PROPUESTASASERCO,8,FALSE)</f>
        <v>31456</v>
      </c>
      <c r="R2444" s="682">
        <f>Q2444-N2444</f>
        <v>0</v>
      </c>
    </row>
    <row r="2445" spans="1:18" ht="15.75" customHeight="1">
      <c r="B2445" s="679"/>
      <c r="C2445" s="1129" t="s">
        <v>1220</v>
      </c>
      <c r="D2445" s="926"/>
      <c r="E2445" s="926"/>
      <c r="F2445" s="926"/>
      <c r="G2445" s="926"/>
      <c r="H2445" s="926"/>
      <c r="I2445" s="926"/>
      <c r="J2445" s="926"/>
      <c r="K2445" s="926"/>
      <c r="L2445" s="926"/>
      <c r="M2445" s="926"/>
      <c r="N2445" s="927"/>
      <c r="O2445" s="362"/>
    </row>
    <row r="2446" spans="1:18" ht="15.75" customHeight="1">
      <c r="B2446" s="679"/>
      <c r="C2446" s="920"/>
      <c r="D2446" s="922"/>
      <c r="E2446" s="922"/>
      <c r="F2446" s="922"/>
      <c r="G2446" s="922"/>
      <c r="H2446" s="922"/>
      <c r="I2446" s="922"/>
      <c r="J2446" s="922"/>
      <c r="K2446" s="922"/>
      <c r="L2446" s="922"/>
      <c r="M2446" s="922"/>
      <c r="N2446" s="924"/>
      <c r="O2446" s="362"/>
    </row>
    <row r="2447" spans="1:18" ht="15.75" customHeight="1">
      <c r="B2447" s="679"/>
      <c r="C2447" s="929"/>
      <c r="D2447" s="936"/>
      <c r="E2447" s="936"/>
      <c r="F2447" s="936"/>
      <c r="G2447" s="936"/>
      <c r="H2447" s="936"/>
      <c r="I2447" s="936"/>
      <c r="J2447" s="936"/>
      <c r="K2447" s="936"/>
      <c r="L2447" s="936"/>
      <c r="M2447" s="936"/>
      <c r="N2447" s="938"/>
      <c r="O2447" s="362"/>
    </row>
    <row r="2448" spans="1:18" ht="15.75" customHeight="1">
      <c r="B2448" s="679"/>
      <c r="C2448" s="1201" t="s">
        <v>1221</v>
      </c>
      <c r="D2448" s="1131"/>
      <c r="E2448" s="1131"/>
      <c r="F2448" s="1131"/>
      <c r="G2448" s="1131"/>
      <c r="H2448" s="1132"/>
      <c r="I2448" s="674"/>
      <c r="J2448" s="674"/>
      <c r="K2448" s="674"/>
      <c r="L2448" s="1206" t="s">
        <v>1222</v>
      </c>
      <c r="M2448" s="1000"/>
      <c r="N2448" s="678" t="s">
        <v>1223</v>
      </c>
      <c r="O2448" s="362"/>
    </row>
    <row r="2449" spans="2:15" ht="15.75" customHeight="1">
      <c r="B2449" s="679"/>
      <c r="C2449" s="1128" t="s">
        <v>19</v>
      </c>
      <c r="D2449" s="940"/>
      <c r="E2449" s="940"/>
      <c r="F2449" s="940"/>
      <c r="G2449" s="940"/>
      <c r="H2449" s="940"/>
      <c r="I2449" s="452"/>
      <c r="J2449" s="452"/>
      <c r="K2449" s="452"/>
      <c r="L2449" s="1148">
        <f>+Datos!$E$18</f>
        <v>0.25</v>
      </c>
      <c r="M2449" s="941"/>
      <c r="N2449" s="430">
        <f>+L2449*N2444</f>
        <v>7864</v>
      </c>
      <c r="O2449" s="362"/>
    </row>
    <row r="2450" spans="2:15" ht="15.75" customHeight="1">
      <c r="B2450" s="679"/>
      <c r="C2450" s="454" t="s">
        <v>20</v>
      </c>
      <c r="D2450" s="455"/>
      <c r="E2450" s="455"/>
      <c r="F2450" s="455"/>
      <c r="G2450" s="455"/>
      <c r="H2450" s="455"/>
      <c r="I2450" s="452"/>
      <c r="J2450" s="452"/>
      <c r="K2450" s="452"/>
      <c r="L2450" s="1148">
        <f>+Datos!$E$19</f>
        <v>0.01</v>
      </c>
      <c r="M2450" s="941"/>
      <c r="N2450" s="430">
        <f>+L2450*N2444</f>
        <v>314.56</v>
      </c>
      <c r="O2450" s="362"/>
    </row>
    <row r="2451" spans="2:15" ht="15.75" customHeight="1">
      <c r="B2451" s="679"/>
      <c r="C2451" s="456" t="s">
        <v>21</v>
      </c>
      <c r="D2451" s="457"/>
      <c r="E2451" s="457"/>
      <c r="F2451" s="457"/>
      <c r="G2451" s="457"/>
      <c r="H2451" s="457"/>
      <c r="I2451" s="458"/>
      <c r="J2451" s="458"/>
      <c r="K2451" s="458"/>
      <c r="L2451" s="1148">
        <f>+Datos!$E$20</f>
        <v>0.05</v>
      </c>
      <c r="M2451" s="941"/>
      <c r="N2451" s="430">
        <f>+L2451*N2444</f>
        <v>1572.8000000000002</v>
      </c>
      <c r="O2451" s="362"/>
    </row>
    <row r="2452" spans="2:15" ht="15.75" customHeight="1">
      <c r="B2452" s="679"/>
      <c r="C2452" s="1127" t="s">
        <v>1202</v>
      </c>
      <c r="D2452" s="965"/>
      <c r="E2452" s="965"/>
      <c r="F2452" s="965"/>
      <c r="G2452" s="965"/>
      <c r="H2452" s="965"/>
      <c r="I2452" s="965"/>
      <c r="J2452" s="965"/>
      <c r="K2452" s="965"/>
      <c r="L2452" s="965"/>
      <c r="M2452" s="966"/>
      <c r="N2452" s="433">
        <f>+SUM(N2449:N2451)</f>
        <v>9751.36</v>
      </c>
      <c r="O2452" s="362"/>
    </row>
    <row r="2453" spans="2:15" ht="15.75" customHeight="1">
      <c r="B2453" s="679"/>
      <c r="C2453" s="418"/>
      <c r="D2453" s="39"/>
      <c r="E2453" s="39"/>
      <c r="F2453" s="39"/>
      <c r="G2453" s="39"/>
      <c r="H2453" s="39"/>
      <c r="I2453" s="39"/>
      <c r="J2453" s="39"/>
      <c r="K2453" s="39"/>
      <c r="L2453" s="39"/>
      <c r="M2453" s="39"/>
      <c r="N2453" s="40"/>
      <c r="O2453" s="362"/>
    </row>
    <row r="2454" spans="2:15" ht="15.75" customHeight="1">
      <c r="B2454" s="679"/>
      <c r="C2454" s="1198" t="s">
        <v>1224</v>
      </c>
      <c r="D2454" s="965"/>
      <c r="E2454" s="965"/>
      <c r="F2454" s="965"/>
      <c r="G2454" s="965"/>
      <c r="H2454" s="965"/>
      <c r="I2454" s="965"/>
      <c r="J2454" s="965"/>
      <c r="K2454" s="965"/>
      <c r="L2454" s="965"/>
      <c r="M2454" s="966"/>
      <c r="N2454" s="683">
        <f>+ROUND(SUM(N2452,N2444),0)</f>
        <v>41207</v>
      </c>
      <c r="O2454" s="362"/>
    </row>
    <row r="2455" spans="2:15" ht="15.75" customHeight="1">
      <c r="B2455" s="679"/>
      <c r="C2455" s="418"/>
      <c r="D2455" s="39" t="s">
        <v>1225</v>
      </c>
      <c r="E2455" s="39"/>
      <c r="F2455" s="39"/>
      <c r="G2455" s="184"/>
      <c r="H2455" s="184"/>
      <c r="I2455" s="184"/>
      <c r="J2455" s="39" t="s">
        <v>1225</v>
      </c>
      <c r="K2455" s="39"/>
      <c r="L2455" s="39"/>
      <c r="M2455" s="39"/>
      <c r="N2455" s="40"/>
      <c r="O2455" s="362"/>
    </row>
    <row r="2456" spans="2:15" ht="15.75" customHeight="1">
      <c r="B2456" s="679"/>
      <c r="C2456" s="418"/>
      <c r="D2456" s="39" t="s">
        <v>1226</v>
      </c>
      <c r="E2456" s="39"/>
      <c r="F2456" s="39"/>
      <c r="G2456" s="184"/>
      <c r="H2456" s="184"/>
      <c r="I2456" s="184"/>
      <c r="J2456" s="39" t="s">
        <v>1227</v>
      </c>
      <c r="K2456" s="39"/>
      <c r="L2456" s="39"/>
      <c r="M2456" s="39"/>
      <c r="N2456" s="40"/>
      <c r="O2456" s="362"/>
    </row>
    <row r="2457" spans="2:15" ht="15.75" customHeight="1">
      <c r="B2457" s="679"/>
      <c r="C2457" s="404"/>
      <c r="D2457" s="39" t="s">
        <v>1228</v>
      </c>
      <c r="E2457" s="42"/>
      <c r="F2457" s="42"/>
      <c r="G2457" s="184"/>
      <c r="H2457" s="184"/>
      <c r="I2457" s="184"/>
      <c r="J2457" s="39" t="s">
        <v>1228</v>
      </c>
      <c r="K2457" s="42"/>
      <c r="L2457" s="42"/>
      <c r="M2457" s="42"/>
      <c r="N2457" s="43"/>
      <c r="O2457" s="362"/>
    </row>
    <row r="2458" spans="2:15" ht="15.75" customHeight="1">
      <c r="B2458" s="679"/>
      <c r="C2458" s="418"/>
      <c r="D2458" s="39"/>
      <c r="E2458" s="39"/>
      <c r="F2458" s="39"/>
      <c r="G2458" s="39" t="s">
        <v>1229</v>
      </c>
      <c r="H2458" s="39"/>
      <c r="I2458" s="39"/>
      <c r="J2458" s="39"/>
      <c r="K2458" s="39"/>
      <c r="L2458" s="39"/>
      <c r="M2458" s="39"/>
      <c r="N2458" s="40"/>
      <c r="O2458" s="362"/>
    </row>
    <row r="2459" spans="2:15" ht="15.75" customHeight="1">
      <c r="B2459" s="679"/>
      <c r="C2459" s="466"/>
      <c r="D2459" s="467"/>
      <c r="E2459" s="467"/>
      <c r="F2459" s="39"/>
      <c r="G2459" s="39"/>
      <c r="H2459" s="39"/>
      <c r="I2459" s="39"/>
      <c r="J2459" s="1149"/>
      <c r="K2459" s="922"/>
      <c r="L2459" s="922"/>
      <c r="M2459" s="922"/>
      <c r="N2459" s="924"/>
      <c r="O2459" s="362"/>
    </row>
    <row r="2460" spans="2:15" ht="15.75" customHeight="1">
      <c r="B2460" s="679"/>
      <c r="C2460" s="1150"/>
      <c r="D2460" s="936"/>
      <c r="E2460" s="936"/>
      <c r="F2460" s="416"/>
      <c r="G2460" s="416"/>
      <c r="H2460" s="416"/>
      <c r="I2460" s="416"/>
      <c r="J2460" s="936"/>
      <c r="K2460" s="936"/>
      <c r="L2460" s="936"/>
      <c r="M2460" s="936"/>
      <c r="N2460" s="938"/>
      <c r="O2460" s="362"/>
    </row>
    <row r="2461" spans="2:15" ht="15.75" customHeight="1">
      <c r="B2461" s="684"/>
      <c r="C2461" s="685"/>
      <c r="D2461" s="685"/>
      <c r="E2461" s="685"/>
      <c r="F2461" s="685"/>
      <c r="G2461" s="685"/>
      <c r="H2461" s="685"/>
      <c r="I2461" s="685"/>
      <c r="J2461" s="685"/>
      <c r="K2461" s="685"/>
      <c r="L2461" s="685"/>
      <c r="M2461" s="685"/>
      <c r="N2461" s="685"/>
      <c r="O2461" s="686"/>
    </row>
    <row r="2462" spans="2:15" ht="15.75" customHeight="1"/>
    <row r="2463" spans="2:15" ht="15.75" customHeight="1"/>
    <row r="2464" spans="2:15" ht="15.75" customHeight="1"/>
    <row r="2465" spans="1:15" ht="15.75" customHeight="1">
      <c r="A2465" s="395" t="s">
        <v>941</v>
      </c>
      <c r="B2465" s="184"/>
      <c r="C2465" s="184"/>
      <c r="D2465" s="184"/>
      <c r="E2465" s="184"/>
      <c r="F2465" s="184"/>
      <c r="G2465" s="184"/>
      <c r="H2465" s="184"/>
      <c r="I2465" s="184"/>
      <c r="J2465" s="184"/>
      <c r="K2465" s="184"/>
      <c r="L2465" s="184"/>
      <c r="M2465" s="184"/>
      <c r="N2465" s="184"/>
    </row>
    <row r="2466" spans="1:15" ht="15.75" customHeight="1">
      <c r="A2466" s="395"/>
      <c r="B2466" s="396"/>
      <c r="C2466" s="397"/>
      <c r="D2466" s="397"/>
      <c r="E2466" s="397"/>
      <c r="F2466" s="397"/>
      <c r="G2466" s="397"/>
      <c r="H2466" s="397"/>
      <c r="I2466" s="397"/>
      <c r="J2466" s="397"/>
      <c r="K2466" s="397"/>
      <c r="L2466" s="397"/>
      <c r="M2466" s="397"/>
      <c r="N2466" s="397"/>
      <c r="O2466" s="667"/>
    </row>
    <row r="2467" spans="1:15" ht="15.75" customHeight="1">
      <c r="A2467" s="395"/>
      <c r="B2467" s="399"/>
      <c r="C2467" s="1124"/>
      <c r="D2467" s="927"/>
      <c r="E2467" s="1207" t="str">
        <f>Datos!$C$9</f>
        <v>CONSEJO SUPERIOR  DE  JUDICATURA– DIRECCIÓN  EJECUTIVA  SECCIONAL  DE ADMINISTRACIÓN JUDICIAL DE BUCARAMANGA</v>
      </c>
      <c r="F2467" s="926"/>
      <c r="G2467" s="926"/>
      <c r="H2467" s="926"/>
      <c r="I2467" s="926"/>
      <c r="J2467" s="926"/>
      <c r="K2467" s="927"/>
      <c r="L2467" s="925" t="s">
        <v>1</v>
      </c>
      <c r="M2467" s="931"/>
      <c r="N2467" s="933">
        <v>1</v>
      </c>
      <c r="O2467" s="362"/>
    </row>
    <row r="2468" spans="1:15" ht="15.75" customHeight="1">
      <c r="A2468" s="395"/>
      <c r="B2468" s="399"/>
      <c r="C2468" s="920"/>
      <c r="D2468" s="924"/>
      <c r="E2468" s="920"/>
      <c r="F2468" s="922"/>
      <c r="G2468" s="922"/>
      <c r="H2468" s="922"/>
      <c r="I2468" s="922"/>
      <c r="J2468" s="922"/>
      <c r="K2468" s="924"/>
      <c r="L2468" s="920"/>
      <c r="M2468" s="932"/>
      <c r="N2468" s="934"/>
      <c r="O2468" s="362"/>
    </row>
    <row r="2469" spans="1:15" ht="15.75" customHeight="1">
      <c r="A2469" s="395"/>
      <c r="B2469" s="399"/>
      <c r="C2469" s="920"/>
      <c r="D2469" s="924"/>
      <c r="E2469" s="919" t="str">
        <f>Datos!$C$13</f>
        <v xml:space="preserve">BGA - 030 - 2026 </v>
      </c>
      <c r="F2469" s="922"/>
      <c r="G2469" s="922"/>
      <c r="H2469" s="922"/>
      <c r="I2469" s="922"/>
      <c r="J2469" s="922"/>
      <c r="K2469" s="922"/>
      <c r="L2469" s="925" t="s">
        <v>29</v>
      </c>
      <c r="M2469" s="926"/>
      <c r="N2469" s="927"/>
      <c r="O2469" s="362"/>
    </row>
    <row r="2470" spans="1:15" ht="15.75" customHeight="1">
      <c r="A2470" s="395"/>
      <c r="B2470" s="399"/>
      <c r="C2470" s="920"/>
      <c r="D2470" s="924"/>
      <c r="E2470"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470" s="922"/>
      <c r="G2470" s="922"/>
      <c r="H2470" s="922"/>
      <c r="I2470" s="922"/>
      <c r="J2470" s="922"/>
      <c r="K2470" s="924"/>
      <c r="L2470" s="919">
        <v>1</v>
      </c>
      <c r="M2470" s="921" t="s">
        <v>30</v>
      </c>
      <c r="N2470" s="923">
        <v>1</v>
      </c>
      <c r="O2470" s="362"/>
    </row>
    <row r="2471" spans="1:15" ht="15.75" customHeight="1">
      <c r="A2471" s="395"/>
      <c r="B2471" s="399"/>
      <c r="C2471" s="920"/>
      <c r="D2471" s="924"/>
      <c r="E2471" s="920"/>
      <c r="F2471" s="922"/>
      <c r="G2471" s="922"/>
      <c r="H2471" s="922"/>
      <c r="I2471" s="922"/>
      <c r="J2471" s="922"/>
      <c r="K2471" s="924"/>
      <c r="L2471" s="920"/>
      <c r="M2471" s="922"/>
      <c r="N2471" s="924"/>
      <c r="O2471" s="362"/>
    </row>
    <row r="2472" spans="1:15" ht="15.75" customHeight="1">
      <c r="A2472" s="395"/>
      <c r="B2472" s="399"/>
      <c r="C2472" s="920"/>
      <c r="D2472" s="924"/>
      <c r="E2472" s="920"/>
      <c r="F2472" s="922"/>
      <c r="G2472" s="922"/>
      <c r="H2472" s="922"/>
      <c r="I2472" s="922"/>
      <c r="J2472" s="922"/>
      <c r="K2472" s="924"/>
      <c r="L2472" s="925" t="s">
        <v>2</v>
      </c>
      <c r="M2472" s="926"/>
      <c r="N2472" s="927"/>
      <c r="O2472" s="362"/>
    </row>
    <row r="2473" spans="1:15" ht="15.75" customHeight="1">
      <c r="A2473" s="395"/>
      <c r="B2473" s="399"/>
      <c r="C2473" s="920"/>
      <c r="D2473" s="924"/>
      <c r="E2473" s="407"/>
      <c r="F2473" s="216"/>
      <c r="G2473" s="216"/>
      <c r="H2473" s="216"/>
      <c r="I2473" s="216"/>
      <c r="J2473" s="216"/>
      <c r="K2473" s="216"/>
      <c r="L2473" s="408" t="s">
        <v>3</v>
      </c>
      <c r="M2473" s="409" t="s">
        <v>4</v>
      </c>
      <c r="N2473" s="410" t="s">
        <v>5</v>
      </c>
      <c r="O2473" s="362"/>
    </row>
    <row r="2474" spans="1:15" ht="15.75" customHeight="1">
      <c r="A2474" s="395"/>
      <c r="B2474" s="399"/>
      <c r="C2474" s="920"/>
      <c r="D2474" s="924"/>
      <c r="E2474" s="1125" t="s">
        <v>1186</v>
      </c>
      <c r="F2474" s="945"/>
      <c r="G2474" s="945"/>
      <c r="H2474" s="945"/>
      <c r="I2474" s="945"/>
      <c r="J2474" s="945"/>
      <c r="K2474" s="945"/>
      <c r="L2474" s="928">
        <f>Datos!$C$7</f>
        <v>19</v>
      </c>
      <c r="M2474" s="935">
        <f>Datos!$D$7</f>
        <v>6</v>
      </c>
      <c r="N2474" s="937">
        <f>Datos!$E$7</f>
        <v>2026</v>
      </c>
      <c r="O2474" s="362"/>
    </row>
    <row r="2475" spans="1:15" ht="15.75" customHeight="1">
      <c r="A2475" s="395"/>
      <c r="B2475" s="399"/>
      <c r="C2475" s="929"/>
      <c r="D2475" s="938"/>
      <c r="E2475" s="929"/>
      <c r="F2475" s="936"/>
      <c r="G2475" s="936"/>
      <c r="H2475" s="936"/>
      <c r="I2475" s="936"/>
      <c r="J2475" s="936"/>
      <c r="K2475" s="936"/>
      <c r="L2475" s="929"/>
      <c r="M2475" s="936"/>
      <c r="N2475" s="938"/>
      <c r="O2475" s="362"/>
    </row>
    <row r="2476" spans="1:15" ht="15.75" customHeight="1">
      <c r="A2476" s="395"/>
      <c r="B2476" s="399"/>
      <c r="C2476" s="404"/>
      <c r="D2476" s="38"/>
      <c r="E2476" s="38"/>
      <c r="F2476" s="38"/>
      <c r="G2476" s="38"/>
      <c r="H2476" s="38"/>
      <c r="I2476" s="38"/>
      <c r="J2476" s="38"/>
      <c r="K2476" s="38"/>
      <c r="L2476" s="39"/>
      <c r="M2476" s="39"/>
      <c r="N2476" s="40"/>
      <c r="O2476" s="362"/>
    </row>
    <row r="2477" spans="1:15" ht="15.75" customHeight="1">
      <c r="A2477" s="395"/>
      <c r="B2477" s="399"/>
      <c r="C2477" s="412" t="s">
        <v>1187</v>
      </c>
      <c r="D2477" s="1199" t="str">
        <f>VLOOKUP(C2482,ListaAct,2,0)</f>
        <v>OBRA CIVIL</v>
      </c>
      <c r="E2477" s="922"/>
      <c r="F2477" s="922"/>
      <c r="G2477" s="922"/>
      <c r="H2477" s="922"/>
      <c r="I2477" s="922"/>
      <c r="J2477" s="922"/>
      <c r="K2477" s="922"/>
      <c r="L2477" s="922"/>
      <c r="M2477" s="1"/>
      <c r="N2477" s="413"/>
      <c r="O2477" s="362"/>
    </row>
    <row r="2478" spans="1:15" ht="15.75" customHeight="1">
      <c r="A2478" s="395"/>
      <c r="B2478" s="399"/>
      <c r="C2478" s="412" t="s">
        <v>1189</v>
      </c>
      <c r="D2478" s="1199" t="str">
        <f>VLOOKUP(C2482,ListaAct,3,0)</f>
        <v>ACABADOS</v>
      </c>
      <c r="E2478" s="922"/>
      <c r="F2478" s="922"/>
      <c r="G2478" s="922"/>
      <c r="H2478" s="922"/>
      <c r="I2478" s="922"/>
      <c r="J2478" s="922"/>
      <c r="K2478" s="922"/>
      <c r="L2478" s="922"/>
      <c r="M2478" s="1"/>
      <c r="N2478" s="413"/>
      <c r="O2478" s="362"/>
    </row>
    <row r="2479" spans="1:15" ht="15.75" customHeight="1">
      <c r="A2479" s="395"/>
      <c r="B2479" s="399"/>
      <c r="C2479" s="925" t="s">
        <v>1191</v>
      </c>
      <c r="D2479" s="926"/>
      <c r="E2479" s="926"/>
      <c r="F2479" s="926"/>
      <c r="G2479" s="926"/>
      <c r="H2479" s="926"/>
      <c r="I2479" s="926"/>
      <c r="J2479" s="926"/>
      <c r="K2479" s="926"/>
      <c r="L2479" s="926"/>
      <c r="M2479" s="926"/>
      <c r="N2479" s="927"/>
      <c r="O2479" s="362"/>
    </row>
    <row r="2480" spans="1:15" ht="15.75" customHeight="1">
      <c r="A2480" s="395"/>
      <c r="B2480" s="399"/>
      <c r="C2480" s="418"/>
      <c r="D2480" s="39"/>
      <c r="E2480" s="39"/>
      <c r="F2480" s="39"/>
      <c r="G2480" s="39"/>
      <c r="H2480" s="39"/>
      <c r="I2480" s="39"/>
      <c r="J2480" s="39"/>
      <c r="K2480" s="39"/>
      <c r="L2480" s="39"/>
      <c r="M2480" s="39"/>
      <c r="N2480" s="40"/>
      <c r="O2480" s="362"/>
    </row>
    <row r="2481" spans="1:15" ht="15.75" customHeight="1">
      <c r="A2481" s="395"/>
      <c r="B2481" s="399"/>
      <c r="C2481" s="668" t="s">
        <v>965</v>
      </c>
      <c r="D2481" s="1200" t="s">
        <v>17</v>
      </c>
      <c r="E2481" s="1131"/>
      <c r="F2481" s="1131"/>
      <c r="G2481" s="1131"/>
      <c r="H2481" s="1131"/>
      <c r="I2481" s="1131"/>
      <c r="J2481" s="1131"/>
      <c r="K2481" s="1137"/>
      <c r="L2481" s="1201" t="s">
        <v>1192</v>
      </c>
      <c r="M2481" s="1137"/>
      <c r="N2481" s="668" t="s">
        <v>950</v>
      </c>
      <c r="O2481" s="362"/>
    </row>
    <row r="2482" spans="1:15" ht="15.75" customHeight="1">
      <c r="A2482" s="395"/>
      <c r="B2482" s="421"/>
      <c r="C2482" s="669" t="s">
        <v>1078</v>
      </c>
      <c r="D2482" s="1202" t="str">
        <f>IF($C2482&gt;0,(VLOOKUP($C2482,ListaAct,4,FALSE)),"")</f>
        <v xml:space="preserve"> Suministro e instalación de fachaleta en muro fachada sur según diseño actual. </v>
      </c>
      <c r="E2482" s="979"/>
      <c r="F2482" s="979"/>
      <c r="G2482" s="979"/>
      <c r="H2482" s="979"/>
      <c r="I2482" s="979"/>
      <c r="J2482" s="979"/>
      <c r="K2482" s="980"/>
      <c r="L2482" s="1203" t="str">
        <f>IF($C2482&gt;0,(VLOOKUP($C2482,ListaAct,5,FALSE)),"")</f>
        <v>m2</v>
      </c>
      <c r="M2482" s="980"/>
      <c r="N2482" s="423">
        <f>IF($C2482&gt;0,(VLOOKUP($C2482,ListaAct,6,FALSE)),"")</f>
        <v>5.2</v>
      </c>
      <c r="O2482" s="362"/>
    </row>
    <row r="2483" spans="1:15" ht="15.75" customHeight="1">
      <c r="A2483" s="395"/>
      <c r="B2483" s="399"/>
      <c r="C2483" s="1129" t="s">
        <v>1195</v>
      </c>
      <c r="D2483" s="926"/>
      <c r="E2483" s="926"/>
      <c r="F2483" s="926"/>
      <c r="G2483" s="926"/>
      <c r="H2483" s="926"/>
      <c r="I2483" s="926"/>
      <c r="J2483" s="926"/>
      <c r="K2483" s="926"/>
      <c r="L2483" s="926"/>
      <c r="M2483" s="926"/>
      <c r="N2483" s="927"/>
      <c r="O2483" s="362"/>
    </row>
    <row r="2484" spans="1:15" ht="15.75" customHeight="1">
      <c r="A2484" s="395"/>
      <c r="B2484" s="399"/>
      <c r="C2484" s="920"/>
      <c r="D2484" s="922"/>
      <c r="E2484" s="922"/>
      <c r="F2484" s="922"/>
      <c r="G2484" s="922"/>
      <c r="H2484" s="922"/>
      <c r="I2484" s="922"/>
      <c r="J2484" s="922"/>
      <c r="K2484" s="922"/>
      <c r="L2484" s="922"/>
      <c r="M2484" s="922"/>
      <c r="N2484" s="924"/>
      <c r="O2484" s="362"/>
    </row>
    <row r="2485" spans="1:15" ht="15.75" customHeight="1">
      <c r="A2485" s="395"/>
      <c r="B2485" s="399"/>
      <c r="C2485" s="929"/>
      <c r="D2485" s="936"/>
      <c r="E2485" s="936"/>
      <c r="F2485" s="936"/>
      <c r="G2485" s="936"/>
      <c r="H2485" s="936"/>
      <c r="I2485" s="936"/>
      <c r="J2485" s="936"/>
      <c r="K2485" s="936"/>
      <c r="L2485" s="936"/>
      <c r="M2485" s="936"/>
      <c r="N2485" s="938"/>
      <c r="O2485" s="362"/>
    </row>
    <row r="2486" spans="1:15" ht="15.75" customHeight="1">
      <c r="A2486" s="395"/>
      <c r="B2486" s="399"/>
      <c r="C2486" s="1201" t="s">
        <v>17</v>
      </c>
      <c r="D2486" s="1131"/>
      <c r="E2486" s="1131"/>
      <c r="F2486" s="1000"/>
      <c r="G2486" s="1204" t="s">
        <v>1196</v>
      </c>
      <c r="H2486" s="1000"/>
      <c r="I2486" s="1204" t="s">
        <v>1197</v>
      </c>
      <c r="J2486" s="1000"/>
      <c r="K2486" s="670" t="s">
        <v>1213</v>
      </c>
      <c r="L2486" s="1204" t="s">
        <v>1199</v>
      </c>
      <c r="M2486" s="1000"/>
      <c r="N2486" s="671" t="s">
        <v>1200</v>
      </c>
      <c r="O2486" s="362"/>
    </row>
    <row r="2487" spans="1:15" ht="15.75" customHeight="1">
      <c r="A2487" s="395"/>
      <c r="B2487" s="399"/>
      <c r="C2487" s="1128" t="s">
        <v>1201</v>
      </c>
      <c r="D2487" s="940"/>
      <c r="E2487" s="940"/>
      <c r="F2487" s="941"/>
      <c r="G2487" s="1142"/>
      <c r="H2487" s="941"/>
      <c r="I2487" s="1142"/>
      <c r="J2487" s="941"/>
      <c r="K2487" s="429"/>
      <c r="L2487" s="1143">
        <v>0.06</v>
      </c>
      <c r="M2487" s="941"/>
      <c r="N2487" s="430">
        <f>+L2487*N2526</f>
        <v>1179.3231973740023</v>
      </c>
      <c r="O2487" s="362"/>
    </row>
    <row r="2488" spans="1:15" ht="15.75" customHeight="1">
      <c r="A2488" s="395" t="str">
        <f t="array" ref="A2488">IF(C2488&lt;&gt;0,INDEX(CodEquipos,MATCH(C2488,Equipos,0),),)</f>
        <v>EQ-33</v>
      </c>
      <c r="B2488" s="399"/>
      <c r="C2488" s="1128" t="s">
        <v>338</v>
      </c>
      <c r="D2488" s="940"/>
      <c r="E2488" s="940"/>
      <c r="F2488" s="941"/>
      <c r="G2488" s="1142"/>
      <c r="H2488" s="941"/>
      <c r="I2488" s="1142"/>
      <c r="J2488" s="941"/>
      <c r="K2488" s="432">
        <f>IF($A2488&gt;0,(VLOOKUP($A2488,TablaEquipos,7,FALSE)),"")</f>
        <v>58824</v>
      </c>
      <c r="L2488" s="1146">
        <v>0.1</v>
      </c>
      <c r="M2488" s="941"/>
      <c r="N2488" s="430">
        <f>IF(L2488&gt;0,K2488*L2488,"")</f>
        <v>5882.4000000000005</v>
      </c>
      <c r="O2488" s="362"/>
    </row>
    <row r="2489" spans="1:15" ht="15.75" customHeight="1">
      <c r="A2489" s="395">
        <f t="array" ref="A2489">IF(C2489&lt;&gt;0,INDEX(CodEquipos,MATCH(C2489,Equipos,0),),)</f>
        <v>0</v>
      </c>
      <c r="B2489" s="399"/>
      <c r="C2489" s="1128"/>
      <c r="D2489" s="940"/>
      <c r="E2489" s="940"/>
      <c r="F2489" s="941"/>
      <c r="G2489" s="1142"/>
      <c r="H2489" s="941"/>
      <c r="I2489" s="1142"/>
      <c r="J2489" s="941"/>
      <c r="K2489" s="432" t="str">
        <f>IF($A2489&gt;0,(VLOOKUP($A2489,TablaEquipos,7,FALSE)),"")</f>
        <v/>
      </c>
      <c r="L2489" s="1146"/>
      <c r="M2489" s="941"/>
      <c r="N2489" s="430" t="str">
        <f t="shared" ref="N2489:N2492" si="186">IF(L2489&gt;0,K2489/L2489,"")</f>
        <v/>
      </c>
      <c r="O2489" s="362"/>
    </row>
    <row r="2490" spans="1:15" ht="15.75" customHeight="1">
      <c r="A2490" s="395">
        <f t="array" ref="A2490">IF(C2490&lt;&gt;0,INDEX(CodEquipos,MATCH(C2490,Equipos,0),),)</f>
        <v>0</v>
      </c>
      <c r="B2490" s="399"/>
      <c r="C2490" s="1128"/>
      <c r="D2490" s="940"/>
      <c r="E2490" s="940"/>
      <c r="F2490" s="941"/>
      <c r="G2490" s="1142"/>
      <c r="H2490" s="941"/>
      <c r="I2490" s="1142"/>
      <c r="J2490" s="941"/>
      <c r="K2490" s="432" t="str">
        <f>IF($A2490&gt;0,(VLOOKUP($A2490,TablaEquipos,7,FALSE)),"")</f>
        <v/>
      </c>
      <c r="L2490" s="1146"/>
      <c r="M2490" s="941"/>
      <c r="N2490" s="430" t="str">
        <f t="shared" si="186"/>
        <v/>
      </c>
      <c r="O2490" s="362"/>
    </row>
    <row r="2491" spans="1:15" ht="15.75" customHeight="1">
      <c r="A2491" s="395">
        <f t="array" ref="A2491">IF(C2491&lt;&gt;0,INDEX(CodEquipos,MATCH(C2491,Equipos,0),),)</f>
        <v>0</v>
      </c>
      <c r="B2491" s="399"/>
      <c r="C2491" s="1128"/>
      <c r="D2491" s="940"/>
      <c r="E2491" s="940"/>
      <c r="F2491" s="941"/>
      <c r="G2491" s="1142"/>
      <c r="H2491" s="941"/>
      <c r="I2491" s="1142"/>
      <c r="J2491" s="941"/>
      <c r="K2491" s="432" t="str">
        <f>IF($A2491&gt;0,(VLOOKUP($A2491,TablaEquipos,7,FALSE)),"")</f>
        <v/>
      </c>
      <c r="L2491" s="1141"/>
      <c r="M2491" s="941"/>
      <c r="N2491" s="430" t="str">
        <f t="shared" si="186"/>
        <v/>
      </c>
      <c r="O2491" s="362"/>
    </row>
    <row r="2492" spans="1:15" ht="15.75" customHeight="1">
      <c r="A2492" s="395">
        <f t="array" ref="A2492">IF(C2492&lt;&gt;0,INDEX(CodEquipos,MATCH(C2492,Equipos,0),),)</f>
        <v>0</v>
      </c>
      <c r="B2492" s="399"/>
      <c r="C2492" s="1128"/>
      <c r="D2492" s="940"/>
      <c r="E2492" s="940"/>
      <c r="F2492" s="941"/>
      <c r="G2492" s="1144"/>
      <c r="H2492" s="1145"/>
      <c r="I2492" s="1144"/>
      <c r="J2492" s="1145"/>
      <c r="K2492" s="432" t="str">
        <f>IF($A2492&gt;0,(VLOOKUP($A2492,TablaEquipos,7,FALSE)),"")</f>
        <v/>
      </c>
      <c r="L2492" s="1208"/>
      <c r="M2492" s="1145"/>
      <c r="N2492" s="430" t="str">
        <f t="shared" si="186"/>
        <v/>
      </c>
      <c r="O2492" s="362"/>
    </row>
    <row r="2493" spans="1:15" ht="15.75" customHeight="1">
      <c r="A2493" s="395"/>
      <c r="B2493" s="399"/>
      <c r="C2493" s="1127" t="s">
        <v>1202</v>
      </c>
      <c r="D2493" s="965"/>
      <c r="E2493" s="965"/>
      <c r="F2493" s="965"/>
      <c r="G2493" s="965"/>
      <c r="H2493" s="965"/>
      <c r="I2493" s="965"/>
      <c r="J2493" s="965"/>
      <c r="K2493" s="965"/>
      <c r="L2493" s="965"/>
      <c r="M2493" s="966"/>
      <c r="N2493" s="433">
        <f>+SUM(N2487:N2492)</f>
        <v>7061.7231973740027</v>
      </c>
      <c r="O2493" s="362"/>
    </row>
    <row r="2494" spans="1:15" ht="15.75" customHeight="1">
      <c r="A2494" s="395"/>
      <c r="B2494" s="399"/>
      <c r="C2494" s="1129" t="s">
        <v>1203</v>
      </c>
      <c r="D2494" s="926"/>
      <c r="E2494" s="926"/>
      <c r="F2494" s="926"/>
      <c r="G2494" s="926"/>
      <c r="H2494" s="926"/>
      <c r="I2494" s="926"/>
      <c r="J2494" s="926"/>
      <c r="K2494" s="926"/>
      <c r="L2494" s="926"/>
      <c r="M2494" s="926"/>
      <c r="N2494" s="927"/>
      <c r="O2494" s="362"/>
    </row>
    <row r="2495" spans="1:15" ht="15.75" customHeight="1">
      <c r="A2495" s="395"/>
      <c r="B2495" s="399"/>
      <c r="C2495" s="920"/>
      <c r="D2495" s="922"/>
      <c r="E2495" s="922"/>
      <c r="F2495" s="922"/>
      <c r="G2495" s="922"/>
      <c r="H2495" s="922"/>
      <c r="I2495" s="922"/>
      <c r="J2495" s="922"/>
      <c r="K2495" s="922"/>
      <c r="L2495" s="922"/>
      <c r="M2495" s="922"/>
      <c r="N2495" s="924"/>
      <c r="O2495" s="362"/>
    </row>
    <row r="2496" spans="1:15" ht="15.75" customHeight="1">
      <c r="A2496" s="395"/>
      <c r="B2496" s="399"/>
      <c r="C2496" s="929"/>
      <c r="D2496" s="936"/>
      <c r="E2496" s="936"/>
      <c r="F2496" s="936"/>
      <c r="G2496" s="936"/>
      <c r="H2496" s="936"/>
      <c r="I2496" s="936"/>
      <c r="J2496" s="936"/>
      <c r="K2496" s="936"/>
      <c r="L2496" s="936"/>
      <c r="M2496" s="936"/>
      <c r="N2496" s="938"/>
      <c r="O2496" s="362"/>
    </row>
    <row r="2497" spans="1:15" ht="15.75" customHeight="1">
      <c r="A2497" s="395"/>
      <c r="B2497" s="399"/>
      <c r="C2497" s="1201" t="s">
        <v>17</v>
      </c>
      <c r="D2497" s="1131"/>
      <c r="E2497" s="1131"/>
      <c r="F2497" s="1131"/>
      <c r="G2497" s="1131"/>
      <c r="H2497" s="1131"/>
      <c r="I2497" s="1000"/>
      <c r="J2497" s="672" t="s">
        <v>1192</v>
      </c>
      <c r="K2497" s="670" t="s">
        <v>950</v>
      </c>
      <c r="L2497" s="1204" t="s">
        <v>1204</v>
      </c>
      <c r="M2497" s="1000"/>
      <c r="N2497" s="671" t="s">
        <v>1200</v>
      </c>
      <c r="O2497" s="362"/>
    </row>
    <row r="2498" spans="1:15" ht="15.75" customHeight="1">
      <c r="A2498" s="395" t="str">
        <f t="array" ref="A2498">IF(C2498&lt;&gt;0,INDEX(CodMat,MATCH(C2498,Materiales,0),),)</f>
        <v>MAT_PIS-07</v>
      </c>
      <c r="B2498" s="399"/>
      <c r="C2498" s="1128" t="s">
        <v>2554</v>
      </c>
      <c r="D2498" s="940"/>
      <c r="E2498" s="940"/>
      <c r="F2498" s="940"/>
      <c r="G2498" s="940"/>
      <c r="H2498" s="940"/>
      <c r="I2498" s="941"/>
      <c r="J2498" s="435" t="str">
        <f t="shared" ref="J2498:J2505" si="187">IF($A2498&gt;0,(VLOOKUP($A2498,TablaInsumos,5,FALSE)),"")</f>
        <v>M2</v>
      </c>
      <c r="K2498" s="673">
        <v>1.05</v>
      </c>
      <c r="L2498" s="1134">
        <f t="shared" ref="L2498:L2505" si="188">IF($A2498&gt;0,(VLOOKUP($A2498,TablaInsumos,7,FALSE)),"")</f>
        <v>60400</v>
      </c>
      <c r="M2498" s="941"/>
      <c r="N2498" s="430">
        <f t="shared" ref="N2498:N2505" si="189">IF(K2498&gt;0,L2498*K2498,"")</f>
        <v>63420</v>
      </c>
      <c r="O2498" s="362"/>
    </row>
    <row r="2499" spans="1:15" ht="15.75" customHeight="1">
      <c r="A2499" s="395" t="str">
        <f t="array" ref="A2499">IF(C2499&lt;&gt;0,INDEX(CodMat,MATCH(C2499,Materiales,0),),)</f>
        <v>MAT_PIS-01</v>
      </c>
      <c r="B2499" s="399"/>
      <c r="C2499" s="1128" t="s">
        <v>2555</v>
      </c>
      <c r="D2499" s="940"/>
      <c r="E2499" s="940"/>
      <c r="F2499" s="940"/>
      <c r="G2499" s="940"/>
      <c r="H2499" s="940"/>
      <c r="I2499" s="941"/>
      <c r="J2499" s="435" t="str">
        <f t="shared" si="187"/>
        <v>BTO</v>
      </c>
      <c r="K2499" s="673">
        <v>0.15</v>
      </c>
      <c r="L2499" s="1134">
        <f t="shared" si="188"/>
        <v>28350</v>
      </c>
      <c r="M2499" s="941"/>
      <c r="N2499" s="430">
        <f t="shared" si="189"/>
        <v>4252.5</v>
      </c>
      <c r="O2499" s="362"/>
    </row>
    <row r="2500" spans="1:15" ht="15.75" customHeight="1">
      <c r="A2500" s="395" t="str">
        <f t="array" ref="A2500">IF(C2500&lt;&gt;0,INDEX(CodMat,MATCH(C2500,Materiales,0),),)</f>
        <v>MAT_PIS-03</v>
      </c>
      <c r="B2500" s="399"/>
      <c r="C2500" s="1128" t="s">
        <v>2556</v>
      </c>
      <c r="D2500" s="940"/>
      <c r="E2500" s="940"/>
      <c r="F2500" s="940"/>
      <c r="G2500" s="940"/>
      <c r="H2500" s="940"/>
      <c r="I2500" s="941"/>
      <c r="J2500" s="435" t="str">
        <f t="shared" si="187"/>
        <v>BOLSA</v>
      </c>
      <c r="K2500" s="673">
        <v>0.1</v>
      </c>
      <c r="L2500" s="1134">
        <f t="shared" si="188"/>
        <v>11000</v>
      </c>
      <c r="M2500" s="941"/>
      <c r="N2500" s="430">
        <f t="shared" si="189"/>
        <v>1100</v>
      </c>
      <c r="O2500" s="362"/>
    </row>
    <row r="2501" spans="1:15" ht="15.75" customHeight="1">
      <c r="A2501" s="395" t="str">
        <f t="array" ref="A2501">IF(C2501&lt;&gt;0,INDEX(CodMat,MATCH(C2501,Materiales,0),),)</f>
        <v>MAT_PIS-02</v>
      </c>
      <c r="B2501" s="399"/>
      <c r="C2501" s="1128" t="s">
        <v>2558</v>
      </c>
      <c r="D2501" s="940"/>
      <c r="E2501" s="940"/>
      <c r="F2501" s="940"/>
      <c r="G2501" s="940"/>
      <c r="H2501" s="940"/>
      <c r="I2501" s="941"/>
      <c r="J2501" s="435" t="str">
        <f t="shared" si="187"/>
        <v>KG</v>
      </c>
      <c r="K2501" s="673">
        <v>0.2</v>
      </c>
      <c r="L2501" s="1134">
        <f t="shared" si="188"/>
        <v>6981</v>
      </c>
      <c r="M2501" s="941"/>
      <c r="N2501" s="430">
        <f t="shared" si="189"/>
        <v>1396.2</v>
      </c>
      <c r="O2501" s="362"/>
    </row>
    <row r="2502" spans="1:15" ht="15.75" customHeight="1">
      <c r="A2502" s="395">
        <f t="array" ref="A2502">IF(C2502&lt;&gt;0,INDEX(CodMat,MATCH(C2502,Materiales,0),),)</f>
        <v>0</v>
      </c>
      <c r="B2502" s="399"/>
      <c r="C2502" s="1128"/>
      <c r="D2502" s="940"/>
      <c r="E2502" s="940"/>
      <c r="F2502" s="940"/>
      <c r="G2502" s="940"/>
      <c r="H2502" s="940"/>
      <c r="I2502" s="941"/>
      <c r="J2502" s="435" t="str">
        <f t="shared" si="187"/>
        <v/>
      </c>
      <c r="K2502" s="673"/>
      <c r="L2502" s="1134" t="str">
        <f t="shared" si="188"/>
        <v/>
      </c>
      <c r="M2502" s="941"/>
      <c r="N2502" s="430" t="str">
        <f t="shared" si="189"/>
        <v/>
      </c>
      <c r="O2502" s="362"/>
    </row>
    <row r="2503" spans="1:15" ht="15.75" customHeight="1">
      <c r="A2503" s="395">
        <f t="array" ref="A2503">IF(C2503&lt;&gt;0,INDEX(CodMat,MATCH(C2503,Materiales,0),),)</f>
        <v>0</v>
      </c>
      <c r="B2503" s="399"/>
      <c r="C2503" s="1128"/>
      <c r="D2503" s="940"/>
      <c r="E2503" s="940"/>
      <c r="F2503" s="940"/>
      <c r="G2503" s="940"/>
      <c r="H2503" s="940"/>
      <c r="I2503" s="941"/>
      <c r="J2503" s="435" t="str">
        <f t="shared" si="187"/>
        <v/>
      </c>
      <c r="K2503" s="673"/>
      <c r="L2503" s="1134" t="str">
        <f t="shared" si="188"/>
        <v/>
      </c>
      <c r="M2503" s="941"/>
      <c r="N2503" s="430" t="str">
        <f t="shared" si="189"/>
        <v/>
      </c>
      <c r="O2503" s="362"/>
    </row>
    <row r="2504" spans="1:15" ht="15.75" customHeight="1">
      <c r="A2504" s="395">
        <f t="array" ref="A2504">IF(C2504&lt;&gt;0,INDEX(CodMat,MATCH(C2504,Materiales,0),),)</f>
        <v>0</v>
      </c>
      <c r="B2504" s="399"/>
      <c r="C2504" s="1128"/>
      <c r="D2504" s="940"/>
      <c r="E2504" s="940"/>
      <c r="F2504" s="940"/>
      <c r="G2504" s="940"/>
      <c r="H2504" s="940"/>
      <c r="I2504" s="941"/>
      <c r="J2504" s="435" t="str">
        <f t="shared" si="187"/>
        <v/>
      </c>
      <c r="K2504" s="673"/>
      <c r="L2504" s="1134" t="str">
        <f t="shared" si="188"/>
        <v/>
      </c>
      <c r="M2504" s="941"/>
      <c r="N2504" s="430" t="str">
        <f t="shared" si="189"/>
        <v/>
      </c>
      <c r="O2504" s="362"/>
    </row>
    <row r="2505" spans="1:15" ht="15.75" customHeight="1">
      <c r="A2505" s="395">
        <f t="array" ref="A2505">IF(C2505&lt;&gt;0,INDEX(CodMat,MATCH(C2505,Materiales,0),),)</f>
        <v>0</v>
      </c>
      <c r="B2505" s="399"/>
      <c r="C2505" s="1128"/>
      <c r="D2505" s="940"/>
      <c r="E2505" s="940"/>
      <c r="F2505" s="940"/>
      <c r="G2505" s="940"/>
      <c r="H2505" s="940"/>
      <c r="I2505" s="941"/>
      <c r="J2505" s="435" t="str">
        <f t="shared" si="187"/>
        <v/>
      </c>
      <c r="K2505" s="673"/>
      <c r="L2505" s="1205" t="str">
        <f t="shared" si="188"/>
        <v/>
      </c>
      <c r="M2505" s="1145"/>
      <c r="N2505" s="430" t="str">
        <f t="shared" si="189"/>
        <v/>
      </c>
      <c r="O2505" s="362"/>
    </row>
    <row r="2506" spans="1:15" ht="15.75" customHeight="1">
      <c r="A2506" s="395"/>
      <c r="B2506" s="399"/>
      <c r="C2506" s="1127" t="s">
        <v>1202</v>
      </c>
      <c r="D2506" s="965"/>
      <c r="E2506" s="965"/>
      <c r="F2506" s="965"/>
      <c r="G2506" s="965"/>
      <c r="H2506" s="965"/>
      <c r="I2506" s="965"/>
      <c r="J2506" s="965"/>
      <c r="K2506" s="965"/>
      <c r="L2506" s="965"/>
      <c r="M2506" s="966"/>
      <c r="N2506" s="433">
        <f>+SUM(N2498:N2505)</f>
        <v>70168.7</v>
      </c>
      <c r="O2506" s="362"/>
    </row>
    <row r="2507" spans="1:15" ht="15.75" customHeight="1">
      <c r="A2507" s="395"/>
      <c r="B2507" s="399"/>
      <c r="C2507" s="1129" t="s">
        <v>1208</v>
      </c>
      <c r="D2507" s="926"/>
      <c r="E2507" s="926"/>
      <c r="F2507" s="926"/>
      <c r="G2507" s="926"/>
      <c r="H2507" s="926"/>
      <c r="I2507" s="926"/>
      <c r="J2507" s="926"/>
      <c r="K2507" s="926"/>
      <c r="L2507" s="926"/>
      <c r="M2507" s="926"/>
      <c r="N2507" s="927"/>
      <c r="O2507" s="362"/>
    </row>
    <row r="2508" spans="1:15" ht="15.75" customHeight="1">
      <c r="A2508" s="395"/>
      <c r="B2508" s="399"/>
      <c r="C2508" s="920"/>
      <c r="D2508" s="922"/>
      <c r="E2508" s="922"/>
      <c r="F2508" s="922"/>
      <c r="G2508" s="922"/>
      <c r="H2508" s="922"/>
      <c r="I2508" s="922"/>
      <c r="J2508" s="922"/>
      <c r="K2508" s="922"/>
      <c r="L2508" s="922"/>
      <c r="M2508" s="922"/>
      <c r="N2508" s="924"/>
      <c r="O2508" s="362"/>
    </row>
    <row r="2509" spans="1:15" ht="15.75" customHeight="1">
      <c r="A2509" s="395"/>
      <c r="B2509" s="399"/>
      <c r="C2509" s="929"/>
      <c r="D2509" s="936"/>
      <c r="E2509" s="936"/>
      <c r="F2509" s="936"/>
      <c r="G2509" s="936"/>
      <c r="H2509" s="936"/>
      <c r="I2509" s="936"/>
      <c r="J2509" s="936"/>
      <c r="K2509" s="936"/>
      <c r="L2509" s="936"/>
      <c r="M2509" s="936"/>
      <c r="N2509" s="938"/>
      <c r="O2509" s="362"/>
    </row>
    <row r="2510" spans="1:15" ht="15.75" customHeight="1">
      <c r="A2510" s="395"/>
      <c r="B2510" s="399"/>
      <c r="C2510" s="1201" t="s">
        <v>1209</v>
      </c>
      <c r="D2510" s="1131"/>
      <c r="E2510" s="1131"/>
      <c r="F2510" s="1131"/>
      <c r="G2510" s="1131"/>
      <c r="H2510" s="1000"/>
      <c r="I2510" s="670" t="s">
        <v>1210</v>
      </c>
      <c r="J2510" s="674" t="s">
        <v>1211</v>
      </c>
      <c r="K2510" s="675" t="s">
        <v>2318</v>
      </c>
      <c r="L2510" s="1204" t="s">
        <v>1213</v>
      </c>
      <c r="M2510" s="1000"/>
      <c r="N2510" s="671" t="s">
        <v>1200</v>
      </c>
      <c r="O2510" s="362"/>
    </row>
    <row r="2511" spans="1:15" ht="15.75" customHeight="1">
      <c r="A2511" s="395">
        <f t="array" ref="A2511">IF(C2511&lt;&gt;0,INDEX(CodTransporte,MATCH(C2511,Transporte,0),),)</f>
        <v>0</v>
      </c>
      <c r="B2511" s="399"/>
      <c r="C2511" s="1128"/>
      <c r="D2511" s="940"/>
      <c r="E2511" s="940"/>
      <c r="F2511" s="940"/>
      <c r="G2511" s="940"/>
      <c r="H2511" s="940"/>
      <c r="I2511" s="440"/>
      <c r="J2511" s="441" t="str">
        <f>IF($A2511&gt;0,(VLOOKUP($A2511,TablaTransporte,6,FALSE)),"")</f>
        <v/>
      </c>
      <c r="K2511" s="442" t="str">
        <f>IF($A2511&gt;0,(VLOOKUP($A2511,TablaTransporte,5,FALSE)),"")</f>
        <v/>
      </c>
      <c r="L2511" s="1134" t="str">
        <f>IF($A2511&gt;0,(VLOOKUP($A2511,TablaTransporte,7,FALSE)),"")</f>
        <v/>
      </c>
      <c r="M2511" s="941"/>
      <c r="N2511" s="430" t="str">
        <f t="shared" ref="N2511:N2515" si="190">IF(I2511&gt;0,J2511*L2511*I2511,"")</f>
        <v/>
      </c>
      <c r="O2511" s="362"/>
    </row>
    <row r="2512" spans="1:15" ht="15.75" customHeight="1">
      <c r="A2512" s="395">
        <f t="array" ref="A2512">IF(C2512&lt;&gt;0,INDEX(CodTransporte,MATCH(C2512,Transporte,0),),)</f>
        <v>0</v>
      </c>
      <c r="B2512" s="399"/>
      <c r="C2512" s="1128"/>
      <c r="D2512" s="940"/>
      <c r="E2512" s="940"/>
      <c r="F2512" s="940"/>
      <c r="G2512" s="940"/>
      <c r="H2512" s="940"/>
      <c r="I2512" s="440"/>
      <c r="J2512" s="441" t="str">
        <f>IF($A2512&gt;0,(VLOOKUP($A2512,TablaTransporte,6,FALSE)),"")</f>
        <v/>
      </c>
      <c r="K2512" s="442" t="str">
        <f>IF($A2512&gt;0,(VLOOKUP($A2512,TablaTransporte,5,FALSE)),"")</f>
        <v/>
      </c>
      <c r="L2512" s="1134" t="str">
        <f>IF($A2512&gt;0,(VLOOKUP($A2512,TablaTransporte,7,FALSE)),"")</f>
        <v/>
      </c>
      <c r="M2512" s="941"/>
      <c r="N2512" s="430" t="str">
        <f t="shared" si="190"/>
        <v/>
      </c>
      <c r="O2512" s="362"/>
    </row>
    <row r="2513" spans="1:18" ht="15.75" customHeight="1">
      <c r="A2513" s="395">
        <f t="array" ref="A2513">IF(C2513&lt;&gt;0,INDEX(CodTransporte,MATCH(C2513,Transporte,0),),)</f>
        <v>0</v>
      </c>
      <c r="B2513" s="399"/>
      <c r="C2513" s="1128"/>
      <c r="D2513" s="940"/>
      <c r="E2513" s="940"/>
      <c r="F2513" s="940"/>
      <c r="G2513" s="940"/>
      <c r="H2513" s="940"/>
      <c r="I2513" s="440"/>
      <c r="J2513" s="441" t="str">
        <f>IF($A2513&gt;0,(VLOOKUP($A2513,TablaTransporte,6,FALSE)),"")</f>
        <v/>
      </c>
      <c r="K2513" s="442" t="str">
        <f>IF($A2513&gt;0,(VLOOKUP($A2513,TablaTransporte,5,FALSE)),"")</f>
        <v/>
      </c>
      <c r="L2513" s="1134" t="str">
        <f>IF($A2513&gt;0,(VLOOKUP($A2513,TablaTransporte,7,FALSE)),"")</f>
        <v/>
      </c>
      <c r="M2513" s="941"/>
      <c r="N2513" s="430" t="str">
        <f t="shared" si="190"/>
        <v/>
      </c>
      <c r="O2513" s="362"/>
    </row>
    <row r="2514" spans="1:18" ht="15.75" customHeight="1">
      <c r="A2514" s="395">
        <f t="array" ref="A2514">IF(C2514&lt;&gt;0,INDEX(CodTransporte,MATCH(C2514,Transporte,0),),)</f>
        <v>0</v>
      </c>
      <c r="B2514" s="399"/>
      <c r="C2514" s="1128"/>
      <c r="D2514" s="940"/>
      <c r="E2514" s="940"/>
      <c r="F2514" s="940"/>
      <c r="G2514" s="940"/>
      <c r="H2514" s="940"/>
      <c r="I2514" s="440"/>
      <c r="J2514" s="441" t="str">
        <f>IF($A2514&gt;0,(VLOOKUP($A2514,TablaTransporte,6,FALSE)),"")</f>
        <v/>
      </c>
      <c r="K2514" s="442" t="str">
        <f>IF($A2514&gt;0,(VLOOKUP($A2514,TablaTransporte,5,FALSE)),"")</f>
        <v/>
      </c>
      <c r="L2514" s="1134" t="str">
        <f>IF($A2514&gt;0,(VLOOKUP($A2514,TablaTransporte,7,FALSE)),"")</f>
        <v/>
      </c>
      <c r="M2514" s="941"/>
      <c r="N2514" s="430" t="str">
        <f t="shared" si="190"/>
        <v/>
      </c>
      <c r="O2514" s="362"/>
    </row>
    <row r="2515" spans="1:18" ht="15.75" customHeight="1">
      <c r="A2515" s="395">
        <f t="array" ref="A2515">IF(C2515&lt;&gt;0,INDEX(CodTransporte,MATCH(C2515,Transporte,0),),)</f>
        <v>0</v>
      </c>
      <c r="B2515" s="399"/>
      <c r="C2515" s="1128"/>
      <c r="D2515" s="940"/>
      <c r="E2515" s="940"/>
      <c r="F2515" s="940"/>
      <c r="G2515" s="940"/>
      <c r="H2515" s="940"/>
      <c r="I2515" s="440"/>
      <c r="J2515" s="441" t="str">
        <f>IF($A2515&gt;0,(VLOOKUP($A2515,TablaTransporte,6,FALSE)),"")</f>
        <v/>
      </c>
      <c r="K2515" s="442" t="str">
        <f>IF($A2515&gt;0,(VLOOKUP($A2515,TablaTransporte,5,FALSE)),"")</f>
        <v/>
      </c>
      <c r="L2515" s="1205" t="str">
        <f>IF($A2515&gt;0,(VLOOKUP($A2515,TablaTransporte,7,FALSE)),"")</f>
        <v/>
      </c>
      <c r="M2515" s="1145"/>
      <c r="N2515" s="430" t="str">
        <f t="shared" si="190"/>
        <v/>
      </c>
      <c r="O2515" s="362"/>
    </row>
    <row r="2516" spans="1:18" ht="15.75" customHeight="1">
      <c r="A2516" s="395"/>
      <c r="B2516" s="399"/>
      <c r="C2516" s="1127" t="s">
        <v>1202</v>
      </c>
      <c r="D2516" s="965"/>
      <c r="E2516" s="965"/>
      <c r="F2516" s="965"/>
      <c r="G2516" s="965"/>
      <c r="H2516" s="965"/>
      <c r="I2516" s="965"/>
      <c r="J2516" s="965"/>
      <c r="K2516" s="965"/>
      <c r="L2516" s="965"/>
      <c r="M2516" s="966"/>
      <c r="N2516" s="433">
        <f>+SUM(N2511:N2515)</f>
        <v>0</v>
      </c>
      <c r="O2516" s="362"/>
    </row>
    <row r="2517" spans="1:18" ht="15.75" customHeight="1">
      <c r="A2517" s="395"/>
      <c r="B2517" s="399"/>
      <c r="C2517" s="1129" t="s">
        <v>1214</v>
      </c>
      <c r="D2517" s="926"/>
      <c r="E2517" s="926"/>
      <c r="F2517" s="926"/>
      <c r="G2517" s="926"/>
      <c r="H2517" s="926"/>
      <c r="I2517" s="926"/>
      <c r="J2517" s="926"/>
      <c r="K2517" s="926"/>
      <c r="L2517" s="926"/>
      <c r="M2517" s="926"/>
      <c r="N2517" s="927"/>
      <c r="O2517" s="362"/>
    </row>
    <row r="2518" spans="1:18" ht="15.75" customHeight="1">
      <c r="A2518" s="395"/>
      <c r="B2518" s="399"/>
      <c r="C2518" s="920"/>
      <c r="D2518" s="922"/>
      <c r="E2518" s="922"/>
      <c r="F2518" s="922"/>
      <c r="G2518" s="922"/>
      <c r="H2518" s="922"/>
      <c r="I2518" s="922"/>
      <c r="J2518" s="922"/>
      <c r="K2518" s="922"/>
      <c r="L2518" s="922"/>
      <c r="M2518" s="922"/>
      <c r="N2518" s="924"/>
      <c r="O2518" s="362"/>
    </row>
    <row r="2519" spans="1:18" ht="15.75" customHeight="1">
      <c r="A2519" s="395"/>
      <c r="B2519" s="399"/>
      <c r="C2519" s="929"/>
      <c r="D2519" s="936"/>
      <c r="E2519" s="936"/>
      <c r="F2519" s="936"/>
      <c r="G2519" s="936"/>
      <c r="H2519" s="936"/>
      <c r="I2519" s="936"/>
      <c r="J2519" s="936"/>
      <c r="K2519" s="936"/>
      <c r="L2519" s="936"/>
      <c r="M2519" s="936"/>
      <c r="N2519" s="938"/>
      <c r="O2519" s="362"/>
    </row>
    <row r="2520" spans="1:18" ht="15.75" customHeight="1">
      <c r="A2520" s="395"/>
      <c r="B2520" s="399"/>
      <c r="C2520" s="1201" t="s">
        <v>1215</v>
      </c>
      <c r="D2520" s="1131"/>
      <c r="E2520" s="1131"/>
      <c r="F2520" s="1131"/>
      <c r="G2520" s="1131"/>
      <c r="H2520" s="1000"/>
      <c r="I2520" s="670" t="s">
        <v>1216</v>
      </c>
      <c r="J2520" s="676" t="s">
        <v>1217</v>
      </c>
      <c r="K2520" s="677" t="s">
        <v>1218</v>
      </c>
      <c r="L2520" s="1206" t="s">
        <v>1199</v>
      </c>
      <c r="M2520" s="1000"/>
      <c r="N2520" s="678" t="s">
        <v>1200</v>
      </c>
      <c r="O2520" s="362"/>
    </row>
    <row r="2521" spans="1:18" ht="15.75" customHeight="1">
      <c r="A2521" s="395" t="str">
        <f t="array" ref="A2521">IF(C2521&lt;&gt;0,INDEX(CodMO,MATCH(C2521,MO,0),),)</f>
        <v>M.O-05</v>
      </c>
      <c r="B2521" s="399"/>
      <c r="C2521" s="1128" t="s">
        <v>139</v>
      </c>
      <c r="D2521" s="940"/>
      <c r="E2521" s="940"/>
      <c r="F2521" s="940"/>
      <c r="G2521" s="940"/>
      <c r="H2521" s="940"/>
      <c r="I2521" s="447">
        <f>IF($A2521&gt;0,(VLOOKUP($A2521,TablaMO,8,FALSE)),"")</f>
        <v>125030.16666666667</v>
      </c>
      <c r="J2521" s="448">
        <f>IF($A2521&gt;0,(VLOOKUP($A2521,TablaMO,10,FALSE)),"")</f>
        <v>0.67071666666666663</v>
      </c>
      <c r="K2521" s="447">
        <f>IF($A2521&gt;0,(VLOOKUP($A2521,TablaMO,11,FALSE)),"")</f>
        <v>208890</v>
      </c>
      <c r="L2521" s="1146">
        <v>16.790409994555841</v>
      </c>
      <c r="M2521" s="941"/>
      <c r="N2521" s="430">
        <f t="shared" ref="N2521:N2525" si="191">IF(L2521&gt;0,K2521/L2521,"")</f>
        <v>12441.030330273707</v>
      </c>
      <c r="O2521" s="362"/>
    </row>
    <row r="2522" spans="1:18" ht="15.75" customHeight="1">
      <c r="A2522" s="395" t="str">
        <f t="array" ref="A2522">IF(C2522&lt;&gt;0,INDEX(CodMO,MATCH(C2522,MO,0),),)</f>
        <v>M.O-01</v>
      </c>
      <c r="B2522" s="399"/>
      <c r="C2522" s="1128" t="s">
        <v>130</v>
      </c>
      <c r="D2522" s="940"/>
      <c r="E2522" s="940"/>
      <c r="F2522" s="940"/>
      <c r="G2522" s="940"/>
      <c r="H2522" s="940"/>
      <c r="I2522" s="447">
        <f>IF($A2522&gt;0,(VLOOKUP($A2522,TablaMO,8,FALSE)),"")</f>
        <v>72503.016666666677</v>
      </c>
      <c r="J2522" s="448">
        <f>IF($A2522&gt;0,(VLOOKUP($A2522,TablaMO,10,FALSE)),"")</f>
        <v>0.67071666666666663</v>
      </c>
      <c r="K2522" s="447">
        <f>IF($A2522&gt;0,(VLOOKUP($A2522,TablaMO,11,FALSE)),"")</f>
        <v>121132</v>
      </c>
      <c r="L2522" s="1146">
        <f>L2521</f>
        <v>16.790409994555841</v>
      </c>
      <c r="M2522" s="941"/>
      <c r="N2522" s="430">
        <f t="shared" si="191"/>
        <v>7214.356292626333</v>
      </c>
      <c r="O2522" s="362"/>
    </row>
    <row r="2523" spans="1:18" ht="15.75" customHeight="1">
      <c r="A2523" s="395">
        <f t="array" ref="A2523">IF(C2523&lt;&gt;0,INDEX(CodMO,MATCH(C2523,MO,0),),)</f>
        <v>0</v>
      </c>
      <c r="B2523" s="399"/>
      <c r="C2523" s="1128"/>
      <c r="D2523" s="940"/>
      <c r="E2523" s="940"/>
      <c r="F2523" s="940"/>
      <c r="G2523" s="940"/>
      <c r="H2523" s="940"/>
      <c r="I2523" s="447" t="str">
        <f>IF($A2523&gt;0,(VLOOKUP($A2523,TablaMO,8,FALSE)),"")</f>
        <v/>
      </c>
      <c r="J2523" s="448" t="str">
        <f>IF($A2523&gt;0,(VLOOKUP($A2523,TablaMO,10,FALSE)),"")</f>
        <v/>
      </c>
      <c r="K2523" s="447" t="str">
        <f>IF($A2523&gt;0,(VLOOKUP($A2523,TablaMO,11,FALSE)),"")</f>
        <v/>
      </c>
      <c r="L2523" s="1146"/>
      <c r="M2523" s="941"/>
      <c r="N2523" s="430" t="str">
        <f t="shared" si="191"/>
        <v/>
      </c>
      <c r="O2523" s="362"/>
    </row>
    <row r="2524" spans="1:18" ht="15.75" customHeight="1">
      <c r="A2524" s="395">
        <f t="array" ref="A2524">IF(C2524&lt;&gt;0,INDEX(CodMO,MATCH(C2524,MO,0),),)</f>
        <v>0</v>
      </c>
      <c r="B2524" s="399"/>
      <c r="C2524" s="1128"/>
      <c r="D2524" s="940"/>
      <c r="E2524" s="940"/>
      <c r="F2524" s="940"/>
      <c r="G2524" s="940"/>
      <c r="H2524" s="940"/>
      <c r="I2524" s="447" t="str">
        <f>IF($A2524&gt;0,(VLOOKUP($A2524,TablaMO,8,FALSE)),"")</f>
        <v/>
      </c>
      <c r="J2524" s="448" t="str">
        <f>IF($A2524&gt;0,(VLOOKUP($A2524,TablaMO,10,FALSE)),"")</f>
        <v/>
      </c>
      <c r="K2524" s="447" t="str">
        <f>IF($A2524&gt;0,(VLOOKUP($A2524,TablaMO,11,FALSE)),"")</f>
        <v/>
      </c>
      <c r="L2524" s="1146"/>
      <c r="M2524" s="941"/>
      <c r="N2524" s="430" t="str">
        <f t="shared" si="191"/>
        <v/>
      </c>
      <c r="O2524" s="362"/>
    </row>
    <row r="2525" spans="1:18" ht="15.75" customHeight="1">
      <c r="A2525" s="395">
        <f t="array" ref="A2525">IF(C2525&lt;&gt;0,INDEX(CodMO,MATCH(C2525,MO,0),),)</f>
        <v>0</v>
      </c>
      <c r="B2525" s="399"/>
      <c r="C2525" s="1128"/>
      <c r="D2525" s="940"/>
      <c r="E2525" s="940"/>
      <c r="F2525" s="940"/>
      <c r="G2525" s="940"/>
      <c r="H2525" s="940"/>
      <c r="I2525" s="447" t="str">
        <f>IF($A2525&gt;0,(VLOOKUP($A2525,TablaMO,8,FALSE)),"")</f>
        <v/>
      </c>
      <c r="J2525" s="448" t="str">
        <f>IF($A2525&gt;0,(VLOOKUP($A2525,TablaMO,10,FALSE)),"")</f>
        <v/>
      </c>
      <c r="K2525" s="447" t="str">
        <f>IF($A2525&gt;0,(VLOOKUP($A2525,TablaMO,11,FALSE)),"")</f>
        <v/>
      </c>
      <c r="L2525" s="1146"/>
      <c r="M2525" s="941"/>
      <c r="N2525" s="430" t="str">
        <f t="shared" si="191"/>
        <v/>
      </c>
      <c r="O2525" s="362"/>
    </row>
    <row r="2526" spans="1:18" ht="15.75" customHeight="1">
      <c r="A2526" s="395"/>
      <c r="B2526" s="399"/>
      <c r="C2526" s="1127" t="s">
        <v>1202</v>
      </c>
      <c r="D2526" s="965"/>
      <c r="E2526" s="965"/>
      <c r="F2526" s="965"/>
      <c r="G2526" s="965"/>
      <c r="H2526" s="965"/>
      <c r="I2526" s="965"/>
      <c r="J2526" s="965"/>
      <c r="K2526" s="965"/>
      <c r="L2526" s="965"/>
      <c r="M2526" s="966"/>
      <c r="N2526" s="433">
        <f>+SUM(N2521:N2525)</f>
        <v>19655.386622900041</v>
      </c>
      <c r="O2526" s="362"/>
    </row>
    <row r="2527" spans="1:18" ht="15.75" customHeight="1">
      <c r="B2527" s="679"/>
      <c r="O2527" s="362"/>
    </row>
    <row r="2528" spans="1:18" ht="15.75" customHeight="1">
      <c r="B2528" s="679"/>
      <c r="C2528" s="1198" t="s">
        <v>1219</v>
      </c>
      <c r="D2528" s="965"/>
      <c r="E2528" s="965"/>
      <c r="F2528" s="965"/>
      <c r="G2528" s="965"/>
      <c r="H2528" s="965"/>
      <c r="I2528" s="965"/>
      <c r="J2528" s="965"/>
      <c r="K2528" s="965"/>
      <c r="L2528" s="965"/>
      <c r="M2528" s="966"/>
      <c r="N2528" s="680">
        <f>ROUND(SUM(N2526,N2516,N2506,N2493),0)</f>
        <v>96886</v>
      </c>
      <c r="O2528" s="362"/>
      <c r="Q2528" s="681">
        <f>VLOOKUP(C2482,PROPUESTASASERCO,8,FALSE)</f>
        <v>96886</v>
      </c>
      <c r="R2528" s="682">
        <f>Q2528-N2528</f>
        <v>0</v>
      </c>
    </row>
    <row r="2529" spans="2:15" ht="15.75" customHeight="1">
      <c r="B2529" s="679"/>
      <c r="C2529" s="1129" t="s">
        <v>1220</v>
      </c>
      <c r="D2529" s="926"/>
      <c r="E2529" s="926"/>
      <c r="F2529" s="926"/>
      <c r="G2529" s="926"/>
      <c r="H2529" s="926"/>
      <c r="I2529" s="926"/>
      <c r="J2529" s="926"/>
      <c r="K2529" s="926"/>
      <c r="L2529" s="926"/>
      <c r="M2529" s="926"/>
      <c r="N2529" s="927"/>
      <c r="O2529" s="362"/>
    </row>
    <row r="2530" spans="2:15" ht="15.75" customHeight="1">
      <c r="B2530" s="679"/>
      <c r="C2530" s="920"/>
      <c r="D2530" s="922"/>
      <c r="E2530" s="922"/>
      <c r="F2530" s="922"/>
      <c r="G2530" s="922"/>
      <c r="H2530" s="922"/>
      <c r="I2530" s="922"/>
      <c r="J2530" s="922"/>
      <c r="K2530" s="922"/>
      <c r="L2530" s="922"/>
      <c r="M2530" s="922"/>
      <c r="N2530" s="924"/>
      <c r="O2530" s="362"/>
    </row>
    <row r="2531" spans="2:15" ht="15.75" customHeight="1">
      <c r="B2531" s="679"/>
      <c r="C2531" s="929"/>
      <c r="D2531" s="936"/>
      <c r="E2531" s="936"/>
      <c r="F2531" s="936"/>
      <c r="G2531" s="936"/>
      <c r="H2531" s="936"/>
      <c r="I2531" s="936"/>
      <c r="J2531" s="936"/>
      <c r="K2531" s="936"/>
      <c r="L2531" s="936"/>
      <c r="M2531" s="936"/>
      <c r="N2531" s="938"/>
      <c r="O2531" s="362"/>
    </row>
    <row r="2532" spans="2:15" ht="15.75" customHeight="1">
      <c r="B2532" s="679"/>
      <c r="C2532" s="1201" t="s">
        <v>1221</v>
      </c>
      <c r="D2532" s="1131"/>
      <c r="E2532" s="1131"/>
      <c r="F2532" s="1131"/>
      <c r="G2532" s="1131"/>
      <c r="H2532" s="1132"/>
      <c r="I2532" s="674"/>
      <c r="J2532" s="674"/>
      <c r="K2532" s="674"/>
      <c r="L2532" s="1206" t="s">
        <v>1222</v>
      </c>
      <c r="M2532" s="1000"/>
      <c r="N2532" s="678" t="s">
        <v>1223</v>
      </c>
      <c r="O2532" s="362"/>
    </row>
    <row r="2533" spans="2:15" ht="15.75" customHeight="1">
      <c r="B2533" s="679"/>
      <c r="C2533" s="1128" t="s">
        <v>19</v>
      </c>
      <c r="D2533" s="940"/>
      <c r="E2533" s="940"/>
      <c r="F2533" s="940"/>
      <c r="G2533" s="940"/>
      <c r="H2533" s="940"/>
      <c r="I2533" s="452"/>
      <c r="J2533" s="452"/>
      <c r="K2533" s="452"/>
      <c r="L2533" s="1148">
        <f>+Datos!$E$18</f>
        <v>0.25</v>
      </c>
      <c r="M2533" s="941"/>
      <c r="N2533" s="430">
        <f>+L2533*N2528</f>
        <v>24221.5</v>
      </c>
      <c r="O2533" s="362"/>
    </row>
    <row r="2534" spans="2:15" ht="15.75" customHeight="1">
      <c r="B2534" s="679"/>
      <c r="C2534" s="454" t="s">
        <v>20</v>
      </c>
      <c r="D2534" s="455"/>
      <c r="E2534" s="455"/>
      <c r="F2534" s="455"/>
      <c r="G2534" s="455"/>
      <c r="H2534" s="455"/>
      <c r="I2534" s="452"/>
      <c r="J2534" s="452"/>
      <c r="K2534" s="452"/>
      <c r="L2534" s="1148">
        <f>+Datos!$E$19</f>
        <v>0.01</v>
      </c>
      <c r="M2534" s="941"/>
      <c r="N2534" s="430">
        <f>+L2534*N2528</f>
        <v>968.86</v>
      </c>
      <c r="O2534" s="362"/>
    </row>
    <row r="2535" spans="2:15" ht="15.75" customHeight="1">
      <c r="B2535" s="679"/>
      <c r="C2535" s="456" t="s">
        <v>21</v>
      </c>
      <c r="D2535" s="457"/>
      <c r="E2535" s="457"/>
      <c r="F2535" s="457"/>
      <c r="G2535" s="457"/>
      <c r="H2535" s="457"/>
      <c r="I2535" s="458"/>
      <c r="J2535" s="458"/>
      <c r="K2535" s="458"/>
      <c r="L2535" s="1148">
        <f>+Datos!$E$20</f>
        <v>0.05</v>
      </c>
      <c r="M2535" s="941"/>
      <c r="N2535" s="430">
        <f>+L2535*N2528</f>
        <v>4844.3</v>
      </c>
      <c r="O2535" s="362"/>
    </row>
    <row r="2536" spans="2:15" ht="15.75" customHeight="1">
      <c r="B2536" s="679"/>
      <c r="C2536" s="1127" t="s">
        <v>1202</v>
      </c>
      <c r="D2536" s="965"/>
      <c r="E2536" s="965"/>
      <c r="F2536" s="965"/>
      <c r="G2536" s="965"/>
      <c r="H2536" s="965"/>
      <c r="I2536" s="965"/>
      <c r="J2536" s="965"/>
      <c r="K2536" s="965"/>
      <c r="L2536" s="965"/>
      <c r="M2536" s="966"/>
      <c r="N2536" s="433">
        <f>+SUM(N2533:N2535)</f>
        <v>30034.66</v>
      </c>
      <c r="O2536" s="362"/>
    </row>
    <row r="2537" spans="2:15" ht="15.75" customHeight="1">
      <c r="B2537" s="679"/>
      <c r="C2537" s="418"/>
      <c r="D2537" s="39"/>
      <c r="E2537" s="39"/>
      <c r="F2537" s="39"/>
      <c r="G2537" s="39"/>
      <c r="H2537" s="39"/>
      <c r="I2537" s="39"/>
      <c r="J2537" s="39"/>
      <c r="K2537" s="39"/>
      <c r="L2537" s="39"/>
      <c r="M2537" s="39"/>
      <c r="N2537" s="40"/>
      <c r="O2537" s="362"/>
    </row>
    <row r="2538" spans="2:15" ht="15.75" customHeight="1">
      <c r="B2538" s="679"/>
      <c r="C2538" s="1198" t="s">
        <v>1224</v>
      </c>
      <c r="D2538" s="965"/>
      <c r="E2538" s="965"/>
      <c r="F2538" s="965"/>
      <c r="G2538" s="965"/>
      <c r="H2538" s="965"/>
      <c r="I2538" s="965"/>
      <c r="J2538" s="965"/>
      <c r="K2538" s="965"/>
      <c r="L2538" s="965"/>
      <c r="M2538" s="966"/>
      <c r="N2538" s="683">
        <f>+ROUND(SUM(N2536,N2528),0)</f>
        <v>126921</v>
      </c>
      <c r="O2538" s="362"/>
    </row>
    <row r="2539" spans="2:15" ht="15.75" customHeight="1">
      <c r="B2539" s="679"/>
      <c r="C2539" s="418"/>
      <c r="D2539" s="39" t="s">
        <v>1225</v>
      </c>
      <c r="E2539" s="39"/>
      <c r="F2539" s="39"/>
      <c r="G2539" s="184"/>
      <c r="H2539" s="184"/>
      <c r="I2539" s="184"/>
      <c r="J2539" s="39" t="s">
        <v>1225</v>
      </c>
      <c r="K2539" s="39"/>
      <c r="L2539" s="39"/>
      <c r="M2539" s="39"/>
      <c r="N2539" s="40"/>
      <c r="O2539" s="362"/>
    </row>
    <row r="2540" spans="2:15" ht="15.75" customHeight="1">
      <c r="B2540" s="679"/>
      <c r="C2540" s="418"/>
      <c r="D2540" s="39" t="s">
        <v>1226</v>
      </c>
      <c r="E2540" s="39"/>
      <c r="F2540" s="39"/>
      <c r="G2540" s="184"/>
      <c r="H2540" s="184"/>
      <c r="I2540" s="184"/>
      <c r="J2540" s="39" t="s">
        <v>1227</v>
      </c>
      <c r="K2540" s="39"/>
      <c r="L2540" s="39"/>
      <c r="M2540" s="39"/>
      <c r="N2540" s="40"/>
      <c r="O2540" s="362"/>
    </row>
    <row r="2541" spans="2:15" ht="15.75" customHeight="1">
      <c r="B2541" s="679"/>
      <c r="C2541" s="404"/>
      <c r="D2541" s="39" t="s">
        <v>1228</v>
      </c>
      <c r="E2541" s="42"/>
      <c r="F2541" s="42"/>
      <c r="G2541" s="184"/>
      <c r="H2541" s="184"/>
      <c r="I2541" s="184"/>
      <c r="J2541" s="39" t="s">
        <v>1228</v>
      </c>
      <c r="K2541" s="42"/>
      <c r="L2541" s="42"/>
      <c r="M2541" s="42"/>
      <c r="N2541" s="43"/>
      <c r="O2541" s="362"/>
    </row>
    <row r="2542" spans="2:15" ht="15.75" customHeight="1">
      <c r="B2542" s="679"/>
      <c r="C2542" s="418"/>
      <c r="D2542" s="39"/>
      <c r="E2542" s="39"/>
      <c r="F2542" s="39"/>
      <c r="G2542" s="39" t="s">
        <v>1229</v>
      </c>
      <c r="H2542" s="39"/>
      <c r="I2542" s="39"/>
      <c r="J2542" s="39"/>
      <c r="K2542" s="39"/>
      <c r="L2542" s="39"/>
      <c r="M2542" s="39"/>
      <c r="N2542" s="40"/>
      <c r="O2542" s="362"/>
    </row>
    <row r="2543" spans="2:15" ht="15.75" customHeight="1">
      <c r="B2543" s="679"/>
      <c r="C2543" s="466"/>
      <c r="D2543" s="467"/>
      <c r="E2543" s="467"/>
      <c r="F2543" s="39"/>
      <c r="G2543" s="39"/>
      <c r="H2543" s="39"/>
      <c r="I2543" s="39"/>
      <c r="J2543" s="1149"/>
      <c r="K2543" s="922"/>
      <c r="L2543" s="922"/>
      <c r="M2543" s="922"/>
      <c r="N2543" s="924"/>
      <c r="O2543" s="362"/>
    </row>
    <row r="2544" spans="2:15" ht="15.75" customHeight="1">
      <c r="B2544" s="679"/>
      <c r="C2544" s="1150"/>
      <c r="D2544" s="936"/>
      <c r="E2544" s="936"/>
      <c r="F2544" s="416"/>
      <c r="G2544" s="416"/>
      <c r="H2544" s="416"/>
      <c r="I2544" s="416"/>
      <c r="J2544" s="936"/>
      <c r="K2544" s="936"/>
      <c r="L2544" s="936"/>
      <c r="M2544" s="936"/>
      <c r="N2544" s="938"/>
      <c r="O2544" s="362"/>
    </row>
    <row r="2545" spans="1:15" ht="15.75" customHeight="1">
      <c r="B2545" s="684"/>
      <c r="C2545" s="685"/>
      <c r="D2545" s="685"/>
      <c r="E2545" s="685"/>
      <c r="F2545" s="685"/>
      <c r="G2545" s="685"/>
      <c r="H2545" s="685"/>
      <c r="I2545" s="685"/>
      <c r="J2545" s="685"/>
      <c r="K2545" s="685"/>
      <c r="L2545" s="685"/>
      <c r="M2545" s="685"/>
      <c r="N2545" s="685"/>
      <c r="O2545" s="686"/>
    </row>
    <row r="2546" spans="1:15" ht="15.75" customHeight="1"/>
    <row r="2547" spans="1:15" ht="15.75" customHeight="1"/>
    <row r="2548" spans="1:15" ht="15.75" customHeight="1"/>
    <row r="2549" spans="1:15" ht="15.75" customHeight="1">
      <c r="A2549" s="395" t="s">
        <v>941</v>
      </c>
      <c r="B2549" s="184"/>
      <c r="C2549" s="184"/>
      <c r="D2549" s="184"/>
      <c r="E2549" s="184"/>
      <c r="F2549" s="184"/>
      <c r="G2549" s="184"/>
      <c r="H2549" s="184"/>
      <c r="I2549" s="184"/>
      <c r="J2549" s="184"/>
      <c r="K2549" s="184"/>
      <c r="L2549" s="184"/>
      <c r="M2549" s="184"/>
      <c r="N2549" s="184"/>
    </row>
    <row r="2550" spans="1:15" ht="15.75" customHeight="1">
      <c r="A2550" s="395"/>
      <c r="B2550" s="396"/>
      <c r="C2550" s="397"/>
      <c r="D2550" s="397"/>
      <c r="E2550" s="397"/>
      <c r="F2550" s="397"/>
      <c r="G2550" s="397"/>
      <c r="H2550" s="397"/>
      <c r="I2550" s="397"/>
      <c r="J2550" s="397"/>
      <c r="K2550" s="397"/>
      <c r="L2550" s="397"/>
      <c r="M2550" s="397"/>
      <c r="N2550" s="397"/>
      <c r="O2550" s="667"/>
    </row>
    <row r="2551" spans="1:15" ht="15.75" customHeight="1">
      <c r="A2551" s="395"/>
      <c r="B2551" s="399"/>
      <c r="C2551" s="1124"/>
      <c r="D2551" s="927"/>
      <c r="E2551" s="1207" t="str">
        <f>Datos!$C$9</f>
        <v>CONSEJO SUPERIOR  DE  JUDICATURA– DIRECCIÓN  EJECUTIVA  SECCIONAL  DE ADMINISTRACIÓN JUDICIAL DE BUCARAMANGA</v>
      </c>
      <c r="F2551" s="926"/>
      <c r="G2551" s="926"/>
      <c r="H2551" s="926"/>
      <c r="I2551" s="926"/>
      <c r="J2551" s="926"/>
      <c r="K2551" s="927"/>
      <c r="L2551" s="925" t="s">
        <v>1</v>
      </c>
      <c r="M2551" s="931"/>
      <c r="N2551" s="933">
        <v>1</v>
      </c>
      <c r="O2551" s="362"/>
    </row>
    <row r="2552" spans="1:15" ht="15.75" customHeight="1">
      <c r="A2552" s="395"/>
      <c r="B2552" s="399"/>
      <c r="C2552" s="920"/>
      <c r="D2552" s="924"/>
      <c r="E2552" s="920"/>
      <c r="F2552" s="922"/>
      <c r="G2552" s="922"/>
      <c r="H2552" s="922"/>
      <c r="I2552" s="922"/>
      <c r="J2552" s="922"/>
      <c r="K2552" s="924"/>
      <c r="L2552" s="920"/>
      <c r="M2552" s="932"/>
      <c r="N2552" s="934"/>
      <c r="O2552" s="362"/>
    </row>
    <row r="2553" spans="1:15" ht="15.75" customHeight="1">
      <c r="A2553" s="395"/>
      <c r="B2553" s="399"/>
      <c r="C2553" s="920"/>
      <c r="D2553" s="924"/>
      <c r="E2553" s="919" t="str">
        <f>Datos!$C$13</f>
        <v xml:space="preserve">BGA - 030 - 2026 </v>
      </c>
      <c r="F2553" s="922"/>
      <c r="G2553" s="922"/>
      <c r="H2553" s="922"/>
      <c r="I2553" s="922"/>
      <c r="J2553" s="922"/>
      <c r="K2553" s="922"/>
      <c r="L2553" s="925" t="s">
        <v>29</v>
      </c>
      <c r="M2553" s="926"/>
      <c r="N2553" s="927"/>
      <c r="O2553" s="362"/>
    </row>
    <row r="2554" spans="1:15" ht="15.75" customHeight="1">
      <c r="A2554" s="395"/>
      <c r="B2554" s="399"/>
      <c r="C2554" s="920"/>
      <c r="D2554" s="924"/>
      <c r="E2554"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554" s="922"/>
      <c r="G2554" s="922"/>
      <c r="H2554" s="922"/>
      <c r="I2554" s="922"/>
      <c r="J2554" s="922"/>
      <c r="K2554" s="924"/>
      <c r="L2554" s="919">
        <v>1</v>
      </c>
      <c r="M2554" s="921" t="s">
        <v>30</v>
      </c>
      <c r="N2554" s="923">
        <v>1</v>
      </c>
      <c r="O2554" s="362"/>
    </row>
    <row r="2555" spans="1:15" ht="15.75" customHeight="1">
      <c r="A2555" s="395"/>
      <c r="B2555" s="399"/>
      <c r="C2555" s="920"/>
      <c r="D2555" s="924"/>
      <c r="E2555" s="920"/>
      <c r="F2555" s="922"/>
      <c r="G2555" s="922"/>
      <c r="H2555" s="922"/>
      <c r="I2555" s="922"/>
      <c r="J2555" s="922"/>
      <c r="K2555" s="924"/>
      <c r="L2555" s="920"/>
      <c r="M2555" s="922"/>
      <c r="N2555" s="924"/>
      <c r="O2555" s="362"/>
    </row>
    <row r="2556" spans="1:15" ht="15.75" customHeight="1">
      <c r="A2556" s="395"/>
      <c r="B2556" s="399"/>
      <c r="C2556" s="920"/>
      <c r="D2556" s="924"/>
      <c r="E2556" s="920"/>
      <c r="F2556" s="922"/>
      <c r="G2556" s="922"/>
      <c r="H2556" s="922"/>
      <c r="I2556" s="922"/>
      <c r="J2556" s="922"/>
      <c r="K2556" s="924"/>
      <c r="L2556" s="925" t="s">
        <v>2</v>
      </c>
      <c r="M2556" s="926"/>
      <c r="N2556" s="927"/>
      <c r="O2556" s="362"/>
    </row>
    <row r="2557" spans="1:15" ht="15.75" customHeight="1">
      <c r="A2557" s="395"/>
      <c r="B2557" s="399"/>
      <c r="C2557" s="920"/>
      <c r="D2557" s="924"/>
      <c r="E2557" s="407"/>
      <c r="F2557" s="216"/>
      <c r="G2557" s="216"/>
      <c r="H2557" s="216"/>
      <c r="I2557" s="216"/>
      <c r="J2557" s="216"/>
      <c r="K2557" s="216"/>
      <c r="L2557" s="408" t="s">
        <v>3</v>
      </c>
      <c r="M2557" s="409" t="s">
        <v>4</v>
      </c>
      <c r="N2557" s="410" t="s">
        <v>5</v>
      </c>
      <c r="O2557" s="362"/>
    </row>
    <row r="2558" spans="1:15" ht="15.75" customHeight="1">
      <c r="A2558" s="395"/>
      <c r="B2558" s="399"/>
      <c r="C2558" s="920"/>
      <c r="D2558" s="924"/>
      <c r="E2558" s="1125" t="s">
        <v>1186</v>
      </c>
      <c r="F2558" s="945"/>
      <c r="G2558" s="945"/>
      <c r="H2558" s="945"/>
      <c r="I2558" s="945"/>
      <c r="J2558" s="945"/>
      <c r="K2558" s="945"/>
      <c r="L2558" s="928">
        <f>Datos!$C$7</f>
        <v>19</v>
      </c>
      <c r="M2558" s="935">
        <f>Datos!$D$7</f>
        <v>6</v>
      </c>
      <c r="N2558" s="937">
        <f>Datos!$E$7</f>
        <v>2026</v>
      </c>
      <c r="O2558" s="362"/>
    </row>
    <row r="2559" spans="1:15" ht="15.75" customHeight="1">
      <c r="A2559" s="395"/>
      <c r="B2559" s="399"/>
      <c r="C2559" s="929"/>
      <c r="D2559" s="938"/>
      <c r="E2559" s="929"/>
      <c r="F2559" s="936"/>
      <c r="G2559" s="936"/>
      <c r="H2559" s="936"/>
      <c r="I2559" s="936"/>
      <c r="J2559" s="936"/>
      <c r="K2559" s="936"/>
      <c r="L2559" s="929"/>
      <c r="M2559" s="936"/>
      <c r="N2559" s="938"/>
      <c r="O2559" s="362"/>
    </row>
    <row r="2560" spans="1:15" ht="15.75" customHeight="1">
      <c r="A2560" s="395"/>
      <c r="B2560" s="399"/>
      <c r="C2560" s="404"/>
      <c r="D2560" s="38"/>
      <c r="E2560" s="38"/>
      <c r="F2560" s="38"/>
      <c r="G2560" s="38"/>
      <c r="H2560" s="38"/>
      <c r="I2560" s="38"/>
      <c r="J2560" s="38"/>
      <c r="K2560" s="38"/>
      <c r="L2560" s="39"/>
      <c r="M2560" s="39"/>
      <c r="N2560" s="40"/>
      <c r="O2560" s="362"/>
    </row>
    <row r="2561" spans="1:15" ht="15.75" customHeight="1">
      <c r="A2561" s="395"/>
      <c r="B2561" s="399"/>
      <c r="C2561" s="412" t="s">
        <v>1187</v>
      </c>
      <c r="D2561" s="1199" t="str">
        <f>VLOOKUP(C2566,ListaAct,2,0)</f>
        <v>OBRA CIVIL</v>
      </c>
      <c r="E2561" s="922"/>
      <c r="F2561" s="922"/>
      <c r="G2561" s="922"/>
      <c r="H2561" s="922"/>
      <c r="I2561" s="922"/>
      <c r="J2561" s="922"/>
      <c r="K2561" s="922"/>
      <c r="L2561" s="922"/>
      <c r="M2561" s="1"/>
      <c r="N2561" s="413"/>
      <c r="O2561" s="362"/>
    </row>
    <row r="2562" spans="1:15" ht="15.75" customHeight="1">
      <c r="A2562" s="395"/>
      <c r="B2562" s="399"/>
      <c r="C2562" s="412" t="s">
        <v>1189</v>
      </c>
      <c r="D2562" s="1199" t="str">
        <f>VLOOKUP(C2566,ListaAct,3,0)</f>
        <v>ACABADOS</v>
      </c>
      <c r="E2562" s="922"/>
      <c r="F2562" s="922"/>
      <c r="G2562" s="922"/>
      <c r="H2562" s="922"/>
      <c r="I2562" s="922"/>
      <c r="J2562" s="922"/>
      <c r="K2562" s="922"/>
      <c r="L2562" s="922"/>
      <c r="M2562" s="1"/>
      <c r="N2562" s="413"/>
      <c r="O2562" s="362"/>
    </row>
    <row r="2563" spans="1:15" ht="15.75" customHeight="1">
      <c r="A2563" s="395"/>
      <c r="B2563" s="399"/>
      <c r="C2563" s="925" t="s">
        <v>1191</v>
      </c>
      <c r="D2563" s="926"/>
      <c r="E2563" s="926"/>
      <c r="F2563" s="926"/>
      <c r="G2563" s="926"/>
      <c r="H2563" s="926"/>
      <c r="I2563" s="926"/>
      <c r="J2563" s="926"/>
      <c r="K2563" s="926"/>
      <c r="L2563" s="926"/>
      <c r="M2563" s="926"/>
      <c r="N2563" s="927"/>
      <c r="O2563" s="362"/>
    </row>
    <row r="2564" spans="1:15" ht="15.75" customHeight="1">
      <c r="A2564" s="395"/>
      <c r="B2564" s="399"/>
      <c r="C2564" s="418"/>
      <c r="D2564" s="39"/>
      <c r="E2564" s="39"/>
      <c r="F2564" s="39"/>
      <c r="G2564" s="39"/>
      <c r="H2564" s="39"/>
      <c r="I2564" s="39"/>
      <c r="J2564" s="39"/>
      <c r="K2564" s="39"/>
      <c r="L2564" s="39"/>
      <c r="M2564" s="39"/>
      <c r="N2564" s="40"/>
      <c r="O2564" s="362"/>
    </row>
    <row r="2565" spans="1:15" ht="15.75" customHeight="1">
      <c r="A2565" s="395"/>
      <c r="B2565" s="399"/>
      <c r="C2565" s="668" t="s">
        <v>965</v>
      </c>
      <c r="D2565" s="1200" t="s">
        <v>17</v>
      </c>
      <c r="E2565" s="1131"/>
      <c r="F2565" s="1131"/>
      <c r="G2565" s="1131"/>
      <c r="H2565" s="1131"/>
      <c r="I2565" s="1131"/>
      <c r="J2565" s="1131"/>
      <c r="K2565" s="1137"/>
      <c r="L2565" s="1201" t="s">
        <v>1192</v>
      </c>
      <c r="M2565" s="1137"/>
      <c r="N2565" s="668" t="s">
        <v>950</v>
      </c>
      <c r="O2565" s="362"/>
    </row>
    <row r="2566" spans="1:15" ht="15.75" customHeight="1">
      <c r="A2566" s="395"/>
      <c r="B2566" s="421"/>
      <c r="C2566" s="669" t="s">
        <v>1081</v>
      </c>
      <c r="D2566" s="1202" t="str">
        <f>IF($C2566&gt;0,(VLOOKUP($C2566,ListaAct,4,FALSE)),"")</f>
        <v xml:space="preserve"> Inmunizado, sellado y pintado de puertas, ventanas y capiteles ambas caras en madera en esmalte color habano o tabaco, incluye varillas de acero.  </v>
      </c>
      <c r="E2566" s="979"/>
      <c r="F2566" s="979"/>
      <c r="G2566" s="979"/>
      <c r="H2566" s="979"/>
      <c r="I2566" s="979"/>
      <c r="J2566" s="979"/>
      <c r="K2566" s="980"/>
      <c r="L2566" s="1203" t="str">
        <f>IF($C2566&gt;0,(VLOOKUP($C2566,ListaAct,5,FALSE)),"")</f>
        <v>m2</v>
      </c>
      <c r="M2566" s="980"/>
      <c r="N2566" s="423">
        <f>IF($C2566&gt;0,(VLOOKUP($C2566,ListaAct,6,FALSE)),"")</f>
        <v>9.66</v>
      </c>
      <c r="O2566" s="362"/>
    </row>
    <row r="2567" spans="1:15" ht="15.75" customHeight="1">
      <c r="A2567" s="395"/>
      <c r="B2567" s="399"/>
      <c r="C2567" s="1129" t="s">
        <v>1195</v>
      </c>
      <c r="D2567" s="926"/>
      <c r="E2567" s="926"/>
      <c r="F2567" s="926"/>
      <c r="G2567" s="926"/>
      <c r="H2567" s="926"/>
      <c r="I2567" s="926"/>
      <c r="J2567" s="926"/>
      <c r="K2567" s="926"/>
      <c r="L2567" s="926"/>
      <c r="M2567" s="926"/>
      <c r="N2567" s="927"/>
      <c r="O2567" s="362"/>
    </row>
    <row r="2568" spans="1:15" ht="15.75" customHeight="1">
      <c r="A2568" s="395"/>
      <c r="B2568" s="399"/>
      <c r="C2568" s="920"/>
      <c r="D2568" s="922"/>
      <c r="E2568" s="922"/>
      <c r="F2568" s="922"/>
      <c r="G2568" s="922"/>
      <c r="H2568" s="922"/>
      <c r="I2568" s="922"/>
      <c r="J2568" s="922"/>
      <c r="K2568" s="922"/>
      <c r="L2568" s="922"/>
      <c r="M2568" s="922"/>
      <c r="N2568" s="924"/>
      <c r="O2568" s="362"/>
    </row>
    <row r="2569" spans="1:15" ht="15.75" customHeight="1">
      <c r="A2569" s="395"/>
      <c r="B2569" s="399"/>
      <c r="C2569" s="929"/>
      <c r="D2569" s="936"/>
      <c r="E2569" s="936"/>
      <c r="F2569" s="936"/>
      <c r="G2569" s="936"/>
      <c r="H2569" s="936"/>
      <c r="I2569" s="936"/>
      <c r="J2569" s="936"/>
      <c r="K2569" s="936"/>
      <c r="L2569" s="936"/>
      <c r="M2569" s="936"/>
      <c r="N2569" s="938"/>
      <c r="O2569" s="362"/>
    </row>
    <row r="2570" spans="1:15" ht="15.75" customHeight="1">
      <c r="A2570" s="395"/>
      <c r="B2570" s="399"/>
      <c r="C2570" s="1201" t="s">
        <v>17</v>
      </c>
      <c r="D2570" s="1131"/>
      <c r="E2570" s="1131"/>
      <c r="F2570" s="1000"/>
      <c r="G2570" s="1204" t="s">
        <v>1196</v>
      </c>
      <c r="H2570" s="1000"/>
      <c r="I2570" s="1204" t="s">
        <v>1197</v>
      </c>
      <c r="J2570" s="1000"/>
      <c r="K2570" s="670" t="s">
        <v>1213</v>
      </c>
      <c r="L2570" s="1204" t="s">
        <v>1199</v>
      </c>
      <c r="M2570" s="1000"/>
      <c r="N2570" s="671" t="s">
        <v>1200</v>
      </c>
      <c r="O2570" s="362"/>
    </row>
    <row r="2571" spans="1:15" ht="15.75" customHeight="1">
      <c r="A2571" s="395"/>
      <c r="B2571" s="399"/>
      <c r="C2571" s="1128" t="s">
        <v>1201</v>
      </c>
      <c r="D2571" s="940"/>
      <c r="E2571" s="940"/>
      <c r="F2571" s="941"/>
      <c r="G2571" s="1142"/>
      <c r="H2571" s="941"/>
      <c r="I2571" s="1142"/>
      <c r="J2571" s="941"/>
      <c r="K2571" s="429"/>
      <c r="L2571" s="1143">
        <v>0.1</v>
      </c>
      <c r="M2571" s="941"/>
      <c r="N2571" s="430">
        <f>+L2571*N2613</f>
        <v>1204.4829379385735</v>
      </c>
      <c r="O2571" s="362"/>
    </row>
    <row r="2572" spans="1:15" ht="15.75" customHeight="1">
      <c r="A2572" s="395" t="str">
        <f t="array" ref="A2572">IF(C2572&lt;&gt;0,INDEX(CodEquipos,MATCH(C2572,Equipos,0),),)</f>
        <v>EQ-33</v>
      </c>
      <c r="B2572" s="399"/>
      <c r="C2572" s="1128" t="s">
        <v>338</v>
      </c>
      <c r="D2572" s="940"/>
      <c r="E2572" s="940"/>
      <c r="F2572" s="941"/>
      <c r="G2572" s="1142"/>
      <c r="H2572" s="941"/>
      <c r="I2572" s="1142"/>
      <c r="J2572" s="941"/>
      <c r="K2572" s="432">
        <f>IF($A2572&gt;0,(VLOOKUP($A2572,TablaEquipos,7,FALSE)),"")</f>
        <v>58824</v>
      </c>
      <c r="L2572" s="1146">
        <f>L2608/8</f>
        <v>3.4249343598509174</v>
      </c>
      <c r="M2572" s="941"/>
      <c r="N2572" s="430">
        <f t="shared" ref="N2572:N2576" si="192">IF(L2572&gt;0,K2572/L2572,"")</f>
        <v>17175.219674154727</v>
      </c>
      <c r="O2572" s="362"/>
    </row>
    <row r="2573" spans="1:15" ht="15.75" customHeight="1">
      <c r="A2573" s="395">
        <f t="array" ref="A2573">IF(C2573&lt;&gt;0,INDEX(CodEquipos,MATCH(C2573,Equipos,0),),)</f>
        <v>0</v>
      </c>
      <c r="B2573" s="399"/>
      <c r="C2573" s="1128"/>
      <c r="D2573" s="940"/>
      <c r="E2573" s="940"/>
      <c r="F2573" s="941"/>
      <c r="G2573" s="1142"/>
      <c r="H2573" s="941"/>
      <c r="I2573" s="1142"/>
      <c r="J2573" s="941"/>
      <c r="K2573" s="432" t="str">
        <f>IF($A2573&gt;0,(VLOOKUP($A2573,TablaEquipos,7,FALSE)),"")</f>
        <v/>
      </c>
      <c r="L2573" s="1146"/>
      <c r="M2573" s="941"/>
      <c r="N2573" s="430" t="str">
        <f t="shared" si="192"/>
        <v/>
      </c>
      <c r="O2573" s="362"/>
    </row>
    <row r="2574" spans="1:15" ht="15.75" customHeight="1">
      <c r="A2574" s="395">
        <f t="array" ref="A2574">IF(C2574&lt;&gt;0,INDEX(CodEquipos,MATCH(C2574,Equipos,0),),)</f>
        <v>0</v>
      </c>
      <c r="B2574" s="399"/>
      <c r="C2574" s="1128"/>
      <c r="D2574" s="940"/>
      <c r="E2574" s="940"/>
      <c r="F2574" s="941"/>
      <c r="G2574" s="1142"/>
      <c r="H2574" s="941"/>
      <c r="I2574" s="1142"/>
      <c r="J2574" s="941"/>
      <c r="K2574" s="432" t="str">
        <f>IF($A2574&gt;0,(VLOOKUP($A2574,TablaEquipos,7,FALSE)),"")</f>
        <v/>
      </c>
      <c r="L2574" s="1146"/>
      <c r="M2574" s="941"/>
      <c r="N2574" s="430" t="str">
        <f t="shared" si="192"/>
        <v/>
      </c>
      <c r="O2574" s="362"/>
    </row>
    <row r="2575" spans="1:15" ht="15.75" customHeight="1">
      <c r="A2575" s="395">
        <f t="array" ref="A2575">IF(C2575&lt;&gt;0,INDEX(CodEquipos,MATCH(C2575,Equipos,0),),)</f>
        <v>0</v>
      </c>
      <c r="B2575" s="399"/>
      <c r="C2575" s="1128"/>
      <c r="D2575" s="940"/>
      <c r="E2575" s="940"/>
      <c r="F2575" s="941"/>
      <c r="G2575" s="1142"/>
      <c r="H2575" s="941"/>
      <c r="I2575" s="1142"/>
      <c r="J2575" s="941"/>
      <c r="K2575" s="432" t="str">
        <f>IF($A2575&gt;0,(VLOOKUP($A2575,TablaEquipos,7,FALSE)),"")</f>
        <v/>
      </c>
      <c r="L2575" s="1141"/>
      <c r="M2575" s="941"/>
      <c r="N2575" s="430" t="str">
        <f t="shared" si="192"/>
        <v/>
      </c>
      <c r="O2575" s="362"/>
    </row>
    <row r="2576" spans="1:15" ht="15.75" customHeight="1">
      <c r="A2576" s="395">
        <f t="array" ref="A2576">IF(C2576&lt;&gt;0,INDEX(CodEquipos,MATCH(C2576,Equipos,0),),)</f>
        <v>0</v>
      </c>
      <c r="B2576" s="399"/>
      <c r="C2576" s="1128"/>
      <c r="D2576" s="940"/>
      <c r="E2576" s="940"/>
      <c r="F2576" s="941"/>
      <c r="G2576" s="1144"/>
      <c r="H2576" s="1145"/>
      <c r="I2576" s="1144"/>
      <c r="J2576" s="1145"/>
      <c r="K2576" s="432" t="str">
        <f>IF($A2576&gt;0,(VLOOKUP($A2576,TablaEquipos,7,FALSE)),"")</f>
        <v/>
      </c>
      <c r="L2576" s="1208"/>
      <c r="M2576" s="1145"/>
      <c r="N2576" s="430" t="str">
        <f t="shared" si="192"/>
        <v/>
      </c>
      <c r="O2576" s="362"/>
    </row>
    <row r="2577" spans="1:15" ht="15.75" customHeight="1">
      <c r="A2577" s="395"/>
      <c r="B2577" s="399"/>
      <c r="C2577" s="1127" t="s">
        <v>1202</v>
      </c>
      <c r="D2577" s="965"/>
      <c r="E2577" s="965"/>
      <c r="F2577" s="965"/>
      <c r="G2577" s="965"/>
      <c r="H2577" s="965"/>
      <c r="I2577" s="965"/>
      <c r="J2577" s="965"/>
      <c r="K2577" s="965"/>
      <c r="L2577" s="965"/>
      <c r="M2577" s="966"/>
      <c r="N2577" s="433">
        <f>+SUM(N2571:N2576)</f>
        <v>18379.702612093301</v>
      </c>
      <c r="O2577" s="362"/>
    </row>
    <row r="2578" spans="1:15" ht="15.75" customHeight="1">
      <c r="A2578" s="395"/>
      <c r="B2578" s="399"/>
      <c r="C2578" s="1129" t="s">
        <v>1203</v>
      </c>
      <c r="D2578" s="926"/>
      <c r="E2578" s="926"/>
      <c r="F2578" s="926"/>
      <c r="G2578" s="926"/>
      <c r="H2578" s="926"/>
      <c r="I2578" s="926"/>
      <c r="J2578" s="926"/>
      <c r="K2578" s="926"/>
      <c r="L2578" s="926"/>
      <c r="M2578" s="926"/>
      <c r="N2578" s="927"/>
      <c r="O2578" s="362"/>
    </row>
    <row r="2579" spans="1:15" ht="15.75" customHeight="1">
      <c r="A2579" s="395"/>
      <c r="B2579" s="399"/>
      <c r="C2579" s="920"/>
      <c r="D2579" s="922"/>
      <c r="E2579" s="922"/>
      <c r="F2579" s="922"/>
      <c r="G2579" s="922"/>
      <c r="H2579" s="922"/>
      <c r="I2579" s="922"/>
      <c r="J2579" s="922"/>
      <c r="K2579" s="922"/>
      <c r="L2579" s="922"/>
      <c r="M2579" s="922"/>
      <c r="N2579" s="924"/>
      <c r="O2579" s="362"/>
    </row>
    <row r="2580" spans="1:15" ht="15.75" customHeight="1">
      <c r="A2580" s="395"/>
      <c r="B2580" s="399"/>
      <c r="C2580" s="929"/>
      <c r="D2580" s="936"/>
      <c r="E2580" s="936"/>
      <c r="F2580" s="936"/>
      <c r="G2580" s="936"/>
      <c r="H2580" s="936"/>
      <c r="I2580" s="936"/>
      <c r="J2580" s="936"/>
      <c r="K2580" s="936"/>
      <c r="L2580" s="936"/>
      <c r="M2580" s="936"/>
      <c r="N2580" s="938"/>
      <c r="O2580" s="362"/>
    </row>
    <row r="2581" spans="1:15" ht="15.75" customHeight="1">
      <c r="A2581" s="395"/>
      <c r="B2581" s="399"/>
      <c r="C2581" s="1201" t="s">
        <v>17</v>
      </c>
      <c r="D2581" s="1131"/>
      <c r="E2581" s="1131"/>
      <c r="F2581" s="1131"/>
      <c r="G2581" s="1131"/>
      <c r="H2581" s="1131"/>
      <c r="I2581" s="1000"/>
      <c r="J2581" s="672" t="s">
        <v>1192</v>
      </c>
      <c r="K2581" s="670" t="s">
        <v>950</v>
      </c>
      <c r="L2581" s="1204" t="s">
        <v>1204</v>
      </c>
      <c r="M2581" s="1000"/>
      <c r="N2581" s="671" t="s">
        <v>1200</v>
      </c>
      <c r="O2581" s="362"/>
    </row>
    <row r="2582" spans="1:15" ht="15.75" customHeight="1">
      <c r="A2582" s="395" t="str">
        <f t="array" ref="A2582">IF(C2582&lt;&gt;0,INDEX(CodMat,MATCH(C2582,Materiales,0),),)</f>
        <v>MAT_EPYE-17</v>
      </c>
      <c r="B2582" s="399"/>
      <c r="C2582" s="1128" t="s">
        <v>2559</v>
      </c>
      <c r="D2582" s="940"/>
      <c r="E2582" s="940"/>
      <c r="F2582" s="940"/>
      <c r="G2582" s="940"/>
      <c r="H2582" s="940"/>
      <c r="I2582" s="941"/>
      <c r="J2582" s="435" t="str">
        <f t="shared" ref="J2582:J2592" si="193">IF($A2582&gt;0,(VLOOKUP($A2582,TablaInsumos,5,FALSE)),"")</f>
        <v>LITRO</v>
      </c>
      <c r="K2582" s="673">
        <v>0.15</v>
      </c>
      <c r="L2582" s="1134">
        <f t="shared" ref="L2582:L2592" si="194">IF($A2582&gt;0,(VLOOKUP($A2582,TablaInsumos,7,FALSE)),"")</f>
        <v>15000</v>
      </c>
      <c r="M2582" s="941"/>
      <c r="N2582" s="430">
        <f t="shared" ref="N2582:N2592" si="195">IF(K2582&gt;0,L2582*K2582,"")</f>
        <v>2250</v>
      </c>
      <c r="O2582" s="362"/>
    </row>
    <row r="2583" spans="1:15" ht="15.75" customHeight="1">
      <c r="A2583" s="395" t="str">
        <f t="array" ref="A2583">IF(C2583&lt;&gt;0,INDEX(CodMat,MATCH(C2583,Materiales,0),),)</f>
        <v>MAT_EPYE-18</v>
      </c>
      <c r="B2583" s="399"/>
      <c r="C2583" s="1128" t="s">
        <v>2560</v>
      </c>
      <c r="D2583" s="940"/>
      <c r="E2583" s="940"/>
      <c r="F2583" s="940"/>
      <c r="G2583" s="940"/>
      <c r="H2583" s="940"/>
      <c r="I2583" s="941"/>
      <c r="J2583" s="435" t="str">
        <f t="shared" si="193"/>
        <v>LITRO</v>
      </c>
      <c r="K2583" s="673">
        <v>0.1</v>
      </c>
      <c r="L2583" s="1134">
        <f t="shared" si="194"/>
        <v>16500</v>
      </c>
      <c r="M2583" s="941"/>
      <c r="N2583" s="430">
        <f t="shared" si="195"/>
        <v>1650</v>
      </c>
      <c r="O2583" s="362"/>
    </row>
    <row r="2584" spans="1:15" ht="15.75" customHeight="1">
      <c r="A2584" s="395" t="str">
        <f t="array" ref="A2584">IF(C2584&lt;&gt;0,INDEX(CodMat,MATCH(C2584,Materiales,0),),)</f>
        <v>MAT_P-18</v>
      </c>
      <c r="B2584" s="399"/>
      <c r="C2584" s="1128" t="s">
        <v>2561</v>
      </c>
      <c r="D2584" s="940"/>
      <c r="E2584" s="940"/>
      <c r="F2584" s="940"/>
      <c r="G2584" s="940"/>
      <c r="H2584" s="940"/>
      <c r="I2584" s="941"/>
      <c r="J2584" s="435" t="str">
        <f t="shared" si="193"/>
        <v>LITRO</v>
      </c>
      <c r="K2584" s="673">
        <v>0.2</v>
      </c>
      <c r="L2584" s="1134">
        <f t="shared" si="194"/>
        <v>24750</v>
      </c>
      <c r="M2584" s="941"/>
      <c r="N2584" s="430">
        <f t="shared" si="195"/>
        <v>4950</v>
      </c>
      <c r="O2584" s="362"/>
    </row>
    <row r="2585" spans="1:15" ht="15.75" customHeight="1">
      <c r="A2585" s="395" t="str">
        <f t="array" ref="A2585">IF(C2585&lt;&gt;0,INDEX(CodMat,MATCH(C2585,Materiales,0),),)</f>
        <v>MAT_P-03</v>
      </c>
      <c r="B2585" s="399"/>
      <c r="C2585" s="1128" t="s">
        <v>2562</v>
      </c>
      <c r="D2585" s="940"/>
      <c r="E2585" s="940"/>
      <c r="F2585" s="940"/>
      <c r="G2585" s="940"/>
      <c r="H2585" s="940"/>
      <c r="I2585" s="941"/>
      <c r="J2585" s="435" t="str">
        <f t="shared" si="193"/>
        <v>LT</v>
      </c>
      <c r="K2585" s="673">
        <v>0.1</v>
      </c>
      <c r="L2585" s="1134">
        <f t="shared" si="194"/>
        <v>13200</v>
      </c>
      <c r="M2585" s="941"/>
      <c r="N2585" s="430">
        <f t="shared" si="195"/>
        <v>1320</v>
      </c>
      <c r="O2585" s="362"/>
    </row>
    <row r="2586" spans="1:15" ht="15.75" customHeight="1">
      <c r="A2586" s="395" t="str">
        <f t="array" ref="A2586">IF(C2586&lt;&gt;0,INDEX(CodMat,MATCH(C2586,Materiales,0),),)</f>
        <v>MAT_P-16</v>
      </c>
      <c r="B2586" s="399"/>
      <c r="C2586" s="1128" t="s">
        <v>2563</v>
      </c>
      <c r="D2586" s="940"/>
      <c r="E2586" s="940"/>
      <c r="F2586" s="940"/>
      <c r="G2586" s="940"/>
      <c r="H2586" s="940"/>
      <c r="I2586" s="941"/>
      <c r="J2586" s="435" t="str">
        <f t="shared" si="193"/>
        <v xml:space="preserve">UND </v>
      </c>
      <c r="K2586" s="673">
        <v>0.25</v>
      </c>
      <c r="L2586" s="1134">
        <f t="shared" si="194"/>
        <v>2050</v>
      </c>
      <c r="M2586" s="941"/>
      <c r="N2586" s="430">
        <f t="shared" si="195"/>
        <v>512.5</v>
      </c>
      <c r="O2586" s="362"/>
    </row>
    <row r="2587" spans="1:15" ht="15.75" customHeight="1">
      <c r="A2587" s="395" t="str">
        <f t="array" ref="A2587">IF(C2587&lt;&gt;0,INDEX(CodMat,MATCH(C2587,Materiales,0),),)</f>
        <v>MAT_C-91</v>
      </c>
      <c r="B2587" s="399"/>
      <c r="C2587" s="1128" t="s">
        <v>2570</v>
      </c>
      <c r="D2587" s="940"/>
      <c r="E2587" s="940"/>
      <c r="F2587" s="940"/>
      <c r="G2587" s="940"/>
      <c r="H2587" s="940"/>
      <c r="I2587" s="941"/>
      <c r="J2587" s="435" t="str">
        <f t="shared" si="193"/>
        <v>UND</v>
      </c>
      <c r="K2587" s="673">
        <v>1</v>
      </c>
      <c r="L2587" s="1134">
        <f t="shared" si="194"/>
        <v>1100</v>
      </c>
      <c r="M2587" s="941"/>
      <c r="N2587" s="430">
        <f t="shared" si="195"/>
        <v>1100</v>
      </c>
      <c r="O2587" s="362"/>
    </row>
    <row r="2588" spans="1:15" ht="15.75" customHeight="1">
      <c r="A2588" s="395" t="str">
        <f t="array" ref="A2588">IF(C2588&lt;&gt;0,INDEX(CodMat,MATCH(C2588,Materiales,0),),)</f>
        <v>MAT_P-17</v>
      </c>
      <c r="B2588" s="399"/>
      <c r="C2588" s="1128" t="s">
        <v>2550</v>
      </c>
      <c r="D2588" s="940"/>
      <c r="E2588" s="940"/>
      <c r="F2588" s="940"/>
      <c r="G2588" s="940"/>
      <c r="H2588" s="940"/>
      <c r="I2588" s="941"/>
      <c r="J2588" s="435" t="str">
        <f t="shared" si="193"/>
        <v xml:space="preserve">UND </v>
      </c>
      <c r="K2588" s="673">
        <v>7.0000000000000007E-2</v>
      </c>
      <c r="L2588" s="1134">
        <f t="shared" si="194"/>
        <v>15900</v>
      </c>
      <c r="M2588" s="941"/>
      <c r="N2588" s="430">
        <f t="shared" si="195"/>
        <v>1113</v>
      </c>
      <c r="O2588" s="362"/>
    </row>
    <row r="2589" spans="1:15" ht="15.75" customHeight="1">
      <c r="A2589" s="395" t="str">
        <f t="array" ref="A2589">IF(C2589&lt;&gt;0,INDEX(CodMat,MATCH(C2589,Materiales,0),),)</f>
        <v>MAT_P-19</v>
      </c>
      <c r="B2589" s="801"/>
      <c r="C2589" s="1128" t="s">
        <v>2551</v>
      </c>
      <c r="D2589" s="940"/>
      <c r="E2589" s="940"/>
      <c r="F2589" s="940"/>
      <c r="G2589" s="940"/>
      <c r="H2589" s="940"/>
      <c r="I2589" s="941"/>
      <c r="J2589" s="435" t="str">
        <f t="shared" si="193"/>
        <v>UND</v>
      </c>
      <c r="K2589" s="673">
        <v>7.0000000000000007E-2</v>
      </c>
      <c r="L2589" s="1134">
        <f t="shared" si="194"/>
        <v>10890</v>
      </c>
      <c r="M2589" s="941"/>
      <c r="N2589" s="430">
        <f t="shared" ref="N2589:N2591" si="196">IF(K2589&gt;0,L2589*K2589,"")</f>
        <v>762.30000000000007</v>
      </c>
      <c r="O2589" s="802"/>
    </row>
    <row r="2590" spans="1:15" ht="15.75" customHeight="1">
      <c r="A2590" s="395" t="str">
        <f t="array" ref="A2590">IF(C2590&lt;&gt;0,INDEX(CodMat,MATCH(C2590,Materiales,0),),)</f>
        <v>MAT_P-02</v>
      </c>
      <c r="B2590" s="801"/>
      <c r="C2590" s="1128" t="s">
        <v>2552</v>
      </c>
      <c r="D2590" s="940"/>
      <c r="E2590" s="940"/>
      <c r="F2590" s="940"/>
      <c r="G2590" s="940"/>
      <c r="H2590" s="940"/>
      <c r="I2590" s="941"/>
      <c r="J2590" s="435" t="str">
        <f t="shared" si="193"/>
        <v>UND</v>
      </c>
      <c r="K2590" s="673">
        <v>7.0000000000000007E-2</v>
      </c>
      <c r="L2590" s="1134">
        <f t="shared" si="194"/>
        <v>12700</v>
      </c>
      <c r="M2590" s="941"/>
      <c r="N2590" s="430">
        <f t="shared" si="196"/>
        <v>889.00000000000011</v>
      </c>
      <c r="O2590" s="802"/>
    </row>
    <row r="2591" spans="1:15" ht="15.75" customHeight="1">
      <c r="A2591" s="395">
        <f t="array" ref="A2591">IF(C2591&lt;&gt;0,INDEX(CodMat,MATCH(C2591,Materiales,0),),)</f>
        <v>0</v>
      </c>
      <c r="B2591" s="801"/>
      <c r="C2591" s="1128"/>
      <c r="D2591" s="940"/>
      <c r="E2591" s="940"/>
      <c r="F2591" s="940"/>
      <c r="G2591" s="940"/>
      <c r="H2591" s="940"/>
      <c r="I2591" s="941"/>
      <c r="J2591" s="435" t="str">
        <f t="shared" si="193"/>
        <v/>
      </c>
      <c r="K2591" s="673"/>
      <c r="L2591" s="1134" t="str">
        <f t="shared" si="194"/>
        <v/>
      </c>
      <c r="M2591" s="941"/>
      <c r="N2591" s="430" t="str">
        <f t="shared" si="196"/>
        <v/>
      </c>
      <c r="O2591" s="802"/>
    </row>
    <row r="2592" spans="1:15" ht="15.75" customHeight="1" thickBot="1">
      <c r="A2592" s="395">
        <f t="array" ref="A2592">IF(C2592&lt;&gt;0,INDEX(CodMat,MATCH(C2592,Materiales,0),),)</f>
        <v>0</v>
      </c>
      <c r="B2592" s="399"/>
      <c r="C2592" s="1128"/>
      <c r="D2592" s="940"/>
      <c r="E2592" s="940"/>
      <c r="F2592" s="940"/>
      <c r="G2592" s="940"/>
      <c r="H2592" s="940"/>
      <c r="I2592" s="941"/>
      <c r="J2592" s="435" t="str">
        <f t="shared" si="193"/>
        <v/>
      </c>
      <c r="K2592" s="673"/>
      <c r="L2592" s="1205" t="str">
        <f t="shared" si="194"/>
        <v/>
      </c>
      <c r="M2592" s="1145"/>
      <c r="N2592" s="430" t="str">
        <f t="shared" si="195"/>
        <v/>
      </c>
      <c r="O2592" s="362"/>
    </row>
    <row r="2593" spans="1:15" ht="15.75" customHeight="1">
      <c r="A2593" s="395"/>
      <c r="B2593" s="399"/>
      <c r="C2593" s="1127" t="s">
        <v>1202</v>
      </c>
      <c r="D2593" s="965"/>
      <c r="E2593" s="965"/>
      <c r="F2593" s="965"/>
      <c r="G2593" s="965"/>
      <c r="H2593" s="965"/>
      <c r="I2593" s="965"/>
      <c r="J2593" s="965"/>
      <c r="K2593" s="965"/>
      <c r="L2593" s="965"/>
      <c r="M2593" s="966"/>
      <c r="N2593" s="433">
        <f>+SUM(N2582:N2592)</f>
        <v>14546.8</v>
      </c>
      <c r="O2593" s="362"/>
    </row>
    <row r="2594" spans="1:15" ht="15.75" customHeight="1">
      <c r="A2594" s="395"/>
      <c r="B2594" s="399"/>
      <c r="C2594" s="1129" t="s">
        <v>1208</v>
      </c>
      <c r="D2594" s="926"/>
      <c r="E2594" s="926"/>
      <c r="F2594" s="926"/>
      <c r="G2594" s="926"/>
      <c r="H2594" s="926"/>
      <c r="I2594" s="926"/>
      <c r="J2594" s="926"/>
      <c r="K2594" s="926"/>
      <c r="L2594" s="926"/>
      <c r="M2594" s="926"/>
      <c r="N2594" s="927"/>
      <c r="O2594" s="362"/>
    </row>
    <row r="2595" spans="1:15" ht="15.75" customHeight="1">
      <c r="A2595" s="395"/>
      <c r="B2595" s="399"/>
      <c r="C2595" s="920"/>
      <c r="D2595" s="922"/>
      <c r="E2595" s="922"/>
      <c r="F2595" s="922"/>
      <c r="G2595" s="922"/>
      <c r="H2595" s="922"/>
      <c r="I2595" s="922"/>
      <c r="J2595" s="922"/>
      <c r="K2595" s="922"/>
      <c r="L2595" s="922"/>
      <c r="M2595" s="922"/>
      <c r="N2595" s="924"/>
      <c r="O2595" s="362"/>
    </row>
    <row r="2596" spans="1:15" ht="15.75" customHeight="1">
      <c r="A2596" s="395"/>
      <c r="B2596" s="399"/>
      <c r="C2596" s="929"/>
      <c r="D2596" s="936"/>
      <c r="E2596" s="936"/>
      <c r="F2596" s="936"/>
      <c r="G2596" s="936"/>
      <c r="H2596" s="936"/>
      <c r="I2596" s="936"/>
      <c r="J2596" s="936"/>
      <c r="K2596" s="936"/>
      <c r="L2596" s="936"/>
      <c r="M2596" s="936"/>
      <c r="N2596" s="938"/>
      <c r="O2596" s="362"/>
    </row>
    <row r="2597" spans="1:15" ht="15.75" customHeight="1">
      <c r="A2597" s="395"/>
      <c r="B2597" s="399"/>
      <c r="C2597" s="1201" t="s">
        <v>1209</v>
      </c>
      <c r="D2597" s="1131"/>
      <c r="E2597" s="1131"/>
      <c r="F2597" s="1131"/>
      <c r="G2597" s="1131"/>
      <c r="H2597" s="1000"/>
      <c r="I2597" s="670" t="s">
        <v>1210</v>
      </c>
      <c r="J2597" s="674" t="s">
        <v>1211</v>
      </c>
      <c r="K2597" s="675" t="s">
        <v>2318</v>
      </c>
      <c r="L2597" s="1204" t="s">
        <v>1213</v>
      </c>
      <c r="M2597" s="1000"/>
      <c r="N2597" s="671" t="s">
        <v>1200</v>
      </c>
      <c r="O2597" s="362"/>
    </row>
    <row r="2598" spans="1:15" ht="15.75" customHeight="1">
      <c r="A2598" s="395">
        <f t="array" ref="A2598">IF(C2598&lt;&gt;0,INDEX(CodTransporte,MATCH(C2598,Transporte,0),),)</f>
        <v>0</v>
      </c>
      <c r="B2598" s="399"/>
      <c r="C2598" s="1128"/>
      <c r="D2598" s="940"/>
      <c r="E2598" s="940"/>
      <c r="F2598" s="940"/>
      <c r="G2598" s="940"/>
      <c r="H2598" s="940"/>
      <c r="I2598" s="440"/>
      <c r="J2598" s="441" t="str">
        <f>IF($A2598&gt;0,(VLOOKUP($A2598,TablaTransporte,6,FALSE)),"")</f>
        <v/>
      </c>
      <c r="K2598" s="442" t="str">
        <f>IF($A2598&gt;0,(VLOOKUP($A2598,TablaTransporte,5,FALSE)),"")</f>
        <v/>
      </c>
      <c r="L2598" s="1134" t="str">
        <f>IF($A2598&gt;0,(VLOOKUP($A2598,TablaTransporte,7,FALSE)),"")</f>
        <v/>
      </c>
      <c r="M2598" s="941"/>
      <c r="N2598" s="430" t="str">
        <f t="shared" ref="N2598:N2602" si="197">IF(I2598&gt;0,J2598*L2598*I2598,"")</f>
        <v/>
      </c>
      <c r="O2598" s="362"/>
    </row>
    <row r="2599" spans="1:15" ht="15.75" customHeight="1">
      <c r="A2599" s="395">
        <f t="array" ref="A2599">IF(C2599&lt;&gt;0,INDEX(CodTransporte,MATCH(C2599,Transporte,0),),)</f>
        <v>0</v>
      </c>
      <c r="B2599" s="399"/>
      <c r="C2599" s="1128"/>
      <c r="D2599" s="940"/>
      <c r="E2599" s="940"/>
      <c r="F2599" s="940"/>
      <c r="G2599" s="940"/>
      <c r="H2599" s="940"/>
      <c r="I2599" s="440"/>
      <c r="J2599" s="441" t="str">
        <f>IF($A2599&gt;0,(VLOOKUP($A2599,TablaTransporte,6,FALSE)),"")</f>
        <v/>
      </c>
      <c r="K2599" s="442" t="str">
        <f>IF($A2599&gt;0,(VLOOKUP($A2599,TablaTransporte,5,FALSE)),"")</f>
        <v/>
      </c>
      <c r="L2599" s="1134" t="str">
        <f>IF($A2599&gt;0,(VLOOKUP($A2599,TablaTransporte,7,FALSE)),"")</f>
        <v/>
      </c>
      <c r="M2599" s="941"/>
      <c r="N2599" s="430" t="str">
        <f t="shared" si="197"/>
        <v/>
      </c>
      <c r="O2599" s="362"/>
    </row>
    <row r="2600" spans="1:15" ht="15.75" customHeight="1">
      <c r="A2600" s="395">
        <f t="array" ref="A2600">IF(C2600&lt;&gt;0,INDEX(CodTransporte,MATCH(C2600,Transporte,0),),)</f>
        <v>0</v>
      </c>
      <c r="B2600" s="399"/>
      <c r="C2600" s="1128"/>
      <c r="D2600" s="940"/>
      <c r="E2600" s="940"/>
      <c r="F2600" s="940"/>
      <c r="G2600" s="940"/>
      <c r="H2600" s="940"/>
      <c r="I2600" s="440"/>
      <c r="J2600" s="441" t="str">
        <f>IF($A2600&gt;0,(VLOOKUP($A2600,TablaTransporte,6,FALSE)),"")</f>
        <v/>
      </c>
      <c r="K2600" s="442" t="str">
        <f>IF($A2600&gt;0,(VLOOKUP($A2600,TablaTransporte,5,FALSE)),"")</f>
        <v/>
      </c>
      <c r="L2600" s="1134" t="str">
        <f>IF($A2600&gt;0,(VLOOKUP($A2600,TablaTransporte,7,FALSE)),"")</f>
        <v/>
      </c>
      <c r="M2600" s="941"/>
      <c r="N2600" s="430" t="str">
        <f t="shared" si="197"/>
        <v/>
      </c>
      <c r="O2600" s="362"/>
    </row>
    <row r="2601" spans="1:15" ht="15.75" customHeight="1">
      <c r="A2601" s="395">
        <f t="array" ref="A2601">IF(C2601&lt;&gt;0,INDEX(CodTransporte,MATCH(C2601,Transporte,0),),)</f>
        <v>0</v>
      </c>
      <c r="B2601" s="399"/>
      <c r="C2601" s="1128"/>
      <c r="D2601" s="940"/>
      <c r="E2601" s="940"/>
      <c r="F2601" s="940"/>
      <c r="G2601" s="940"/>
      <c r="H2601" s="940"/>
      <c r="I2601" s="440"/>
      <c r="J2601" s="441" t="str">
        <f>IF($A2601&gt;0,(VLOOKUP($A2601,TablaTransporte,6,FALSE)),"")</f>
        <v/>
      </c>
      <c r="K2601" s="442" t="str">
        <f>IF($A2601&gt;0,(VLOOKUP($A2601,TablaTransporte,5,FALSE)),"")</f>
        <v/>
      </c>
      <c r="L2601" s="1134" t="str">
        <f>IF($A2601&gt;0,(VLOOKUP($A2601,TablaTransporte,7,FALSE)),"")</f>
        <v/>
      </c>
      <c r="M2601" s="941"/>
      <c r="N2601" s="430" t="str">
        <f t="shared" si="197"/>
        <v/>
      </c>
      <c r="O2601" s="362"/>
    </row>
    <row r="2602" spans="1:15" ht="15.75" customHeight="1">
      <c r="A2602" s="395">
        <f t="array" ref="A2602">IF(C2602&lt;&gt;0,INDEX(CodTransporte,MATCH(C2602,Transporte,0),),)</f>
        <v>0</v>
      </c>
      <c r="B2602" s="399"/>
      <c r="C2602" s="1128"/>
      <c r="D2602" s="940"/>
      <c r="E2602" s="940"/>
      <c r="F2602" s="940"/>
      <c r="G2602" s="940"/>
      <c r="H2602" s="940"/>
      <c r="I2602" s="440"/>
      <c r="J2602" s="441" t="str">
        <f>IF($A2602&gt;0,(VLOOKUP($A2602,TablaTransporte,6,FALSE)),"")</f>
        <v/>
      </c>
      <c r="K2602" s="442" t="str">
        <f>IF($A2602&gt;0,(VLOOKUP($A2602,TablaTransporte,5,FALSE)),"")</f>
        <v/>
      </c>
      <c r="L2602" s="1205" t="str">
        <f>IF($A2602&gt;0,(VLOOKUP($A2602,TablaTransporte,7,FALSE)),"")</f>
        <v/>
      </c>
      <c r="M2602" s="1145"/>
      <c r="N2602" s="430" t="str">
        <f t="shared" si="197"/>
        <v/>
      </c>
      <c r="O2602" s="362"/>
    </row>
    <row r="2603" spans="1:15" ht="15.75" customHeight="1">
      <c r="A2603" s="395"/>
      <c r="B2603" s="399"/>
      <c r="C2603" s="1127" t="s">
        <v>1202</v>
      </c>
      <c r="D2603" s="965"/>
      <c r="E2603" s="965"/>
      <c r="F2603" s="965"/>
      <c r="G2603" s="965"/>
      <c r="H2603" s="965"/>
      <c r="I2603" s="965"/>
      <c r="J2603" s="965"/>
      <c r="K2603" s="965"/>
      <c r="L2603" s="965"/>
      <c r="M2603" s="966"/>
      <c r="N2603" s="433">
        <f>+SUM(N2598:N2602)</f>
        <v>0</v>
      </c>
      <c r="O2603" s="362"/>
    </row>
    <row r="2604" spans="1:15" ht="15.75" customHeight="1">
      <c r="A2604" s="395"/>
      <c r="B2604" s="399"/>
      <c r="C2604" s="1129" t="s">
        <v>1214</v>
      </c>
      <c r="D2604" s="926"/>
      <c r="E2604" s="926"/>
      <c r="F2604" s="926"/>
      <c r="G2604" s="926"/>
      <c r="H2604" s="926"/>
      <c r="I2604" s="926"/>
      <c r="J2604" s="926"/>
      <c r="K2604" s="926"/>
      <c r="L2604" s="926"/>
      <c r="M2604" s="926"/>
      <c r="N2604" s="927"/>
      <c r="O2604" s="362"/>
    </row>
    <row r="2605" spans="1:15" ht="15.75" customHeight="1">
      <c r="A2605" s="395"/>
      <c r="B2605" s="399"/>
      <c r="C2605" s="920"/>
      <c r="D2605" s="922"/>
      <c r="E2605" s="922"/>
      <c r="F2605" s="922"/>
      <c r="G2605" s="922"/>
      <c r="H2605" s="922"/>
      <c r="I2605" s="922"/>
      <c r="J2605" s="922"/>
      <c r="K2605" s="922"/>
      <c r="L2605" s="922"/>
      <c r="M2605" s="922"/>
      <c r="N2605" s="924"/>
      <c r="O2605" s="362"/>
    </row>
    <row r="2606" spans="1:15" ht="15.75" customHeight="1">
      <c r="A2606" s="395"/>
      <c r="B2606" s="399"/>
      <c r="C2606" s="929"/>
      <c r="D2606" s="936"/>
      <c r="E2606" s="936"/>
      <c r="F2606" s="936"/>
      <c r="G2606" s="936"/>
      <c r="H2606" s="936"/>
      <c r="I2606" s="936"/>
      <c r="J2606" s="936"/>
      <c r="K2606" s="936"/>
      <c r="L2606" s="936"/>
      <c r="M2606" s="936"/>
      <c r="N2606" s="938"/>
      <c r="O2606" s="362"/>
    </row>
    <row r="2607" spans="1:15" ht="15.75" customHeight="1">
      <c r="A2607" s="395"/>
      <c r="B2607" s="399"/>
      <c r="C2607" s="1201" t="s">
        <v>1215</v>
      </c>
      <c r="D2607" s="1131"/>
      <c r="E2607" s="1131"/>
      <c r="F2607" s="1131"/>
      <c r="G2607" s="1131"/>
      <c r="H2607" s="1000"/>
      <c r="I2607" s="670" t="s">
        <v>1216</v>
      </c>
      <c r="J2607" s="676" t="s">
        <v>1217</v>
      </c>
      <c r="K2607" s="677" t="s">
        <v>1218</v>
      </c>
      <c r="L2607" s="1206" t="s">
        <v>1199</v>
      </c>
      <c r="M2607" s="1000"/>
      <c r="N2607" s="678" t="s">
        <v>1200</v>
      </c>
      <c r="O2607" s="362"/>
    </row>
    <row r="2608" spans="1:15" ht="15.75" customHeight="1">
      <c r="A2608" s="395" t="str">
        <f t="array" ref="A2608">IF(C2608&lt;&gt;0,INDEX(CodMO,MATCH(C2608,MO,0),),)</f>
        <v>M.O-05</v>
      </c>
      <c r="B2608" s="399"/>
      <c r="C2608" s="1128" t="s">
        <v>139</v>
      </c>
      <c r="D2608" s="940"/>
      <c r="E2608" s="940"/>
      <c r="F2608" s="940"/>
      <c r="G2608" s="940"/>
      <c r="H2608" s="940"/>
      <c r="I2608" s="447">
        <f>IF($A2608&gt;0,(VLOOKUP($A2608,TablaMO,8,FALSE)),"")</f>
        <v>125030.16666666667</v>
      </c>
      <c r="J2608" s="448">
        <f>IF($A2608&gt;0,(VLOOKUP($A2608,TablaMO,10,FALSE)),"")</f>
        <v>0.67071666666666663</v>
      </c>
      <c r="K2608" s="447">
        <f>IF($A2608&gt;0,(VLOOKUP($A2608,TablaMO,11,FALSE)),"")</f>
        <v>208890</v>
      </c>
      <c r="L2608" s="1146">
        <v>27.399474878807339</v>
      </c>
      <c r="M2608" s="941"/>
      <c r="N2608" s="430">
        <f t="shared" ref="N2608:N2612" si="198">IF(L2608&gt;0,K2608/L2608,"")</f>
        <v>7623.8687392352203</v>
      </c>
      <c r="O2608" s="362"/>
    </row>
    <row r="2609" spans="1:18" ht="15.75" customHeight="1">
      <c r="A2609" s="395" t="str">
        <f t="array" ref="A2609">IF(C2609&lt;&gt;0,INDEX(CodMO,MATCH(C2609,MO,0),),)</f>
        <v>M.O-01</v>
      </c>
      <c r="B2609" s="399"/>
      <c r="C2609" s="1128" t="s">
        <v>130</v>
      </c>
      <c r="D2609" s="940"/>
      <c r="E2609" s="940"/>
      <c r="F2609" s="940"/>
      <c r="G2609" s="940"/>
      <c r="H2609" s="940"/>
      <c r="I2609" s="447">
        <f>IF($A2609&gt;0,(VLOOKUP($A2609,TablaMO,8,FALSE)),"")</f>
        <v>72503.016666666677</v>
      </c>
      <c r="J2609" s="448">
        <f>IF($A2609&gt;0,(VLOOKUP($A2609,TablaMO,10,FALSE)),"")</f>
        <v>0.67071666666666663</v>
      </c>
      <c r="K2609" s="447">
        <f>IF($A2609&gt;0,(VLOOKUP($A2609,TablaMO,11,FALSE)),"")</f>
        <v>121132</v>
      </c>
      <c r="L2609" s="1146">
        <f>L2608</f>
        <v>27.399474878807339</v>
      </c>
      <c r="M2609" s="941"/>
      <c r="N2609" s="430">
        <f t="shared" si="198"/>
        <v>4420.9606401505134</v>
      </c>
      <c r="O2609" s="362"/>
    </row>
    <row r="2610" spans="1:18" ht="15.75" customHeight="1">
      <c r="A2610" s="395">
        <f t="array" ref="A2610">IF(C2610&lt;&gt;0,INDEX(CodMO,MATCH(C2610,MO,0),),)</f>
        <v>0</v>
      </c>
      <c r="B2610" s="399"/>
      <c r="C2610" s="1128"/>
      <c r="D2610" s="940"/>
      <c r="E2610" s="940"/>
      <c r="F2610" s="940"/>
      <c r="G2610" s="940"/>
      <c r="H2610" s="940"/>
      <c r="I2610" s="447" t="str">
        <f>IF($A2610&gt;0,(VLOOKUP($A2610,TablaMO,8,FALSE)),"")</f>
        <v/>
      </c>
      <c r="J2610" s="448" t="str">
        <f>IF($A2610&gt;0,(VLOOKUP($A2610,TablaMO,10,FALSE)),"")</f>
        <v/>
      </c>
      <c r="K2610" s="447" t="str">
        <f>IF($A2610&gt;0,(VLOOKUP($A2610,TablaMO,11,FALSE)),"")</f>
        <v/>
      </c>
      <c r="L2610" s="1146"/>
      <c r="M2610" s="941"/>
      <c r="N2610" s="430" t="str">
        <f t="shared" si="198"/>
        <v/>
      </c>
      <c r="O2610" s="362"/>
    </row>
    <row r="2611" spans="1:18" ht="15.75" customHeight="1">
      <c r="A2611" s="395">
        <f t="array" ref="A2611">IF(C2611&lt;&gt;0,INDEX(CodMO,MATCH(C2611,MO,0),),)</f>
        <v>0</v>
      </c>
      <c r="B2611" s="399"/>
      <c r="C2611" s="1128"/>
      <c r="D2611" s="940"/>
      <c r="E2611" s="940"/>
      <c r="F2611" s="940"/>
      <c r="G2611" s="940"/>
      <c r="H2611" s="940"/>
      <c r="I2611" s="447" t="str">
        <f>IF($A2611&gt;0,(VLOOKUP($A2611,TablaMO,8,FALSE)),"")</f>
        <v/>
      </c>
      <c r="J2611" s="448" t="str">
        <f>IF($A2611&gt;0,(VLOOKUP($A2611,TablaMO,10,FALSE)),"")</f>
        <v/>
      </c>
      <c r="K2611" s="447" t="str">
        <f>IF($A2611&gt;0,(VLOOKUP($A2611,TablaMO,11,FALSE)),"")</f>
        <v/>
      </c>
      <c r="L2611" s="1146"/>
      <c r="M2611" s="941"/>
      <c r="N2611" s="430" t="str">
        <f t="shared" si="198"/>
        <v/>
      </c>
      <c r="O2611" s="362"/>
    </row>
    <row r="2612" spans="1:18" ht="15.75" customHeight="1">
      <c r="A2612" s="395">
        <f t="array" ref="A2612">IF(C2612&lt;&gt;0,INDEX(CodMO,MATCH(C2612,MO,0),),)</f>
        <v>0</v>
      </c>
      <c r="B2612" s="399"/>
      <c r="C2612" s="1128"/>
      <c r="D2612" s="940"/>
      <c r="E2612" s="940"/>
      <c r="F2612" s="940"/>
      <c r="G2612" s="940"/>
      <c r="H2612" s="940"/>
      <c r="I2612" s="447" t="str">
        <f>IF($A2612&gt;0,(VLOOKUP($A2612,TablaMO,8,FALSE)),"")</f>
        <v/>
      </c>
      <c r="J2612" s="448" t="str">
        <f>IF($A2612&gt;0,(VLOOKUP($A2612,TablaMO,10,FALSE)),"")</f>
        <v/>
      </c>
      <c r="K2612" s="447" t="str">
        <f>IF($A2612&gt;0,(VLOOKUP($A2612,TablaMO,11,FALSE)),"")</f>
        <v/>
      </c>
      <c r="L2612" s="1146"/>
      <c r="M2612" s="941"/>
      <c r="N2612" s="430" t="str">
        <f t="shared" si="198"/>
        <v/>
      </c>
      <c r="O2612" s="362"/>
    </row>
    <row r="2613" spans="1:18" ht="15.75" customHeight="1">
      <c r="A2613" s="395"/>
      <c r="B2613" s="399"/>
      <c r="C2613" s="1127" t="s">
        <v>1202</v>
      </c>
      <c r="D2613" s="965"/>
      <c r="E2613" s="965"/>
      <c r="F2613" s="965"/>
      <c r="G2613" s="965"/>
      <c r="H2613" s="965"/>
      <c r="I2613" s="965"/>
      <c r="J2613" s="965"/>
      <c r="K2613" s="965"/>
      <c r="L2613" s="965"/>
      <c r="M2613" s="966"/>
      <c r="N2613" s="433">
        <f>+SUM(N2608:N2612)</f>
        <v>12044.829379385734</v>
      </c>
      <c r="O2613" s="362"/>
    </row>
    <row r="2614" spans="1:18" ht="15.75" customHeight="1">
      <c r="B2614" s="679"/>
      <c r="O2614" s="362"/>
    </row>
    <row r="2615" spans="1:18" ht="15.75" customHeight="1">
      <c r="B2615" s="679"/>
      <c r="C2615" s="1198" t="s">
        <v>1219</v>
      </c>
      <c r="D2615" s="965"/>
      <c r="E2615" s="965"/>
      <c r="F2615" s="965"/>
      <c r="G2615" s="965"/>
      <c r="H2615" s="965"/>
      <c r="I2615" s="965"/>
      <c r="J2615" s="965"/>
      <c r="K2615" s="965"/>
      <c r="L2615" s="965"/>
      <c r="M2615" s="966"/>
      <c r="N2615" s="680">
        <f>ROUND(SUM(N2613,N2603,N2593,N2577),0)</f>
        <v>44971</v>
      </c>
      <c r="O2615" s="362"/>
      <c r="Q2615" s="681">
        <f>VLOOKUP(C2566,PROPUESTASASERCO,8,FALSE)</f>
        <v>44971</v>
      </c>
      <c r="R2615" s="682">
        <f>Q2615-N2615</f>
        <v>0</v>
      </c>
    </row>
    <row r="2616" spans="1:18" ht="15.75" customHeight="1">
      <c r="B2616" s="679"/>
      <c r="C2616" s="1129" t="s">
        <v>1220</v>
      </c>
      <c r="D2616" s="926"/>
      <c r="E2616" s="926"/>
      <c r="F2616" s="926"/>
      <c r="G2616" s="926"/>
      <c r="H2616" s="926"/>
      <c r="I2616" s="926"/>
      <c r="J2616" s="926"/>
      <c r="K2616" s="926"/>
      <c r="L2616" s="926"/>
      <c r="M2616" s="926"/>
      <c r="N2616" s="927"/>
      <c r="O2616" s="362"/>
    </row>
    <row r="2617" spans="1:18" ht="15.75" customHeight="1">
      <c r="B2617" s="679"/>
      <c r="C2617" s="920"/>
      <c r="D2617" s="922"/>
      <c r="E2617" s="922"/>
      <c r="F2617" s="922"/>
      <c r="G2617" s="922"/>
      <c r="H2617" s="922"/>
      <c r="I2617" s="922"/>
      <c r="J2617" s="922"/>
      <c r="K2617" s="922"/>
      <c r="L2617" s="922"/>
      <c r="M2617" s="922"/>
      <c r="N2617" s="924"/>
      <c r="O2617" s="362"/>
    </row>
    <row r="2618" spans="1:18" ht="15.75" customHeight="1">
      <c r="B2618" s="679"/>
      <c r="C2618" s="929"/>
      <c r="D2618" s="936"/>
      <c r="E2618" s="936"/>
      <c r="F2618" s="936"/>
      <c r="G2618" s="936"/>
      <c r="H2618" s="936"/>
      <c r="I2618" s="936"/>
      <c r="J2618" s="936"/>
      <c r="K2618" s="936"/>
      <c r="L2618" s="936"/>
      <c r="M2618" s="936"/>
      <c r="N2618" s="938"/>
      <c r="O2618" s="362"/>
    </row>
    <row r="2619" spans="1:18" ht="15.75" customHeight="1">
      <c r="B2619" s="679"/>
      <c r="C2619" s="1201" t="s">
        <v>1221</v>
      </c>
      <c r="D2619" s="1131"/>
      <c r="E2619" s="1131"/>
      <c r="F2619" s="1131"/>
      <c r="G2619" s="1131"/>
      <c r="H2619" s="1132"/>
      <c r="I2619" s="674"/>
      <c r="J2619" s="674"/>
      <c r="K2619" s="674"/>
      <c r="L2619" s="1206" t="s">
        <v>1222</v>
      </c>
      <c r="M2619" s="1000"/>
      <c r="N2619" s="678" t="s">
        <v>1223</v>
      </c>
      <c r="O2619" s="362"/>
    </row>
    <row r="2620" spans="1:18" ht="15.75" customHeight="1">
      <c r="B2620" s="679"/>
      <c r="C2620" s="1128" t="s">
        <v>19</v>
      </c>
      <c r="D2620" s="940"/>
      <c r="E2620" s="940"/>
      <c r="F2620" s="940"/>
      <c r="G2620" s="940"/>
      <c r="H2620" s="940"/>
      <c r="I2620" s="452"/>
      <c r="J2620" s="452"/>
      <c r="K2620" s="452"/>
      <c r="L2620" s="1148">
        <f>+Datos!$E$18</f>
        <v>0.25</v>
      </c>
      <c r="M2620" s="941"/>
      <c r="N2620" s="430">
        <f>+L2620*N2615</f>
        <v>11242.75</v>
      </c>
      <c r="O2620" s="362"/>
    </row>
    <row r="2621" spans="1:18" ht="15.75" customHeight="1">
      <c r="B2621" s="679"/>
      <c r="C2621" s="454" t="s">
        <v>20</v>
      </c>
      <c r="D2621" s="455"/>
      <c r="E2621" s="455"/>
      <c r="F2621" s="455"/>
      <c r="G2621" s="455"/>
      <c r="H2621" s="455"/>
      <c r="I2621" s="452"/>
      <c r="J2621" s="452"/>
      <c r="K2621" s="452"/>
      <c r="L2621" s="1148">
        <f>+Datos!$E$19</f>
        <v>0.01</v>
      </c>
      <c r="M2621" s="941"/>
      <c r="N2621" s="430">
        <f>+L2621*N2615</f>
        <v>449.71000000000004</v>
      </c>
      <c r="O2621" s="362"/>
    </row>
    <row r="2622" spans="1:18" ht="15.75" customHeight="1">
      <c r="B2622" s="679"/>
      <c r="C2622" s="456" t="s">
        <v>21</v>
      </c>
      <c r="D2622" s="457"/>
      <c r="E2622" s="457"/>
      <c r="F2622" s="457"/>
      <c r="G2622" s="457"/>
      <c r="H2622" s="457"/>
      <c r="I2622" s="458"/>
      <c r="J2622" s="458"/>
      <c r="K2622" s="458"/>
      <c r="L2622" s="1148">
        <f>+Datos!$E$20</f>
        <v>0.05</v>
      </c>
      <c r="M2622" s="941"/>
      <c r="N2622" s="430">
        <f>+L2622*N2615</f>
        <v>2248.5500000000002</v>
      </c>
      <c r="O2622" s="362"/>
    </row>
    <row r="2623" spans="1:18" ht="15.75" customHeight="1">
      <c r="B2623" s="679"/>
      <c r="C2623" s="1127" t="s">
        <v>1202</v>
      </c>
      <c r="D2623" s="965"/>
      <c r="E2623" s="965"/>
      <c r="F2623" s="965"/>
      <c r="G2623" s="965"/>
      <c r="H2623" s="965"/>
      <c r="I2623" s="965"/>
      <c r="J2623" s="965"/>
      <c r="K2623" s="965"/>
      <c r="L2623" s="965"/>
      <c r="M2623" s="966"/>
      <c r="N2623" s="433">
        <f>+SUM(N2620:N2622)</f>
        <v>13941.009999999998</v>
      </c>
      <c r="O2623" s="362"/>
    </row>
    <row r="2624" spans="1:18" ht="15.75" customHeight="1">
      <c r="B2624" s="679"/>
      <c r="C2624" s="418"/>
      <c r="D2624" s="39"/>
      <c r="E2624" s="39"/>
      <c r="F2624" s="39"/>
      <c r="G2624" s="39"/>
      <c r="H2624" s="39"/>
      <c r="I2624" s="39"/>
      <c r="J2624" s="39"/>
      <c r="K2624" s="39"/>
      <c r="L2624" s="39"/>
      <c r="M2624" s="39"/>
      <c r="N2624" s="40"/>
      <c r="O2624" s="362"/>
    </row>
    <row r="2625" spans="1:15" ht="15.75" customHeight="1">
      <c r="B2625" s="679"/>
      <c r="C2625" s="1198" t="s">
        <v>1224</v>
      </c>
      <c r="D2625" s="965"/>
      <c r="E2625" s="965"/>
      <c r="F2625" s="965"/>
      <c r="G2625" s="965"/>
      <c r="H2625" s="965"/>
      <c r="I2625" s="965"/>
      <c r="J2625" s="965"/>
      <c r="K2625" s="965"/>
      <c r="L2625" s="965"/>
      <c r="M2625" s="966"/>
      <c r="N2625" s="683">
        <f>+ROUND(SUM(N2623,N2615),0)</f>
        <v>58912</v>
      </c>
      <c r="O2625" s="362"/>
    </row>
    <row r="2626" spans="1:15" ht="15.75" customHeight="1">
      <c r="B2626" s="679"/>
      <c r="C2626" s="418"/>
      <c r="D2626" s="39" t="s">
        <v>1225</v>
      </c>
      <c r="E2626" s="39"/>
      <c r="F2626" s="39"/>
      <c r="G2626" s="184"/>
      <c r="H2626" s="184"/>
      <c r="I2626" s="184"/>
      <c r="J2626" s="39" t="s">
        <v>1225</v>
      </c>
      <c r="K2626" s="39"/>
      <c r="L2626" s="39"/>
      <c r="M2626" s="39"/>
      <c r="N2626" s="40"/>
      <c r="O2626" s="362"/>
    </row>
    <row r="2627" spans="1:15" ht="15.75" customHeight="1">
      <c r="B2627" s="679"/>
      <c r="C2627" s="418"/>
      <c r="D2627" s="39" t="s">
        <v>1226</v>
      </c>
      <c r="E2627" s="39"/>
      <c r="F2627" s="39"/>
      <c r="G2627" s="184"/>
      <c r="H2627" s="184"/>
      <c r="I2627" s="184"/>
      <c r="J2627" s="39" t="s">
        <v>1227</v>
      </c>
      <c r="K2627" s="39"/>
      <c r="L2627" s="39"/>
      <c r="M2627" s="39"/>
      <c r="N2627" s="40"/>
      <c r="O2627" s="362"/>
    </row>
    <row r="2628" spans="1:15" ht="15.75" customHeight="1">
      <c r="B2628" s="679"/>
      <c r="C2628" s="404"/>
      <c r="D2628" s="39" t="s">
        <v>1228</v>
      </c>
      <c r="E2628" s="42"/>
      <c r="F2628" s="42"/>
      <c r="G2628" s="184"/>
      <c r="H2628" s="184"/>
      <c r="I2628" s="184"/>
      <c r="J2628" s="39" t="s">
        <v>1228</v>
      </c>
      <c r="K2628" s="42"/>
      <c r="L2628" s="42"/>
      <c r="M2628" s="42"/>
      <c r="N2628" s="43"/>
      <c r="O2628" s="362"/>
    </row>
    <row r="2629" spans="1:15" ht="15.75" customHeight="1">
      <c r="B2629" s="679"/>
      <c r="C2629" s="418"/>
      <c r="D2629" s="39"/>
      <c r="E2629" s="39"/>
      <c r="F2629" s="39"/>
      <c r="G2629" s="39" t="s">
        <v>1229</v>
      </c>
      <c r="H2629" s="39"/>
      <c r="I2629" s="39"/>
      <c r="J2629" s="39"/>
      <c r="K2629" s="39"/>
      <c r="L2629" s="39"/>
      <c r="M2629" s="39"/>
      <c r="N2629" s="40"/>
      <c r="O2629" s="362"/>
    </row>
    <row r="2630" spans="1:15" ht="15.75" customHeight="1">
      <c r="B2630" s="679"/>
      <c r="C2630" s="466"/>
      <c r="D2630" s="467"/>
      <c r="E2630" s="467"/>
      <c r="F2630" s="39"/>
      <c r="G2630" s="39"/>
      <c r="H2630" s="39"/>
      <c r="I2630" s="39"/>
      <c r="J2630" s="1149"/>
      <c r="K2630" s="922"/>
      <c r="L2630" s="922"/>
      <c r="M2630" s="922"/>
      <c r="N2630" s="924"/>
      <c r="O2630" s="362"/>
    </row>
    <row r="2631" spans="1:15" ht="15.75" customHeight="1">
      <c r="B2631" s="679"/>
      <c r="C2631" s="1150"/>
      <c r="D2631" s="936"/>
      <c r="E2631" s="936"/>
      <c r="F2631" s="416"/>
      <c r="G2631" s="416"/>
      <c r="H2631" s="416"/>
      <c r="I2631" s="416"/>
      <c r="J2631" s="936"/>
      <c r="K2631" s="936"/>
      <c r="L2631" s="936"/>
      <c r="M2631" s="936"/>
      <c r="N2631" s="938"/>
      <c r="O2631" s="362"/>
    </row>
    <row r="2632" spans="1:15" ht="15.75" customHeight="1">
      <c r="B2632" s="684"/>
      <c r="C2632" s="685"/>
      <c r="D2632" s="685"/>
      <c r="E2632" s="685"/>
      <c r="F2632" s="685"/>
      <c r="G2632" s="685"/>
      <c r="H2632" s="685"/>
      <c r="I2632" s="685"/>
      <c r="J2632" s="685"/>
      <c r="K2632" s="685"/>
      <c r="L2632" s="685"/>
      <c r="M2632" s="685"/>
      <c r="N2632" s="685"/>
      <c r="O2632" s="686"/>
    </row>
    <row r="2633" spans="1:15" ht="15.75" customHeight="1"/>
    <row r="2634" spans="1:15" ht="15.75" customHeight="1"/>
    <row r="2635" spans="1:15" ht="15.75" customHeight="1"/>
    <row r="2636" spans="1:15" ht="15.75" customHeight="1"/>
    <row r="2637" spans="1:15" ht="15.75" customHeight="1">
      <c r="A2637" s="395" t="s">
        <v>941</v>
      </c>
      <c r="B2637" s="184"/>
      <c r="C2637" s="184"/>
      <c r="D2637" s="184"/>
      <c r="E2637" s="184"/>
      <c r="F2637" s="184"/>
      <c r="G2637" s="184"/>
      <c r="H2637" s="184"/>
      <c r="I2637" s="184"/>
      <c r="J2637" s="184"/>
      <c r="K2637" s="184"/>
      <c r="L2637" s="184"/>
      <c r="M2637" s="184"/>
      <c r="N2637" s="184"/>
    </row>
    <row r="2638" spans="1:15" ht="15.75" customHeight="1">
      <c r="A2638" s="395"/>
      <c r="B2638" s="396"/>
      <c r="C2638" s="397"/>
      <c r="D2638" s="397"/>
      <c r="E2638" s="397"/>
      <c r="F2638" s="397"/>
      <c r="G2638" s="397"/>
      <c r="H2638" s="397"/>
      <c r="I2638" s="397"/>
      <c r="J2638" s="397"/>
      <c r="K2638" s="397"/>
      <c r="L2638" s="397"/>
      <c r="M2638" s="397"/>
      <c r="N2638" s="397"/>
      <c r="O2638" s="667"/>
    </row>
    <row r="2639" spans="1:15" ht="15.75" customHeight="1">
      <c r="A2639" s="395"/>
      <c r="B2639" s="399"/>
      <c r="C2639" s="1124"/>
      <c r="D2639" s="927"/>
      <c r="E2639" s="1207" t="str">
        <f>Datos!$C$9</f>
        <v>CONSEJO SUPERIOR  DE  JUDICATURA– DIRECCIÓN  EJECUTIVA  SECCIONAL  DE ADMINISTRACIÓN JUDICIAL DE BUCARAMANGA</v>
      </c>
      <c r="F2639" s="926"/>
      <c r="G2639" s="926"/>
      <c r="H2639" s="926"/>
      <c r="I2639" s="926"/>
      <c r="J2639" s="926"/>
      <c r="K2639" s="927"/>
      <c r="L2639" s="925" t="s">
        <v>1</v>
      </c>
      <c r="M2639" s="931"/>
      <c r="N2639" s="933">
        <v>1</v>
      </c>
      <c r="O2639" s="362"/>
    </row>
    <row r="2640" spans="1:15" ht="15.75" customHeight="1">
      <c r="A2640" s="395"/>
      <c r="B2640" s="399"/>
      <c r="C2640" s="920"/>
      <c r="D2640" s="924"/>
      <c r="E2640" s="920"/>
      <c r="F2640" s="922"/>
      <c r="G2640" s="922"/>
      <c r="H2640" s="922"/>
      <c r="I2640" s="922"/>
      <c r="J2640" s="922"/>
      <c r="K2640" s="924"/>
      <c r="L2640" s="920"/>
      <c r="M2640" s="932"/>
      <c r="N2640" s="934"/>
      <c r="O2640" s="362"/>
    </row>
    <row r="2641" spans="1:15" ht="15.75" customHeight="1">
      <c r="A2641" s="395"/>
      <c r="B2641" s="399"/>
      <c r="C2641" s="920"/>
      <c r="D2641" s="924"/>
      <c r="E2641" s="919" t="str">
        <f>Datos!$C$13</f>
        <v xml:space="preserve">BGA - 030 - 2026 </v>
      </c>
      <c r="F2641" s="922"/>
      <c r="G2641" s="922"/>
      <c r="H2641" s="922"/>
      <c r="I2641" s="922"/>
      <c r="J2641" s="922"/>
      <c r="K2641" s="922"/>
      <c r="L2641" s="925" t="s">
        <v>29</v>
      </c>
      <c r="M2641" s="926"/>
      <c r="N2641" s="927"/>
      <c r="O2641" s="362"/>
    </row>
    <row r="2642" spans="1:15" ht="15.75" customHeight="1">
      <c r="A2642" s="395"/>
      <c r="B2642" s="399"/>
      <c r="C2642" s="920"/>
      <c r="D2642" s="924"/>
      <c r="E264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642" s="922"/>
      <c r="G2642" s="922"/>
      <c r="H2642" s="922"/>
      <c r="I2642" s="922"/>
      <c r="J2642" s="922"/>
      <c r="K2642" s="924"/>
      <c r="L2642" s="919">
        <v>1</v>
      </c>
      <c r="M2642" s="921" t="s">
        <v>30</v>
      </c>
      <c r="N2642" s="923">
        <v>1</v>
      </c>
      <c r="O2642" s="362"/>
    </row>
    <row r="2643" spans="1:15" ht="15.75" customHeight="1">
      <c r="A2643" s="395"/>
      <c r="B2643" s="399"/>
      <c r="C2643" s="920"/>
      <c r="D2643" s="924"/>
      <c r="E2643" s="920"/>
      <c r="F2643" s="922"/>
      <c r="G2643" s="922"/>
      <c r="H2643" s="922"/>
      <c r="I2643" s="922"/>
      <c r="J2643" s="922"/>
      <c r="K2643" s="924"/>
      <c r="L2643" s="920"/>
      <c r="M2643" s="922"/>
      <c r="N2643" s="924"/>
      <c r="O2643" s="362"/>
    </row>
    <row r="2644" spans="1:15" ht="15.75" customHeight="1">
      <c r="A2644" s="395"/>
      <c r="B2644" s="399"/>
      <c r="C2644" s="920"/>
      <c r="D2644" s="924"/>
      <c r="E2644" s="920"/>
      <c r="F2644" s="922"/>
      <c r="G2644" s="922"/>
      <c r="H2644" s="922"/>
      <c r="I2644" s="922"/>
      <c r="J2644" s="922"/>
      <c r="K2644" s="924"/>
      <c r="L2644" s="925" t="s">
        <v>2</v>
      </c>
      <c r="M2644" s="926"/>
      <c r="N2644" s="927"/>
      <c r="O2644" s="362"/>
    </row>
    <row r="2645" spans="1:15" ht="15.75" customHeight="1">
      <c r="A2645" s="395"/>
      <c r="B2645" s="399"/>
      <c r="C2645" s="920"/>
      <c r="D2645" s="924"/>
      <c r="E2645" s="407"/>
      <c r="F2645" s="216"/>
      <c r="G2645" s="216"/>
      <c r="H2645" s="216"/>
      <c r="I2645" s="216"/>
      <c r="J2645" s="216"/>
      <c r="K2645" s="216"/>
      <c r="L2645" s="408" t="s">
        <v>3</v>
      </c>
      <c r="M2645" s="409" t="s">
        <v>4</v>
      </c>
      <c r="N2645" s="410" t="s">
        <v>5</v>
      </c>
      <c r="O2645" s="362"/>
    </row>
    <row r="2646" spans="1:15" ht="15.75" customHeight="1">
      <c r="A2646" s="395"/>
      <c r="B2646" s="399"/>
      <c r="C2646" s="920"/>
      <c r="D2646" s="924"/>
      <c r="E2646" s="1125" t="s">
        <v>1186</v>
      </c>
      <c r="F2646" s="945"/>
      <c r="G2646" s="945"/>
      <c r="H2646" s="945"/>
      <c r="I2646" s="945"/>
      <c r="J2646" s="945"/>
      <c r="K2646" s="945"/>
      <c r="L2646" s="928">
        <f>Datos!$C$7</f>
        <v>19</v>
      </c>
      <c r="M2646" s="935">
        <f>Datos!$D$7</f>
        <v>6</v>
      </c>
      <c r="N2646" s="937">
        <f>Datos!$E$7</f>
        <v>2026</v>
      </c>
      <c r="O2646" s="362"/>
    </row>
    <row r="2647" spans="1:15" ht="15.75" customHeight="1">
      <c r="A2647" s="395"/>
      <c r="B2647" s="399"/>
      <c r="C2647" s="929"/>
      <c r="D2647" s="938"/>
      <c r="E2647" s="929"/>
      <c r="F2647" s="936"/>
      <c r="G2647" s="936"/>
      <c r="H2647" s="936"/>
      <c r="I2647" s="936"/>
      <c r="J2647" s="936"/>
      <c r="K2647" s="936"/>
      <c r="L2647" s="929"/>
      <c r="M2647" s="936"/>
      <c r="N2647" s="938"/>
      <c r="O2647" s="362"/>
    </row>
    <row r="2648" spans="1:15" ht="15.75" customHeight="1">
      <c r="A2648" s="395"/>
      <c r="B2648" s="399"/>
      <c r="C2648" s="404"/>
      <c r="D2648" s="38"/>
      <c r="E2648" s="38"/>
      <c r="F2648" s="38"/>
      <c r="G2648" s="38"/>
      <c r="H2648" s="38"/>
      <c r="I2648" s="38"/>
      <c r="J2648" s="38"/>
      <c r="K2648" s="38"/>
      <c r="L2648" s="39"/>
      <c r="M2648" s="39"/>
      <c r="N2648" s="40"/>
      <c r="O2648" s="362"/>
    </row>
    <row r="2649" spans="1:15" ht="15.75" customHeight="1">
      <c r="A2649" s="395"/>
      <c r="B2649" s="399"/>
      <c r="C2649" s="412" t="s">
        <v>1187</v>
      </c>
      <c r="D2649" s="1199" t="str">
        <f>VLOOKUP(C2654,ListaAct,2,0)</f>
        <v>OBRA CIVIL</v>
      </c>
      <c r="E2649" s="922"/>
      <c r="F2649" s="922"/>
      <c r="G2649" s="922"/>
      <c r="H2649" s="922"/>
      <c r="I2649" s="922"/>
      <c r="J2649" s="922"/>
      <c r="K2649" s="922"/>
      <c r="L2649" s="922"/>
      <c r="M2649" s="1"/>
      <c r="N2649" s="413"/>
      <c r="O2649" s="362"/>
    </row>
    <row r="2650" spans="1:15" ht="15.75" customHeight="1">
      <c r="A2650" s="395"/>
      <c r="B2650" s="399"/>
      <c r="C2650" s="412" t="s">
        <v>1189</v>
      </c>
      <c r="D2650" s="1199" t="str">
        <f>VLOOKUP(C2654,ListaAct,3,0)</f>
        <v>ACABADOS</v>
      </c>
      <c r="E2650" s="922"/>
      <c r="F2650" s="922"/>
      <c r="G2650" s="922"/>
      <c r="H2650" s="922"/>
      <c r="I2650" s="922"/>
      <c r="J2650" s="922"/>
      <c r="K2650" s="922"/>
      <c r="L2650" s="922"/>
      <c r="M2650" s="1"/>
      <c r="N2650" s="413"/>
      <c r="O2650" s="362"/>
    </row>
    <row r="2651" spans="1:15" ht="15.75" customHeight="1">
      <c r="A2651" s="395"/>
      <c r="B2651" s="399"/>
      <c r="C2651" s="925" t="s">
        <v>1191</v>
      </c>
      <c r="D2651" s="926"/>
      <c r="E2651" s="926"/>
      <c r="F2651" s="926"/>
      <c r="G2651" s="926"/>
      <c r="H2651" s="926"/>
      <c r="I2651" s="926"/>
      <c r="J2651" s="926"/>
      <c r="K2651" s="926"/>
      <c r="L2651" s="926"/>
      <c r="M2651" s="926"/>
      <c r="N2651" s="927"/>
      <c r="O2651" s="362"/>
    </row>
    <row r="2652" spans="1:15" ht="15.75" customHeight="1">
      <c r="A2652" s="395"/>
      <c r="B2652" s="399"/>
      <c r="C2652" s="418"/>
      <c r="D2652" s="39"/>
      <c r="E2652" s="39"/>
      <c r="F2652" s="39"/>
      <c r="G2652" s="39"/>
      <c r="H2652" s="39"/>
      <c r="I2652" s="39"/>
      <c r="J2652" s="39"/>
      <c r="K2652" s="39"/>
      <c r="L2652" s="39"/>
      <c r="M2652" s="39"/>
      <c r="N2652" s="40"/>
      <c r="O2652" s="362"/>
    </row>
    <row r="2653" spans="1:15" ht="15.75" customHeight="1">
      <c r="A2653" s="395"/>
      <c r="B2653" s="399"/>
      <c r="C2653" s="668" t="s">
        <v>965</v>
      </c>
      <c r="D2653" s="1200" t="s">
        <v>17</v>
      </c>
      <c r="E2653" s="1131"/>
      <c r="F2653" s="1131"/>
      <c r="G2653" s="1131"/>
      <c r="H2653" s="1131"/>
      <c r="I2653" s="1131"/>
      <c r="J2653" s="1131"/>
      <c r="K2653" s="1137"/>
      <c r="L2653" s="1201" t="s">
        <v>1192</v>
      </c>
      <c r="M2653" s="1137"/>
      <c r="N2653" s="668" t="s">
        <v>950</v>
      </c>
      <c r="O2653" s="362"/>
    </row>
    <row r="2654" spans="1:15" ht="15.75" customHeight="1">
      <c r="A2654" s="395"/>
      <c r="B2654" s="421"/>
      <c r="C2654" s="669" t="s">
        <v>1084</v>
      </c>
      <c r="D2654" s="1202" t="str">
        <f>IF($C2654&gt;0,(VLOOKUP($C2654,ListaAct,4,FALSE)),"")</f>
        <v xml:space="preserve"> Pintura vinilo tipo 1 a 3 manos muros no tradicionales </v>
      </c>
      <c r="E2654" s="979"/>
      <c r="F2654" s="979"/>
      <c r="G2654" s="979"/>
      <c r="H2654" s="979"/>
      <c r="I2654" s="979"/>
      <c r="J2654" s="979"/>
      <c r="K2654" s="980"/>
      <c r="L2654" s="1203" t="str">
        <f>IF($C2654&gt;0,(VLOOKUP($C2654,ListaAct,5,FALSE)),"")</f>
        <v>m2</v>
      </c>
      <c r="M2654" s="980"/>
      <c r="N2654" s="423">
        <f>IF($C2654&gt;0,(VLOOKUP($C2654,ListaAct,6,FALSE)),"")</f>
        <v>157.57</v>
      </c>
      <c r="O2654" s="362"/>
    </row>
    <row r="2655" spans="1:15" ht="15.75" customHeight="1">
      <c r="A2655" s="395"/>
      <c r="B2655" s="399"/>
      <c r="C2655" s="1129" t="s">
        <v>1195</v>
      </c>
      <c r="D2655" s="926"/>
      <c r="E2655" s="926"/>
      <c r="F2655" s="926"/>
      <c r="G2655" s="926"/>
      <c r="H2655" s="926"/>
      <c r="I2655" s="926"/>
      <c r="J2655" s="926"/>
      <c r="K2655" s="926"/>
      <c r="L2655" s="926"/>
      <c r="M2655" s="926"/>
      <c r="N2655" s="927"/>
      <c r="O2655" s="362"/>
    </row>
    <row r="2656" spans="1:15" ht="15.75" customHeight="1">
      <c r="A2656" s="395"/>
      <c r="B2656" s="399"/>
      <c r="C2656" s="920"/>
      <c r="D2656" s="922"/>
      <c r="E2656" s="922"/>
      <c r="F2656" s="922"/>
      <c r="G2656" s="922"/>
      <c r="H2656" s="922"/>
      <c r="I2656" s="922"/>
      <c r="J2656" s="922"/>
      <c r="K2656" s="922"/>
      <c r="L2656" s="922"/>
      <c r="M2656" s="922"/>
      <c r="N2656" s="924"/>
      <c r="O2656" s="362"/>
    </row>
    <row r="2657" spans="1:15" ht="15.75" customHeight="1">
      <c r="A2657" s="395"/>
      <c r="B2657" s="399"/>
      <c r="C2657" s="929"/>
      <c r="D2657" s="936"/>
      <c r="E2657" s="936"/>
      <c r="F2657" s="936"/>
      <c r="G2657" s="936"/>
      <c r="H2657" s="936"/>
      <c r="I2657" s="936"/>
      <c r="J2657" s="936"/>
      <c r="K2657" s="936"/>
      <c r="L2657" s="936"/>
      <c r="M2657" s="936"/>
      <c r="N2657" s="938"/>
      <c r="O2657" s="362"/>
    </row>
    <row r="2658" spans="1:15" ht="15.75" customHeight="1">
      <c r="A2658" s="395"/>
      <c r="B2658" s="399"/>
      <c r="C2658" s="1201" t="s">
        <v>17</v>
      </c>
      <c r="D2658" s="1131"/>
      <c r="E2658" s="1131"/>
      <c r="F2658" s="1000"/>
      <c r="G2658" s="1204" t="s">
        <v>1196</v>
      </c>
      <c r="H2658" s="1000"/>
      <c r="I2658" s="1204" t="s">
        <v>1197</v>
      </c>
      <c r="J2658" s="1000"/>
      <c r="K2658" s="670" t="s">
        <v>1213</v>
      </c>
      <c r="L2658" s="1204" t="s">
        <v>1199</v>
      </c>
      <c r="M2658" s="1000"/>
      <c r="N2658" s="671" t="s">
        <v>1200</v>
      </c>
      <c r="O2658" s="362"/>
    </row>
    <row r="2659" spans="1:15" ht="15.75" customHeight="1">
      <c r="A2659" s="395"/>
      <c r="B2659" s="399"/>
      <c r="C2659" s="1128" t="s">
        <v>1201</v>
      </c>
      <c r="D2659" s="940"/>
      <c r="E2659" s="940"/>
      <c r="F2659" s="941"/>
      <c r="G2659" s="1142"/>
      <c r="H2659" s="941"/>
      <c r="I2659" s="1142"/>
      <c r="J2659" s="941"/>
      <c r="K2659" s="429"/>
      <c r="L2659" s="1143">
        <v>0.06</v>
      </c>
      <c r="M2659" s="941"/>
      <c r="N2659" s="430">
        <f>+L2659*N2698</f>
        <v>267.00126649737416</v>
      </c>
      <c r="O2659" s="362"/>
    </row>
    <row r="2660" spans="1:15" ht="15.75" customHeight="1">
      <c r="A2660" s="395" t="str">
        <f t="array" ref="A2660">IF(C2660&lt;&gt;0,INDEX(CodEquipos,MATCH(C2660,Equipos,0),),)</f>
        <v>EQ-18</v>
      </c>
      <c r="B2660" s="399"/>
      <c r="C2660" s="1128" t="s">
        <v>2510</v>
      </c>
      <c r="D2660" s="940"/>
      <c r="E2660" s="940"/>
      <c r="F2660" s="941"/>
      <c r="G2660" s="1142"/>
      <c r="H2660" s="941"/>
      <c r="I2660" s="1142"/>
      <c r="J2660" s="941"/>
      <c r="K2660" s="432">
        <f>IF($A2660&gt;0,(VLOOKUP($A2660,TablaEquipos,7,FALSE)),"")</f>
        <v>195499.99999999997</v>
      </c>
      <c r="L2660" s="1146">
        <v>0.05</v>
      </c>
      <c r="M2660" s="941"/>
      <c r="N2660" s="430">
        <f>IF(L2660&gt;0,K2660*L2660,"")</f>
        <v>9774.9999999999982</v>
      </c>
      <c r="O2660" s="362"/>
    </row>
    <row r="2661" spans="1:15" ht="15.75" customHeight="1">
      <c r="A2661" s="395">
        <f t="array" ref="A2661">IF(C2661&lt;&gt;0,INDEX(CodEquipos,MATCH(C2661,Equipos,0),),)</f>
        <v>0</v>
      </c>
      <c r="B2661" s="399"/>
      <c r="C2661" s="1128"/>
      <c r="D2661" s="940"/>
      <c r="E2661" s="940"/>
      <c r="F2661" s="941"/>
      <c r="G2661" s="1142"/>
      <c r="H2661" s="941"/>
      <c r="I2661" s="1142"/>
      <c r="J2661" s="941"/>
      <c r="K2661" s="432" t="str">
        <f>IF($A2661&gt;0,(VLOOKUP($A2661,TablaEquipos,7,FALSE)),"")</f>
        <v/>
      </c>
      <c r="L2661" s="1146"/>
      <c r="M2661" s="941"/>
      <c r="N2661" s="430" t="str">
        <f t="shared" ref="N2661:N2664" si="199">IF(L2661&gt;0,K2661/L2661,"")</f>
        <v/>
      </c>
      <c r="O2661" s="362"/>
    </row>
    <row r="2662" spans="1:15" ht="15.75" customHeight="1">
      <c r="A2662" s="395">
        <f t="array" ref="A2662">IF(C2662&lt;&gt;0,INDEX(CodEquipos,MATCH(C2662,Equipos,0),),)</f>
        <v>0</v>
      </c>
      <c r="B2662" s="399"/>
      <c r="C2662" s="1128"/>
      <c r="D2662" s="940"/>
      <c r="E2662" s="940"/>
      <c r="F2662" s="941"/>
      <c r="G2662" s="1142"/>
      <c r="H2662" s="941"/>
      <c r="I2662" s="1142"/>
      <c r="J2662" s="941"/>
      <c r="K2662" s="432" t="str">
        <f>IF($A2662&gt;0,(VLOOKUP($A2662,TablaEquipos,7,FALSE)),"")</f>
        <v/>
      </c>
      <c r="L2662" s="1146"/>
      <c r="M2662" s="941"/>
      <c r="N2662" s="430" t="str">
        <f t="shared" si="199"/>
        <v/>
      </c>
      <c r="O2662" s="362"/>
    </row>
    <row r="2663" spans="1:15" ht="15.75" customHeight="1">
      <c r="A2663" s="395">
        <f t="array" ref="A2663">IF(C2663&lt;&gt;0,INDEX(CodEquipos,MATCH(C2663,Equipos,0),),)</f>
        <v>0</v>
      </c>
      <c r="B2663" s="399"/>
      <c r="C2663" s="1128"/>
      <c r="D2663" s="940"/>
      <c r="E2663" s="940"/>
      <c r="F2663" s="941"/>
      <c r="G2663" s="1142"/>
      <c r="H2663" s="941"/>
      <c r="I2663" s="1142"/>
      <c r="J2663" s="941"/>
      <c r="K2663" s="432" t="str">
        <f>IF($A2663&gt;0,(VLOOKUP($A2663,TablaEquipos,7,FALSE)),"")</f>
        <v/>
      </c>
      <c r="L2663" s="1141"/>
      <c r="M2663" s="941"/>
      <c r="N2663" s="430" t="str">
        <f t="shared" si="199"/>
        <v/>
      </c>
      <c r="O2663" s="362"/>
    </row>
    <row r="2664" spans="1:15" ht="15.75" customHeight="1">
      <c r="A2664" s="395">
        <f t="array" ref="A2664">IF(C2664&lt;&gt;0,INDEX(CodEquipos,MATCH(C2664,Equipos,0),),)</f>
        <v>0</v>
      </c>
      <c r="B2664" s="399"/>
      <c r="C2664" s="1128"/>
      <c r="D2664" s="940"/>
      <c r="E2664" s="940"/>
      <c r="F2664" s="941"/>
      <c r="G2664" s="1144"/>
      <c r="H2664" s="1145"/>
      <c r="I2664" s="1144"/>
      <c r="J2664" s="1145"/>
      <c r="K2664" s="432" t="str">
        <f>IF($A2664&gt;0,(VLOOKUP($A2664,TablaEquipos,7,FALSE)),"")</f>
        <v/>
      </c>
      <c r="L2664" s="1208"/>
      <c r="M2664" s="1145"/>
      <c r="N2664" s="430" t="str">
        <f t="shared" si="199"/>
        <v/>
      </c>
      <c r="O2664" s="362"/>
    </row>
    <row r="2665" spans="1:15" ht="15.75" customHeight="1">
      <c r="A2665" s="395"/>
      <c r="B2665" s="399"/>
      <c r="C2665" s="1127" t="s">
        <v>1202</v>
      </c>
      <c r="D2665" s="965"/>
      <c r="E2665" s="965"/>
      <c r="F2665" s="965"/>
      <c r="G2665" s="965"/>
      <c r="H2665" s="965"/>
      <c r="I2665" s="965"/>
      <c r="J2665" s="965"/>
      <c r="K2665" s="965"/>
      <c r="L2665" s="965"/>
      <c r="M2665" s="966"/>
      <c r="N2665" s="433">
        <f>+SUM(N2659:N2664)</f>
        <v>10042.001266497373</v>
      </c>
      <c r="O2665" s="362"/>
    </row>
    <row r="2666" spans="1:15" ht="15.75" customHeight="1">
      <c r="A2666" s="395"/>
      <c r="B2666" s="399"/>
      <c r="C2666" s="1129" t="s">
        <v>1203</v>
      </c>
      <c r="D2666" s="926"/>
      <c r="E2666" s="926"/>
      <c r="F2666" s="926"/>
      <c r="G2666" s="926"/>
      <c r="H2666" s="926"/>
      <c r="I2666" s="926"/>
      <c r="J2666" s="926"/>
      <c r="K2666" s="926"/>
      <c r="L2666" s="926"/>
      <c r="M2666" s="926"/>
      <c r="N2666" s="927"/>
      <c r="O2666" s="362"/>
    </row>
    <row r="2667" spans="1:15" ht="15.75" customHeight="1">
      <c r="A2667" s="395"/>
      <c r="B2667" s="399"/>
      <c r="C2667" s="920"/>
      <c r="D2667" s="922"/>
      <c r="E2667" s="922"/>
      <c r="F2667" s="922"/>
      <c r="G2667" s="922"/>
      <c r="H2667" s="922"/>
      <c r="I2667" s="922"/>
      <c r="J2667" s="922"/>
      <c r="K2667" s="922"/>
      <c r="L2667" s="922"/>
      <c r="M2667" s="922"/>
      <c r="N2667" s="924"/>
      <c r="O2667" s="362"/>
    </row>
    <row r="2668" spans="1:15" ht="15.75" customHeight="1">
      <c r="A2668" s="395"/>
      <c r="B2668" s="399"/>
      <c r="C2668" s="929"/>
      <c r="D2668" s="936"/>
      <c r="E2668" s="936"/>
      <c r="F2668" s="936"/>
      <c r="G2668" s="936"/>
      <c r="H2668" s="936"/>
      <c r="I2668" s="936"/>
      <c r="J2668" s="936"/>
      <c r="K2668" s="936"/>
      <c r="L2668" s="936"/>
      <c r="M2668" s="936"/>
      <c r="N2668" s="938"/>
      <c r="O2668" s="362"/>
    </row>
    <row r="2669" spans="1:15" ht="15.75" customHeight="1">
      <c r="A2669" s="395"/>
      <c r="B2669" s="399"/>
      <c r="C2669" s="1201" t="s">
        <v>17</v>
      </c>
      <c r="D2669" s="1131"/>
      <c r="E2669" s="1131"/>
      <c r="F2669" s="1131"/>
      <c r="G2669" s="1131"/>
      <c r="H2669" s="1131"/>
      <c r="I2669" s="1000"/>
      <c r="J2669" s="672" t="s">
        <v>1192</v>
      </c>
      <c r="K2669" s="670" t="s">
        <v>950</v>
      </c>
      <c r="L2669" s="1204" t="s">
        <v>1204</v>
      </c>
      <c r="M2669" s="1000"/>
      <c r="N2669" s="671" t="s">
        <v>1200</v>
      </c>
      <c r="O2669" s="362"/>
    </row>
    <row r="2670" spans="1:15" ht="15.75" customHeight="1">
      <c r="A2670" s="395" t="str">
        <f t="array" ref="A2670">IF(C2670&lt;&gt;0,INDEX(CodMat,MATCH(C2670,Materiales,0),),)</f>
        <v>MAT_P-15</v>
      </c>
      <c r="B2670" s="399"/>
      <c r="C2670" s="1128" t="s">
        <v>2571</v>
      </c>
      <c r="D2670" s="940"/>
      <c r="E2670" s="940"/>
      <c r="F2670" s="940"/>
      <c r="G2670" s="940"/>
      <c r="H2670" s="940"/>
      <c r="I2670" s="941"/>
      <c r="J2670" s="435" t="str">
        <f t="shared" ref="J2670:J2677" si="200">IF($A2670&gt;0,(VLOOKUP($A2670,TablaInsumos,5,FALSE)),"")</f>
        <v>GLN</v>
      </c>
      <c r="K2670" s="673">
        <v>0.04</v>
      </c>
      <c r="L2670" s="1134">
        <f t="shared" ref="L2670:L2677" si="201">IF($A2670&gt;0,(VLOOKUP($A2670,TablaInsumos,7,FALSE)),"")</f>
        <v>41285</v>
      </c>
      <c r="M2670" s="941"/>
      <c r="N2670" s="430">
        <f t="shared" ref="N2670:N2677" si="202">IF(K2670&gt;0,L2670*K2670,"")</f>
        <v>1651.4</v>
      </c>
      <c r="O2670" s="362"/>
    </row>
    <row r="2671" spans="1:15" ht="15.75" customHeight="1">
      <c r="A2671" s="395" t="str">
        <f t="array" ref="A2671">IF(C2671&lt;&gt;0,INDEX(CodMat,MATCH(C2671,Materiales,0),),)</f>
        <v>MAT_C-01</v>
      </c>
      <c r="B2671" s="399"/>
      <c r="C2671" s="1128" t="s">
        <v>1205</v>
      </c>
      <c r="D2671" s="940"/>
      <c r="E2671" s="940"/>
      <c r="F2671" s="940"/>
      <c r="G2671" s="940"/>
      <c r="H2671" s="940"/>
      <c r="I2671" s="941"/>
      <c r="J2671" s="435" t="str">
        <f t="shared" si="200"/>
        <v>LT</v>
      </c>
      <c r="K2671" s="673">
        <v>1</v>
      </c>
      <c r="L2671" s="1134">
        <f t="shared" si="201"/>
        <v>46</v>
      </c>
      <c r="M2671" s="941"/>
      <c r="N2671" s="430">
        <f t="shared" si="202"/>
        <v>46</v>
      </c>
      <c r="O2671" s="362"/>
    </row>
    <row r="2672" spans="1:15" ht="15.75" customHeight="1">
      <c r="A2672" s="395" t="str">
        <f t="array" ref="A2672">IF(C2672&lt;&gt;0,INDEX(CodMat,MATCH(C2672,Materiales,0),),)</f>
        <v>MAT_P-21</v>
      </c>
      <c r="B2672" s="399"/>
      <c r="C2672" s="1128" t="s">
        <v>2573</v>
      </c>
      <c r="D2672" s="940"/>
      <c r="E2672" s="940"/>
      <c r="F2672" s="940"/>
      <c r="G2672" s="940"/>
      <c r="H2672" s="940"/>
      <c r="I2672" s="941"/>
      <c r="J2672" s="435" t="str">
        <f t="shared" si="200"/>
        <v>UND</v>
      </c>
      <c r="K2672" s="673">
        <v>0.25</v>
      </c>
      <c r="L2672" s="1134">
        <f t="shared" si="201"/>
        <v>1100</v>
      </c>
      <c r="M2672" s="941"/>
      <c r="N2672" s="430">
        <f t="shared" si="202"/>
        <v>275</v>
      </c>
      <c r="O2672" s="362"/>
    </row>
    <row r="2673" spans="1:15" ht="15.75" customHeight="1">
      <c r="A2673" s="395" t="str">
        <f t="array" ref="A2673">IF(C2673&lt;&gt;0,INDEX(CodMat,MATCH(C2673,Materiales,0),),)</f>
        <v>MAT_P-01</v>
      </c>
      <c r="B2673" s="399"/>
      <c r="C2673" s="1128" t="s">
        <v>2549</v>
      </c>
      <c r="D2673" s="940"/>
      <c r="E2673" s="940"/>
      <c r="F2673" s="940"/>
      <c r="G2673" s="940"/>
      <c r="H2673" s="940"/>
      <c r="I2673" s="941"/>
      <c r="J2673" s="435" t="str">
        <f t="shared" si="200"/>
        <v xml:space="preserve">UND </v>
      </c>
      <c r="K2673" s="673">
        <v>0.1</v>
      </c>
      <c r="L2673" s="1134">
        <f t="shared" si="201"/>
        <v>8900</v>
      </c>
      <c r="M2673" s="941"/>
      <c r="N2673" s="430">
        <f t="shared" si="202"/>
        <v>890</v>
      </c>
      <c r="O2673" s="362"/>
    </row>
    <row r="2674" spans="1:15" ht="15.75" customHeight="1">
      <c r="A2674" s="395" t="str">
        <f t="array" ref="A2674">IF(C2674&lt;&gt;0,INDEX(CodMat,MATCH(C2674,Materiales,0),),)</f>
        <v>MAT_P-17</v>
      </c>
      <c r="B2674" s="399"/>
      <c r="C2674" s="1128" t="s">
        <v>2550</v>
      </c>
      <c r="D2674" s="940"/>
      <c r="E2674" s="940"/>
      <c r="F2674" s="940"/>
      <c r="G2674" s="940"/>
      <c r="H2674" s="940"/>
      <c r="I2674" s="941"/>
      <c r="J2674" s="435" t="str">
        <f t="shared" si="200"/>
        <v xml:space="preserve">UND </v>
      </c>
      <c r="K2674" s="673">
        <v>7.0000000000000007E-2</v>
      </c>
      <c r="L2674" s="1134">
        <f t="shared" si="201"/>
        <v>15900</v>
      </c>
      <c r="M2674" s="941"/>
      <c r="N2674" s="430">
        <f t="shared" si="202"/>
        <v>1113</v>
      </c>
      <c r="O2674" s="362"/>
    </row>
    <row r="2675" spans="1:15" ht="15.75" customHeight="1">
      <c r="A2675" s="395" t="str">
        <f t="array" ref="A2675">IF(C2675&lt;&gt;0,INDEX(CodMat,MATCH(C2675,Materiales,0),),)</f>
        <v>MAT_P-19</v>
      </c>
      <c r="B2675" s="399"/>
      <c r="C2675" s="1128" t="s">
        <v>2551</v>
      </c>
      <c r="D2675" s="940"/>
      <c r="E2675" s="940"/>
      <c r="F2675" s="940"/>
      <c r="G2675" s="940"/>
      <c r="H2675" s="940"/>
      <c r="I2675" s="941"/>
      <c r="J2675" s="435" t="str">
        <f t="shared" si="200"/>
        <v>UND</v>
      </c>
      <c r="K2675" s="673">
        <v>7.0000000000000007E-2</v>
      </c>
      <c r="L2675" s="1134">
        <f t="shared" si="201"/>
        <v>10890</v>
      </c>
      <c r="M2675" s="941"/>
      <c r="N2675" s="430">
        <f t="shared" si="202"/>
        <v>762.30000000000007</v>
      </c>
      <c r="O2675" s="362"/>
    </row>
    <row r="2676" spans="1:15" ht="15.75" customHeight="1">
      <c r="A2676" s="395" t="str">
        <f t="array" ref="A2676">IF(C2676&lt;&gt;0,INDEX(CodMat,MATCH(C2676,Materiales,0),),)</f>
        <v>MAT_P-02</v>
      </c>
      <c r="B2676" s="399"/>
      <c r="C2676" s="1128" t="s">
        <v>2552</v>
      </c>
      <c r="D2676" s="940"/>
      <c r="E2676" s="940"/>
      <c r="F2676" s="940"/>
      <c r="G2676" s="940"/>
      <c r="H2676" s="940"/>
      <c r="I2676" s="941"/>
      <c r="J2676" s="435" t="str">
        <f t="shared" si="200"/>
        <v>UND</v>
      </c>
      <c r="K2676" s="673">
        <v>7.0000000000000007E-2</v>
      </c>
      <c r="L2676" s="1134">
        <f t="shared" si="201"/>
        <v>12700</v>
      </c>
      <c r="M2676" s="941"/>
      <c r="N2676" s="430">
        <f t="shared" si="202"/>
        <v>889.00000000000011</v>
      </c>
      <c r="O2676" s="362"/>
    </row>
    <row r="2677" spans="1:15" ht="15.75" customHeight="1">
      <c r="A2677" s="395">
        <f t="array" ref="A2677">IF(C2677&lt;&gt;0,INDEX(CodMat,MATCH(C2677,Materiales,0),),)</f>
        <v>0</v>
      </c>
      <c r="B2677" s="399"/>
      <c r="C2677" s="1128"/>
      <c r="D2677" s="940"/>
      <c r="E2677" s="940"/>
      <c r="F2677" s="940"/>
      <c r="G2677" s="940"/>
      <c r="H2677" s="940"/>
      <c r="I2677" s="941"/>
      <c r="J2677" s="435" t="str">
        <f t="shared" si="200"/>
        <v/>
      </c>
      <c r="K2677" s="673"/>
      <c r="L2677" s="1205" t="str">
        <f t="shared" si="201"/>
        <v/>
      </c>
      <c r="M2677" s="1145"/>
      <c r="N2677" s="430" t="str">
        <f t="shared" si="202"/>
        <v/>
      </c>
      <c r="O2677" s="362"/>
    </row>
    <row r="2678" spans="1:15" ht="15.75" customHeight="1">
      <c r="A2678" s="395"/>
      <c r="B2678" s="399"/>
      <c r="C2678" s="1127" t="s">
        <v>1202</v>
      </c>
      <c r="D2678" s="965"/>
      <c r="E2678" s="965"/>
      <c r="F2678" s="965"/>
      <c r="G2678" s="965"/>
      <c r="H2678" s="965"/>
      <c r="I2678" s="965"/>
      <c r="J2678" s="965"/>
      <c r="K2678" s="965"/>
      <c r="L2678" s="965"/>
      <c r="M2678" s="966"/>
      <c r="N2678" s="433">
        <f>+SUM(N2670:N2677)</f>
        <v>5626.7</v>
      </c>
      <c r="O2678" s="362"/>
    </row>
    <row r="2679" spans="1:15" ht="15.75" customHeight="1">
      <c r="A2679" s="395"/>
      <c r="B2679" s="399"/>
      <c r="C2679" s="1129" t="s">
        <v>1208</v>
      </c>
      <c r="D2679" s="926"/>
      <c r="E2679" s="926"/>
      <c r="F2679" s="926"/>
      <c r="G2679" s="926"/>
      <c r="H2679" s="926"/>
      <c r="I2679" s="926"/>
      <c r="J2679" s="926"/>
      <c r="K2679" s="926"/>
      <c r="L2679" s="926"/>
      <c r="M2679" s="926"/>
      <c r="N2679" s="927"/>
      <c r="O2679" s="362"/>
    </row>
    <row r="2680" spans="1:15" ht="15.75" customHeight="1">
      <c r="A2680" s="395"/>
      <c r="B2680" s="399"/>
      <c r="C2680" s="920"/>
      <c r="D2680" s="922"/>
      <c r="E2680" s="922"/>
      <c r="F2680" s="922"/>
      <c r="G2680" s="922"/>
      <c r="H2680" s="922"/>
      <c r="I2680" s="922"/>
      <c r="J2680" s="922"/>
      <c r="K2680" s="922"/>
      <c r="L2680" s="922"/>
      <c r="M2680" s="922"/>
      <c r="N2680" s="924"/>
      <c r="O2680" s="362"/>
    </row>
    <row r="2681" spans="1:15" ht="15.75" customHeight="1">
      <c r="A2681" s="395"/>
      <c r="B2681" s="399"/>
      <c r="C2681" s="929"/>
      <c r="D2681" s="936"/>
      <c r="E2681" s="936"/>
      <c r="F2681" s="936"/>
      <c r="G2681" s="936"/>
      <c r="H2681" s="936"/>
      <c r="I2681" s="936"/>
      <c r="J2681" s="936"/>
      <c r="K2681" s="936"/>
      <c r="L2681" s="936"/>
      <c r="M2681" s="936"/>
      <c r="N2681" s="938"/>
      <c r="O2681" s="362"/>
    </row>
    <row r="2682" spans="1:15" ht="15.75" customHeight="1">
      <c r="A2682" s="395"/>
      <c r="B2682" s="399"/>
      <c r="C2682" s="1201" t="s">
        <v>1209</v>
      </c>
      <c r="D2682" s="1131"/>
      <c r="E2682" s="1131"/>
      <c r="F2682" s="1131"/>
      <c r="G2682" s="1131"/>
      <c r="H2682" s="1000"/>
      <c r="I2682" s="670" t="s">
        <v>1210</v>
      </c>
      <c r="J2682" s="674" t="s">
        <v>1211</v>
      </c>
      <c r="K2682" s="675" t="s">
        <v>2318</v>
      </c>
      <c r="L2682" s="1204" t="s">
        <v>1213</v>
      </c>
      <c r="M2682" s="1000"/>
      <c r="N2682" s="671" t="s">
        <v>1200</v>
      </c>
      <c r="O2682" s="362"/>
    </row>
    <row r="2683" spans="1:15" ht="15.75" customHeight="1">
      <c r="A2683" s="395">
        <f t="array" ref="A2683">IF(C2683&lt;&gt;0,INDEX(CodTransporte,MATCH(C2683,Transporte,0),),)</f>
        <v>0</v>
      </c>
      <c r="B2683" s="399"/>
      <c r="C2683" s="1128"/>
      <c r="D2683" s="940"/>
      <c r="E2683" s="940"/>
      <c r="F2683" s="940"/>
      <c r="G2683" s="940"/>
      <c r="H2683" s="940"/>
      <c r="I2683" s="440"/>
      <c r="J2683" s="441" t="str">
        <f>IF($A2683&gt;0,(VLOOKUP($A2683,TablaTransporte,6,FALSE)),"")</f>
        <v/>
      </c>
      <c r="K2683" s="442" t="str">
        <f>IF($A2683&gt;0,(VLOOKUP($A2683,TablaTransporte,5,FALSE)),"")</f>
        <v/>
      </c>
      <c r="L2683" s="1134" t="str">
        <f>IF($A2683&gt;0,(VLOOKUP($A2683,TablaTransporte,7,FALSE)),"")</f>
        <v/>
      </c>
      <c r="M2683" s="941"/>
      <c r="N2683" s="430" t="str">
        <f t="shared" ref="N2683:N2687" si="203">IF(I2683&gt;0,J2683*L2683*I2683,"")</f>
        <v/>
      </c>
      <c r="O2683" s="362"/>
    </row>
    <row r="2684" spans="1:15" ht="15.75" customHeight="1">
      <c r="A2684" s="395">
        <f t="array" ref="A2684">IF(C2684&lt;&gt;0,INDEX(CodTransporte,MATCH(C2684,Transporte,0),),)</f>
        <v>0</v>
      </c>
      <c r="B2684" s="399"/>
      <c r="C2684" s="1128"/>
      <c r="D2684" s="940"/>
      <c r="E2684" s="940"/>
      <c r="F2684" s="940"/>
      <c r="G2684" s="940"/>
      <c r="H2684" s="940"/>
      <c r="I2684" s="440"/>
      <c r="J2684" s="441" t="str">
        <f>IF($A2684&gt;0,(VLOOKUP($A2684,TablaTransporte,6,FALSE)),"")</f>
        <v/>
      </c>
      <c r="K2684" s="442" t="str">
        <f>IF($A2684&gt;0,(VLOOKUP($A2684,TablaTransporte,5,FALSE)),"")</f>
        <v/>
      </c>
      <c r="L2684" s="1134" t="str">
        <f>IF($A2684&gt;0,(VLOOKUP($A2684,TablaTransporte,7,FALSE)),"")</f>
        <v/>
      </c>
      <c r="M2684" s="941"/>
      <c r="N2684" s="430" t="str">
        <f t="shared" si="203"/>
        <v/>
      </c>
      <c r="O2684" s="362"/>
    </row>
    <row r="2685" spans="1:15" ht="15.75" customHeight="1">
      <c r="A2685" s="395">
        <f t="array" ref="A2685">IF(C2685&lt;&gt;0,INDEX(CodTransporte,MATCH(C2685,Transporte,0),),)</f>
        <v>0</v>
      </c>
      <c r="B2685" s="399"/>
      <c r="C2685" s="1128"/>
      <c r="D2685" s="940"/>
      <c r="E2685" s="940"/>
      <c r="F2685" s="940"/>
      <c r="G2685" s="940"/>
      <c r="H2685" s="940"/>
      <c r="I2685" s="440"/>
      <c r="J2685" s="441" t="str">
        <f>IF($A2685&gt;0,(VLOOKUP($A2685,TablaTransporte,6,FALSE)),"")</f>
        <v/>
      </c>
      <c r="K2685" s="442" t="str">
        <f>IF($A2685&gt;0,(VLOOKUP($A2685,TablaTransporte,5,FALSE)),"")</f>
        <v/>
      </c>
      <c r="L2685" s="1134" t="str">
        <f>IF($A2685&gt;0,(VLOOKUP($A2685,TablaTransporte,7,FALSE)),"")</f>
        <v/>
      </c>
      <c r="M2685" s="941"/>
      <c r="N2685" s="430" t="str">
        <f t="shared" si="203"/>
        <v/>
      </c>
      <c r="O2685" s="362"/>
    </row>
    <row r="2686" spans="1:15" ht="15.75" customHeight="1">
      <c r="A2686" s="395">
        <f t="array" ref="A2686">IF(C2686&lt;&gt;0,INDEX(CodTransporte,MATCH(C2686,Transporte,0),),)</f>
        <v>0</v>
      </c>
      <c r="B2686" s="399"/>
      <c r="C2686" s="1128"/>
      <c r="D2686" s="940"/>
      <c r="E2686" s="940"/>
      <c r="F2686" s="940"/>
      <c r="G2686" s="940"/>
      <c r="H2686" s="940"/>
      <c r="I2686" s="440"/>
      <c r="J2686" s="441" t="str">
        <f>IF($A2686&gt;0,(VLOOKUP($A2686,TablaTransporte,6,FALSE)),"")</f>
        <v/>
      </c>
      <c r="K2686" s="442" t="str">
        <f>IF($A2686&gt;0,(VLOOKUP($A2686,TablaTransporte,5,FALSE)),"")</f>
        <v/>
      </c>
      <c r="L2686" s="1134" t="str">
        <f>IF($A2686&gt;0,(VLOOKUP($A2686,TablaTransporte,7,FALSE)),"")</f>
        <v/>
      </c>
      <c r="M2686" s="941"/>
      <c r="N2686" s="430" t="str">
        <f t="shared" si="203"/>
        <v/>
      </c>
      <c r="O2686" s="362"/>
    </row>
    <row r="2687" spans="1:15" ht="15.75" customHeight="1">
      <c r="A2687" s="395">
        <f t="array" ref="A2687">IF(C2687&lt;&gt;0,INDEX(CodTransporte,MATCH(C2687,Transporte,0),),)</f>
        <v>0</v>
      </c>
      <c r="B2687" s="399"/>
      <c r="C2687" s="1128"/>
      <c r="D2687" s="940"/>
      <c r="E2687" s="940"/>
      <c r="F2687" s="940"/>
      <c r="G2687" s="940"/>
      <c r="H2687" s="940"/>
      <c r="I2687" s="440"/>
      <c r="J2687" s="441" t="str">
        <f>IF($A2687&gt;0,(VLOOKUP($A2687,TablaTransporte,6,FALSE)),"")</f>
        <v/>
      </c>
      <c r="K2687" s="442" t="str">
        <f>IF($A2687&gt;0,(VLOOKUP($A2687,TablaTransporte,5,FALSE)),"")</f>
        <v/>
      </c>
      <c r="L2687" s="1205" t="str">
        <f>IF($A2687&gt;0,(VLOOKUP($A2687,TablaTransporte,7,FALSE)),"")</f>
        <v/>
      </c>
      <c r="M2687" s="1145"/>
      <c r="N2687" s="430" t="str">
        <f t="shared" si="203"/>
        <v/>
      </c>
      <c r="O2687" s="362"/>
    </row>
    <row r="2688" spans="1:15" ht="15.75" customHeight="1">
      <c r="A2688" s="395"/>
      <c r="B2688" s="399"/>
      <c r="C2688" s="1127" t="s">
        <v>1202</v>
      </c>
      <c r="D2688" s="965"/>
      <c r="E2688" s="965"/>
      <c r="F2688" s="965"/>
      <c r="G2688" s="965"/>
      <c r="H2688" s="965"/>
      <c r="I2688" s="965"/>
      <c r="J2688" s="965"/>
      <c r="K2688" s="965"/>
      <c r="L2688" s="965"/>
      <c r="M2688" s="966"/>
      <c r="N2688" s="433">
        <f>+SUM(N2683:N2687)</f>
        <v>0</v>
      </c>
      <c r="O2688" s="362"/>
    </row>
    <row r="2689" spans="1:18" ht="15.75" customHeight="1">
      <c r="A2689" s="395"/>
      <c r="B2689" s="399"/>
      <c r="C2689" s="1129" t="s">
        <v>1214</v>
      </c>
      <c r="D2689" s="926"/>
      <c r="E2689" s="926"/>
      <c r="F2689" s="926"/>
      <c r="G2689" s="926"/>
      <c r="H2689" s="926"/>
      <c r="I2689" s="926"/>
      <c r="J2689" s="926"/>
      <c r="K2689" s="926"/>
      <c r="L2689" s="926"/>
      <c r="M2689" s="926"/>
      <c r="N2689" s="927"/>
      <c r="O2689" s="362"/>
    </row>
    <row r="2690" spans="1:18" ht="15.75" customHeight="1">
      <c r="A2690" s="395"/>
      <c r="B2690" s="399"/>
      <c r="C2690" s="920"/>
      <c r="D2690" s="922"/>
      <c r="E2690" s="922"/>
      <c r="F2690" s="922"/>
      <c r="G2690" s="922"/>
      <c r="H2690" s="922"/>
      <c r="I2690" s="922"/>
      <c r="J2690" s="922"/>
      <c r="K2690" s="922"/>
      <c r="L2690" s="922"/>
      <c r="M2690" s="922"/>
      <c r="N2690" s="924"/>
      <c r="O2690" s="362"/>
    </row>
    <row r="2691" spans="1:18" ht="15.75" customHeight="1">
      <c r="A2691" s="395"/>
      <c r="B2691" s="399"/>
      <c r="C2691" s="929"/>
      <c r="D2691" s="936"/>
      <c r="E2691" s="936"/>
      <c r="F2691" s="936"/>
      <c r="G2691" s="936"/>
      <c r="H2691" s="936"/>
      <c r="I2691" s="936"/>
      <c r="J2691" s="936"/>
      <c r="K2691" s="936"/>
      <c r="L2691" s="936"/>
      <c r="M2691" s="936"/>
      <c r="N2691" s="938"/>
      <c r="O2691" s="362"/>
    </row>
    <row r="2692" spans="1:18" ht="15.75" customHeight="1">
      <c r="A2692" s="395"/>
      <c r="B2692" s="399"/>
      <c r="C2692" s="1201" t="s">
        <v>1215</v>
      </c>
      <c r="D2692" s="1131"/>
      <c r="E2692" s="1131"/>
      <c r="F2692" s="1131"/>
      <c r="G2692" s="1131"/>
      <c r="H2692" s="1000"/>
      <c r="I2692" s="670" t="s">
        <v>1216</v>
      </c>
      <c r="J2692" s="676" t="s">
        <v>1217</v>
      </c>
      <c r="K2692" s="677" t="s">
        <v>1218</v>
      </c>
      <c r="L2692" s="1206" t="s">
        <v>1199</v>
      </c>
      <c r="M2692" s="1000"/>
      <c r="N2692" s="678" t="s">
        <v>1200</v>
      </c>
      <c r="O2692" s="362"/>
    </row>
    <row r="2693" spans="1:18" ht="15.75" customHeight="1">
      <c r="A2693" s="395" t="str">
        <f t="array" ref="A2693">IF(C2693&lt;&gt;0,INDEX(CodMO,MATCH(C2693,MO,0),),)</f>
        <v>M.O-05</v>
      </c>
      <c r="B2693" s="399"/>
      <c r="C2693" s="1128" t="s">
        <v>139</v>
      </c>
      <c r="D2693" s="940"/>
      <c r="E2693" s="940"/>
      <c r="F2693" s="940"/>
      <c r="G2693" s="940"/>
      <c r="H2693" s="940"/>
      <c r="I2693" s="447">
        <f>IF($A2693&gt;0,(VLOOKUP($A2693,TablaMO,8,FALSE)),"")</f>
        <v>125030.16666666667</v>
      </c>
      <c r="J2693" s="448">
        <f>IF($A2693&gt;0,(VLOOKUP($A2693,TablaMO,10,FALSE)),"")</f>
        <v>0.67071666666666663</v>
      </c>
      <c r="K2693" s="447">
        <f>IF($A2693&gt;0,(VLOOKUP($A2693,TablaMO,11,FALSE)),"")</f>
        <v>208890</v>
      </c>
      <c r="L2693" s="1146">
        <v>74.16189540881723</v>
      </c>
      <c r="M2693" s="941"/>
      <c r="N2693" s="430">
        <f t="shared" ref="N2693:N2697" si="204">IF(L2693&gt;0,K2693/L2693,"")</f>
        <v>2816.6755831750861</v>
      </c>
      <c r="O2693" s="362"/>
    </row>
    <row r="2694" spans="1:18" ht="15.75" customHeight="1">
      <c r="A2694" s="395" t="str">
        <f t="array" ref="A2694">IF(C2694&lt;&gt;0,INDEX(CodMO,MATCH(C2694,MO,0),),)</f>
        <v>M.O-01</v>
      </c>
      <c r="B2694" s="399"/>
      <c r="C2694" s="1128" t="s">
        <v>130</v>
      </c>
      <c r="D2694" s="940"/>
      <c r="E2694" s="940"/>
      <c r="F2694" s="940"/>
      <c r="G2694" s="940"/>
      <c r="H2694" s="940"/>
      <c r="I2694" s="447">
        <f>IF($A2694&gt;0,(VLOOKUP($A2694,TablaMO,8,FALSE)),"")</f>
        <v>72503.016666666677</v>
      </c>
      <c r="J2694" s="448">
        <f>IF($A2694&gt;0,(VLOOKUP($A2694,TablaMO,10,FALSE)),"")</f>
        <v>0.67071666666666663</v>
      </c>
      <c r="K2694" s="447">
        <f>IF($A2694&gt;0,(VLOOKUP($A2694,TablaMO,11,FALSE)),"")</f>
        <v>121132</v>
      </c>
      <c r="L2694" s="1146">
        <f>L2693</f>
        <v>74.16189540881723</v>
      </c>
      <c r="M2694" s="941"/>
      <c r="N2694" s="430">
        <f t="shared" si="204"/>
        <v>1633.3455251144837</v>
      </c>
      <c r="O2694" s="362"/>
    </row>
    <row r="2695" spans="1:18" ht="15.75" customHeight="1">
      <c r="A2695" s="395">
        <f t="array" ref="A2695">IF(C2695&lt;&gt;0,INDEX(CodMO,MATCH(C2695,MO,0),),)</f>
        <v>0</v>
      </c>
      <c r="B2695" s="399"/>
      <c r="C2695" s="1128"/>
      <c r="D2695" s="940"/>
      <c r="E2695" s="940"/>
      <c r="F2695" s="940"/>
      <c r="G2695" s="940"/>
      <c r="H2695" s="940"/>
      <c r="I2695" s="447" t="str">
        <f>IF($A2695&gt;0,(VLOOKUP($A2695,TablaMO,8,FALSE)),"")</f>
        <v/>
      </c>
      <c r="J2695" s="448" t="str">
        <f>IF($A2695&gt;0,(VLOOKUP($A2695,TablaMO,10,FALSE)),"")</f>
        <v/>
      </c>
      <c r="K2695" s="447" t="str">
        <f>IF($A2695&gt;0,(VLOOKUP($A2695,TablaMO,11,FALSE)),"")</f>
        <v/>
      </c>
      <c r="L2695" s="1146"/>
      <c r="M2695" s="941"/>
      <c r="N2695" s="430" t="str">
        <f t="shared" si="204"/>
        <v/>
      </c>
      <c r="O2695" s="362"/>
    </row>
    <row r="2696" spans="1:18" ht="15.75" customHeight="1">
      <c r="A2696" s="395">
        <f t="array" ref="A2696">IF(C2696&lt;&gt;0,INDEX(CodMO,MATCH(C2696,MO,0),),)</f>
        <v>0</v>
      </c>
      <c r="B2696" s="399"/>
      <c r="C2696" s="1128"/>
      <c r="D2696" s="940"/>
      <c r="E2696" s="940"/>
      <c r="F2696" s="940"/>
      <c r="G2696" s="940"/>
      <c r="H2696" s="940"/>
      <c r="I2696" s="447" t="str">
        <f>IF($A2696&gt;0,(VLOOKUP($A2696,TablaMO,8,FALSE)),"")</f>
        <v/>
      </c>
      <c r="J2696" s="448" t="str">
        <f>IF($A2696&gt;0,(VLOOKUP($A2696,TablaMO,10,FALSE)),"")</f>
        <v/>
      </c>
      <c r="K2696" s="447" t="str">
        <f>IF($A2696&gt;0,(VLOOKUP($A2696,TablaMO,11,FALSE)),"")</f>
        <v/>
      </c>
      <c r="L2696" s="1146"/>
      <c r="M2696" s="941"/>
      <c r="N2696" s="430" t="str">
        <f t="shared" si="204"/>
        <v/>
      </c>
      <c r="O2696" s="362"/>
    </row>
    <row r="2697" spans="1:18" ht="15.75" customHeight="1">
      <c r="A2697" s="395">
        <f t="array" ref="A2697">IF(C2697&lt;&gt;0,INDEX(CodMO,MATCH(C2697,MO,0),),)</f>
        <v>0</v>
      </c>
      <c r="B2697" s="399"/>
      <c r="C2697" s="1128"/>
      <c r="D2697" s="940"/>
      <c r="E2697" s="940"/>
      <c r="F2697" s="940"/>
      <c r="G2697" s="940"/>
      <c r="H2697" s="940"/>
      <c r="I2697" s="447" t="str">
        <f>IF($A2697&gt;0,(VLOOKUP($A2697,TablaMO,8,FALSE)),"")</f>
        <v/>
      </c>
      <c r="J2697" s="448" t="str">
        <f>IF($A2697&gt;0,(VLOOKUP($A2697,TablaMO,10,FALSE)),"")</f>
        <v/>
      </c>
      <c r="K2697" s="447" t="str">
        <f>IF($A2697&gt;0,(VLOOKUP($A2697,TablaMO,11,FALSE)),"")</f>
        <v/>
      </c>
      <c r="L2697" s="1146"/>
      <c r="M2697" s="941"/>
      <c r="N2697" s="430" t="str">
        <f t="shared" si="204"/>
        <v/>
      </c>
      <c r="O2697" s="362"/>
    </row>
    <row r="2698" spans="1:18" ht="15.75" customHeight="1">
      <c r="A2698" s="395"/>
      <c r="B2698" s="399"/>
      <c r="C2698" s="1127" t="s">
        <v>1202</v>
      </c>
      <c r="D2698" s="965"/>
      <c r="E2698" s="965"/>
      <c r="F2698" s="965"/>
      <c r="G2698" s="965"/>
      <c r="H2698" s="965"/>
      <c r="I2698" s="965"/>
      <c r="J2698" s="965"/>
      <c r="K2698" s="965"/>
      <c r="L2698" s="965"/>
      <c r="M2698" s="966"/>
      <c r="N2698" s="433">
        <f>+SUM(N2693:N2697)</f>
        <v>4450.0211082895694</v>
      </c>
      <c r="O2698" s="362"/>
    </row>
    <row r="2699" spans="1:18" ht="15.75" customHeight="1">
      <c r="B2699" s="679"/>
      <c r="O2699" s="362"/>
    </row>
    <row r="2700" spans="1:18" ht="15.75" customHeight="1">
      <c r="B2700" s="679"/>
      <c r="C2700" s="1198" t="s">
        <v>1219</v>
      </c>
      <c r="D2700" s="965"/>
      <c r="E2700" s="965"/>
      <c r="F2700" s="965"/>
      <c r="G2700" s="965"/>
      <c r="H2700" s="965"/>
      <c r="I2700" s="965"/>
      <c r="J2700" s="965"/>
      <c r="K2700" s="965"/>
      <c r="L2700" s="965"/>
      <c r="M2700" s="966"/>
      <c r="N2700" s="680">
        <f>ROUND(SUM(N2698,N2688,N2678,N2665),0)</f>
        <v>20119</v>
      </c>
      <c r="O2700" s="362"/>
      <c r="Q2700" s="681">
        <f>VLOOKUP(C2654,PROPUESTASASERCO,8,FALSE)</f>
        <v>20119</v>
      </c>
      <c r="R2700" s="682">
        <f>Q2700-N2700</f>
        <v>0</v>
      </c>
    </row>
    <row r="2701" spans="1:18" ht="15.75" customHeight="1">
      <c r="B2701" s="679"/>
      <c r="C2701" s="1129" t="s">
        <v>1220</v>
      </c>
      <c r="D2701" s="926"/>
      <c r="E2701" s="926"/>
      <c r="F2701" s="926"/>
      <c r="G2701" s="926"/>
      <c r="H2701" s="926"/>
      <c r="I2701" s="926"/>
      <c r="J2701" s="926"/>
      <c r="K2701" s="926"/>
      <c r="L2701" s="926"/>
      <c r="M2701" s="926"/>
      <c r="N2701" s="927"/>
      <c r="O2701" s="362"/>
    </row>
    <row r="2702" spans="1:18" ht="15.75" customHeight="1">
      <c r="B2702" s="679"/>
      <c r="C2702" s="920"/>
      <c r="D2702" s="922"/>
      <c r="E2702" s="922"/>
      <c r="F2702" s="922"/>
      <c r="G2702" s="922"/>
      <c r="H2702" s="922"/>
      <c r="I2702" s="922"/>
      <c r="J2702" s="922"/>
      <c r="K2702" s="922"/>
      <c r="L2702" s="922"/>
      <c r="M2702" s="922"/>
      <c r="N2702" s="924"/>
      <c r="O2702" s="362"/>
    </row>
    <row r="2703" spans="1:18" ht="15.75" customHeight="1">
      <c r="B2703" s="679"/>
      <c r="C2703" s="929"/>
      <c r="D2703" s="936"/>
      <c r="E2703" s="936"/>
      <c r="F2703" s="936"/>
      <c r="G2703" s="936"/>
      <c r="H2703" s="936"/>
      <c r="I2703" s="936"/>
      <c r="J2703" s="936"/>
      <c r="K2703" s="936"/>
      <c r="L2703" s="936"/>
      <c r="M2703" s="936"/>
      <c r="N2703" s="938"/>
      <c r="O2703" s="362"/>
    </row>
    <row r="2704" spans="1:18" ht="15.75" customHeight="1">
      <c r="B2704" s="679"/>
      <c r="C2704" s="1201" t="s">
        <v>1221</v>
      </c>
      <c r="D2704" s="1131"/>
      <c r="E2704" s="1131"/>
      <c r="F2704" s="1131"/>
      <c r="G2704" s="1131"/>
      <c r="H2704" s="1132"/>
      <c r="I2704" s="674"/>
      <c r="J2704" s="674"/>
      <c r="K2704" s="674"/>
      <c r="L2704" s="1206" t="s">
        <v>1222</v>
      </c>
      <c r="M2704" s="1000"/>
      <c r="N2704" s="678" t="s">
        <v>1223</v>
      </c>
      <c r="O2704" s="362"/>
    </row>
    <row r="2705" spans="2:15" ht="15.75" customHeight="1">
      <c r="B2705" s="679"/>
      <c r="C2705" s="1128" t="s">
        <v>19</v>
      </c>
      <c r="D2705" s="940"/>
      <c r="E2705" s="940"/>
      <c r="F2705" s="940"/>
      <c r="G2705" s="940"/>
      <c r="H2705" s="940"/>
      <c r="I2705" s="452"/>
      <c r="J2705" s="452"/>
      <c r="K2705" s="452"/>
      <c r="L2705" s="1148">
        <f>+Datos!$E$18</f>
        <v>0.25</v>
      </c>
      <c r="M2705" s="941"/>
      <c r="N2705" s="430">
        <f>+L2705*N2700</f>
        <v>5029.75</v>
      </c>
      <c r="O2705" s="362"/>
    </row>
    <row r="2706" spans="2:15" ht="15.75" customHeight="1">
      <c r="B2706" s="679"/>
      <c r="C2706" s="454" t="s">
        <v>20</v>
      </c>
      <c r="D2706" s="455"/>
      <c r="E2706" s="455"/>
      <c r="F2706" s="455"/>
      <c r="G2706" s="455"/>
      <c r="H2706" s="455"/>
      <c r="I2706" s="452"/>
      <c r="J2706" s="452"/>
      <c r="K2706" s="452"/>
      <c r="L2706" s="1148">
        <f>+Datos!$E$19</f>
        <v>0.01</v>
      </c>
      <c r="M2706" s="941"/>
      <c r="N2706" s="430">
        <f>+L2706*N2700</f>
        <v>201.19</v>
      </c>
      <c r="O2706" s="362"/>
    </row>
    <row r="2707" spans="2:15" ht="15.75" customHeight="1">
      <c r="B2707" s="679"/>
      <c r="C2707" s="456" t="s">
        <v>21</v>
      </c>
      <c r="D2707" s="457"/>
      <c r="E2707" s="457"/>
      <c r="F2707" s="457"/>
      <c r="G2707" s="457"/>
      <c r="H2707" s="457"/>
      <c r="I2707" s="458"/>
      <c r="J2707" s="458"/>
      <c r="K2707" s="458"/>
      <c r="L2707" s="1148">
        <f>+Datos!$E$20</f>
        <v>0.05</v>
      </c>
      <c r="M2707" s="941"/>
      <c r="N2707" s="430">
        <f>+L2707*N2700</f>
        <v>1005.95</v>
      </c>
      <c r="O2707" s="362"/>
    </row>
    <row r="2708" spans="2:15" ht="15.75" customHeight="1">
      <c r="B2708" s="679"/>
      <c r="C2708" s="1127" t="s">
        <v>1202</v>
      </c>
      <c r="D2708" s="965"/>
      <c r="E2708" s="965"/>
      <c r="F2708" s="965"/>
      <c r="G2708" s="965"/>
      <c r="H2708" s="965"/>
      <c r="I2708" s="965"/>
      <c r="J2708" s="965"/>
      <c r="K2708" s="965"/>
      <c r="L2708" s="965"/>
      <c r="M2708" s="966"/>
      <c r="N2708" s="433">
        <f>+SUM(N2705:N2707)</f>
        <v>6236.8899999999994</v>
      </c>
      <c r="O2708" s="362"/>
    </row>
    <row r="2709" spans="2:15" ht="15.75" customHeight="1">
      <c r="B2709" s="679"/>
      <c r="C2709" s="418"/>
      <c r="D2709" s="39"/>
      <c r="E2709" s="39"/>
      <c r="F2709" s="39"/>
      <c r="G2709" s="39"/>
      <c r="H2709" s="39"/>
      <c r="I2709" s="39"/>
      <c r="J2709" s="39"/>
      <c r="K2709" s="39"/>
      <c r="L2709" s="39"/>
      <c r="M2709" s="39"/>
      <c r="N2709" s="40"/>
      <c r="O2709" s="362"/>
    </row>
    <row r="2710" spans="2:15" ht="15.75" customHeight="1">
      <c r="B2710" s="679"/>
      <c r="C2710" s="1198" t="s">
        <v>1224</v>
      </c>
      <c r="D2710" s="965"/>
      <c r="E2710" s="965"/>
      <c r="F2710" s="965"/>
      <c r="G2710" s="965"/>
      <c r="H2710" s="965"/>
      <c r="I2710" s="965"/>
      <c r="J2710" s="965"/>
      <c r="K2710" s="965"/>
      <c r="L2710" s="965"/>
      <c r="M2710" s="966"/>
      <c r="N2710" s="683">
        <f>+ROUND(SUM(N2708,N2700),0)</f>
        <v>26356</v>
      </c>
      <c r="O2710" s="362"/>
    </row>
    <row r="2711" spans="2:15" ht="15.75" customHeight="1">
      <c r="B2711" s="679"/>
      <c r="C2711" s="418"/>
      <c r="D2711" s="39" t="s">
        <v>1225</v>
      </c>
      <c r="E2711" s="39"/>
      <c r="F2711" s="39"/>
      <c r="G2711" s="184"/>
      <c r="H2711" s="184"/>
      <c r="I2711" s="184"/>
      <c r="J2711" s="39" t="s">
        <v>1225</v>
      </c>
      <c r="K2711" s="39"/>
      <c r="L2711" s="39"/>
      <c r="M2711" s="39"/>
      <c r="N2711" s="40"/>
      <c r="O2711" s="362"/>
    </row>
    <row r="2712" spans="2:15" ht="15.75" customHeight="1">
      <c r="B2712" s="679"/>
      <c r="C2712" s="418"/>
      <c r="D2712" s="39" t="s">
        <v>1226</v>
      </c>
      <c r="E2712" s="39"/>
      <c r="F2712" s="39"/>
      <c r="G2712" s="184"/>
      <c r="H2712" s="184"/>
      <c r="I2712" s="184"/>
      <c r="J2712" s="39" t="s">
        <v>1227</v>
      </c>
      <c r="K2712" s="39"/>
      <c r="L2712" s="39"/>
      <c r="M2712" s="39"/>
      <c r="N2712" s="40"/>
      <c r="O2712" s="362"/>
    </row>
    <row r="2713" spans="2:15" ht="15.75" customHeight="1">
      <c r="B2713" s="679"/>
      <c r="C2713" s="404"/>
      <c r="D2713" s="39" t="s">
        <v>1228</v>
      </c>
      <c r="E2713" s="42"/>
      <c r="F2713" s="42"/>
      <c r="G2713" s="184"/>
      <c r="H2713" s="184"/>
      <c r="I2713" s="184"/>
      <c r="J2713" s="39" t="s">
        <v>1228</v>
      </c>
      <c r="K2713" s="42"/>
      <c r="L2713" s="42"/>
      <c r="M2713" s="42"/>
      <c r="N2713" s="43"/>
      <c r="O2713" s="362"/>
    </row>
    <row r="2714" spans="2:15" ht="15.75" customHeight="1">
      <c r="B2714" s="679"/>
      <c r="C2714" s="418"/>
      <c r="D2714" s="39"/>
      <c r="E2714" s="39"/>
      <c r="F2714" s="39"/>
      <c r="G2714" s="39" t="s">
        <v>1229</v>
      </c>
      <c r="H2714" s="39"/>
      <c r="I2714" s="39"/>
      <c r="J2714" s="39"/>
      <c r="K2714" s="39"/>
      <c r="L2714" s="39"/>
      <c r="M2714" s="39"/>
      <c r="N2714" s="40"/>
      <c r="O2714" s="362"/>
    </row>
    <row r="2715" spans="2:15" ht="15.75" customHeight="1">
      <c r="B2715" s="679"/>
      <c r="C2715" s="466"/>
      <c r="D2715" s="467"/>
      <c r="E2715" s="467"/>
      <c r="F2715" s="39"/>
      <c r="G2715" s="39"/>
      <c r="H2715" s="39"/>
      <c r="I2715" s="39"/>
      <c r="J2715" s="1149"/>
      <c r="K2715" s="922"/>
      <c r="L2715" s="922"/>
      <c r="M2715" s="922"/>
      <c r="N2715" s="924"/>
      <c r="O2715" s="362"/>
    </row>
    <row r="2716" spans="2:15" ht="15.75" customHeight="1">
      <c r="B2716" s="679"/>
      <c r="C2716" s="1150"/>
      <c r="D2716" s="936"/>
      <c r="E2716" s="936"/>
      <c r="F2716" s="416"/>
      <c r="G2716" s="416"/>
      <c r="H2716" s="416"/>
      <c r="I2716" s="416"/>
      <c r="J2716" s="936"/>
      <c r="K2716" s="936"/>
      <c r="L2716" s="936"/>
      <c r="M2716" s="936"/>
      <c r="N2716" s="938"/>
      <c r="O2716" s="362"/>
    </row>
    <row r="2717" spans="2:15" ht="15.75" customHeight="1">
      <c r="B2717" s="684"/>
      <c r="C2717" s="685"/>
      <c r="D2717" s="685"/>
      <c r="E2717" s="685"/>
      <c r="F2717" s="685"/>
      <c r="G2717" s="685"/>
      <c r="H2717" s="685"/>
      <c r="I2717" s="685"/>
      <c r="J2717" s="685"/>
      <c r="K2717" s="685"/>
      <c r="L2717" s="685"/>
      <c r="M2717" s="685"/>
      <c r="N2717" s="685"/>
      <c r="O2717" s="686"/>
    </row>
    <row r="2718" spans="2:15" ht="15.75" customHeight="1"/>
    <row r="2719" spans="2:15" ht="15.75" customHeight="1"/>
    <row r="2720" spans="2:15" ht="15.75" customHeight="1"/>
    <row r="2721" spans="1:15" ht="15.75" customHeight="1">
      <c r="A2721" s="395" t="s">
        <v>941</v>
      </c>
      <c r="B2721" s="184"/>
      <c r="C2721" s="184"/>
      <c r="D2721" s="184"/>
      <c r="E2721" s="184"/>
      <c r="F2721" s="184"/>
      <c r="G2721" s="184"/>
      <c r="H2721" s="184"/>
      <c r="I2721" s="184"/>
      <c r="J2721" s="184"/>
      <c r="K2721" s="184"/>
      <c r="L2721" s="184"/>
      <c r="M2721" s="184"/>
      <c r="N2721" s="184"/>
    </row>
    <row r="2722" spans="1:15" ht="15.75" customHeight="1">
      <c r="A2722" s="395"/>
      <c r="B2722" s="396"/>
      <c r="C2722" s="397"/>
      <c r="D2722" s="397"/>
      <c r="E2722" s="397"/>
      <c r="F2722" s="397"/>
      <c r="G2722" s="397"/>
      <c r="H2722" s="397"/>
      <c r="I2722" s="397"/>
      <c r="J2722" s="397"/>
      <c r="K2722" s="397"/>
      <c r="L2722" s="397"/>
      <c r="M2722" s="397"/>
      <c r="N2722" s="397"/>
      <c r="O2722" s="667"/>
    </row>
    <row r="2723" spans="1:15" ht="15.75" customHeight="1">
      <c r="A2723" s="395"/>
      <c r="B2723" s="399"/>
      <c r="C2723" s="1124"/>
      <c r="D2723" s="927"/>
      <c r="E2723" s="1207" t="str">
        <f>Datos!$C$9</f>
        <v>CONSEJO SUPERIOR  DE  JUDICATURA– DIRECCIÓN  EJECUTIVA  SECCIONAL  DE ADMINISTRACIÓN JUDICIAL DE BUCARAMANGA</v>
      </c>
      <c r="F2723" s="926"/>
      <c r="G2723" s="926"/>
      <c r="H2723" s="926"/>
      <c r="I2723" s="926"/>
      <c r="J2723" s="926"/>
      <c r="K2723" s="927"/>
      <c r="L2723" s="925" t="s">
        <v>1</v>
      </c>
      <c r="M2723" s="931"/>
      <c r="N2723" s="933">
        <v>1</v>
      </c>
      <c r="O2723" s="362"/>
    </row>
    <row r="2724" spans="1:15" ht="15.75" customHeight="1">
      <c r="A2724" s="395"/>
      <c r="B2724" s="399"/>
      <c r="C2724" s="920"/>
      <c r="D2724" s="924"/>
      <c r="E2724" s="920"/>
      <c r="F2724" s="922"/>
      <c r="G2724" s="922"/>
      <c r="H2724" s="922"/>
      <c r="I2724" s="922"/>
      <c r="J2724" s="922"/>
      <c r="K2724" s="924"/>
      <c r="L2724" s="920"/>
      <c r="M2724" s="932"/>
      <c r="N2724" s="934"/>
      <c r="O2724" s="362"/>
    </row>
    <row r="2725" spans="1:15" ht="15.75" customHeight="1">
      <c r="A2725" s="395"/>
      <c r="B2725" s="399"/>
      <c r="C2725" s="920"/>
      <c r="D2725" s="924"/>
      <c r="E2725" s="919" t="str">
        <f>Datos!$C$13</f>
        <v xml:space="preserve">BGA - 030 - 2026 </v>
      </c>
      <c r="F2725" s="922"/>
      <c r="G2725" s="922"/>
      <c r="H2725" s="922"/>
      <c r="I2725" s="922"/>
      <c r="J2725" s="922"/>
      <c r="K2725" s="922"/>
      <c r="L2725" s="925" t="s">
        <v>29</v>
      </c>
      <c r="M2725" s="926"/>
      <c r="N2725" s="927"/>
      <c r="O2725" s="362"/>
    </row>
    <row r="2726" spans="1:15" ht="15.75" customHeight="1">
      <c r="A2726" s="395"/>
      <c r="B2726" s="399"/>
      <c r="C2726" s="920"/>
      <c r="D2726" s="924"/>
      <c r="E2726"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726" s="922"/>
      <c r="G2726" s="922"/>
      <c r="H2726" s="922"/>
      <c r="I2726" s="922"/>
      <c r="J2726" s="922"/>
      <c r="K2726" s="924"/>
      <c r="L2726" s="919">
        <v>1</v>
      </c>
      <c r="M2726" s="921" t="s">
        <v>30</v>
      </c>
      <c r="N2726" s="923">
        <v>1</v>
      </c>
      <c r="O2726" s="362"/>
    </row>
    <row r="2727" spans="1:15" ht="15.75" customHeight="1">
      <c r="A2727" s="395"/>
      <c r="B2727" s="399"/>
      <c r="C2727" s="920"/>
      <c r="D2727" s="924"/>
      <c r="E2727" s="920"/>
      <c r="F2727" s="922"/>
      <c r="G2727" s="922"/>
      <c r="H2727" s="922"/>
      <c r="I2727" s="922"/>
      <c r="J2727" s="922"/>
      <c r="K2727" s="924"/>
      <c r="L2727" s="920"/>
      <c r="M2727" s="922"/>
      <c r="N2727" s="924"/>
      <c r="O2727" s="362"/>
    </row>
    <row r="2728" spans="1:15" ht="15.75" customHeight="1">
      <c r="A2728" s="395"/>
      <c r="B2728" s="399"/>
      <c r="C2728" s="920"/>
      <c r="D2728" s="924"/>
      <c r="E2728" s="920"/>
      <c r="F2728" s="922"/>
      <c r="G2728" s="922"/>
      <c r="H2728" s="922"/>
      <c r="I2728" s="922"/>
      <c r="J2728" s="922"/>
      <c r="K2728" s="924"/>
      <c r="L2728" s="925" t="s">
        <v>2</v>
      </c>
      <c r="M2728" s="926"/>
      <c r="N2728" s="927"/>
      <c r="O2728" s="362"/>
    </row>
    <row r="2729" spans="1:15" ht="15.75" customHeight="1">
      <c r="A2729" s="395"/>
      <c r="B2729" s="399"/>
      <c r="C2729" s="920"/>
      <c r="D2729" s="924"/>
      <c r="E2729" s="407"/>
      <c r="F2729" s="216"/>
      <c r="G2729" s="216"/>
      <c r="H2729" s="216"/>
      <c r="I2729" s="216"/>
      <c r="J2729" s="216"/>
      <c r="K2729" s="216"/>
      <c r="L2729" s="408" t="s">
        <v>3</v>
      </c>
      <c r="M2729" s="409" t="s">
        <v>4</v>
      </c>
      <c r="N2729" s="410" t="s">
        <v>5</v>
      </c>
      <c r="O2729" s="362"/>
    </row>
    <row r="2730" spans="1:15" ht="15.75" customHeight="1">
      <c r="A2730" s="395"/>
      <c r="B2730" s="399"/>
      <c r="C2730" s="920"/>
      <c r="D2730" s="924"/>
      <c r="E2730" s="1125" t="s">
        <v>1186</v>
      </c>
      <c r="F2730" s="945"/>
      <c r="G2730" s="945"/>
      <c r="H2730" s="945"/>
      <c r="I2730" s="945"/>
      <c r="J2730" s="945"/>
      <c r="K2730" s="945"/>
      <c r="L2730" s="928">
        <f>Datos!$C$7</f>
        <v>19</v>
      </c>
      <c r="M2730" s="935">
        <f>Datos!$D$7</f>
        <v>6</v>
      </c>
      <c r="N2730" s="937">
        <f>Datos!$E$7</f>
        <v>2026</v>
      </c>
      <c r="O2730" s="362"/>
    </row>
    <row r="2731" spans="1:15" ht="15.75" customHeight="1">
      <c r="A2731" s="395"/>
      <c r="B2731" s="399"/>
      <c r="C2731" s="929"/>
      <c r="D2731" s="938"/>
      <c r="E2731" s="929"/>
      <c r="F2731" s="936"/>
      <c r="G2731" s="936"/>
      <c r="H2731" s="936"/>
      <c r="I2731" s="936"/>
      <c r="J2731" s="936"/>
      <c r="K2731" s="936"/>
      <c r="L2731" s="929"/>
      <c r="M2731" s="936"/>
      <c r="N2731" s="938"/>
      <c r="O2731" s="362"/>
    </row>
    <row r="2732" spans="1:15" ht="15.75" customHeight="1">
      <c r="A2732" s="395"/>
      <c r="B2732" s="399"/>
      <c r="C2732" s="404"/>
      <c r="D2732" s="38"/>
      <c r="E2732" s="38"/>
      <c r="F2732" s="38"/>
      <c r="G2732" s="38"/>
      <c r="H2732" s="38"/>
      <c r="I2732" s="38"/>
      <c r="J2732" s="38"/>
      <c r="K2732" s="38"/>
      <c r="L2732" s="39"/>
      <c r="M2732" s="39"/>
      <c r="N2732" s="40"/>
      <c r="O2732" s="362"/>
    </row>
    <row r="2733" spans="1:15" ht="15.75" customHeight="1">
      <c r="A2733" s="395"/>
      <c r="B2733" s="399"/>
      <c r="C2733" s="412" t="s">
        <v>1187</v>
      </c>
      <c r="D2733" s="1199" t="str">
        <f>VLOOKUP(C2738,ListaAct,2,0)</f>
        <v>OBRA CIVIL</v>
      </c>
      <c r="E2733" s="922"/>
      <c r="F2733" s="922"/>
      <c r="G2733" s="922"/>
      <c r="H2733" s="922"/>
      <c r="I2733" s="922"/>
      <c r="J2733" s="922"/>
      <c r="K2733" s="922"/>
      <c r="L2733" s="922"/>
      <c r="M2733" s="1"/>
      <c r="N2733" s="413"/>
      <c r="O2733" s="362"/>
    </row>
    <row r="2734" spans="1:15" ht="15.75" customHeight="1">
      <c r="A2734" s="395"/>
      <c r="B2734" s="399"/>
      <c r="C2734" s="412" t="s">
        <v>1189</v>
      </c>
      <c r="D2734" s="1199" t="str">
        <f>VLOOKUP(C2738,ListaAct,3,0)</f>
        <v>ACABADOS</v>
      </c>
      <c r="E2734" s="922"/>
      <c r="F2734" s="922"/>
      <c r="G2734" s="922"/>
      <c r="H2734" s="922"/>
      <c r="I2734" s="922"/>
      <c r="J2734" s="922"/>
      <c r="K2734" s="922"/>
      <c r="L2734" s="922"/>
      <c r="M2734" s="1"/>
      <c r="N2734" s="413"/>
      <c r="O2734" s="362"/>
    </row>
    <row r="2735" spans="1:15" ht="15.75" customHeight="1">
      <c r="A2735" s="395"/>
      <c r="B2735" s="399"/>
      <c r="C2735" s="925" t="s">
        <v>1191</v>
      </c>
      <c r="D2735" s="926"/>
      <c r="E2735" s="926"/>
      <c r="F2735" s="926"/>
      <c r="G2735" s="926"/>
      <c r="H2735" s="926"/>
      <c r="I2735" s="926"/>
      <c r="J2735" s="926"/>
      <c r="K2735" s="926"/>
      <c r="L2735" s="926"/>
      <c r="M2735" s="926"/>
      <c r="N2735" s="927"/>
      <c r="O2735" s="362"/>
    </row>
    <row r="2736" spans="1:15" ht="15.75" customHeight="1">
      <c r="A2736" s="395"/>
      <c r="B2736" s="399"/>
      <c r="C2736" s="418"/>
      <c r="D2736" s="39"/>
      <c r="E2736" s="39"/>
      <c r="F2736" s="39"/>
      <c r="G2736" s="39"/>
      <c r="H2736" s="39"/>
      <c r="I2736" s="39"/>
      <c r="J2736" s="39"/>
      <c r="K2736" s="39"/>
      <c r="L2736" s="39"/>
      <c r="M2736" s="39"/>
      <c r="N2736" s="40"/>
      <c r="O2736" s="362"/>
    </row>
    <row r="2737" spans="1:15" ht="15.75" customHeight="1">
      <c r="A2737" s="395"/>
      <c r="B2737" s="399"/>
      <c r="C2737" s="668" t="s">
        <v>965</v>
      </c>
      <c r="D2737" s="1200" t="s">
        <v>17</v>
      </c>
      <c r="E2737" s="1131"/>
      <c r="F2737" s="1131"/>
      <c r="G2737" s="1131"/>
      <c r="H2737" s="1131"/>
      <c r="I2737" s="1131"/>
      <c r="J2737" s="1131"/>
      <c r="K2737" s="1137"/>
      <c r="L2737" s="1201" t="s">
        <v>1192</v>
      </c>
      <c r="M2737" s="1137"/>
      <c r="N2737" s="668" t="s">
        <v>950</v>
      </c>
      <c r="O2737" s="362"/>
    </row>
    <row r="2738" spans="1:15" ht="15.75" customHeight="1">
      <c r="A2738" s="395"/>
      <c r="B2738" s="421"/>
      <c r="C2738" s="669" t="s">
        <v>1087</v>
      </c>
      <c r="D2738" s="1202" t="str">
        <f>IF($C2738&gt;0,(VLOOKUP($C2738,ListaAct,4,FALSE)),"")</f>
        <v xml:space="preserve"> Pintura en esmalte color marrón carpinteria metalica interior. </v>
      </c>
      <c r="E2738" s="979"/>
      <c r="F2738" s="979"/>
      <c r="G2738" s="979"/>
      <c r="H2738" s="979"/>
      <c r="I2738" s="979"/>
      <c r="J2738" s="979"/>
      <c r="K2738" s="980"/>
      <c r="L2738" s="1203" t="str">
        <f>IF($C2738&gt;0,(VLOOKUP($C2738,ListaAct,5,FALSE)),"")</f>
        <v>m2</v>
      </c>
      <c r="M2738" s="980"/>
      <c r="N2738" s="423">
        <f>IF($C2738&gt;0,(VLOOKUP($C2738,ListaAct,6,FALSE)),"")</f>
        <v>9.86</v>
      </c>
      <c r="O2738" s="362"/>
    </row>
    <row r="2739" spans="1:15" ht="15.75" customHeight="1">
      <c r="A2739" s="395"/>
      <c r="B2739" s="399"/>
      <c r="C2739" s="1129" t="s">
        <v>1195</v>
      </c>
      <c r="D2739" s="926"/>
      <c r="E2739" s="926"/>
      <c r="F2739" s="926"/>
      <c r="G2739" s="926"/>
      <c r="H2739" s="926"/>
      <c r="I2739" s="926"/>
      <c r="J2739" s="926"/>
      <c r="K2739" s="926"/>
      <c r="L2739" s="926"/>
      <c r="M2739" s="926"/>
      <c r="N2739" s="927"/>
      <c r="O2739" s="362"/>
    </row>
    <row r="2740" spans="1:15" ht="15.75" customHeight="1">
      <c r="A2740" s="395"/>
      <c r="B2740" s="399"/>
      <c r="C2740" s="920"/>
      <c r="D2740" s="922"/>
      <c r="E2740" s="922"/>
      <c r="F2740" s="922"/>
      <c r="G2740" s="922"/>
      <c r="H2740" s="922"/>
      <c r="I2740" s="922"/>
      <c r="J2740" s="922"/>
      <c r="K2740" s="922"/>
      <c r="L2740" s="922"/>
      <c r="M2740" s="922"/>
      <c r="N2740" s="924"/>
      <c r="O2740" s="362"/>
    </row>
    <row r="2741" spans="1:15" ht="15.75" customHeight="1">
      <c r="A2741" s="395"/>
      <c r="B2741" s="399"/>
      <c r="C2741" s="929"/>
      <c r="D2741" s="936"/>
      <c r="E2741" s="936"/>
      <c r="F2741" s="936"/>
      <c r="G2741" s="936"/>
      <c r="H2741" s="936"/>
      <c r="I2741" s="936"/>
      <c r="J2741" s="936"/>
      <c r="K2741" s="936"/>
      <c r="L2741" s="936"/>
      <c r="M2741" s="936"/>
      <c r="N2741" s="938"/>
      <c r="O2741" s="362"/>
    </row>
    <row r="2742" spans="1:15" ht="15.75" customHeight="1">
      <c r="A2742" s="395"/>
      <c r="B2742" s="399"/>
      <c r="C2742" s="1201" t="s">
        <v>17</v>
      </c>
      <c r="D2742" s="1131"/>
      <c r="E2742" s="1131"/>
      <c r="F2742" s="1000"/>
      <c r="G2742" s="1204" t="s">
        <v>1196</v>
      </c>
      <c r="H2742" s="1000"/>
      <c r="I2742" s="1204" t="s">
        <v>1197</v>
      </c>
      <c r="J2742" s="1000"/>
      <c r="K2742" s="670" t="s">
        <v>1213</v>
      </c>
      <c r="L2742" s="1204" t="s">
        <v>1199</v>
      </c>
      <c r="M2742" s="1000"/>
      <c r="N2742" s="671" t="s">
        <v>1200</v>
      </c>
      <c r="O2742" s="362"/>
    </row>
    <row r="2743" spans="1:15" ht="15.75" customHeight="1">
      <c r="A2743" s="395"/>
      <c r="B2743" s="399"/>
      <c r="C2743" s="1128" t="s">
        <v>1201</v>
      </c>
      <c r="D2743" s="940"/>
      <c r="E2743" s="940"/>
      <c r="F2743" s="941"/>
      <c r="G2743" s="1142"/>
      <c r="H2743" s="941"/>
      <c r="I2743" s="1142"/>
      <c r="J2743" s="941"/>
      <c r="K2743" s="429"/>
      <c r="L2743" s="1143">
        <v>0.06</v>
      </c>
      <c r="M2743" s="941"/>
      <c r="N2743" s="430">
        <f>+L2743*N2782</f>
        <v>242.7380206646782</v>
      </c>
      <c r="O2743" s="362"/>
    </row>
    <row r="2744" spans="1:15" ht="15.75" customHeight="1">
      <c r="A2744" s="395" t="str">
        <f t="array" ref="A2744">IF(C2744&lt;&gt;0,INDEX(CodEquipos,MATCH(C2744,Equipos,0),),)</f>
        <v>EQ-18</v>
      </c>
      <c r="B2744" s="399"/>
      <c r="C2744" s="1128" t="s">
        <v>2510</v>
      </c>
      <c r="D2744" s="940"/>
      <c r="E2744" s="940"/>
      <c r="F2744" s="941"/>
      <c r="G2744" s="1142"/>
      <c r="H2744" s="941"/>
      <c r="I2744" s="1142"/>
      <c r="J2744" s="941"/>
      <c r="K2744" s="432">
        <f>IF($A2744&gt;0,(VLOOKUP($A2744,TablaEquipos,7,FALSE)),"")</f>
        <v>195499.99999999997</v>
      </c>
      <c r="L2744" s="1146">
        <v>0.05</v>
      </c>
      <c r="M2744" s="941"/>
      <c r="N2744" s="430">
        <f>IF(L2744&gt;0,K2744*L2744,"")</f>
        <v>9774.9999999999982</v>
      </c>
      <c r="O2744" s="362"/>
    </row>
    <row r="2745" spans="1:15" ht="15.75" customHeight="1">
      <c r="A2745" s="395">
        <f t="array" ref="A2745">IF(C2745&lt;&gt;0,INDEX(CodEquipos,MATCH(C2745,Equipos,0),),)</f>
        <v>0</v>
      </c>
      <c r="B2745" s="399"/>
      <c r="C2745" s="1128"/>
      <c r="D2745" s="940"/>
      <c r="E2745" s="940"/>
      <c r="F2745" s="941"/>
      <c r="G2745" s="1142"/>
      <c r="H2745" s="941"/>
      <c r="I2745" s="1142"/>
      <c r="J2745" s="941"/>
      <c r="K2745" s="432" t="str">
        <f>IF($A2745&gt;0,(VLOOKUP($A2745,TablaEquipos,7,FALSE)),"")</f>
        <v/>
      </c>
      <c r="L2745" s="1146"/>
      <c r="M2745" s="941"/>
      <c r="N2745" s="430" t="str">
        <f t="shared" ref="N2745:N2748" si="205">IF(L2745&gt;0,K2745/L2745,"")</f>
        <v/>
      </c>
      <c r="O2745" s="362"/>
    </row>
    <row r="2746" spans="1:15" ht="15.75" customHeight="1">
      <c r="A2746" s="395">
        <f t="array" ref="A2746">IF(C2746&lt;&gt;0,INDEX(CodEquipos,MATCH(C2746,Equipos,0),),)</f>
        <v>0</v>
      </c>
      <c r="B2746" s="399"/>
      <c r="C2746" s="1128"/>
      <c r="D2746" s="940"/>
      <c r="E2746" s="940"/>
      <c r="F2746" s="941"/>
      <c r="G2746" s="1142"/>
      <c r="H2746" s="941"/>
      <c r="I2746" s="1142"/>
      <c r="J2746" s="941"/>
      <c r="K2746" s="432" t="str">
        <f>IF($A2746&gt;0,(VLOOKUP($A2746,TablaEquipos,7,FALSE)),"")</f>
        <v/>
      </c>
      <c r="L2746" s="1146"/>
      <c r="M2746" s="941"/>
      <c r="N2746" s="430" t="str">
        <f t="shared" si="205"/>
        <v/>
      </c>
      <c r="O2746" s="362"/>
    </row>
    <row r="2747" spans="1:15" ht="15.75" customHeight="1">
      <c r="A2747" s="395">
        <f t="array" ref="A2747">IF(C2747&lt;&gt;0,INDEX(CodEquipos,MATCH(C2747,Equipos,0),),)</f>
        <v>0</v>
      </c>
      <c r="B2747" s="399"/>
      <c r="C2747" s="1128"/>
      <c r="D2747" s="940"/>
      <c r="E2747" s="940"/>
      <c r="F2747" s="941"/>
      <c r="G2747" s="1142"/>
      <c r="H2747" s="941"/>
      <c r="I2747" s="1142"/>
      <c r="J2747" s="941"/>
      <c r="K2747" s="432" t="str">
        <f>IF($A2747&gt;0,(VLOOKUP($A2747,TablaEquipos,7,FALSE)),"")</f>
        <v/>
      </c>
      <c r="L2747" s="1141"/>
      <c r="M2747" s="941"/>
      <c r="N2747" s="430" t="str">
        <f t="shared" si="205"/>
        <v/>
      </c>
      <c r="O2747" s="362"/>
    </row>
    <row r="2748" spans="1:15" ht="15.75" customHeight="1">
      <c r="A2748" s="395">
        <f t="array" ref="A2748">IF(C2748&lt;&gt;0,INDEX(CodEquipos,MATCH(C2748,Equipos,0),),)</f>
        <v>0</v>
      </c>
      <c r="B2748" s="399"/>
      <c r="C2748" s="1128"/>
      <c r="D2748" s="940"/>
      <c r="E2748" s="940"/>
      <c r="F2748" s="941"/>
      <c r="G2748" s="1144"/>
      <c r="H2748" s="1145"/>
      <c r="I2748" s="1144"/>
      <c r="J2748" s="1145"/>
      <c r="K2748" s="432" t="str">
        <f>IF($A2748&gt;0,(VLOOKUP($A2748,TablaEquipos,7,FALSE)),"")</f>
        <v/>
      </c>
      <c r="L2748" s="1208"/>
      <c r="M2748" s="1145"/>
      <c r="N2748" s="430" t="str">
        <f t="shared" si="205"/>
        <v/>
      </c>
      <c r="O2748" s="362"/>
    </row>
    <row r="2749" spans="1:15" ht="15.75" customHeight="1">
      <c r="A2749" s="395"/>
      <c r="B2749" s="399"/>
      <c r="C2749" s="1127" t="s">
        <v>1202</v>
      </c>
      <c r="D2749" s="965"/>
      <c r="E2749" s="965"/>
      <c r="F2749" s="965"/>
      <c r="G2749" s="965"/>
      <c r="H2749" s="965"/>
      <c r="I2749" s="965"/>
      <c r="J2749" s="965"/>
      <c r="K2749" s="965"/>
      <c r="L2749" s="965"/>
      <c r="M2749" s="966"/>
      <c r="N2749" s="433">
        <f>+SUM(N2743:N2748)</f>
        <v>10017.738020664676</v>
      </c>
      <c r="O2749" s="362"/>
    </row>
    <row r="2750" spans="1:15" ht="15.75" customHeight="1">
      <c r="A2750" s="395"/>
      <c r="B2750" s="399"/>
      <c r="C2750" s="1129" t="s">
        <v>1203</v>
      </c>
      <c r="D2750" s="926"/>
      <c r="E2750" s="926"/>
      <c r="F2750" s="926"/>
      <c r="G2750" s="926"/>
      <c r="H2750" s="926"/>
      <c r="I2750" s="926"/>
      <c r="J2750" s="926"/>
      <c r="K2750" s="926"/>
      <c r="L2750" s="926"/>
      <c r="M2750" s="926"/>
      <c r="N2750" s="927"/>
      <c r="O2750" s="362"/>
    </row>
    <row r="2751" spans="1:15" ht="15.75" customHeight="1">
      <c r="A2751" s="395"/>
      <c r="B2751" s="399"/>
      <c r="C2751" s="920"/>
      <c r="D2751" s="922"/>
      <c r="E2751" s="922"/>
      <c r="F2751" s="922"/>
      <c r="G2751" s="922"/>
      <c r="H2751" s="922"/>
      <c r="I2751" s="922"/>
      <c r="J2751" s="922"/>
      <c r="K2751" s="922"/>
      <c r="L2751" s="922"/>
      <c r="M2751" s="922"/>
      <c r="N2751" s="924"/>
      <c r="O2751" s="362"/>
    </row>
    <row r="2752" spans="1:15" ht="15.75" customHeight="1">
      <c r="A2752" s="395"/>
      <c r="B2752" s="399"/>
      <c r="C2752" s="929"/>
      <c r="D2752" s="936"/>
      <c r="E2752" s="936"/>
      <c r="F2752" s="936"/>
      <c r="G2752" s="936"/>
      <c r="H2752" s="936"/>
      <c r="I2752" s="936"/>
      <c r="J2752" s="936"/>
      <c r="K2752" s="936"/>
      <c r="L2752" s="936"/>
      <c r="M2752" s="936"/>
      <c r="N2752" s="938"/>
      <c r="O2752" s="362"/>
    </row>
    <row r="2753" spans="1:15" ht="15.75" customHeight="1">
      <c r="A2753" s="395"/>
      <c r="B2753" s="399"/>
      <c r="C2753" s="1201" t="s">
        <v>17</v>
      </c>
      <c r="D2753" s="1131"/>
      <c r="E2753" s="1131"/>
      <c r="F2753" s="1131"/>
      <c r="G2753" s="1131"/>
      <c r="H2753" s="1131"/>
      <c r="I2753" s="1000"/>
      <c r="J2753" s="672" t="s">
        <v>1192</v>
      </c>
      <c r="K2753" s="670" t="s">
        <v>950</v>
      </c>
      <c r="L2753" s="1204" t="s">
        <v>1204</v>
      </c>
      <c r="M2753" s="1000"/>
      <c r="N2753" s="671" t="s">
        <v>1200</v>
      </c>
      <c r="O2753" s="362"/>
    </row>
    <row r="2754" spans="1:15" ht="15.75" customHeight="1">
      <c r="A2754" s="395" t="str">
        <f t="array" ref="A2754">IF(C2754&lt;&gt;0,INDEX(CodMat,MATCH(C2754,Materiales,0),),)</f>
        <v>MAT_P-22</v>
      </c>
      <c r="B2754" s="399"/>
      <c r="C2754" s="1210" t="s">
        <v>2575</v>
      </c>
      <c r="D2754" s="940"/>
      <c r="E2754" s="940"/>
      <c r="F2754" s="940"/>
      <c r="G2754" s="940"/>
      <c r="H2754" s="940"/>
      <c r="I2754" s="941"/>
      <c r="J2754" s="435" t="str">
        <f t="shared" ref="J2754:J2761" si="206">IF($A2754&gt;0,(VLOOKUP($A2754,TablaInsumos,5,FALSE)),"")</f>
        <v>GLN</v>
      </c>
      <c r="K2754" s="673">
        <v>0.04</v>
      </c>
      <c r="L2754" s="1134">
        <f t="shared" ref="L2754:L2761" si="207">IF($A2754&gt;0,(VLOOKUP($A2754,TablaInsumos,7,FALSE)),"")</f>
        <v>41285</v>
      </c>
      <c r="M2754" s="941"/>
      <c r="N2754" s="430">
        <f t="shared" ref="N2754:N2761" si="208">IF(K2754&gt;0,L2754*K2754,"")</f>
        <v>1651.4</v>
      </c>
      <c r="O2754" s="362"/>
    </row>
    <row r="2755" spans="1:15" ht="15.75" customHeight="1">
      <c r="A2755" s="395" t="str">
        <f t="array" ref="A2755">IF(C2755&lt;&gt;0,INDEX(CodMat,MATCH(C2755,Materiales,0),),)</f>
        <v>MAT_P-03</v>
      </c>
      <c r="B2755" s="399"/>
      <c r="C2755" s="1128" t="s">
        <v>2562</v>
      </c>
      <c r="D2755" s="940"/>
      <c r="E2755" s="940"/>
      <c r="F2755" s="940"/>
      <c r="G2755" s="940"/>
      <c r="H2755" s="940"/>
      <c r="I2755" s="941"/>
      <c r="J2755" s="435" t="str">
        <f t="shared" si="206"/>
        <v>LT</v>
      </c>
      <c r="K2755" s="673">
        <v>0.2</v>
      </c>
      <c r="L2755" s="1134">
        <f t="shared" si="207"/>
        <v>13200</v>
      </c>
      <c r="M2755" s="941"/>
      <c r="N2755" s="430">
        <f t="shared" si="208"/>
        <v>2640</v>
      </c>
      <c r="O2755" s="362"/>
    </row>
    <row r="2756" spans="1:15" ht="15.75" customHeight="1">
      <c r="A2756" s="395" t="str">
        <f t="array" ref="A2756">IF(C2756&lt;&gt;0,INDEX(CodMat,MATCH(C2756,Materiales,0),),)</f>
        <v>MAT_P-23</v>
      </c>
      <c r="B2756" s="399"/>
      <c r="C2756" s="1128" t="s">
        <v>2576</v>
      </c>
      <c r="D2756" s="940"/>
      <c r="E2756" s="940"/>
      <c r="F2756" s="940"/>
      <c r="G2756" s="940"/>
      <c r="H2756" s="940"/>
      <c r="I2756" s="941"/>
      <c r="J2756" s="435" t="str">
        <f t="shared" si="206"/>
        <v>UND</v>
      </c>
      <c r="K2756" s="673">
        <v>0.25</v>
      </c>
      <c r="L2756" s="1134">
        <f t="shared" si="207"/>
        <v>1100</v>
      </c>
      <c r="M2756" s="941"/>
      <c r="N2756" s="430">
        <f t="shared" si="208"/>
        <v>275</v>
      </c>
      <c r="O2756" s="362"/>
    </row>
    <row r="2757" spans="1:15" ht="15.75" customHeight="1">
      <c r="A2757" s="395" t="str">
        <f t="array" ref="A2757">IF(C2757&lt;&gt;0,INDEX(CodMat,MATCH(C2757,Materiales,0),),)</f>
        <v>MAT_P-01</v>
      </c>
      <c r="B2757" s="399"/>
      <c r="C2757" s="1128" t="s">
        <v>2549</v>
      </c>
      <c r="D2757" s="940"/>
      <c r="E2757" s="940"/>
      <c r="F2757" s="940"/>
      <c r="G2757" s="940"/>
      <c r="H2757" s="940"/>
      <c r="I2757" s="941"/>
      <c r="J2757" s="435" t="str">
        <f t="shared" si="206"/>
        <v xml:space="preserve">UND </v>
      </c>
      <c r="K2757" s="673">
        <v>0.1</v>
      </c>
      <c r="L2757" s="1134">
        <f t="shared" si="207"/>
        <v>8900</v>
      </c>
      <c r="M2757" s="941"/>
      <c r="N2757" s="430">
        <f t="shared" si="208"/>
        <v>890</v>
      </c>
      <c r="O2757" s="362"/>
    </row>
    <row r="2758" spans="1:15" ht="15.75" customHeight="1">
      <c r="A2758" s="395" t="str">
        <f t="array" ref="A2758">IF(C2758&lt;&gt;0,INDEX(CodMat,MATCH(C2758,Materiales,0),),)</f>
        <v>MAT_P-17</v>
      </c>
      <c r="B2758" s="399"/>
      <c r="C2758" s="1128" t="s">
        <v>2550</v>
      </c>
      <c r="D2758" s="940"/>
      <c r="E2758" s="940"/>
      <c r="F2758" s="940"/>
      <c r="G2758" s="940"/>
      <c r="H2758" s="940"/>
      <c r="I2758" s="941"/>
      <c r="J2758" s="435" t="str">
        <f t="shared" si="206"/>
        <v xml:space="preserve">UND </v>
      </c>
      <c r="K2758" s="673">
        <v>7.0000000000000007E-2</v>
      </c>
      <c r="L2758" s="1134">
        <f t="shared" si="207"/>
        <v>15900</v>
      </c>
      <c r="M2758" s="941"/>
      <c r="N2758" s="430">
        <f t="shared" si="208"/>
        <v>1113</v>
      </c>
      <c r="O2758" s="362"/>
    </row>
    <row r="2759" spans="1:15" ht="15.75" customHeight="1">
      <c r="A2759" s="395" t="str">
        <f t="array" ref="A2759">IF(C2759&lt;&gt;0,INDEX(CodMat,MATCH(C2759,Materiales,0),),)</f>
        <v>MAT_P-19</v>
      </c>
      <c r="B2759" s="399"/>
      <c r="C2759" s="1211" t="s">
        <v>2551</v>
      </c>
      <c r="D2759" s="940"/>
      <c r="E2759" s="940"/>
      <c r="F2759" s="940"/>
      <c r="G2759" s="940"/>
      <c r="H2759" s="940"/>
      <c r="I2759" s="941"/>
      <c r="J2759" s="435" t="str">
        <f t="shared" si="206"/>
        <v>UND</v>
      </c>
      <c r="K2759" s="673">
        <v>7.0000000000000007E-2</v>
      </c>
      <c r="L2759" s="1134">
        <f t="shared" si="207"/>
        <v>10890</v>
      </c>
      <c r="M2759" s="941"/>
      <c r="N2759" s="430">
        <f t="shared" si="208"/>
        <v>762.30000000000007</v>
      </c>
      <c r="O2759" s="362"/>
    </row>
    <row r="2760" spans="1:15" ht="15.75" customHeight="1">
      <c r="A2760" s="395" t="str">
        <f t="array" ref="A2760">IF(C2760&lt;&gt;0,INDEX(CodMat,MATCH(C2760,Materiales,0),),)</f>
        <v>MAT_P-02</v>
      </c>
      <c r="B2760" s="399"/>
      <c r="C2760" s="1128" t="s">
        <v>2552</v>
      </c>
      <c r="D2760" s="940"/>
      <c r="E2760" s="940"/>
      <c r="F2760" s="940"/>
      <c r="G2760" s="940"/>
      <c r="H2760" s="940"/>
      <c r="I2760" s="941"/>
      <c r="J2760" s="435" t="str">
        <f t="shared" si="206"/>
        <v>UND</v>
      </c>
      <c r="K2760" s="673">
        <v>7.0000000000000007E-2</v>
      </c>
      <c r="L2760" s="1134">
        <f t="shared" si="207"/>
        <v>12700</v>
      </c>
      <c r="M2760" s="941"/>
      <c r="N2760" s="430">
        <f t="shared" si="208"/>
        <v>889.00000000000011</v>
      </c>
      <c r="O2760" s="362"/>
    </row>
    <row r="2761" spans="1:15" ht="15.75" customHeight="1">
      <c r="A2761" s="395">
        <f t="array" ref="A2761">IF(C2761&lt;&gt;0,INDEX(CodMat,MATCH(C2761,Materiales,0),),)</f>
        <v>0</v>
      </c>
      <c r="B2761" s="399"/>
      <c r="C2761" s="1128"/>
      <c r="D2761" s="940"/>
      <c r="E2761" s="940"/>
      <c r="F2761" s="940"/>
      <c r="G2761" s="940"/>
      <c r="H2761" s="940"/>
      <c r="I2761" s="941"/>
      <c r="J2761" s="435" t="str">
        <f t="shared" si="206"/>
        <v/>
      </c>
      <c r="K2761" s="673"/>
      <c r="L2761" s="1205" t="str">
        <f t="shared" si="207"/>
        <v/>
      </c>
      <c r="M2761" s="1145"/>
      <c r="N2761" s="430" t="str">
        <f t="shared" si="208"/>
        <v/>
      </c>
      <c r="O2761" s="362"/>
    </row>
    <row r="2762" spans="1:15" ht="15.75" customHeight="1">
      <c r="A2762" s="395"/>
      <c r="B2762" s="399"/>
      <c r="C2762" s="1127" t="s">
        <v>1202</v>
      </c>
      <c r="D2762" s="965"/>
      <c r="E2762" s="965"/>
      <c r="F2762" s="965"/>
      <c r="G2762" s="965"/>
      <c r="H2762" s="965"/>
      <c r="I2762" s="965"/>
      <c r="J2762" s="965"/>
      <c r="K2762" s="965"/>
      <c r="L2762" s="965"/>
      <c r="M2762" s="966"/>
      <c r="N2762" s="433">
        <f>+SUM(N2754:N2761)</f>
        <v>8220.7000000000007</v>
      </c>
      <c r="O2762" s="362"/>
    </row>
    <row r="2763" spans="1:15" ht="15.75" customHeight="1">
      <c r="A2763" s="395"/>
      <c r="B2763" s="399"/>
      <c r="C2763" s="1129" t="s">
        <v>1208</v>
      </c>
      <c r="D2763" s="926"/>
      <c r="E2763" s="926"/>
      <c r="F2763" s="926"/>
      <c r="G2763" s="926"/>
      <c r="H2763" s="926"/>
      <c r="I2763" s="926"/>
      <c r="J2763" s="926"/>
      <c r="K2763" s="926"/>
      <c r="L2763" s="926"/>
      <c r="M2763" s="926"/>
      <c r="N2763" s="927"/>
      <c r="O2763" s="362"/>
    </row>
    <row r="2764" spans="1:15" ht="15.75" customHeight="1">
      <c r="A2764" s="395"/>
      <c r="B2764" s="399"/>
      <c r="C2764" s="920"/>
      <c r="D2764" s="922"/>
      <c r="E2764" s="922"/>
      <c r="F2764" s="922"/>
      <c r="G2764" s="922"/>
      <c r="H2764" s="922"/>
      <c r="I2764" s="922"/>
      <c r="J2764" s="922"/>
      <c r="K2764" s="922"/>
      <c r="L2764" s="922"/>
      <c r="M2764" s="922"/>
      <c r="N2764" s="924"/>
      <c r="O2764" s="362"/>
    </row>
    <row r="2765" spans="1:15" ht="15.75" customHeight="1">
      <c r="A2765" s="395"/>
      <c r="B2765" s="399"/>
      <c r="C2765" s="929"/>
      <c r="D2765" s="936"/>
      <c r="E2765" s="936"/>
      <c r="F2765" s="936"/>
      <c r="G2765" s="936"/>
      <c r="H2765" s="936"/>
      <c r="I2765" s="936"/>
      <c r="J2765" s="936"/>
      <c r="K2765" s="936"/>
      <c r="L2765" s="936"/>
      <c r="M2765" s="936"/>
      <c r="N2765" s="938"/>
      <c r="O2765" s="362"/>
    </row>
    <row r="2766" spans="1:15" ht="15.75" customHeight="1">
      <c r="A2766" s="395"/>
      <c r="B2766" s="399"/>
      <c r="C2766" s="1201" t="s">
        <v>1209</v>
      </c>
      <c r="D2766" s="1131"/>
      <c r="E2766" s="1131"/>
      <c r="F2766" s="1131"/>
      <c r="G2766" s="1131"/>
      <c r="H2766" s="1000"/>
      <c r="I2766" s="670" t="s">
        <v>1210</v>
      </c>
      <c r="J2766" s="674" t="s">
        <v>1211</v>
      </c>
      <c r="K2766" s="675" t="s">
        <v>2318</v>
      </c>
      <c r="L2766" s="1204" t="s">
        <v>1213</v>
      </c>
      <c r="M2766" s="1000"/>
      <c r="N2766" s="671" t="s">
        <v>1200</v>
      </c>
      <c r="O2766" s="362"/>
    </row>
    <row r="2767" spans="1:15" ht="15.75" customHeight="1">
      <c r="A2767" s="395">
        <f t="array" ref="A2767">IF(C2767&lt;&gt;0,INDEX(CodTransporte,MATCH(C2767,Transporte,0),),)</f>
        <v>0</v>
      </c>
      <c r="B2767" s="399"/>
      <c r="C2767" s="1128"/>
      <c r="D2767" s="940"/>
      <c r="E2767" s="940"/>
      <c r="F2767" s="940"/>
      <c r="G2767" s="940"/>
      <c r="H2767" s="940"/>
      <c r="I2767" s="440"/>
      <c r="J2767" s="441" t="str">
        <f>IF($A2767&gt;0,(VLOOKUP($A2767,TablaTransporte,6,FALSE)),"")</f>
        <v/>
      </c>
      <c r="K2767" s="442" t="str">
        <f>IF($A2767&gt;0,(VLOOKUP($A2767,TablaTransporte,5,FALSE)),"")</f>
        <v/>
      </c>
      <c r="L2767" s="1134" t="str">
        <f>IF($A2767&gt;0,(VLOOKUP($A2767,TablaTransporte,7,FALSE)),"")</f>
        <v/>
      </c>
      <c r="M2767" s="941"/>
      <c r="N2767" s="430" t="str">
        <f t="shared" ref="N2767:N2771" si="209">IF(I2767&gt;0,J2767*L2767*I2767,"")</f>
        <v/>
      </c>
      <c r="O2767" s="362"/>
    </row>
    <row r="2768" spans="1:15" ht="15.75" customHeight="1">
      <c r="A2768" s="395">
        <f t="array" ref="A2768">IF(C2768&lt;&gt;0,INDEX(CodTransporte,MATCH(C2768,Transporte,0),),)</f>
        <v>0</v>
      </c>
      <c r="B2768" s="399"/>
      <c r="C2768" s="1128"/>
      <c r="D2768" s="940"/>
      <c r="E2768" s="940"/>
      <c r="F2768" s="940"/>
      <c r="G2768" s="940"/>
      <c r="H2768" s="940"/>
      <c r="I2768" s="440"/>
      <c r="J2768" s="441" t="str">
        <f>IF($A2768&gt;0,(VLOOKUP($A2768,TablaTransporte,6,FALSE)),"")</f>
        <v/>
      </c>
      <c r="K2768" s="442" t="str">
        <f>IF($A2768&gt;0,(VLOOKUP($A2768,TablaTransporte,5,FALSE)),"")</f>
        <v/>
      </c>
      <c r="L2768" s="1134" t="str">
        <f>IF($A2768&gt;0,(VLOOKUP($A2768,TablaTransporte,7,FALSE)),"")</f>
        <v/>
      </c>
      <c r="M2768" s="941"/>
      <c r="N2768" s="430" t="str">
        <f t="shared" si="209"/>
        <v/>
      </c>
      <c r="O2768" s="362"/>
    </row>
    <row r="2769" spans="1:18" ht="15.75" customHeight="1">
      <c r="A2769" s="395">
        <f t="array" ref="A2769">IF(C2769&lt;&gt;0,INDEX(CodTransporte,MATCH(C2769,Transporte,0),),)</f>
        <v>0</v>
      </c>
      <c r="B2769" s="399"/>
      <c r="C2769" s="1128"/>
      <c r="D2769" s="940"/>
      <c r="E2769" s="940"/>
      <c r="F2769" s="940"/>
      <c r="G2769" s="940"/>
      <c r="H2769" s="940"/>
      <c r="I2769" s="440"/>
      <c r="J2769" s="441" t="str">
        <f>IF($A2769&gt;0,(VLOOKUP($A2769,TablaTransporte,6,FALSE)),"")</f>
        <v/>
      </c>
      <c r="K2769" s="442" t="str">
        <f>IF($A2769&gt;0,(VLOOKUP($A2769,TablaTransporte,5,FALSE)),"")</f>
        <v/>
      </c>
      <c r="L2769" s="1134" t="str">
        <f>IF($A2769&gt;0,(VLOOKUP($A2769,TablaTransporte,7,FALSE)),"")</f>
        <v/>
      </c>
      <c r="M2769" s="941"/>
      <c r="N2769" s="430" t="str">
        <f t="shared" si="209"/>
        <v/>
      </c>
      <c r="O2769" s="362"/>
    </row>
    <row r="2770" spans="1:18" ht="15.75" customHeight="1">
      <c r="A2770" s="395">
        <f t="array" ref="A2770">IF(C2770&lt;&gt;0,INDEX(CodTransporte,MATCH(C2770,Transporte,0),),)</f>
        <v>0</v>
      </c>
      <c r="B2770" s="399"/>
      <c r="C2770" s="1128"/>
      <c r="D2770" s="940"/>
      <c r="E2770" s="940"/>
      <c r="F2770" s="940"/>
      <c r="G2770" s="940"/>
      <c r="H2770" s="940"/>
      <c r="I2770" s="440"/>
      <c r="J2770" s="441" t="str">
        <f>IF($A2770&gt;0,(VLOOKUP($A2770,TablaTransporte,6,FALSE)),"")</f>
        <v/>
      </c>
      <c r="K2770" s="442" t="str">
        <f>IF($A2770&gt;0,(VLOOKUP($A2770,TablaTransporte,5,FALSE)),"")</f>
        <v/>
      </c>
      <c r="L2770" s="1134" t="str">
        <f>IF($A2770&gt;0,(VLOOKUP($A2770,TablaTransporte,7,FALSE)),"")</f>
        <v/>
      </c>
      <c r="M2770" s="941"/>
      <c r="N2770" s="430" t="str">
        <f t="shared" si="209"/>
        <v/>
      </c>
      <c r="O2770" s="362"/>
    </row>
    <row r="2771" spans="1:18" ht="15.75" customHeight="1">
      <c r="A2771" s="395">
        <f t="array" ref="A2771">IF(C2771&lt;&gt;0,INDEX(CodTransporte,MATCH(C2771,Transporte,0),),)</f>
        <v>0</v>
      </c>
      <c r="B2771" s="399"/>
      <c r="C2771" s="1128"/>
      <c r="D2771" s="940"/>
      <c r="E2771" s="940"/>
      <c r="F2771" s="940"/>
      <c r="G2771" s="940"/>
      <c r="H2771" s="940"/>
      <c r="I2771" s="440"/>
      <c r="J2771" s="441" t="str">
        <f>IF($A2771&gt;0,(VLOOKUP($A2771,TablaTransporte,6,FALSE)),"")</f>
        <v/>
      </c>
      <c r="K2771" s="442" t="str">
        <f>IF($A2771&gt;0,(VLOOKUP($A2771,TablaTransporte,5,FALSE)),"")</f>
        <v/>
      </c>
      <c r="L2771" s="1205" t="str">
        <f>IF($A2771&gt;0,(VLOOKUP($A2771,TablaTransporte,7,FALSE)),"")</f>
        <v/>
      </c>
      <c r="M2771" s="1145"/>
      <c r="N2771" s="430" t="str">
        <f t="shared" si="209"/>
        <v/>
      </c>
      <c r="O2771" s="362"/>
    </row>
    <row r="2772" spans="1:18" ht="15.75" customHeight="1">
      <c r="A2772" s="395"/>
      <c r="B2772" s="399"/>
      <c r="C2772" s="1127" t="s">
        <v>1202</v>
      </c>
      <c r="D2772" s="965"/>
      <c r="E2772" s="965"/>
      <c r="F2772" s="965"/>
      <c r="G2772" s="965"/>
      <c r="H2772" s="965"/>
      <c r="I2772" s="965"/>
      <c r="J2772" s="965"/>
      <c r="K2772" s="965"/>
      <c r="L2772" s="965"/>
      <c r="M2772" s="966"/>
      <c r="N2772" s="433">
        <f>+SUM(N2767:N2771)</f>
        <v>0</v>
      </c>
      <c r="O2772" s="362"/>
    </row>
    <row r="2773" spans="1:18" ht="15.75" customHeight="1">
      <c r="A2773" s="395"/>
      <c r="B2773" s="399"/>
      <c r="C2773" s="1129" t="s">
        <v>1214</v>
      </c>
      <c r="D2773" s="926"/>
      <c r="E2773" s="926"/>
      <c r="F2773" s="926"/>
      <c r="G2773" s="926"/>
      <c r="H2773" s="926"/>
      <c r="I2773" s="926"/>
      <c r="J2773" s="926"/>
      <c r="K2773" s="926"/>
      <c r="L2773" s="926"/>
      <c r="M2773" s="926"/>
      <c r="N2773" s="927"/>
      <c r="O2773" s="362"/>
    </row>
    <row r="2774" spans="1:18" ht="15.75" customHeight="1">
      <c r="A2774" s="395"/>
      <c r="B2774" s="399"/>
      <c r="C2774" s="920"/>
      <c r="D2774" s="922"/>
      <c r="E2774" s="922"/>
      <c r="F2774" s="922"/>
      <c r="G2774" s="922"/>
      <c r="H2774" s="922"/>
      <c r="I2774" s="922"/>
      <c r="J2774" s="922"/>
      <c r="K2774" s="922"/>
      <c r="L2774" s="922"/>
      <c r="M2774" s="922"/>
      <c r="N2774" s="924"/>
      <c r="O2774" s="362"/>
    </row>
    <row r="2775" spans="1:18" ht="15.75" customHeight="1">
      <c r="A2775" s="395"/>
      <c r="B2775" s="399"/>
      <c r="C2775" s="929"/>
      <c r="D2775" s="936"/>
      <c r="E2775" s="936"/>
      <c r="F2775" s="936"/>
      <c r="G2775" s="936"/>
      <c r="H2775" s="936"/>
      <c r="I2775" s="936"/>
      <c r="J2775" s="936"/>
      <c r="K2775" s="936"/>
      <c r="L2775" s="936"/>
      <c r="M2775" s="936"/>
      <c r="N2775" s="938"/>
      <c r="O2775" s="362"/>
    </row>
    <row r="2776" spans="1:18" ht="15.75" customHeight="1">
      <c r="A2776" s="395"/>
      <c r="B2776" s="399"/>
      <c r="C2776" s="1201" t="s">
        <v>1215</v>
      </c>
      <c r="D2776" s="1131"/>
      <c r="E2776" s="1131"/>
      <c r="F2776" s="1131"/>
      <c r="G2776" s="1131"/>
      <c r="H2776" s="1000"/>
      <c r="I2776" s="670" t="s">
        <v>1216</v>
      </c>
      <c r="J2776" s="676" t="s">
        <v>1217</v>
      </c>
      <c r="K2776" s="677" t="s">
        <v>1218</v>
      </c>
      <c r="L2776" s="1206" t="s">
        <v>1199</v>
      </c>
      <c r="M2776" s="1000"/>
      <c r="N2776" s="678" t="s">
        <v>1200</v>
      </c>
      <c r="O2776" s="362"/>
    </row>
    <row r="2777" spans="1:18" ht="15.75" customHeight="1">
      <c r="A2777" s="395" t="str">
        <f t="array" ref="A2777">IF(C2777&lt;&gt;0,INDEX(CodMO,MATCH(C2777,MO,0),),)</f>
        <v>M.O-05</v>
      </c>
      <c r="B2777" s="399"/>
      <c r="C2777" s="1128" t="s">
        <v>139</v>
      </c>
      <c r="D2777" s="940"/>
      <c r="E2777" s="940"/>
      <c r="F2777" s="940"/>
      <c r="G2777" s="940"/>
      <c r="H2777" s="940"/>
      <c r="I2777" s="447">
        <f>IF($A2777&gt;0,(VLOOKUP($A2777,TablaMO,8,FALSE)),"")</f>
        <v>125030.16666666667</v>
      </c>
      <c r="J2777" s="448">
        <f>IF($A2777&gt;0,(VLOOKUP($A2777,TablaMO,10,FALSE)),"")</f>
        <v>0.67071666666666663</v>
      </c>
      <c r="K2777" s="447">
        <f>IF($A2777&gt;0,(VLOOKUP($A2777,TablaMO,11,FALSE)),"")</f>
        <v>208890</v>
      </c>
      <c r="L2777" s="1146">
        <v>81.574859784136692</v>
      </c>
      <c r="M2777" s="941"/>
      <c r="N2777" s="430">
        <f t="shared" ref="N2777:N2781" si="210">IF(L2777&gt;0,K2777/L2777,"")</f>
        <v>2560.7154036521115</v>
      </c>
      <c r="O2777" s="362"/>
    </row>
    <row r="2778" spans="1:18" ht="15.75" customHeight="1">
      <c r="A2778" s="395" t="str">
        <f t="array" ref="A2778">IF(C2778&lt;&gt;0,INDEX(CodMO,MATCH(C2778,MO,0),),)</f>
        <v>M.O-01</v>
      </c>
      <c r="B2778" s="399"/>
      <c r="C2778" s="1128" t="s">
        <v>130</v>
      </c>
      <c r="D2778" s="940"/>
      <c r="E2778" s="940"/>
      <c r="F2778" s="940"/>
      <c r="G2778" s="940"/>
      <c r="H2778" s="940"/>
      <c r="I2778" s="447">
        <f>IF($A2778&gt;0,(VLOOKUP($A2778,TablaMO,8,FALSE)),"")</f>
        <v>72503.016666666677</v>
      </c>
      <c r="J2778" s="448">
        <f>IF($A2778&gt;0,(VLOOKUP($A2778,TablaMO,10,FALSE)),"")</f>
        <v>0.67071666666666663</v>
      </c>
      <c r="K2778" s="447">
        <f>IF($A2778&gt;0,(VLOOKUP($A2778,TablaMO,11,FALSE)),"")</f>
        <v>121132</v>
      </c>
      <c r="L2778" s="1146">
        <f>L2777</f>
        <v>81.574859784136692</v>
      </c>
      <c r="M2778" s="941"/>
      <c r="N2778" s="430">
        <f t="shared" si="210"/>
        <v>1484.9182740925253</v>
      </c>
      <c r="O2778" s="362"/>
    </row>
    <row r="2779" spans="1:18" ht="15.75" customHeight="1">
      <c r="A2779" s="395">
        <f t="array" ref="A2779">IF(C2779&lt;&gt;0,INDEX(CodMO,MATCH(C2779,MO,0),),)</f>
        <v>0</v>
      </c>
      <c r="B2779" s="399"/>
      <c r="C2779" s="1128"/>
      <c r="D2779" s="940"/>
      <c r="E2779" s="940"/>
      <c r="F2779" s="940"/>
      <c r="G2779" s="940"/>
      <c r="H2779" s="940"/>
      <c r="I2779" s="447" t="str">
        <f>IF($A2779&gt;0,(VLOOKUP($A2779,TablaMO,8,FALSE)),"")</f>
        <v/>
      </c>
      <c r="J2779" s="448" t="str">
        <f>IF($A2779&gt;0,(VLOOKUP($A2779,TablaMO,10,FALSE)),"")</f>
        <v/>
      </c>
      <c r="K2779" s="447" t="str">
        <f>IF($A2779&gt;0,(VLOOKUP($A2779,TablaMO,11,FALSE)),"")</f>
        <v/>
      </c>
      <c r="L2779" s="1146"/>
      <c r="M2779" s="941"/>
      <c r="N2779" s="430" t="str">
        <f t="shared" si="210"/>
        <v/>
      </c>
      <c r="O2779" s="362"/>
    </row>
    <row r="2780" spans="1:18" ht="15.75" customHeight="1">
      <c r="A2780" s="395">
        <f t="array" ref="A2780">IF(C2780&lt;&gt;0,INDEX(CodMO,MATCH(C2780,MO,0),),)</f>
        <v>0</v>
      </c>
      <c r="B2780" s="399"/>
      <c r="C2780" s="1128"/>
      <c r="D2780" s="940"/>
      <c r="E2780" s="940"/>
      <c r="F2780" s="940"/>
      <c r="G2780" s="940"/>
      <c r="H2780" s="940"/>
      <c r="I2780" s="447" t="str">
        <f>IF($A2780&gt;0,(VLOOKUP($A2780,TablaMO,8,FALSE)),"")</f>
        <v/>
      </c>
      <c r="J2780" s="448" t="str">
        <f>IF($A2780&gt;0,(VLOOKUP($A2780,TablaMO,10,FALSE)),"")</f>
        <v/>
      </c>
      <c r="K2780" s="447" t="str">
        <f>IF($A2780&gt;0,(VLOOKUP($A2780,TablaMO,11,FALSE)),"")</f>
        <v/>
      </c>
      <c r="L2780" s="1146"/>
      <c r="M2780" s="941"/>
      <c r="N2780" s="430" t="str">
        <f t="shared" si="210"/>
        <v/>
      </c>
      <c r="O2780" s="362"/>
    </row>
    <row r="2781" spans="1:18" ht="15.75" customHeight="1">
      <c r="A2781" s="395">
        <f t="array" ref="A2781">IF(C2781&lt;&gt;0,INDEX(CodMO,MATCH(C2781,MO,0),),)</f>
        <v>0</v>
      </c>
      <c r="B2781" s="399"/>
      <c r="C2781" s="1128"/>
      <c r="D2781" s="940"/>
      <c r="E2781" s="940"/>
      <c r="F2781" s="940"/>
      <c r="G2781" s="940"/>
      <c r="H2781" s="940"/>
      <c r="I2781" s="447" t="str">
        <f>IF($A2781&gt;0,(VLOOKUP($A2781,TablaMO,8,FALSE)),"")</f>
        <v/>
      </c>
      <c r="J2781" s="448" t="str">
        <f>IF($A2781&gt;0,(VLOOKUP($A2781,TablaMO,10,FALSE)),"")</f>
        <v/>
      </c>
      <c r="K2781" s="447" t="str">
        <f>IF($A2781&gt;0,(VLOOKUP($A2781,TablaMO,11,FALSE)),"")</f>
        <v/>
      </c>
      <c r="L2781" s="1146"/>
      <c r="M2781" s="941"/>
      <c r="N2781" s="430" t="str">
        <f t="shared" si="210"/>
        <v/>
      </c>
      <c r="O2781" s="362"/>
    </row>
    <row r="2782" spans="1:18" ht="15.75" customHeight="1">
      <c r="A2782" s="395"/>
      <c r="B2782" s="399"/>
      <c r="C2782" s="1127" t="s">
        <v>1202</v>
      </c>
      <c r="D2782" s="965"/>
      <c r="E2782" s="965"/>
      <c r="F2782" s="965"/>
      <c r="G2782" s="965"/>
      <c r="H2782" s="965"/>
      <c r="I2782" s="965"/>
      <c r="J2782" s="965"/>
      <c r="K2782" s="965"/>
      <c r="L2782" s="965"/>
      <c r="M2782" s="966"/>
      <c r="N2782" s="433">
        <f>+SUM(N2777:N2781)</f>
        <v>4045.6336777446368</v>
      </c>
      <c r="O2782" s="362"/>
    </row>
    <row r="2783" spans="1:18" ht="15.75" customHeight="1">
      <c r="B2783" s="679"/>
      <c r="O2783" s="362"/>
    </row>
    <row r="2784" spans="1:18" ht="15.75" customHeight="1">
      <c r="B2784" s="679"/>
      <c r="C2784" s="1198" t="s">
        <v>1219</v>
      </c>
      <c r="D2784" s="965"/>
      <c r="E2784" s="965"/>
      <c r="F2784" s="965"/>
      <c r="G2784" s="965"/>
      <c r="H2784" s="965"/>
      <c r="I2784" s="965"/>
      <c r="J2784" s="965"/>
      <c r="K2784" s="965"/>
      <c r="L2784" s="965"/>
      <c r="M2784" s="966"/>
      <c r="N2784" s="680">
        <f>ROUND(SUM(N2782,N2772,N2762,N2749),0)</f>
        <v>22284</v>
      </c>
      <c r="O2784" s="362"/>
      <c r="Q2784" s="681">
        <f>VLOOKUP(C2738,PROPUESTASASERCO,8,FALSE)</f>
        <v>22284</v>
      </c>
      <c r="R2784" s="682">
        <f>Q2784-N2784</f>
        <v>0</v>
      </c>
    </row>
    <row r="2785" spans="2:15" ht="15.75" customHeight="1">
      <c r="B2785" s="679"/>
      <c r="C2785" s="1129" t="s">
        <v>1220</v>
      </c>
      <c r="D2785" s="926"/>
      <c r="E2785" s="926"/>
      <c r="F2785" s="926"/>
      <c r="G2785" s="926"/>
      <c r="H2785" s="926"/>
      <c r="I2785" s="926"/>
      <c r="J2785" s="926"/>
      <c r="K2785" s="926"/>
      <c r="L2785" s="926"/>
      <c r="M2785" s="926"/>
      <c r="N2785" s="927"/>
      <c r="O2785" s="362"/>
    </row>
    <row r="2786" spans="2:15" ht="15.75" customHeight="1">
      <c r="B2786" s="679"/>
      <c r="C2786" s="920"/>
      <c r="D2786" s="922"/>
      <c r="E2786" s="922"/>
      <c r="F2786" s="922"/>
      <c r="G2786" s="922"/>
      <c r="H2786" s="922"/>
      <c r="I2786" s="922"/>
      <c r="J2786" s="922"/>
      <c r="K2786" s="922"/>
      <c r="L2786" s="922"/>
      <c r="M2786" s="922"/>
      <c r="N2786" s="924"/>
      <c r="O2786" s="362"/>
    </row>
    <row r="2787" spans="2:15" ht="15.75" customHeight="1">
      <c r="B2787" s="679"/>
      <c r="C2787" s="929"/>
      <c r="D2787" s="936"/>
      <c r="E2787" s="936"/>
      <c r="F2787" s="936"/>
      <c r="G2787" s="936"/>
      <c r="H2787" s="936"/>
      <c r="I2787" s="936"/>
      <c r="J2787" s="936"/>
      <c r="K2787" s="936"/>
      <c r="L2787" s="936"/>
      <c r="M2787" s="936"/>
      <c r="N2787" s="938"/>
      <c r="O2787" s="362"/>
    </row>
    <row r="2788" spans="2:15" ht="15.75" customHeight="1">
      <c r="B2788" s="679"/>
      <c r="C2788" s="1201" t="s">
        <v>1221</v>
      </c>
      <c r="D2788" s="1131"/>
      <c r="E2788" s="1131"/>
      <c r="F2788" s="1131"/>
      <c r="G2788" s="1131"/>
      <c r="H2788" s="1132"/>
      <c r="I2788" s="674"/>
      <c r="J2788" s="674"/>
      <c r="K2788" s="674"/>
      <c r="L2788" s="1206" t="s">
        <v>1222</v>
      </c>
      <c r="M2788" s="1000"/>
      <c r="N2788" s="678" t="s">
        <v>1223</v>
      </c>
      <c r="O2788" s="362"/>
    </row>
    <row r="2789" spans="2:15" ht="15.75" customHeight="1">
      <c r="B2789" s="679"/>
      <c r="C2789" s="1128" t="s">
        <v>19</v>
      </c>
      <c r="D2789" s="940"/>
      <c r="E2789" s="940"/>
      <c r="F2789" s="940"/>
      <c r="G2789" s="940"/>
      <c r="H2789" s="940"/>
      <c r="I2789" s="452"/>
      <c r="J2789" s="452"/>
      <c r="K2789" s="452"/>
      <c r="L2789" s="1148">
        <f>+Datos!$E$18</f>
        <v>0.25</v>
      </c>
      <c r="M2789" s="941"/>
      <c r="N2789" s="430">
        <f>+L2789*N2784</f>
        <v>5571</v>
      </c>
      <c r="O2789" s="362"/>
    </row>
    <row r="2790" spans="2:15" ht="15.75" customHeight="1">
      <c r="B2790" s="679"/>
      <c r="C2790" s="454" t="s">
        <v>20</v>
      </c>
      <c r="D2790" s="455"/>
      <c r="E2790" s="455"/>
      <c r="F2790" s="455"/>
      <c r="G2790" s="455"/>
      <c r="H2790" s="455"/>
      <c r="I2790" s="452"/>
      <c r="J2790" s="452"/>
      <c r="K2790" s="452"/>
      <c r="L2790" s="1148">
        <f>+Datos!$E$19</f>
        <v>0.01</v>
      </c>
      <c r="M2790" s="941"/>
      <c r="N2790" s="430">
        <f>+L2790*N2784</f>
        <v>222.84</v>
      </c>
      <c r="O2790" s="362"/>
    </row>
    <row r="2791" spans="2:15" ht="15.75" customHeight="1">
      <c r="B2791" s="679"/>
      <c r="C2791" s="456" t="s">
        <v>21</v>
      </c>
      <c r="D2791" s="457"/>
      <c r="E2791" s="457"/>
      <c r="F2791" s="457"/>
      <c r="G2791" s="457"/>
      <c r="H2791" s="457"/>
      <c r="I2791" s="458"/>
      <c r="J2791" s="458"/>
      <c r="K2791" s="458"/>
      <c r="L2791" s="1148">
        <f>+Datos!$E$20</f>
        <v>0.05</v>
      </c>
      <c r="M2791" s="941"/>
      <c r="N2791" s="430">
        <f>+L2791*N2784</f>
        <v>1114.2</v>
      </c>
      <c r="O2791" s="362"/>
    </row>
    <row r="2792" spans="2:15" ht="15.75" customHeight="1">
      <c r="B2792" s="679"/>
      <c r="C2792" s="1127" t="s">
        <v>1202</v>
      </c>
      <c r="D2792" s="965"/>
      <c r="E2792" s="965"/>
      <c r="F2792" s="965"/>
      <c r="G2792" s="965"/>
      <c r="H2792" s="965"/>
      <c r="I2792" s="965"/>
      <c r="J2792" s="965"/>
      <c r="K2792" s="965"/>
      <c r="L2792" s="965"/>
      <c r="M2792" s="966"/>
      <c r="N2792" s="433">
        <f>+SUM(N2789:N2791)</f>
        <v>6908.04</v>
      </c>
      <c r="O2792" s="362"/>
    </row>
    <row r="2793" spans="2:15" ht="15.75" customHeight="1">
      <c r="B2793" s="679"/>
      <c r="C2793" s="418"/>
      <c r="D2793" s="39"/>
      <c r="E2793" s="39"/>
      <c r="F2793" s="39"/>
      <c r="G2793" s="39"/>
      <c r="H2793" s="39"/>
      <c r="I2793" s="39"/>
      <c r="J2793" s="39"/>
      <c r="K2793" s="39"/>
      <c r="L2793" s="39"/>
      <c r="M2793" s="39"/>
      <c r="N2793" s="40"/>
      <c r="O2793" s="362"/>
    </row>
    <row r="2794" spans="2:15" ht="15.75" customHeight="1">
      <c r="B2794" s="679"/>
      <c r="C2794" s="1198" t="s">
        <v>1224</v>
      </c>
      <c r="D2794" s="965"/>
      <c r="E2794" s="965"/>
      <c r="F2794" s="965"/>
      <c r="G2794" s="965"/>
      <c r="H2794" s="965"/>
      <c r="I2794" s="965"/>
      <c r="J2794" s="965"/>
      <c r="K2794" s="965"/>
      <c r="L2794" s="965"/>
      <c r="M2794" s="966"/>
      <c r="N2794" s="683">
        <f>+ROUND(SUM(N2792,N2784),0)</f>
        <v>29192</v>
      </c>
      <c r="O2794" s="362"/>
    </row>
    <row r="2795" spans="2:15" ht="15.75" customHeight="1">
      <c r="B2795" s="679"/>
      <c r="C2795" s="418"/>
      <c r="D2795" s="39" t="s">
        <v>1225</v>
      </c>
      <c r="E2795" s="39"/>
      <c r="F2795" s="39"/>
      <c r="G2795" s="184"/>
      <c r="H2795" s="184"/>
      <c r="I2795" s="184"/>
      <c r="J2795" s="39" t="s">
        <v>1225</v>
      </c>
      <c r="K2795" s="39"/>
      <c r="L2795" s="39"/>
      <c r="M2795" s="39"/>
      <c r="N2795" s="40"/>
      <c r="O2795" s="362"/>
    </row>
    <row r="2796" spans="2:15" ht="15.75" customHeight="1">
      <c r="B2796" s="679"/>
      <c r="C2796" s="418"/>
      <c r="D2796" s="39" t="s">
        <v>1226</v>
      </c>
      <c r="E2796" s="39"/>
      <c r="F2796" s="39"/>
      <c r="G2796" s="184"/>
      <c r="H2796" s="184"/>
      <c r="I2796" s="184"/>
      <c r="J2796" s="39" t="s">
        <v>1227</v>
      </c>
      <c r="K2796" s="39"/>
      <c r="L2796" s="39"/>
      <c r="M2796" s="39"/>
      <c r="N2796" s="40"/>
      <c r="O2796" s="362"/>
    </row>
    <row r="2797" spans="2:15" ht="15.75" customHeight="1">
      <c r="B2797" s="679"/>
      <c r="C2797" s="404"/>
      <c r="D2797" s="39" t="s">
        <v>1228</v>
      </c>
      <c r="E2797" s="42"/>
      <c r="F2797" s="42"/>
      <c r="G2797" s="184"/>
      <c r="H2797" s="184"/>
      <c r="I2797" s="184"/>
      <c r="J2797" s="39" t="s">
        <v>1228</v>
      </c>
      <c r="K2797" s="42"/>
      <c r="L2797" s="42"/>
      <c r="M2797" s="42"/>
      <c r="N2797" s="43"/>
      <c r="O2797" s="362"/>
    </row>
    <row r="2798" spans="2:15" ht="15.75" customHeight="1">
      <c r="B2798" s="679"/>
      <c r="C2798" s="418"/>
      <c r="D2798" s="39"/>
      <c r="E2798" s="39"/>
      <c r="F2798" s="39"/>
      <c r="G2798" s="39" t="s">
        <v>1229</v>
      </c>
      <c r="H2798" s="39"/>
      <c r="I2798" s="39"/>
      <c r="J2798" s="39"/>
      <c r="K2798" s="39"/>
      <c r="L2798" s="39"/>
      <c r="M2798" s="39"/>
      <c r="N2798" s="40"/>
      <c r="O2798" s="362"/>
    </row>
    <row r="2799" spans="2:15" ht="15.75" customHeight="1">
      <c r="B2799" s="679"/>
      <c r="C2799" s="466"/>
      <c r="D2799" s="467"/>
      <c r="E2799" s="467"/>
      <c r="F2799" s="39"/>
      <c r="G2799" s="39"/>
      <c r="H2799" s="39"/>
      <c r="I2799" s="39"/>
      <c r="J2799" s="1149"/>
      <c r="K2799" s="922"/>
      <c r="L2799" s="922"/>
      <c r="M2799" s="922"/>
      <c r="N2799" s="924"/>
      <c r="O2799" s="362"/>
    </row>
    <row r="2800" spans="2:15" ht="15.75" customHeight="1">
      <c r="B2800" s="679"/>
      <c r="C2800" s="1150"/>
      <c r="D2800" s="936"/>
      <c r="E2800" s="936"/>
      <c r="F2800" s="416"/>
      <c r="G2800" s="416"/>
      <c r="H2800" s="416"/>
      <c r="I2800" s="416"/>
      <c r="J2800" s="936"/>
      <c r="K2800" s="936"/>
      <c r="L2800" s="936"/>
      <c r="M2800" s="936"/>
      <c r="N2800" s="938"/>
      <c r="O2800" s="362"/>
    </row>
    <row r="2801" spans="1:15" ht="15.75" customHeight="1">
      <c r="B2801" s="684"/>
      <c r="C2801" s="685"/>
      <c r="D2801" s="685"/>
      <c r="E2801" s="685"/>
      <c r="F2801" s="685"/>
      <c r="G2801" s="685"/>
      <c r="H2801" s="685"/>
      <c r="I2801" s="685"/>
      <c r="J2801" s="685"/>
      <c r="K2801" s="685"/>
      <c r="L2801" s="685"/>
      <c r="M2801" s="685"/>
      <c r="N2801" s="685"/>
      <c r="O2801" s="686"/>
    </row>
    <row r="2802" spans="1:15" ht="15.75" customHeight="1"/>
    <row r="2803" spans="1:15" ht="15.75" customHeight="1"/>
    <row r="2804" spans="1:15" ht="15.75" customHeight="1"/>
    <row r="2805" spans="1:15" ht="15.75" customHeight="1">
      <c r="A2805" s="395" t="s">
        <v>941</v>
      </c>
      <c r="B2805" s="184"/>
      <c r="C2805" s="184"/>
      <c r="D2805" s="184"/>
      <c r="E2805" s="184"/>
      <c r="F2805" s="184"/>
      <c r="G2805" s="184"/>
      <c r="H2805" s="184"/>
      <c r="I2805" s="184"/>
      <c r="J2805" s="184"/>
      <c r="K2805" s="184"/>
      <c r="L2805" s="184"/>
      <c r="M2805" s="184"/>
      <c r="N2805" s="184"/>
    </row>
    <row r="2806" spans="1:15" ht="15.75" customHeight="1">
      <c r="A2806" s="395"/>
      <c r="B2806" s="396"/>
      <c r="C2806" s="397"/>
      <c r="D2806" s="397"/>
      <c r="E2806" s="397"/>
      <c r="F2806" s="397"/>
      <c r="G2806" s="397"/>
      <c r="H2806" s="397"/>
      <c r="I2806" s="397"/>
      <c r="J2806" s="397"/>
      <c r="K2806" s="397"/>
      <c r="L2806" s="397"/>
      <c r="M2806" s="397"/>
      <c r="N2806" s="397"/>
      <c r="O2806" s="667"/>
    </row>
    <row r="2807" spans="1:15" ht="15.75" customHeight="1">
      <c r="A2807" s="395"/>
      <c r="B2807" s="399"/>
      <c r="C2807" s="1124"/>
      <c r="D2807" s="927"/>
      <c r="E2807" s="1207" t="str">
        <f>Datos!$C$9</f>
        <v>CONSEJO SUPERIOR  DE  JUDICATURA– DIRECCIÓN  EJECUTIVA  SECCIONAL  DE ADMINISTRACIÓN JUDICIAL DE BUCARAMANGA</v>
      </c>
      <c r="F2807" s="926"/>
      <c r="G2807" s="926"/>
      <c r="H2807" s="926"/>
      <c r="I2807" s="926"/>
      <c r="J2807" s="926"/>
      <c r="K2807" s="927"/>
      <c r="L2807" s="925" t="s">
        <v>1</v>
      </c>
      <c r="M2807" s="931"/>
      <c r="N2807" s="933">
        <v>1</v>
      </c>
      <c r="O2807" s="362"/>
    </row>
    <row r="2808" spans="1:15" ht="15.75" customHeight="1">
      <c r="A2808" s="395"/>
      <c r="B2808" s="399"/>
      <c r="C2808" s="920"/>
      <c r="D2808" s="924"/>
      <c r="E2808" s="920"/>
      <c r="F2808" s="922"/>
      <c r="G2808" s="922"/>
      <c r="H2808" s="922"/>
      <c r="I2808" s="922"/>
      <c r="J2808" s="922"/>
      <c r="K2808" s="924"/>
      <c r="L2808" s="920"/>
      <c r="M2808" s="932"/>
      <c r="N2808" s="934"/>
      <c r="O2808" s="362"/>
    </row>
    <row r="2809" spans="1:15" ht="15.75" customHeight="1">
      <c r="A2809" s="395"/>
      <c r="B2809" s="399"/>
      <c r="C2809" s="920"/>
      <c r="D2809" s="924"/>
      <c r="E2809" s="919" t="str">
        <f>Datos!$C$13</f>
        <v xml:space="preserve">BGA - 030 - 2026 </v>
      </c>
      <c r="F2809" s="922"/>
      <c r="G2809" s="922"/>
      <c r="H2809" s="922"/>
      <c r="I2809" s="922"/>
      <c r="J2809" s="922"/>
      <c r="K2809" s="922"/>
      <c r="L2809" s="925" t="s">
        <v>29</v>
      </c>
      <c r="M2809" s="926"/>
      <c r="N2809" s="927"/>
      <c r="O2809" s="362"/>
    </row>
    <row r="2810" spans="1:15" ht="15.75" customHeight="1">
      <c r="A2810" s="395"/>
      <c r="B2810" s="399"/>
      <c r="C2810" s="920"/>
      <c r="D2810" s="924"/>
      <c r="E2810"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810" s="922"/>
      <c r="G2810" s="922"/>
      <c r="H2810" s="922"/>
      <c r="I2810" s="922"/>
      <c r="J2810" s="922"/>
      <c r="K2810" s="924"/>
      <c r="L2810" s="919">
        <v>1</v>
      </c>
      <c r="M2810" s="921" t="s">
        <v>30</v>
      </c>
      <c r="N2810" s="923">
        <v>1</v>
      </c>
      <c r="O2810" s="362"/>
    </row>
    <row r="2811" spans="1:15" ht="15.75" customHeight="1">
      <c r="A2811" s="395"/>
      <c r="B2811" s="399"/>
      <c r="C2811" s="920"/>
      <c r="D2811" s="924"/>
      <c r="E2811" s="920"/>
      <c r="F2811" s="922"/>
      <c r="G2811" s="922"/>
      <c r="H2811" s="922"/>
      <c r="I2811" s="922"/>
      <c r="J2811" s="922"/>
      <c r="K2811" s="924"/>
      <c r="L2811" s="920"/>
      <c r="M2811" s="922"/>
      <c r="N2811" s="924"/>
      <c r="O2811" s="362"/>
    </row>
    <row r="2812" spans="1:15" ht="57" customHeight="1">
      <c r="A2812" s="395"/>
      <c r="B2812" s="399"/>
      <c r="C2812" s="920"/>
      <c r="D2812" s="924"/>
      <c r="E2812" s="920"/>
      <c r="F2812" s="922"/>
      <c r="G2812" s="922"/>
      <c r="H2812" s="922"/>
      <c r="I2812" s="922"/>
      <c r="J2812" s="922"/>
      <c r="K2812" s="924"/>
      <c r="L2812" s="925" t="s">
        <v>2</v>
      </c>
      <c r="M2812" s="926"/>
      <c r="N2812" s="927"/>
      <c r="O2812" s="362"/>
    </row>
    <row r="2813" spans="1:15" ht="15.75" customHeight="1">
      <c r="A2813" s="395"/>
      <c r="B2813" s="399"/>
      <c r="C2813" s="920"/>
      <c r="D2813" s="924"/>
      <c r="E2813" s="407"/>
      <c r="F2813" s="216"/>
      <c r="G2813" s="216"/>
      <c r="H2813" s="216"/>
      <c r="I2813" s="216"/>
      <c r="J2813" s="216"/>
      <c r="K2813" s="216"/>
      <c r="L2813" s="408" t="s">
        <v>3</v>
      </c>
      <c r="M2813" s="409" t="s">
        <v>4</v>
      </c>
      <c r="N2813" s="410" t="s">
        <v>5</v>
      </c>
      <c r="O2813" s="362"/>
    </row>
    <row r="2814" spans="1:15" ht="15.75" customHeight="1">
      <c r="A2814" s="395"/>
      <c r="B2814" s="399"/>
      <c r="C2814" s="920"/>
      <c r="D2814" s="924"/>
      <c r="E2814" s="1125" t="s">
        <v>1186</v>
      </c>
      <c r="F2814" s="945"/>
      <c r="G2814" s="945"/>
      <c r="H2814" s="945"/>
      <c r="I2814" s="945"/>
      <c r="J2814" s="945"/>
      <c r="K2814" s="945"/>
      <c r="L2814" s="928">
        <f>Datos!$C$7</f>
        <v>19</v>
      </c>
      <c r="M2814" s="935">
        <f>Datos!$D$7</f>
        <v>6</v>
      </c>
      <c r="N2814" s="937">
        <f>Datos!$E$7</f>
        <v>2026</v>
      </c>
      <c r="O2814" s="362"/>
    </row>
    <row r="2815" spans="1:15" ht="15.75" customHeight="1">
      <c r="A2815" s="395"/>
      <c r="B2815" s="399"/>
      <c r="C2815" s="929"/>
      <c r="D2815" s="938"/>
      <c r="E2815" s="929"/>
      <c r="F2815" s="936"/>
      <c r="G2815" s="936"/>
      <c r="H2815" s="936"/>
      <c r="I2815" s="936"/>
      <c r="J2815" s="936"/>
      <c r="K2815" s="936"/>
      <c r="L2815" s="929"/>
      <c r="M2815" s="936"/>
      <c r="N2815" s="938"/>
      <c r="O2815" s="362"/>
    </row>
    <row r="2816" spans="1:15" ht="15.75" customHeight="1">
      <c r="A2816" s="395"/>
      <c r="B2816" s="399"/>
      <c r="C2816" s="404"/>
      <c r="D2816" s="38"/>
      <c r="E2816" s="38"/>
      <c r="F2816" s="38"/>
      <c r="G2816" s="38"/>
      <c r="H2816" s="38"/>
      <c r="I2816" s="38"/>
      <c r="J2816" s="38"/>
      <c r="K2816" s="38"/>
      <c r="L2816" s="39"/>
      <c r="M2816" s="39"/>
      <c r="N2816" s="40"/>
      <c r="O2816" s="362"/>
    </row>
    <row r="2817" spans="1:15" ht="15.75" customHeight="1">
      <c r="A2817" s="395"/>
      <c r="B2817" s="399"/>
      <c r="C2817" s="412" t="s">
        <v>1187</v>
      </c>
      <c r="D2817" s="1199" t="str">
        <f>VLOOKUP(C2822,ListaAct,2,0)</f>
        <v>OBRA CIVIL</v>
      </c>
      <c r="E2817" s="922"/>
      <c r="F2817" s="922"/>
      <c r="G2817" s="922"/>
      <c r="H2817" s="922"/>
      <c r="I2817" s="922"/>
      <c r="J2817" s="922"/>
      <c r="K2817" s="922"/>
      <c r="L2817" s="922"/>
      <c r="M2817" s="1"/>
      <c r="N2817" s="413"/>
      <c r="O2817" s="362"/>
    </row>
    <row r="2818" spans="1:15" ht="15.75" customHeight="1">
      <c r="A2818" s="395"/>
      <c r="B2818" s="399"/>
      <c r="C2818" s="412" t="s">
        <v>1189</v>
      </c>
      <c r="D2818" s="1199" t="str">
        <f>VLOOKUP(C2822,ListaAct,3,0)</f>
        <v>ACABADOS</v>
      </c>
      <c r="E2818" s="922"/>
      <c r="F2818" s="922"/>
      <c r="G2818" s="922"/>
      <c r="H2818" s="922"/>
      <c r="I2818" s="922"/>
      <c r="J2818" s="922"/>
      <c r="K2818" s="922"/>
      <c r="L2818" s="922"/>
      <c r="M2818" s="1"/>
      <c r="N2818" s="413"/>
      <c r="O2818" s="362"/>
    </row>
    <row r="2819" spans="1:15" ht="15.75" customHeight="1">
      <c r="A2819" s="395"/>
      <c r="B2819" s="399"/>
      <c r="C2819" s="925" t="s">
        <v>1191</v>
      </c>
      <c r="D2819" s="926"/>
      <c r="E2819" s="926"/>
      <c r="F2819" s="926"/>
      <c r="G2819" s="926"/>
      <c r="H2819" s="926"/>
      <c r="I2819" s="926"/>
      <c r="J2819" s="926"/>
      <c r="K2819" s="926"/>
      <c r="L2819" s="926"/>
      <c r="M2819" s="926"/>
      <c r="N2819" s="927"/>
      <c r="O2819" s="362"/>
    </row>
    <row r="2820" spans="1:15" ht="15.75" customHeight="1">
      <c r="A2820" s="395"/>
      <c r="B2820" s="399"/>
      <c r="C2820" s="418"/>
      <c r="D2820" s="39"/>
      <c r="E2820" s="39"/>
      <c r="F2820" s="39"/>
      <c r="G2820" s="39"/>
      <c r="H2820" s="39"/>
      <c r="I2820" s="39"/>
      <c r="J2820" s="39"/>
      <c r="K2820" s="39"/>
      <c r="L2820" s="39"/>
      <c r="M2820" s="39"/>
      <c r="N2820" s="40"/>
      <c r="O2820" s="362"/>
    </row>
    <row r="2821" spans="1:15" ht="15.75" customHeight="1">
      <c r="A2821" s="395"/>
      <c r="B2821" s="399"/>
      <c r="C2821" s="668" t="s">
        <v>965</v>
      </c>
      <c r="D2821" s="1200" t="s">
        <v>17</v>
      </c>
      <c r="E2821" s="1131"/>
      <c r="F2821" s="1131"/>
      <c r="G2821" s="1131"/>
      <c r="H2821" s="1131"/>
      <c r="I2821" s="1131"/>
      <c r="J2821" s="1131"/>
      <c r="K2821" s="1137"/>
      <c r="L2821" s="1201" t="s">
        <v>1192</v>
      </c>
      <c r="M2821" s="1137"/>
      <c r="N2821" s="668" t="s">
        <v>950</v>
      </c>
      <c r="O2821" s="362"/>
    </row>
    <row r="2822" spans="1:15" ht="15.75" customHeight="1">
      <c r="A2822" s="395"/>
      <c r="B2822" s="421"/>
      <c r="C2822" s="669" t="s">
        <v>1090</v>
      </c>
      <c r="D2822" s="1202" t="str">
        <f>IF($C2822&gt;0,(VLOOKUP($C2822,ListaAct,4,FALSE)),"")</f>
        <v xml:space="preserve"> Reposición pañetes en mortero no tradicional 1:4  </v>
      </c>
      <c r="E2822" s="979"/>
      <c r="F2822" s="979"/>
      <c r="G2822" s="979"/>
      <c r="H2822" s="979"/>
      <c r="I2822" s="979"/>
      <c r="J2822" s="979"/>
      <c r="K2822" s="980"/>
      <c r="L2822" s="1203" t="str">
        <f>IF($C2822&gt;0,(VLOOKUP($C2822,ListaAct,5,FALSE)),"")</f>
        <v>m2</v>
      </c>
      <c r="M2822" s="980"/>
      <c r="N2822" s="423">
        <f>IF($C2822&gt;0,(VLOOKUP($C2822,ListaAct,6,FALSE)),"")</f>
        <v>5.19</v>
      </c>
      <c r="O2822" s="362"/>
    </row>
    <row r="2823" spans="1:15" ht="15.75" customHeight="1">
      <c r="A2823" s="395"/>
      <c r="B2823" s="399"/>
      <c r="C2823" s="1129" t="s">
        <v>1195</v>
      </c>
      <c r="D2823" s="926"/>
      <c r="E2823" s="926"/>
      <c r="F2823" s="926"/>
      <c r="G2823" s="926"/>
      <c r="H2823" s="926"/>
      <c r="I2823" s="926"/>
      <c r="J2823" s="926"/>
      <c r="K2823" s="926"/>
      <c r="L2823" s="926"/>
      <c r="M2823" s="926"/>
      <c r="N2823" s="927"/>
      <c r="O2823" s="362"/>
    </row>
    <row r="2824" spans="1:15" ht="15.75" customHeight="1">
      <c r="A2824" s="395"/>
      <c r="B2824" s="399"/>
      <c r="C2824" s="920"/>
      <c r="D2824" s="922"/>
      <c r="E2824" s="922"/>
      <c r="F2824" s="922"/>
      <c r="G2824" s="922"/>
      <c r="H2824" s="922"/>
      <c r="I2824" s="922"/>
      <c r="J2824" s="922"/>
      <c r="K2824" s="922"/>
      <c r="L2824" s="922"/>
      <c r="M2824" s="922"/>
      <c r="N2824" s="924"/>
      <c r="O2824" s="362"/>
    </row>
    <row r="2825" spans="1:15" ht="15.75" customHeight="1">
      <c r="A2825" s="395"/>
      <c r="B2825" s="399"/>
      <c r="C2825" s="929"/>
      <c r="D2825" s="936"/>
      <c r="E2825" s="936"/>
      <c r="F2825" s="936"/>
      <c r="G2825" s="936"/>
      <c r="H2825" s="936"/>
      <c r="I2825" s="936"/>
      <c r="J2825" s="936"/>
      <c r="K2825" s="936"/>
      <c r="L2825" s="936"/>
      <c r="M2825" s="936"/>
      <c r="N2825" s="938"/>
      <c r="O2825" s="362"/>
    </row>
    <row r="2826" spans="1:15" ht="15.75" customHeight="1">
      <c r="A2826" s="395"/>
      <c r="B2826" s="399"/>
      <c r="C2826" s="1201" t="s">
        <v>17</v>
      </c>
      <c r="D2826" s="1131"/>
      <c r="E2826" s="1131"/>
      <c r="F2826" s="1000"/>
      <c r="G2826" s="1204" t="s">
        <v>1196</v>
      </c>
      <c r="H2826" s="1000"/>
      <c r="I2826" s="1204" t="s">
        <v>1197</v>
      </c>
      <c r="J2826" s="1000"/>
      <c r="K2826" s="670" t="s">
        <v>1213</v>
      </c>
      <c r="L2826" s="1204" t="s">
        <v>1199</v>
      </c>
      <c r="M2826" s="1000"/>
      <c r="N2826" s="671" t="s">
        <v>1200</v>
      </c>
      <c r="O2826" s="362"/>
    </row>
    <row r="2827" spans="1:15" ht="15.75" customHeight="1">
      <c r="A2827" s="395"/>
      <c r="B2827" s="399"/>
      <c r="C2827" s="1128" t="s">
        <v>1201</v>
      </c>
      <c r="D2827" s="940"/>
      <c r="E2827" s="940"/>
      <c r="F2827" s="941"/>
      <c r="G2827" s="1142"/>
      <c r="H2827" s="941"/>
      <c r="I2827" s="1142"/>
      <c r="J2827" s="941"/>
      <c r="K2827" s="429"/>
      <c r="L2827" s="1143">
        <v>0.06</v>
      </c>
      <c r="M2827" s="941"/>
      <c r="N2827" s="430">
        <f>+L2827*N2866</f>
        <v>553.09793884347664</v>
      </c>
      <c r="O2827" s="362"/>
    </row>
    <row r="2828" spans="1:15" ht="15.75" customHeight="1">
      <c r="A2828" s="395" t="str">
        <f t="array" ref="A2828">IF(C2828&lt;&gt;0,INDEX(CodEquipos,MATCH(C2828,Equipos,0),),)</f>
        <v>EQ-18</v>
      </c>
      <c r="B2828" s="399"/>
      <c r="C2828" s="1128" t="s">
        <v>2510</v>
      </c>
      <c r="D2828" s="940"/>
      <c r="E2828" s="940"/>
      <c r="F2828" s="941"/>
      <c r="G2828" s="1142"/>
      <c r="H2828" s="941"/>
      <c r="I2828" s="1142"/>
      <c r="J2828" s="941"/>
      <c r="K2828" s="432">
        <f>IF($A2828&gt;0,(VLOOKUP($A2828,TablaEquipos,7,FALSE)),"")</f>
        <v>195499.99999999997</v>
      </c>
      <c r="L2828" s="1146">
        <v>0.05</v>
      </c>
      <c r="M2828" s="941"/>
      <c r="N2828" s="430">
        <f>IF(L2828&gt;0,K2828*L2828,"")</f>
        <v>9774.9999999999982</v>
      </c>
      <c r="O2828" s="362"/>
    </row>
    <row r="2829" spans="1:15" ht="15.75" customHeight="1">
      <c r="A2829" s="395">
        <f t="array" ref="A2829">IF(C2829&lt;&gt;0,INDEX(CodEquipos,MATCH(C2829,Equipos,0),),)</f>
        <v>0</v>
      </c>
      <c r="B2829" s="399"/>
      <c r="C2829" s="1128"/>
      <c r="D2829" s="940"/>
      <c r="E2829" s="940"/>
      <c r="F2829" s="941"/>
      <c r="G2829" s="1142"/>
      <c r="H2829" s="941"/>
      <c r="I2829" s="1142"/>
      <c r="J2829" s="941"/>
      <c r="K2829" s="432" t="str">
        <f>IF($A2829&gt;0,(VLOOKUP($A2829,TablaEquipos,7,FALSE)),"")</f>
        <v/>
      </c>
      <c r="L2829" s="1146"/>
      <c r="M2829" s="941"/>
      <c r="N2829" s="430" t="str">
        <f t="shared" ref="N2829:N2832" si="211">IF(L2829&gt;0,K2829/L2829,"")</f>
        <v/>
      </c>
      <c r="O2829" s="362"/>
    </row>
    <row r="2830" spans="1:15" ht="15.75" customHeight="1">
      <c r="A2830" s="395">
        <f t="array" ref="A2830">IF(C2830&lt;&gt;0,INDEX(CodEquipos,MATCH(C2830,Equipos,0),),)</f>
        <v>0</v>
      </c>
      <c r="B2830" s="399"/>
      <c r="C2830" s="1128"/>
      <c r="D2830" s="940"/>
      <c r="E2830" s="940"/>
      <c r="F2830" s="941"/>
      <c r="G2830" s="1142"/>
      <c r="H2830" s="941"/>
      <c r="I2830" s="1142"/>
      <c r="J2830" s="941"/>
      <c r="K2830" s="432" t="str">
        <f>IF($A2830&gt;0,(VLOOKUP($A2830,TablaEquipos,7,FALSE)),"")</f>
        <v/>
      </c>
      <c r="L2830" s="1146"/>
      <c r="M2830" s="941"/>
      <c r="N2830" s="430" t="str">
        <f t="shared" si="211"/>
        <v/>
      </c>
      <c r="O2830" s="362"/>
    </row>
    <row r="2831" spans="1:15" ht="15.75" customHeight="1">
      <c r="A2831" s="395">
        <f t="array" ref="A2831">IF(C2831&lt;&gt;0,INDEX(CodEquipos,MATCH(C2831,Equipos,0),),)</f>
        <v>0</v>
      </c>
      <c r="B2831" s="399"/>
      <c r="C2831" s="1128"/>
      <c r="D2831" s="940"/>
      <c r="E2831" s="940"/>
      <c r="F2831" s="941"/>
      <c r="G2831" s="1142"/>
      <c r="H2831" s="941"/>
      <c r="I2831" s="1142"/>
      <c r="J2831" s="941"/>
      <c r="K2831" s="432" t="str">
        <f>IF($A2831&gt;0,(VLOOKUP($A2831,TablaEquipos,7,FALSE)),"")</f>
        <v/>
      </c>
      <c r="L2831" s="1141"/>
      <c r="M2831" s="941"/>
      <c r="N2831" s="430" t="str">
        <f t="shared" si="211"/>
        <v/>
      </c>
      <c r="O2831" s="362"/>
    </row>
    <row r="2832" spans="1:15" ht="15.75" customHeight="1">
      <c r="A2832" s="395">
        <f t="array" ref="A2832">IF(C2832&lt;&gt;0,INDEX(CodEquipos,MATCH(C2832,Equipos,0),),)</f>
        <v>0</v>
      </c>
      <c r="B2832" s="399"/>
      <c r="C2832" s="1128"/>
      <c r="D2832" s="940"/>
      <c r="E2832" s="940"/>
      <c r="F2832" s="941"/>
      <c r="G2832" s="1144"/>
      <c r="H2832" s="1145"/>
      <c r="I2832" s="1144"/>
      <c r="J2832" s="1145"/>
      <c r="K2832" s="432" t="str">
        <f>IF($A2832&gt;0,(VLOOKUP($A2832,TablaEquipos,7,FALSE)),"")</f>
        <v/>
      </c>
      <c r="L2832" s="1208"/>
      <c r="M2832" s="1145"/>
      <c r="N2832" s="430" t="str">
        <f t="shared" si="211"/>
        <v/>
      </c>
      <c r="O2832" s="362"/>
    </row>
    <row r="2833" spans="1:15" ht="15.75" customHeight="1">
      <c r="A2833" s="395"/>
      <c r="B2833" s="399"/>
      <c r="C2833" s="1127" t="s">
        <v>1202</v>
      </c>
      <c r="D2833" s="965"/>
      <c r="E2833" s="965"/>
      <c r="F2833" s="965"/>
      <c r="G2833" s="965"/>
      <c r="H2833" s="965"/>
      <c r="I2833" s="965"/>
      <c r="J2833" s="965"/>
      <c r="K2833" s="965"/>
      <c r="L2833" s="965"/>
      <c r="M2833" s="966"/>
      <c r="N2833" s="433">
        <f>+SUM(N2827:N2832)</f>
        <v>10328.097938843475</v>
      </c>
      <c r="O2833" s="362"/>
    </row>
    <row r="2834" spans="1:15" ht="15.75" customHeight="1">
      <c r="A2834" s="395"/>
      <c r="B2834" s="399"/>
      <c r="C2834" s="1129" t="s">
        <v>1203</v>
      </c>
      <c r="D2834" s="926"/>
      <c r="E2834" s="926"/>
      <c r="F2834" s="926"/>
      <c r="G2834" s="926"/>
      <c r="H2834" s="926"/>
      <c r="I2834" s="926"/>
      <c r="J2834" s="926"/>
      <c r="K2834" s="926"/>
      <c r="L2834" s="926"/>
      <c r="M2834" s="926"/>
      <c r="N2834" s="927"/>
      <c r="O2834" s="362"/>
    </row>
    <row r="2835" spans="1:15" ht="15.75" customHeight="1">
      <c r="A2835" s="395"/>
      <c r="B2835" s="399"/>
      <c r="C2835" s="920"/>
      <c r="D2835" s="922"/>
      <c r="E2835" s="922"/>
      <c r="F2835" s="922"/>
      <c r="G2835" s="922"/>
      <c r="H2835" s="922"/>
      <c r="I2835" s="922"/>
      <c r="J2835" s="922"/>
      <c r="K2835" s="922"/>
      <c r="L2835" s="922"/>
      <c r="M2835" s="922"/>
      <c r="N2835" s="924"/>
      <c r="O2835" s="362"/>
    </row>
    <row r="2836" spans="1:15" ht="15.75" customHeight="1">
      <c r="A2836" s="395"/>
      <c r="B2836" s="399"/>
      <c r="C2836" s="929"/>
      <c r="D2836" s="936"/>
      <c r="E2836" s="936"/>
      <c r="F2836" s="936"/>
      <c r="G2836" s="936"/>
      <c r="H2836" s="936"/>
      <c r="I2836" s="936"/>
      <c r="J2836" s="936"/>
      <c r="K2836" s="936"/>
      <c r="L2836" s="936"/>
      <c r="M2836" s="936"/>
      <c r="N2836" s="938"/>
      <c r="O2836" s="362"/>
    </row>
    <row r="2837" spans="1:15" ht="15.75" customHeight="1">
      <c r="A2837" s="395"/>
      <c r="B2837" s="399"/>
      <c r="C2837" s="1201" t="s">
        <v>17</v>
      </c>
      <c r="D2837" s="1131"/>
      <c r="E2837" s="1131"/>
      <c r="F2837" s="1131"/>
      <c r="G2837" s="1131"/>
      <c r="H2837" s="1131"/>
      <c r="I2837" s="1000"/>
      <c r="J2837" s="672" t="s">
        <v>1192</v>
      </c>
      <c r="K2837" s="670" t="s">
        <v>950</v>
      </c>
      <c r="L2837" s="1204" t="s">
        <v>1204</v>
      </c>
      <c r="M2837" s="1000"/>
      <c r="N2837" s="671" t="s">
        <v>1200</v>
      </c>
      <c r="O2837" s="362"/>
    </row>
    <row r="2838" spans="1:15" ht="15.75" customHeight="1">
      <c r="A2838" s="395" t="str">
        <f t="array" ref="A2838">IF(C2838&lt;&gt;0,INDEX(CodMat,MATCH(C2838,Materiales,0),),)</f>
        <v>MAT_C-92</v>
      </c>
      <c r="B2838" s="399"/>
      <c r="C2838" s="1210" t="s">
        <v>2578</v>
      </c>
      <c r="D2838" s="940"/>
      <c r="E2838" s="940"/>
      <c r="F2838" s="940"/>
      <c r="G2838" s="940"/>
      <c r="H2838" s="940"/>
      <c r="I2838" s="941"/>
      <c r="J2838" s="435" t="str">
        <f t="shared" ref="J2838:J2845" si="212">IF($A2838&gt;0,(VLOOKUP($A2838,TablaInsumos,5,FALSE)),"")</f>
        <v>KG</v>
      </c>
      <c r="K2838" s="673">
        <v>6</v>
      </c>
      <c r="L2838" s="1134">
        <f t="shared" ref="L2838:L2845" si="213">IF($A2838&gt;0,(VLOOKUP($A2838,TablaInsumos,7,FALSE)),"")</f>
        <v>700</v>
      </c>
      <c r="M2838" s="941"/>
      <c r="N2838" s="430">
        <f t="shared" ref="N2838:N2845" si="214">IF(K2838&gt;0,L2838*K2838,"")</f>
        <v>4200</v>
      </c>
      <c r="O2838" s="362"/>
    </row>
    <row r="2839" spans="1:15" ht="15.75" customHeight="1">
      <c r="A2839" s="395" t="str">
        <f t="array" ref="A2839">IF(C2839&lt;&gt;0,INDEX(CodMat,MATCH(C2839,Materiales,0),),)</f>
        <v>MAT_C-93</v>
      </c>
      <c r="B2839" s="399"/>
      <c r="C2839" s="1128" t="s">
        <v>1281</v>
      </c>
      <c r="D2839" s="940"/>
      <c r="E2839" s="940"/>
      <c r="F2839" s="940"/>
      <c r="G2839" s="940"/>
      <c r="H2839" s="940"/>
      <c r="I2839" s="941"/>
      <c r="J2839" s="435" t="str">
        <f t="shared" si="212"/>
        <v>KG</v>
      </c>
      <c r="K2839" s="673">
        <v>24</v>
      </c>
      <c r="L2839" s="1134">
        <f t="shared" si="213"/>
        <v>270</v>
      </c>
      <c r="M2839" s="941"/>
      <c r="N2839" s="430">
        <f t="shared" si="214"/>
        <v>6480</v>
      </c>
      <c r="O2839" s="362"/>
    </row>
    <row r="2840" spans="1:15" ht="15.75" customHeight="1">
      <c r="A2840" s="395" t="str">
        <f t="array" ref="A2840">IF(C2840&lt;&gt;0,INDEX(CodMat,MATCH(C2840,Materiales,0),),)</f>
        <v>MAT_C-01</v>
      </c>
      <c r="B2840" s="399"/>
      <c r="C2840" s="1128" t="s">
        <v>1205</v>
      </c>
      <c r="D2840" s="940"/>
      <c r="E2840" s="940"/>
      <c r="F2840" s="940"/>
      <c r="G2840" s="940"/>
      <c r="H2840" s="940"/>
      <c r="I2840" s="941"/>
      <c r="J2840" s="435" t="str">
        <f t="shared" si="212"/>
        <v>LT</v>
      </c>
      <c r="K2840" s="673">
        <v>1</v>
      </c>
      <c r="L2840" s="1134">
        <f t="shared" si="213"/>
        <v>46</v>
      </c>
      <c r="M2840" s="941"/>
      <c r="N2840" s="430">
        <f t="shared" si="214"/>
        <v>46</v>
      </c>
      <c r="O2840" s="362"/>
    </row>
    <row r="2841" spans="1:15" ht="15.75" customHeight="1">
      <c r="A2841" s="395">
        <f t="array" ref="A2841">IF(C2841&lt;&gt;0,INDEX(CodMat,MATCH(C2841,Materiales,0),),)</f>
        <v>0</v>
      </c>
      <c r="B2841" s="399"/>
      <c r="C2841" s="1128"/>
      <c r="D2841" s="940"/>
      <c r="E2841" s="940"/>
      <c r="F2841" s="940"/>
      <c r="G2841" s="940"/>
      <c r="H2841" s="940"/>
      <c r="I2841" s="941"/>
      <c r="J2841" s="435" t="str">
        <f t="shared" si="212"/>
        <v/>
      </c>
      <c r="K2841" s="673"/>
      <c r="L2841" s="1134" t="str">
        <f t="shared" si="213"/>
        <v/>
      </c>
      <c r="M2841" s="941"/>
      <c r="N2841" s="430" t="str">
        <f t="shared" si="214"/>
        <v/>
      </c>
      <c r="O2841" s="362"/>
    </row>
    <row r="2842" spans="1:15" ht="15.75" customHeight="1">
      <c r="A2842" s="395">
        <f t="array" ref="A2842">IF(C2842&lt;&gt;0,INDEX(CodMat,MATCH(C2842,Materiales,0),),)</f>
        <v>0</v>
      </c>
      <c r="B2842" s="399"/>
      <c r="C2842" s="1128"/>
      <c r="D2842" s="940"/>
      <c r="E2842" s="940"/>
      <c r="F2842" s="940"/>
      <c r="G2842" s="940"/>
      <c r="H2842" s="940"/>
      <c r="I2842" s="941"/>
      <c r="J2842" s="435" t="str">
        <f t="shared" si="212"/>
        <v/>
      </c>
      <c r="K2842" s="673"/>
      <c r="L2842" s="1134" t="str">
        <f t="shared" si="213"/>
        <v/>
      </c>
      <c r="M2842" s="941"/>
      <c r="N2842" s="430" t="str">
        <f t="shared" si="214"/>
        <v/>
      </c>
      <c r="O2842" s="362"/>
    </row>
    <row r="2843" spans="1:15" ht="15.75" customHeight="1">
      <c r="A2843" s="395">
        <f t="array" ref="A2843">IF(C2843&lt;&gt;0,INDEX(CodMat,MATCH(C2843,Materiales,0),),)</f>
        <v>0</v>
      </c>
      <c r="B2843" s="399"/>
      <c r="C2843" s="1211"/>
      <c r="D2843" s="940"/>
      <c r="E2843" s="940"/>
      <c r="F2843" s="940"/>
      <c r="G2843" s="940"/>
      <c r="H2843" s="940"/>
      <c r="I2843" s="941"/>
      <c r="J2843" s="435" t="str">
        <f t="shared" si="212"/>
        <v/>
      </c>
      <c r="K2843" s="673"/>
      <c r="L2843" s="1134" t="str">
        <f t="shared" si="213"/>
        <v/>
      </c>
      <c r="M2843" s="941"/>
      <c r="N2843" s="430" t="str">
        <f t="shared" si="214"/>
        <v/>
      </c>
      <c r="O2843" s="362"/>
    </row>
    <row r="2844" spans="1:15" ht="15.75" customHeight="1">
      <c r="A2844" s="395">
        <f t="array" ref="A2844">IF(C2844&lt;&gt;0,INDEX(CodMat,MATCH(C2844,Materiales,0),),)</f>
        <v>0</v>
      </c>
      <c r="B2844" s="399"/>
      <c r="C2844" s="1128"/>
      <c r="D2844" s="940"/>
      <c r="E2844" s="940"/>
      <c r="F2844" s="940"/>
      <c r="G2844" s="940"/>
      <c r="H2844" s="940"/>
      <c r="I2844" s="941"/>
      <c r="J2844" s="435" t="str">
        <f t="shared" si="212"/>
        <v/>
      </c>
      <c r="K2844" s="673"/>
      <c r="L2844" s="1134" t="str">
        <f t="shared" si="213"/>
        <v/>
      </c>
      <c r="M2844" s="941"/>
      <c r="N2844" s="430" t="str">
        <f t="shared" si="214"/>
        <v/>
      </c>
      <c r="O2844" s="362"/>
    </row>
    <row r="2845" spans="1:15" ht="15.75" customHeight="1">
      <c r="A2845" s="395">
        <f t="array" ref="A2845">IF(C2845&lt;&gt;0,INDEX(CodMat,MATCH(C2845,Materiales,0),),)</f>
        <v>0</v>
      </c>
      <c r="B2845" s="399"/>
      <c r="C2845" s="1128"/>
      <c r="D2845" s="940"/>
      <c r="E2845" s="940"/>
      <c r="F2845" s="940"/>
      <c r="G2845" s="940"/>
      <c r="H2845" s="940"/>
      <c r="I2845" s="941"/>
      <c r="J2845" s="435" t="str">
        <f t="shared" si="212"/>
        <v/>
      </c>
      <c r="K2845" s="673"/>
      <c r="L2845" s="1205" t="str">
        <f t="shared" si="213"/>
        <v/>
      </c>
      <c r="M2845" s="1145"/>
      <c r="N2845" s="430" t="str">
        <f t="shared" si="214"/>
        <v/>
      </c>
      <c r="O2845" s="362"/>
    </row>
    <row r="2846" spans="1:15" ht="15.75" customHeight="1">
      <c r="A2846" s="395"/>
      <c r="B2846" s="399"/>
      <c r="C2846" s="1127" t="s">
        <v>1202</v>
      </c>
      <c r="D2846" s="965"/>
      <c r="E2846" s="965"/>
      <c r="F2846" s="965"/>
      <c r="G2846" s="965"/>
      <c r="H2846" s="965"/>
      <c r="I2846" s="965"/>
      <c r="J2846" s="965"/>
      <c r="K2846" s="965"/>
      <c r="L2846" s="965"/>
      <c r="M2846" s="966"/>
      <c r="N2846" s="433">
        <f>+SUM(N2838:N2845)</f>
        <v>10726</v>
      </c>
      <c r="O2846" s="362"/>
    </row>
    <row r="2847" spans="1:15" ht="15.75" customHeight="1">
      <c r="A2847" s="395"/>
      <c r="B2847" s="399"/>
      <c r="C2847" s="1129" t="s">
        <v>1208</v>
      </c>
      <c r="D2847" s="926"/>
      <c r="E2847" s="926"/>
      <c r="F2847" s="926"/>
      <c r="G2847" s="926"/>
      <c r="H2847" s="926"/>
      <c r="I2847" s="926"/>
      <c r="J2847" s="926"/>
      <c r="K2847" s="926"/>
      <c r="L2847" s="926"/>
      <c r="M2847" s="926"/>
      <c r="N2847" s="927"/>
      <c r="O2847" s="362"/>
    </row>
    <row r="2848" spans="1:15" ht="15.75" customHeight="1">
      <c r="A2848" s="395"/>
      <c r="B2848" s="399"/>
      <c r="C2848" s="920"/>
      <c r="D2848" s="922"/>
      <c r="E2848" s="922"/>
      <c r="F2848" s="922"/>
      <c r="G2848" s="922"/>
      <c r="H2848" s="922"/>
      <c r="I2848" s="922"/>
      <c r="J2848" s="922"/>
      <c r="K2848" s="922"/>
      <c r="L2848" s="922"/>
      <c r="M2848" s="922"/>
      <c r="N2848" s="924"/>
      <c r="O2848" s="362"/>
    </row>
    <row r="2849" spans="1:15" ht="15.75" customHeight="1">
      <c r="A2849" s="395"/>
      <c r="B2849" s="399"/>
      <c r="C2849" s="929"/>
      <c r="D2849" s="936"/>
      <c r="E2849" s="936"/>
      <c r="F2849" s="936"/>
      <c r="G2849" s="936"/>
      <c r="H2849" s="936"/>
      <c r="I2849" s="936"/>
      <c r="J2849" s="936"/>
      <c r="K2849" s="936"/>
      <c r="L2849" s="936"/>
      <c r="M2849" s="936"/>
      <c r="N2849" s="938"/>
      <c r="O2849" s="362"/>
    </row>
    <row r="2850" spans="1:15" ht="15.75" customHeight="1">
      <c r="A2850" s="395"/>
      <c r="B2850" s="399"/>
      <c r="C2850" s="1201" t="s">
        <v>1209</v>
      </c>
      <c r="D2850" s="1131"/>
      <c r="E2850" s="1131"/>
      <c r="F2850" s="1131"/>
      <c r="G2850" s="1131"/>
      <c r="H2850" s="1000"/>
      <c r="I2850" s="670" t="s">
        <v>1210</v>
      </c>
      <c r="J2850" s="674" t="s">
        <v>1211</v>
      </c>
      <c r="K2850" s="675" t="s">
        <v>2318</v>
      </c>
      <c r="L2850" s="1204" t="s">
        <v>1213</v>
      </c>
      <c r="M2850" s="1000"/>
      <c r="N2850" s="671" t="s">
        <v>1200</v>
      </c>
      <c r="O2850" s="362"/>
    </row>
    <row r="2851" spans="1:15" ht="15.75" customHeight="1">
      <c r="A2851" s="395">
        <f t="array" ref="A2851">IF(C2851&lt;&gt;0,INDEX(CodTransporte,MATCH(C2851,Transporte,0),),)</f>
        <v>0</v>
      </c>
      <c r="B2851" s="399"/>
      <c r="C2851" s="1128"/>
      <c r="D2851" s="940"/>
      <c r="E2851" s="940"/>
      <c r="F2851" s="940"/>
      <c r="G2851" s="940"/>
      <c r="H2851" s="940"/>
      <c r="I2851" s="440"/>
      <c r="J2851" s="441" t="str">
        <f>IF($A2851&gt;0,(VLOOKUP($A2851,TablaTransporte,6,FALSE)),"")</f>
        <v/>
      </c>
      <c r="K2851" s="442" t="str">
        <f>IF($A2851&gt;0,(VLOOKUP($A2851,TablaTransporte,5,FALSE)),"")</f>
        <v/>
      </c>
      <c r="L2851" s="1134" t="str">
        <f>IF($A2851&gt;0,(VLOOKUP($A2851,TablaTransporte,7,FALSE)),"")</f>
        <v/>
      </c>
      <c r="M2851" s="941"/>
      <c r="N2851" s="430" t="str">
        <f t="shared" ref="N2851:N2855" si="215">IF(I2851&gt;0,J2851*L2851*I2851,"")</f>
        <v/>
      </c>
      <c r="O2851" s="362"/>
    </row>
    <row r="2852" spans="1:15" ht="15.75" customHeight="1">
      <c r="A2852" s="395">
        <f t="array" ref="A2852">IF(C2852&lt;&gt;0,INDEX(CodTransporte,MATCH(C2852,Transporte,0),),)</f>
        <v>0</v>
      </c>
      <c r="B2852" s="399"/>
      <c r="C2852" s="1128"/>
      <c r="D2852" s="940"/>
      <c r="E2852" s="940"/>
      <c r="F2852" s="940"/>
      <c r="G2852" s="940"/>
      <c r="H2852" s="940"/>
      <c r="I2852" s="440"/>
      <c r="J2852" s="441" t="str">
        <f>IF($A2852&gt;0,(VLOOKUP($A2852,TablaTransporte,6,FALSE)),"")</f>
        <v/>
      </c>
      <c r="K2852" s="442" t="str">
        <f>IF($A2852&gt;0,(VLOOKUP($A2852,TablaTransporte,5,FALSE)),"")</f>
        <v/>
      </c>
      <c r="L2852" s="1134" t="str">
        <f>IF($A2852&gt;0,(VLOOKUP($A2852,TablaTransporte,7,FALSE)),"")</f>
        <v/>
      </c>
      <c r="M2852" s="941"/>
      <c r="N2852" s="430" t="str">
        <f t="shared" si="215"/>
        <v/>
      </c>
      <c r="O2852" s="362"/>
    </row>
    <row r="2853" spans="1:15" ht="15.75" customHeight="1">
      <c r="A2853" s="395">
        <f t="array" ref="A2853">IF(C2853&lt;&gt;0,INDEX(CodTransporte,MATCH(C2853,Transporte,0),),)</f>
        <v>0</v>
      </c>
      <c r="B2853" s="399"/>
      <c r="C2853" s="1128"/>
      <c r="D2853" s="940"/>
      <c r="E2853" s="940"/>
      <c r="F2853" s="940"/>
      <c r="G2853" s="940"/>
      <c r="H2853" s="940"/>
      <c r="I2853" s="440"/>
      <c r="J2853" s="441" t="str">
        <f>IF($A2853&gt;0,(VLOOKUP($A2853,TablaTransporte,6,FALSE)),"")</f>
        <v/>
      </c>
      <c r="K2853" s="442" t="str">
        <f>IF($A2853&gt;0,(VLOOKUP($A2853,TablaTransporte,5,FALSE)),"")</f>
        <v/>
      </c>
      <c r="L2853" s="1134" t="str">
        <f>IF($A2853&gt;0,(VLOOKUP($A2853,TablaTransporte,7,FALSE)),"")</f>
        <v/>
      </c>
      <c r="M2853" s="941"/>
      <c r="N2853" s="430" t="str">
        <f t="shared" si="215"/>
        <v/>
      </c>
      <c r="O2853" s="362"/>
    </row>
    <row r="2854" spans="1:15" ht="15.75" customHeight="1">
      <c r="A2854" s="395">
        <f t="array" ref="A2854">IF(C2854&lt;&gt;0,INDEX(CodTransporte,MATCH(C2854,Transporte,0),),)</f>
        <v>0</v>
      </c>
      <c r="B2854" s="399"/>
      <c r="C2854" s="1128"/>
      <c r="D2854" s="940"/>
      <c r="E2854" s="940"/>
      <c r="F2854" s="940"/>
      <c r="G2854" s="940"/>
      <c r="H2854" s="940"/>
      <c r="I2854" s="440"/>
      <c r="J2854" s="441" t="str">
        <f>IF($A2854&gt;0,(VLOOKUP($A2854,TablaTransporte,6,FALSE)),"")</f>
        <v/>
      </c>
      <c r="K2854" s="442" t="str">
        <f>IF($A2854&gt;0,(VLOOKUP($A2854,TablaTransporte,5,FALSE)),"")</f>
        <v/>
      </c>
      <c r="L2854" s="1134" t="str">
        <f>IF($A2854&gt;0,(VLOOKUP($A2854,TablaTransporte,7,FALSE)),"")</f>
        <v/>
      </c>
      <c r="M2854" s="941"/>
      <c r="N2854" s="430" t="str">
        <f t="shared" si="215"/>
        <v/>
      </c>
      <c r="O2854" s="362"/>
    </row>
    <row r="2855" spans="1:15" ht="15.75" customHeight="1">
      <c r="A2855" s="395">
        <f t="array" ref="A2855">IF(C2855&lt;&gt;0,INDEX(CodTransporte,MATCH(C2855,Transporte,0),),)</f>
        <v>0</v>
      </c>
      <c r="B2855" s="399"/>
      <c r="C2855" s="1128"/>
      <c r="D2855" s="940"/>
      <c r="E2855" s="940"/>
      <c r="F2855" s="940"/>
      <c r="G2855" s="940"/>
      <c r="H2855" s="940"/>
      <c r="I2855" s="440"/>
      <c r="J2855" s="441" t="str">
        <f>IF($A2855&gt;0,(VLOOKUP($A2855,TablaTransporte,6,FALSE)),"")</f>
        <v/>
      </c>
      <c r="K2855" s="442" t="str">
        <f>IF($A2855&gt;0,(VLOOKUP($A2855,TablaTransporte,5,FALSE)),"")</f>
        <v/>
      </c>
      <c r="L2855" s="1205" t="str">
        <f>IF($A2855&gt;0,(VLOOKUP($A2855,TablaTransporte,7,FALSE)),"")</f>
        <v/>
      </c>
      <c r="M2855" s="1145"/>
      <c r="N2855" s="430" t="str">
        <f t="shared" si="215"/>
        <v/>
      </c>
      <c r="O2855" s="362"/>
    </row>
    <row r="2856" spans="1:15" ht="15.75" customHeight="1">
      <c r="A2856" s="395"/>
      <c r="B2856" s="399"/>
      <c r="C2856" s="1127" t="s">
        <v>1202</v>
      </c>
      <c r="D2856" s="965"/>
      <c r="E2856" s="965"/>
      <c r="F2856" s="965"/>
      <c r="G2856" s="965"/>
      <c r="H2856" s="965"/>
      <c r="I2856" s="965"/>
      <c r="J2856" s="965"/>
      <c r="K2856" s="965"/>
      <c r="L2856" s="965"/>
      <c r="M2856" s="966"/>
      <c r="N2856" s="433">
        <f>+SUM(N2851:N2855)</f>
        <v>0</v>
      </c>
      <c r="O2856" s="362"/>
    </row>
    <row r="2857" spans="1:15" ht="15.75" customHeight="1">
      <c r="A2857" s="395"/>
      <c r="B2857" s="399"/>
      <c r="C2857" s="1129" t="s">
        <v>1214</v>
      </c>
      <c r="D2857" s="926"/>
      <c r="E2857" s="926"/>
      <c r="F2857" s="926"/>
      <c r="G2857" s="926"/>
      <c r="H2857" s="926"/>
      <c r="I2857" s="926"/>
      <c r="J2857" s="926"/>
      <c r="K2857" s="926"/>
      <c r="L2857" s="926"/>
      <c r="M2857" s="926"/>
      <c r="N2857" s="927"/>
      <c r="O2857" s="362"/>
    </row>
    <row r="2858" spans="1:15" ht="15.75" customHeight="1">
      <c r="A2858" s="395"/>
      <c r="B2858" s="399"/>
      <c r="C2858" s="920"/>
      <c r="D2858" s="922"/>
      <c r="E2858" s="922"/>
      <c r="F2858" s="922"/>
      <c r="G2858" s="922"/>
      <c r="H2858" s="922"/>
      <c r="I2858" s="922"/>
      <c r="J2858" s="922"/>
      <c r="K2858" s="922"/>
      <c r="L2858" s="922"/>
      <c r="M2858" s="922"/>
      <c r="N2858" s="924"/>
      <c r="O2858" s="362"/>
    </row>
    <row r="2859" spans="1:15" ht="15.75" customHeight="1">
      <c r="A2859" s="395"/>
      <c r="B2859" s="399"/>
      <c r="C2859" s="929"/>
      <c r="D2859" s="936"/>
      <c r="E2859" s="936"/>
      <c r="F2859" s="936"/>
      <c r="G2859" s="936"/>
      <c r="H2859" s="936"/>
      <c r="I2859" s="936"/>
      <c r="J2859" s="936"/>
      <c r="K2859" s="936"/>
      <c r="L2859" s="936"/>
      <c r="M2859" s="936"/>
      <c r="N2859" s="938"/>
      <c r="O2859" s="362"/>
    </row>
    <row r="2860" spans="1:15" ht="15.75" customHeight="1">
      <c r="A2860" s="395"/>
      <c r="B2860" s="399"/>
      <c r="C2860" s="1201" t="s">
        <v>1215</v>
      </c>
      <c r="D2860" s="1131"/>
      <c r="E2860" s="1131"/>
      <c r="F2860" s="1131"/>
      <c r="G2860" s="1131"/>
      <c r="H2860" s="1000"/>
      <c r="I2860" s="670" t="s">
        <v>1216</v>
      </c>
      <c r="J2860" s="676" t="s">
        <v>1217</v>
      </c>
      <c r="K2860" s="677" t="s">
        <v>1218</v>
      </c>
      <c r="L2860" s="1206" t="s">
        <v>1199</v>
      </c>
      <c r="M2860" s="1000"/>
      <c r="N2860" s="678" t="s">
        <v>1200</v>
      </c>
      <c r="O2860" s="362"/>
    </row>
    <row r="2861" spans="1:15" ht="15.75" customHeight="1">
      <c r="A2861" s="395" t="str">
        <f t="array" ref="A2861">IF(C2861&lt;&gt;0,INDEX(CodMO,MATCH(C2861,MO,0),),)</f>
        <v>M.O-05</v>
      </c>
      <c r="B2861" s="399"/>
      <c r="C2861" s="1128" t="s">
        <v>139</v>
      </c>
      <c r="D2861" s="940"/>
      <c r="E2861" s="940"/>
      <c r="F2861" s="940"/>
      <c r="G2861" s="940"/>
      <c r="H2861" s="940"/>
      <c r="I2861" s="447">
        <f>IF($A2861&gt;0,(VLOOKUP($A2861,TablaMO,8,FALSE)),"")</f>
        <v>125030.16666666667</v>
      </c>
      <c r="J2861" s="448">
        <f>IF($A2861&gt;0,(VLOOKUP($A2861,TablaMO,10,FALSE)),"")</f>
        <v>0.67071666666666663</v>
      </c>
      <c r="K2861" s="447">
        <f>IF($A2861&gt;0,(VLOOKUP($A2861,TablaMO,11,FALSE)),"")</f>
        <v>208890</v>
      </c>
      <c r="L2861" s="1146">
        <v>35.800748130438528</v>
      </c>
      <c r="M2861" s="941"/>
      <c r="N2861" s="430">
        <f t="shared" ref="N2861:N2865" si="216">IF(L2861&gt;0,K2861/L2861,"")</f>
        <v>5834.7942685141106</v>
      </c>
      <c r="O2861" s="362"/>
    </row>
    <row r="2862" spans="1:15" ht="15.75" customHeight="1">
      <c r="A2862" s="395" t="str">
        <f t="array" ref="A2862">IF(C2862&lt;&gt;0,INDEX(CodMO,MATCH(C2862,MO,0),),)</f>
        <v>M.O-01</v>
      </c>
      <c r="B2862" s="399"/>
      <c r="C2862" s="1128" t="s">
        <v>130</v>
      </c>
      <c r="D2862" s="940"/>
      <c r="E2862" s="940"/>
      <c r="F2862" s="940"/>
      <c r="G2862" s="940"/>
      <c r="H2862" s="940"/>
      <c r="I2862" s="447">
        <f>IF($A2862&gt;0,(VLOOKUP($A2862,TablaMO,8,FALSE)),"")</f>
        <v>72503.016666666677</v>
      </c>
      <c r="J2862" s="448">
        <f>IF($A2862&gt;0,(VLOOKUP($A2862,TablaMO,10,FALSE)),"")</f>
        <v>0.67071666666666663</v>
      </c>
      <c r="K2862" s="447">
        <f>IF($A2862&gt;0,(VLOOKUP($A2862,TablaMO,11,FALSE)),"")</f>
        <v>121132</v>
      </c>
      <c r="L2862" s="1146">
        <f>L2861</f>
        <v>35.800748130438528</v>
      </c>
      <c r="M2862" s="941"/>
      <c r="N2862" s="430">
        <f t="shared" si="216"/>
        <v>3383.5047122104997</v>
      </c>
      <c r="O2862" s="362"/>
    </row>
    <row r="2863" spans="1:15" ht="15.75" customHeight="1">
      <c r="A2863" s="395">
        <f t="array" ref="A2863">IF(C2863&lt;&gt;0,INDEX(CodMO,MATCH(C2863,MO,0),),)</f>
        <v>0</v>
      </c>
      <c r="B2863" s="399"/>
      <c r="C2863" s="1128"/>
      <c r="D2863" s="940"/>
      <c r="E2863" s="940"/>
      <c r="F2863" s="940"/>
      <c r="G2863" s="940"/>
      <c r="H2863" s="940"/>
      <c r="I2863" s="447" t="str">
        <f>IF($A2863&gt;0,(VLOOKUP($A2863,TablaMO,8,FALSE)),"")</f>
        <v/>
      </c>
      <c r="J2863" s="448" t="str">
        <f>IF($A2863&gt;0,(VLOOKUP($A2863,TablaMO,10,FALSE)),"")</f>
        <v/>
      </c>
      <c r="K2863" s="447" t="str">
        <f>IF($A2863&gt;0,(VLOOKUP($A2863,TablaMO,11,FALSE)),"")</f>
        <v/>
      </c>
      <c r="L2863" s="1146"/>
      <c r="M2863" s="941"/>
      <c r="N2863" s="430" t="str">
        <f t="shared" si="216"/>
        <v/>
      </c>
      <c r="O2863" s="362"/>
    </row>
    <row r="2864" spans="1:15" ht="15.75" customHeight="1">
      <c r="A2864" s="395">
        <f t="array" ref="A2864">IF(C2864&lt;&gt;0,INDEX(CodMO,MATCH(C2864,MO,0),),)</f>
        <v>0</v>
      </c>
      <c r="B2864" s="399"/>
      <c r="C2864" s="1128"/>
      <c r="D2864" s="940"/>
      <c r="E2864" s="940"/>
      <c r="F2864" s="940"/>
      <c r="G2864" s="940"/>
      <c r="H2864" s="940"/>
      <c r="I2864" s="447" t="str">
        <f>IF($A2864&gt;0,(VLOOKUP($A2864,TablaMO,8,FALSE)),"")</f>
        <v/>
      </c>
      <c r="J2864" s="448" t="str">
        <f>IF($A2864&gt;0,(VLOOKUP($A2864,TablaMO,10,FALSE)),"")</f>
        <v/>
      </c>
      <c r="K2864" s="447" t="str">
        <f>IF($A2864&gt;0,(VLOOKUP($A2864,TablaMO,11,FALSE)),"")</f>
        <v/>
      </c>
      <c r="L2864" s="1146"/>
      <c r="M2864" s="941"/>
      <c r="N2864" s="430" t="str">
        <f t="shared" si="216"/>
        <v/>
      </c>
      <c r="O2864" s="362"/>
    </row>
    <row r="2865" spans="1:18" ht="15.75" customHeight="1">
      <c r="A2865" s="395">
        <f t="array" ref="A2865">IF(C2865&lt;&gt;0,INDEX(CodMO,MATCH(C2865,MO,0),),)</f>
        <v>0</v>
      </c>
      <c r="B2865" s="399"/>
      <c r="C2865" s="1128"/>
      <c r="D2865" s="940"/>
      <c r="E2865" s="940"/>
      <c r="F2865" s="940"/>
      <c r="G2865" s="940"/>
      <c r="H2865" s="940"/>
      <c r="I2865" s="447" t="str">
        <f>IF($A2865&gt;0,(VLOOKUP($A2865,TablaMO,8,FALSE)),"")</f>
        <v/>
      </c>
      <c r="J2865" s="448" t="str">
        <f>IF($A2865&gt;0,(VLOOKUP($A2865,TablaMO,10,FALSE)),"")</f>
        <v/>
      </c>
      <c r="K2865" s="447" t="str">
        <f>IF($A2865&gt;0,(VLOOKUP($A2865,TablaMO,11,FALSE)),"")</f>
        <v/>
      </c>
      <c r="L2865" s="1146"/>
      <c r="M2865" s="941"/>
      <c r="N2865" s="430" t="str">
        <f t="shared" si="216"/>
        <v/>
      </c>
      <c r="O2865" s="362"/>
    </row>
    <row r="2866" spans="1:18" ht="15.75" customHeight="1">
      <c r="A2866" s="395"/>
      <c r="B2866" s="399"/>
      <c r="C2866" s="1127" t="s">
        <v>1202</v>
      </c>
      <c r="D2866" s="965"/>
      <c r="E2866" s="965"/>
      <c r="F2866" s="965"/>
      <c r="G2866" s="965"/>
      <c r="H2866" s="965"/>
      <c r="I2866" s="965"/>
      <c r="J2866" s="965"/>
      <c r="K2866" s="965"/>
      <c r="L2866" s="965"/>
      <c r="M2866" s="966"/>
      <c r="N2866" s="433">
        <f>+SUM(N2861:N2865)</f>
        <v>9218.2989807246104</v>
      </c>
      <c r="O2866" s="362"/>
    </row>
    <row r="2867" spans="1:18" ht="15.75" customHeight="1">
      <c r="B2867" s="679"/>
      <c r="O2867" s="362"/>
    </row>
    <row r="2868" spans="1:18" ht="15.75" customHeight="1">
      <c r="B2868" s="679"/>
      <c r="C2868" s="1198" t="s">
        <v>1219</v>
      </c>
      <c r="D2868" s="965"/>
      <c r="E2868" s="965"/>
      <c r="F2868" s="965"/>
      <c r="G2868" s="965"/>
      <c r="H2868" s="965"/>
      <c r="I2868" s="965"/>
      <c r="J2868" s="965"/>
      <c r="K2868" s="965"/>
      <c r="L2868" s="965"/>
      <c r="M2868" s="966"/>
      <c r="N2868" s="680">
        <f>ROUND(SUM(N2866,N2856,N2846,N2833),0)</f>
        <v>30272</v>
      </c>
      <c r="O2868" s="362"/>
      <c r="Q2868" s="681">
        <f>VLOOKUP(C2822,PROPUESTASASERCO,8,FALSE)</f>
        <v>30272</v>
      </c>
      <c r="R2868" s="682">
        <f>Q2868-N2868</f>
        <v>0</v>
      </c>
    </row>
    <row r="2869" spans="1:18" ht="15.75" customHeight="1">
      <c r="B2869" s="679"/>
      <c r="C2869" s="1129" t="s">
        <v>1220</v>
      </c>
      <c r="D2869" s="926"/>
      <c r="E2869" s="926"/>
      <c r="F2869" s="926"/>
      <c r="G2869" s="926"/>
      <c r="H2869" s="926"/>
      <c r="I2869" s="926"/>
      <c r="J2869" s="926"/>
      <c r="K2869" s="926"/>
      <c r="L2869" s="926"/>
      <c r="M2869" s="926"/>
      <c r="N2869" s="927"/>
      <c r="O2869" s="362"/>
    </row>
    <row r="2870" spans="1:18" ht="15.75" customHeight="1">
      <c r="B2870" s="679"/>
      <c r="C2870" s="920"/>
      <c r="D2870" s="922"/>
      <c r="E2870" s="922"/>
      <c r="F2870" s="922"/>
      <c r="G2870" s="922"/>
      <c r="H2870" s="922"/>
      <c r="I2870" s="922"/>
      <c r="J2870" s="922"/>
      <c r="K2870" s="922"/>
      <c r="L2870" s="922"/>
      <c r="M2870" s="922"/>
      <c r="N2870" s="924"/>
      <c r="O2870" s="362"/>
    </row>
    <row r="2871" spans="1:18" ht="15.75" customHeight="1">
      <c r="B2871" s="679"/>
      <c r="C2871" s="929"/>
      <c r="D2871" s="936"/>
      <c r="E2871" s="936"/>
      <c r="F2871" s="936"/>
      <c r="G2871" s="936"/>
      <c r="H2871" s="936"/>
      <c r="I2871" s="936"/>
      <c r="J2871" s="936"/>
      <c r="K2871" s="936"/>
      <c r="L2871" s="936"/>
      <c r="M2871" s="936"/>
      <c r="N2871" s="938"/>
      <c r="O2871" s="362"/>
    </row>
    <row r="2872" spans="1:18" ht="15.75" customHeight="1">
      <c r="B2872" s="679"/>
      <c r="C2872" s="1201" t="s">
        <v>1221</v>
      </c>
      <c r="D2872" s="1131"/>
      <c r="E2872" s="1131"/>
      <c r="F2872" s="1131"/>
      <c r="G2872" s="1131"/>
      <c r="H2872" s="1132"/>
      <c r="I2872" s="674"/>
      <c r="J2872" s="674"/>
      <c r="K2872" s="674"/>
      <c r="L2872" s="1206" t="s">
        <v>1222</v>
      </c>
      <c r="M2872" s="1000"/>
      <c r="N2872" s="678" t="s">
        <v>1223</v>
      </c>
      <c r="O2872" s="362"/>
    </row>
    <row r="2873" spans="1:18" ht="15.75" customHeight="1">
      <c r="B2873" s="679"/>
      <c r="C2873" s="1128" t="s">
        <v>19</v>
      </c>
      <c r="D2873" s="940"/>
      <c r="E2873" s="940"/>
      <c r="F2873" s="940"/>
      <c r="G2873" s="940"/>
      <c r="H2873" s="940"/>
      <c r="I2873" s="452"/>
      <c r="J2873" s="452"/>
      <c r="K2873" s="452"/>
      <c r="L2873" s="1148">
        <f>+Datos!$E$18</f>
        <v>0.25</v>
      </c>
      <c r="M2873" s="941"/>
      <c r="N2873" s="430">
        <f>+L2873*N2868</f>
        <v>7568</v>
      </c>
      <c r="O2873" s="362"/>
    </row>
    <row r="2874" spans="1:18" ht="15.75" customHeight="1">
      <c r="B2874" s="679"/>
      <c r="C2874" s="454" t="s">
        <v>20</v>
      </c>
      <c r="D2874" s="455"/>
      <c r="E2874" s="455"/>
      <c r="F2874" s="455"/>
      <c r="G2874" s="455"/>
      <c r="H2874" s="455"/>
      <c r="I2874" s="452"/>
      <c r="J2874" s="452"/>
      <c r="K2874" s="452"/>
      <c r="L2874" s="1148">
        <f>+Datos!$E$19</f>
        <v>0.01</v>
      </c>
      <c r="M2874" s="941"/>
      <c r="N2874" s="430">
        <f>+L2874*N2868</f>
        <v>302.72000000000003</v>
      </c>
      <c r="O2874" s="362"/>
    </row>
    <row r="2875" spans="1:18" ht="15.75" customHeight="1">
      <c r="B2875" s="679"/>
      <c r="C2875" s="456" t="s">
        <v>21</v>
      </c>
      <c r="D2875" s="457"/>
      <c r="E2875" s="457"/>
      <c r="F2875" s="457"/>
      <c r="G2875" s="457"/>
      <c r="H2875" s="457"/>
      <c r="I2875" s="458"/>
      <c r="J2875" s="458"/>
      <c r="K2875" s="458"/>
      <c r="L2875" s="1148">
        <f>+Datos!$E$20</f>
        <v>0.05</v>
      </c>
      <c r="M2875" s="941"/>
      <c r="N2875" s="430">
        <f>+L2875*N2868</f>
        <v>1513.6000000000001</v>
      </c>
      <c r="O2875" s="362"/>
    </row>
    <row r="2876" spans="1:18" ht="15.75" customHeight="1">
      <c r="B2876" s="679"/>
      <c r="C2876" s="1127" t="s">
        <v>1202</v>
      </c>
      <c r="D2876" s="965"/>
      <c r="E2876" s="965"/>
      <c r="F2876" s="965"/>
      <c r="G2876" s="965"/>
      <c r="H2876" s="965"/>
      <c r="I2876" s="965"/>
      <c r="J2876" s="965"/>
      <c r="K2876" s="965"/>
      <c r="L2876" s="965"/>
      <c r="M2876" s="966"/>
      <c r="N2876" s="433">
        <f>+SUM(N2873:N2875)</f>
        <v>9384.32</v>
      </c>
      <c r="O2876" s="362"/>
    </row>
    <row r="2877" spans="1:18" ht="15.75" customHeight="1">
      <c r="B2877" s="679"/>
      <c r="C2877" s="418"/>
      <c r="D2877" s="39"/>
      <c r="E2877" s="39"/>
      <c r="F2877" s="39"/>
      <c r="G2877" s="39"/>
      <c r="H2877" s="39"/>
      <c r="I2877" s="39"/>
      <c r="J2877" s="39"/>
      <c r="K2877" s="39"/>
      <c r="L2877" s="39"/>
      <c r="M2877" s="39"/>
      <c r="N2877" s="40"/>
      <c r="O2877" s="362"/>
    </row>
    <row r="2878" spans="1:18" ht="15.75" customHeight="1">
      <c r="B2878" s="679"/>
      <c r="C2878" s="1198" t="s">
        <v>1224</v>
      </c>
      <c r="D2878" s="965"/>
      <c r="E2878" s="965"/>
      <c r="F2878" s="965"/>
      <c r="G2878" s="965"/>
      <c r="H2878" s="965"/>
      <c r="I2878" s="965"/>
      <c r="J2878" s="965"/>
      <c r="K2878" s="965"/>
      <c r="L2878" s="965"/>
      <c r="M2878" s="966"/>
      <c r="N2878" s="683">
        <f>+ROUND(SUM(N2876,N2868),0)</f>
        <v>39656</v>
      </c>
      <c r="O2878" s="362"/>
    </row>
    <row r="2879" spans="1:18" ht="15.75" customHeight="1">
      <c r="B2879" s="679"/>
      <c r="C2879" s="418"/>
      <c r="D2879" s="39" t="s">
        <v>1225</v>
      </c>
      <c r="E2879" s="39"/>
      <c r="F2879" s="39"/>
      <c r="G2879" s="184"/>
      <c r="H2879" s="184"/>
      <c r="I2879" s="184"/>
      <c r="J2879" s="39" t="s">
        <v>1225</v>
      </c>
      <c r="K2879" s="39"/>
      <c r="L2879" s="39"/>
      <c r="M2879" s="39"/>
      <c r="N2879" s="40"/>
      <c r="O2879" s="362"/>
    </row>
    <row r="2880" spans="1:18" ht="15.75" customHeight="1">
      <c r="B2880" s="679"/>
      <c r="C2880" s="418"/>
      <c r="D2880" s="39" t="s">
        <v>1226</v>
      </c>
      <c r="E2880" s="39"/>
      <c r="F2880" s="39"/>
      <c r="G2880" s="184"/>
      <c r="H2880" s="184"/>
      <c r="I2880" s="184"/>
      <c r="J2880" s="39" t="s">
        <v>1227</v>
      </c>
      <c r="K2880" s="39"/>
      <c r="L2880" s="39"/>
      <c r="M2880" s="39"/>
      <c r="N2880" s="40"/>
      <c r="O2880" s="362"/>
    </row>
    <row r="2881" spans="1:15" ht="15.75" customHeight="1">
      <c r="B2881" s="679"/>
      <c r="C2881" s="404"/>
      <c r="D2881" s="39" t="s">
        <v>1228</v>
      </c>
      <c r="E2881" s="42"/>
      <c r="F2881" s="42"/>
      <c r="G2881" s="184"/>
      <c r="H2881" s="184"/>
      <c r="I2881" s="184"/>
      <c r="J2881" s="39" t="s">
        <v>1228</v>
      </c>
      <c r="K2881" s="42"/>
      <c r="L2881" s="42"/>
      <c r="M2881" s="42"/>
      <c r="N2881" s="43"/>
      <c r="O2881" s="362"/>
    </row>
    <row r="2882" spans="1:15" ht="15.75" customHeight="1">
      <c r="B2882" s="679"/>
      <c r="C2882" s="418"/>
      <c r="D2882" s="39"/>
      <c r="E2882" s="39"/>
      <c r="F2882" s="39"/>
      <c r="G2882" s="39" t="s">
        <v>1229</v>
      </c>
      <c r="H2882" s="39"/>
      <c r="I2882" s="39"/>
      <c r="J2882" s="39"/>
      <c r="K2882" s="39"/>
      <c r="L2882" s="39"/>
      <c r="M2882" s="39"/>
      <c r="N2882" s="40"/>
      <c r="O2882" s="362"/>
    </row>
    <row r="2883" spans="1:15" ht="15.75" customHeight="1">
      <c r="B2883" s="679"/>
      <c r="C2883" s="466"/>
      <c r="D2883" s="467"/>
      <c r="E2883" s="467"/>
      <c r="F2883" s="39"/>
      <c r="G2883" s="39"/>
      <c r="H2883" s="39"/>
      <c r="I2883" s="39"/>
      <c r="J2883" s="1149"/>
      <c r="K2883" s="922"/>
      <c r="L2883" s="922"/>
      <c r="M2883" s="922"/>
      <c r="N2883" s="924"/>
      <c r="O2883" s="362"/>
    </row>
    <row r="2884" spans="1:15" ht="15.75" customHeight="1">
      <c r="B2884" s="679"/>
      <c r="C2884" s="1150"/>
      <c r="D2884" s="936"/>
      <c r="E2884" s="936"/>
      <c r="F2884" s="416"/>
      <c r="G2884" s="416"/>
      <c r="H2884" s="416"/>
      <c r="I2884" s="416"/>
      <c r="J2884" s="936"/>
      <c r="K2884" s="936"/>
      <c r="L2884" s="936"/>
      <c r="M2884" s="936"/>
      <c r="N2884" s="938"/>
      <c r="O2884" s="362"/>
    </row>
    <row r="2885" spans="1:15" ht="15.75" customHeight="1">
      <c r="B2885" s="684"/>
      <c r="C2885" s="685"/>
      <c r="D2885" s="685"/>
      <c r="E2885" s="685"/>
      <c r="F2885" s="685"/>
      <c r="G2885" s="685"/>
      <c r="H2885" s="685"/>
      <c r="I2885" s="685"/>
      <c r="J2885" s="685"/>
      <c r="K2885" s="685"/>
      <c r="L2885" s="685"/>
      <c r="M2885" s="685"/>
      <c r="N2885" s="685"/>
      <c r="O2885" s="686"/>
    </row>
    <row r="2886" spans="1:15" ht="15.75" customHeight="1"/>
    <row r="2887" spans="1:15" ht="15.75" customHeight="1"/>
    <row r="2888" spans="1:15" ht="15.75" customHeight="1"/>
    <row r="2889" spans="1:15" ht="15.75" customHeight="1">
      <c r="A2889" s="395" t="s">
        <v>941</v>
      </c>
      <c r="B2889" s="184"/>
      <c r="C2889" s="184"/>
      <c r="D2889" s="184"/>
      <c r="E2889" s="184"/>
      <c r="F2889" s="184"/>
      <c r="G2889" s="184"/>
      <c r="H2889" s="184"/>
      <c r="I2889" s="184"/>
      <c r="J2889" s="184"/>
      <c r="K2889" s="184"/>
      <c r="L2889" s="184"/>
      <c r="M2889" s="184"/>
      <c r="N2889" s="184"/>
    </row>
    <row r="2890" spans="1:15" ht="15.75" customHeight="1">
      <c r="A2890" s="395"/>
      <c r="B2890" s="396"/>
      <c r="C2890" s="397"/>
      <c r="D2890" s="397"/>
      <c r="E2890" s="397"/>
      <c r="F2890" s="397"/>
      <c r="G2890" s="397"/>
      <c r="H2890" s="397"/>
      <c r="I2890" s="397"/>
      <c r="J2890" s="397"/>
      <c r="K2890" s="397"/>
      <c r="L2890" s="397"/>
      <c r="M2890" s="397"/>
      <c r="N2890" s="397"/>
      <c r="O2890" s="667"/>
    </row>
    <row r="2891" spans="1:15" ht="15.75" customHeight="1">
      <c r="A2891" s="395"/>
      <c r="B2891" s="399"/>
      <c r="C2891" s="1124"/>
      <c r="D2891" s="927"/>
      <c r="E2891" s="1207" t="str">
        <f>Datos!$C$9</f>
        <v>CONSEJO SUPERIOR  DE  JUDICATURA– DIRECCIÓN  EJECUTIVA  SECCIONAL  DE ADMINISTRACIÓN JUDICIAL DE BUCARAMANGA</v>
      </c>
      <c r="F2891" s="926"/>
      <c r="G2891" s="926"/>
      <c r="H2891" s="926"/>
      <c r="I2891" s="926"/>
      <c r="J2891" s="926"/>
      <c r="K2891" s="927"/>
      <c r="L2891" s="925" t="s">
        <v>1</v>
      </c>
      <c r="M2891" s="931"/>
      <c r="N2891" s="933">
        <v>1</v>
      </c>
      <c r="O2891" s="362"/>
    </row>
    <row r="2892" spans="1:15" ht="15.75" customHeight="1">
      <c r="A2892" s="395"/>
      <c r="B2892" s="399"/>
      <c r="C2892" s="920"/>
      <c r="D2892" s="924"/>
      <c r="E2892" s="920"/>
      <c r="F2892" s="922"/>
      <c r="G2892" s="922"/>
      <c r="H2892" s="922"/>
      <c r="I2892" s="922"/>
      <c r="J2892" s="922"/>
      <c r="K2892" s="924"/>
      <c r="L2892" s="920"/>
      <c r="M2892" s="932"/>
      <c r="N2892" s="934"/>
      <c r="O2892" s="362"/>
    </row>
    <row r="2893" spans="1:15" ht="15.75" customHeight="1">
      <c r="A2893" s="395"/>
      <c r="B2893" s="399"/>
      <c r="C2893" s="920"/>
      <c r="D2893" s="924"/>
      <c r="E2893" s="919" t="str">
        <f>Datos!$C$13</f>
        <v xml:space="preserve">BGA - 030 - 2026 </v>
      </c>
      <c r="F2893" s="922"/>
      <c r="G2893" s="922"/>
      <c r="H2893" s="922"/>
      <c r="I2893" s="922"/>
      <c r="J2893" s="922"/>
      <c r="K2893" s="922"/>
      <c r="L2893" s="925" t="s">
        <v>29</v>
      </c>
      <c r="M2893" s="926"/>
      <c r="N2893" s="927"/>
      <c r="O2893" s="362"/>
    </row>
    <row r="2894" spans="1:15" ht="15.75" customHeight="1">
      <c r="A2894" s="395"/>
      <c r="B2894" s="399"/>
      <c r="C2894" s="920"/>
      <c r="D2894" s="924"/>
      <c r="E2894"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894" s="922"/>
      <c r="G2894" s="922"/>
      <c r="H2894" s="922"/>
      <c r="I2894" s="922"/>
      <c r="J2894" s="922"/>
      <c r="K2894" s="924"/>
      <c r="L2894" s="919">
        <v>1</v>
      </c>
      <c r="M2894" s="921" t="s">
        <v>30</v>
      </c>
      <c r="N2894" s="923">
        <v>1</v>
      </c>
      <c r="O2894" s="362"/>
    </row>
    <row r="2895" spans="1:15" ht="15.75" customHeight="1">
      <c r="A2895" s="395"/>
      <c r="B2895" s="399"/>
      <c r="C2895" s="920"/>
      <c r="D2895" s="924"/>
      <c r="E2895" s="920"/>
      <c r="F2895" s="922"/>
      <c r="G2895" s="922"/>
      <c r="H2895" s="922"/>
      <c r="I2895" s="922"/>
      <c r="J2895" s="922"/>
      <c r="K2895" s="924"/>
      <c r="L2895" s="920"/>
      <c r="M2895" s="922"/>
      <c r="N2895" s="924"/>
      <c r="O2895" s="362"/>
    </row>
    <row r="2896" spans="1:15" ht="49.5" customHeight="1">
      <c r="A2896" s="395"/>
      <c r="B2896" s="399"/>
      <c r="C2896" s="920"/>
      <c r="D2896" s="924"/>
      <c r="E2896" s="920"/>
      <c r="F2896" s="922"/>
      <c r="G2896" s="922"/>
      <c r="H2896" s="922"/>
      <c r="I2896" s="922"/>
      <c r="J2896" s="922"/>
      <c r="K2896" s="924"/>
      <c r="L2896" s="925" t="s">
        <v>2</v>
      </c>
      <c r="M2896" s="926"/>
      <c r="N2896" s="927"/>
      <c r="O2896" s="362"/>
    </row>
    <row r="2897" spans="1:15" ht="15.75" customHeight="1">
      <c r="A2897" s="395"/>
      <c r="B2897" s="399"/>
      <c r="C2897" s="920"/>
      <c r="D2897" s="924"/>
      <c r="E2897" s="407"/>
      <c r="F2897" s="216"/>
      <c r="G2897" s="216"/>
      <c r="H2897" s="216"/>
      <c r="I2897" s="216"/>
      <c r="J2897" s="216"/>
      <c r="K2897" s="216"/>
      <c r="L2897" s="408" t="s">
        <v>3</v>
      </c>
      <c r="M2897" s="409" t="s">
        <v>4</v>
      </c>
      <c r="N2897" s="410" t="s">
        <v>5</v>
      </c>
      <c r="O2897" s="362"/>
    </row>
    <row r="2898" spans="1:15" ht="15.75" customHeight="1">
      <c r="A2898" s="395"/>
      <c r="B2898" s="399"/>
      <c r="C2898" s="920"/>
      <c r="D2898" s="924"/>
      <c r="E2898" s="1125" t="s">
        <v>1186</v>
      </c>
      <c r="F2898" s="945"/>
      <c r="G2898" s="945"/>
      <c r="H2898" s="945"/>
      <c r="I2898" s="945"/>
      <c r="J2898" s="945"/>
      <c r="K2898" s="945"/>
      <c r="L2898" s="928">
        <f>Datos!$C$7</f>
        <v>19</v>
      </c>
      <c r="M2898" s="935">
        <f>Datos!$D$7</f>
        <v>6</v>
      </c>
      <c r="N2898" s="937">
        <f>Datos!$E$7</f>
        <v>2026</v>
      </c>
      <c r="O2898" s="362"/>
    </row>
    <row r="2899" spans="1:15" ht="15.75" customHeight="1">
      <c r="A2899" s="395"/>
      <c r="B2899" s="399"/>
      <c r="C2899" s="929"/>
      <c r="D2899" s="938"/>
      <c r="E2899" s="929"/>
      <c r="F2899" s="936"/>
      <c r="G2899" s="936"/>
      <c r="H2899" s="936"/>
      <c r="I2899" s="936"/>
      <c r="J2899" s="936"/>
      <c r="K2899" s="936"/>
      <c r="L2899" s="929"/>
      <c r="M2899" s="936"/>
      <c r="N2899" s="938"/>
      <c r="O2899" s="362"/>
    </row>
    <row r="2900" spans="1:15" ht="15.75" customHeight="1">
      <c r="A2900" s="395"/>
      <c r="B2900" s="399"/>
      <c r="C2900" s="404"/>
      <c r="D2900" s="38"/>
      <c r="E2900" s="38"/>
      <c r="F2900" s="38"/>
      <c r="G2900" s="38"/>
      <c r="H2900" s="38"/>
      <c r="I2900" s="38"/>
      <c r="J2900" s="38"/>
      <c r="K2900" s="38"/>
      <c r="L2900" s="39"/>
      <c r="M2900" s="39"/>
      <c r="N2900" s="40"/>
      <c r="O2900" s="362"/>
    </row>
    <row r="2901" spans="1:15" ht="15.75" customHeight="1">
      <c r="A2901" s="395"/>
      <c r="B2901" s="399"/>
      <c r="C2901" s="412" t="s">
        <v>1187</v>
      </c>
      <c r="D2901" s="1199" t="str">
        <f>VLOOKUP(C2906,ListaAct,2,0)</f>
        <v>OBRA CIVIL</v>
      </c>
      <c r="E2901" s="922"/>
      <c r="F2901" s="922"/>
      <c r="G2901" s="922"/>
      <c r="H2901" s="922"/>
      <c r="I2901" s="922"/>
      <c r="J2901" s="922"/>
      <c r="K2901" s="922"/>
      <c r="L2901" s="922"/>
      <c r="M2901" s="1"/>
      <c r="N2901" s="413"/>
      <c r="O2901" s="362"/>
    </row>
    <row r="2902" spans="1:15" ht="15.75" customHeight="1">
      <c r="A2902" s="395"/>
      <c r="B2902" s="399"/>
      <c r="C2902" s="412" t="s">
        <v>1189</v>
      </c>
      <c r="D2902" s="1199" t="str">
        <f>VLOOKUP(C2906,ListaAct,3,0)</f>
        <v>ACABADOS</v>
      </c>
      <c r="E2902" s="922"/>
      <c r="F2902" s="922"/>
      <c r="G2902" s="922"/>
      <c r="H2902" s="922"/>
      <c r="I2902" s="922"/>
      <c r="J2902" s="922"/>
      <c r="K2902" s="922"/>
      <c r="L2902" s="922"/>
      <c r="M2902" s="1"/>
      <c r="N2902" s="413"/>
      <c r="O2902" s="362"/>
    </row>
    <row r="2903" spans="1:15" ht="15.75" customHeight="1">
      <c r="A2903" s="395"/>
      <c r="B2903" s="399"/>
      <c r="C2903" s="925" t="s">
        <v>1191</v>
      </c>
      <c r="D2903" s="926"/>
      <c r="E2903" s="926"/>
      <c r="F2903" s="926"/>
      <c r="G2903" s="926"/>
      <c r="H2903" s="926"/>
      <c r="I2903" s="926"/>
      <c r="J2903" s="926"/>
      <c r="K2903" s="926"/>
      <c r="L2903" s="926"/>
      <c r="M2903" s="926"/>
      <c r="N2903" s="927"/>
      <c r="O2903" s="362"/>
    </row>
    <row r="2904" spans="1:15" ht="15.75" customHeight="1">
      <c r="A2904" s="395"/>
      <c r="B2904" s="399"/>
      <c r="C2904" s="418"/>
      <c r="D2904" s="39"/>
      <c r="E2904" s="39"/>
      <c r="F2904" s="39"/>
      <c r="G2904" s="39"/>
      <c r="H2904" s="39"/>
      <c r="I2904" s="39"/>
      <c r="J2904" s="39"/>
      <c r="K2904" s="39"/>
      <c r="L2904" s="39"/>
      <c r="M2904" s="39"/>
      <c r="N2904" s="40"/>
      <c r="O2904" s="362"/>
    </row>
    <row r="2905" spans="1:15" ht="15.75" customHeight="1">
      <c r="A2905" s="395"/>
      <c r="B2905" s="399"/>
      <c r="C2905" s="668" t="s">
        <v>965</v>
      </c>
      <c r="D2905" s="1200" t="s">
        <v>17</v>
      </c>
      <c r="E2905" s="1131"/>
      <c r="F2905" s="1131"/>
      <c r="G2905" s="1131"/>
      <c r="H2905" s="1131"/>
      <c r="I2905" s="1131"/>
      <c r="J2905" s="1131"/>
      <c r="K2905" s="1137"/>
      <c r="L2905" s="1201" t="s">
        <v>1192</v>
      </c>
      <c r="M2905" s="1137"/>
      <c r="N2905" s="668" t="s">
        <v>950</v>
      </c>
      <c r="O2905" s="362"/>
    </row>
    <row r="2906" spans="1:15" ht="15.75" customHeight="1">
      <c r="A2906" s="395"/>
      <c r="B2906" s="421"/>
      <c r="C2906" s="669" t="s">
        <v>1093</v>
      </c>
      <c r="D2906" s="1202" t="str">
        <f>IF($C2906&gt;0,(VLOOKUP($C2906,ListaAct,4,FALSE)),"")</f>
        <v xml:space="preserve"> Reinstalacion de acabado de piso en fachaleta en gres según diseño actual. </v>
      </c>
      <c r="E2906" s="979"/>
      <c r="F2906" s="979"/>
      <c r="G2906" s="979"/>
      <c r="H2906" s="979"/>
      <c r="I2906" s="979"/>
      <c r="J2906" s="979"/>
      <c r="K2906" s="980"/>
      <c r="L2906" s="1203" t="str">
        <f>IF($C2906&gt;0,(VLOOKUP($C2906,ListaAct,5,FALSE)),"")</f>
        <v>ml</v>
      </c>
      <c r="M2906" s="980"/>
      <c r="N2906" s="423">
        <f>IF($C2906&gt;0,(VLOOKUP($C2906,ListaAct,6,FALSE)),"")</f>
        <v>2</v>
      </c>
      <c r="O2906" s="362"/>
    </row>
    <row r="2907" spans="1:15" ht="15.75" customHeight="1">
      <c r="A2907" s="395"/>
      <c r="B2907" s="399"/>
      <c r="C2907" s="1129" t="s">
        <v>1195</v>
      </c>
      <c r="D2907" s="926"/>
      <c r="E2907" s="926"/>
      <c r="F2907" s="926"/>
      <c r="G2907" s="926"/>
      <c r="H2907" s="926"/>
      <c r="I2907" s="926"/>
      <c r="J2907" s="926"/>
      <c r="K2907" s="926"/>
      <c r="L2907" s="926"/>
      <c r="M2907" s="926"/>
      <c r="N2907" s="927"/>
      <c r="O2907" s="362"/>
    </row>
    <row r="2908" spans="1:15" ht="15.75" customHeight="1">
      <c r="A2908" s="395"/>
      <c r="B2908" s="399"/>
      <c r="C2908" s="920"/>
      <c r="D2908" s="922"/>
      <c r="E2908" s="922"/>
      <c r="F2908" s="922"/>
      <c r="G2908" s="922"/>
      <c r="H2908" s="922"/>
      <c r="I2908" s="922"/>
      <c r="J2908" s="922"/>
      <c r="K2908" s="922"/>
      <c r="L2908" s="922"/>
      <c r="M2908" s="922"/>
      <c r="N2908" s="924"/>
      <c r="O2908" s="362"/>
    </row>
    <row r="2909" spans="1:15" ht="15.75" customHeight="1">
      <c r="A2909" s="395"/>
      <c r="B2909" s="399"/>
      <c r="C2909" s="929"/>
      <c r="D2909" s="936"/>
      <c r="E2909" s="936"/>
      <c r="F2909" s="936"/>
      <c r="G2909" s="936"/>
      <c r="H2909" s="936"/>
      <c r="I2909" s="936"/>
      <c r="J2909" s="936"/>
      <c r="K2909" s="936"/>
      <c r="L2909" s="936"/>
      <c r="M2909" s="936"/>
      <c r="N2909" s="938"/>
      <c r="O2909" s="362"/>
    </row>
    <row r="2910" spans="1:15" ht="15.75" customHeight="1">
      <c r="A2910" s="395"/>
      <c r="B2910" s="399"/>
      <c r="C2910" s="1201" t="s">
        <v>17</v>
      </c>
      <c r="D2910" s="1131"/>
      <c r="E2910" s="1131"/>
      <c r="F2910" s="1000"/>
      <c r="G2910" s="1204" t="s">
        <v>1196</v>
      </c>
      <c r="H2910" s="1000"/>
      <c r="I2910" s="1204" t="s">
        <v>1197</v>
      </c>
      <c r="J2910" s="1000"/>
      <c r="K2910" s="670" t="s">
        <v>1213</v>
      </c>
      <c r="L2910" s="1204" t="s">
        <v>1199</v>
      </c>
      <c r="M2910" s="1000"/>
      <c r="N2910" s="671" t="s">
        <v>1200</v>
      </c>
      <c r="O2910" s="362"/>
    </row>
    <row r="2911" spans="1:15" ht="15.75" customHeight="1">
      <c r="A2911" s="395"/>
      <c r="B2911" s="399"/>
      <c r="C2911" s="1128" t="s">
        <v>1201</v>
      </c>
      <c r="D2911" s="940"/>
      <c r="E2911" s="940"/>
      <c r="F2911" s="941"/>
      <c r="G2911" s="1142"/>
      <c r="H2911" s="941"/>
      <c r="I2911" s="1142"/>
      <c r="J2911" s="941"/>
      <c r="K2911" s="429"/>
      <c r="L2911" s="1143">
        <v>0.06</v>
      </c>
      <c r="M2911" s="941"/>
      <c r="N2911" s="430">
        <f>+L2911*N2950</f>
        <v>578.88194406796151</v>
      </c>
      <c r="O2911" s="362"/>
    </row>
    <row r="2912" spans="1:15" ht="15.75" customHeight="1">
      <c r="A2912" s="395">
        <f t="array" ref="A2912">IF(C2912&lt;&gt;0,INDEX(CodEquipos,MATCH(C2912,Equipos,0),),)</f>
        <v>0</v>
      </c>
      <c r="B2912" s="399"/>
      <c r="C2912" s="1128"/>
      <c r="D2912" s="940"/>
      <c r="E2912" s="940"/>
      <c r="F2912" s="941"/>
      <c r="G2912" s="1142"/>
      <c r="H2912" s="941"/>
      <c r="I2912" s="1142"/>
      <c r="J2912" s="941"/>
      <c r="K2912" s="432" t="str">
        <f>IF($A2912&gt;0,(VLOOKUP($A2912,TablaEquipos,7,FALSE)),"")</f>
        <v/>
      </c>
      <c r="L2912" s="1146"/>
      <c r="M2912" s="941"/>
      <c r="N2912" s="430" t="str">
        <f t="shared" ref="N2912:N2916" si="217">IF(L2912&gt;0,K2912/L2912,"")</f>
        <v/>
      </c>
      <c r="O2912" s="362"/>
    </row>
    <row r="2913" spans="1:15" ht="15.75" customHeight="1">
      <c r="A2913" s="395">
        <f t="array" ref="A2913">IF(C2913&lt;&gt;0,INDEX(CodEquipos,MATCH(C2913,Equipos,0),),)</f>
        <v>0</v>
      </c>
      <c r="B2913" s="399"/>
      <c r="C2913" s="1128"/>
      <c r="D2913" s="940"/>
      <c r="E2913" s="940"/>
      <c r="F2913" s="941"/>
      <c r="G2913" s="1142"/>
      <c r="H2913" s="941"/>
      <c r="I2913" s="1142"/>
      <c r="J2913" s="941"/>
      <c r="K2913" s="432" t="str">
        <f>IF($A2913&gt;0,(VLOOKUP($A2913,TablaEquipos,7,FALSE)),"")</f>
        <v/>
      </c>
      <c r="L2913" s="1146"/>
      <c r="M2913" s="941"/>
      <c r="N2913" s="430" t="str">
        <f t="shared" si="217"/>
        <v/>
      </c>
      <c r="O2913" s="362"/>
    </row>
    <row r="2914" spans="1:15" ht="15.75" customHeight="1">
      <c r="A2914" s="395">
        <f t="array" ref="A2914">IF(C2914&lt;&gt;0,INDEX(CodEquipos,MATCH(C2914,Equipos,0),),)</f>
        <v>0</v>
      </c>
      <c r="B2914" s="399"/>
      <c r="C2914" s="1128"/>
      <c r="D2914" s="940"/>
      <c r="E2914" s="940"/>
      <c r="F2914" s="941"/>
      <c r="G2914" s="1142"/>
      <c r="H2914" s="941"/>
      <c r="I2914" s="1142"/>
      <c r="J2914" s="941"/>
      <c r="K2914" s="432" t="str">
        <f>IF($A2914&gt;0,(VLOOKUP($A2914,TablaEquipos,7,FALSE)),"")</f>
        <v/>
      </c>
      <c r="L2914" s="1146"/>
      <c r="M2914" s="941"/>
      <c r="N2914" s="430" t="str">
        <f t="shared" si="217"/>
        <v/>
      </c>
      <c r="O2914" s="362"/>
    </row>
    <row r="2915" spans="1:15" ht="15.75" customHeight="1">
      <c r="A2915" s="395">
        <f t="array" ref="A2915">IF(C2915&lt;&gt;0,INDEX(CodEquipos,MATCH(C2915,Equipos,0),),)</f>
        <v>0</v>
      </c>
      <c r="B2915" s="399"/>
      <c r="C2915" s="1128"/>
      <c r="D2915" s="940"/>
      <c r="E2915" s="940"/>
      <c r="F2915" s="941"/>
      <c r="G2915" s="1142"/>
      <c r="H2915" s="941"/>
      <c r="I2915" s="1142"/>
      <c r="J2915" s="941"/>
      <c r="K2915" s="432" t="str">
        <f>IF($A2915&gt;0,(VLOOKUP($A2915,TablaEquipos,7,FALSE)),"")</f>
        <v/>
      </c>
      <c r="L2915" s="1141"/>
      <c r="M2915" s="941"/>
      <c r="N2915" s="430" t="str">
        <f t="shared" si="217"/>
        <v/>
      </c>
      <c r="O2915" s="362"/>
    </row>
    <row r="2916" spans="1:15" ht="15.75" customHeight="1">
      <c r="A2916" s="395">
        <f t="array" ref="A2916">IF(C2916&lt;&gt;0,INDEX(CodEquipos,MATCH(C2916,Equipos,0),),)</f>
        <v>0</v>
      </c>
      <c r="B2916" s="399"/>
      <c r="C2916" s="1128"/>
      <c r="D2916" s="940"/>
      <c r="E2916" s="940"/>
      <c r="F2916" s="941"/>
      <c r="G2916" s="1144"/>
      <c r="H2916" s="1145"/>
      <c r="I2916" s="1144"/>
      <c r="J2916" s="1145"/>
      <c r="K2916" s="432" t="str">
        <f>IF($A2916&gt;0,(VLOOKUP($A2916,TablaEquipos,7,FALSE)),"")</f>
        <v/>
      </c>
      <c r="L2916" s="1208"/>
      <c r="M2916" s="1145"/>
      <c r="N2916" s="430" t="str">
        <f t="shared" si="217"/>
        <v/>
      </c>
      <c r="O2916" s="362"/>
    </row>
    <row r="2917" spans="1:15" ht="15.75" customHeight="1">
      <c r="A2917" s="395"/>
      <c r="B2917" s="399"/>
      <c r="C2917" s="1127" t="s">
        <v>1202</v>
      </c>
      <c r="D2917" s="965"/>
      <c r="E2917" s="965"/>
      <c r="F2917" s="965"/>
      <c r="G2917" s="965"/>
      <c r="H2917" s="965"/>
      <c r="I2917" s="965"/>
      <c r="J2917" s="965"/>
      <c r="K2917" s="965"/>
      <c r="L2917" s="965"/>
      <c r="M2917" s="966"/>
      <c r="N2917" s="433">
        <f>+SUM(N2911:N2916)</f>
        <v>578.88194406796151</v>
      </c>
      <c r="O2917" s="362"/>
    </row>
    <row r="2918" spans="1:15" ht="15.75" customHeight="1">
      <c r="A2918" s="395"/>
      <c r="B2918" s="399"/>
      <c r="C2918" s="1129" t="s">
        <v>1203</v>
      </c>
      <c r="D2918" s="926"/>
      <c r="E2918" s="926"/>
      <c r="F2918" s="926"/>
      <c r="G2918" s="926"/>
      <c r="H2918" s="926"/>
      <c r="I2918" s="926"/>
      <c r="J2918" s="926"/>
      <c r="K2918" s="926"/>
      <c r="L2918" s="926"/>
      <c r="M2918" s="926"/>
      <c r="N2918" s="927"/>
      <c r="O2918" s="362"/>
    </row>
    <row r="2919" spans="1:15" ht="15.75" customHeight="1">
      <c r="A2919" s="395"/>
      <c r="B2919" s="399"/>
      <c r="C2919" s="920"/>
      <c r="D2919" s="922"/>
      <c r="E2919" s="922"/>
      <c r="F2919" s="922"/>
      <c r="G2919" s="922"/>
      <c r="H2919" s="922"/>
      <c r="I2919" s="922"/>
      <c r="J2919" s="922"/>
      <c r="K2919" s="922"/>
      <c r="L2919" s="922"/>
      <c r="M2919" s="922"/>
      <c r="N2919" s="924"/>
      <c r="O2919" s="362"/>
    </row>
    <row r="2920" spans="1:15" ht="15.75" customHeight="1">
      <c r="A2920" s="395"/>
      <c r="B2920" s="399"/>
      <c r="C2920" s="929"/>
      <c r="D2920" s="936"/>
      <c r="E2920" s="936"/>
      <c r="F2920" s="936"/>
      <c r="G2920" s="936"/>
      <c r="H2920" s="936"/>
      <c r="I2920" s="936"/>
      <c r="J2920" s="936"/>
      <c r="K2920" s="936"/>
      <c r="L2920" s="936"/>
      <c r="M2920" s="936"/>
      <c r="N2920" s="938"/>
      <c r="O2920" s="362"/>
    </row>
    <row r="2921" spans="1:15" ht="15.75" customHeight="1">
      <c r="A2921" s="395"/>
      <c r="B2921" s="399"/>
      <c r="C2921" s="1201" t="s">
        <v>17</v>
      </c>
      <c r="D2921" s="1131"/>
      <c r="E2921" s="1131"/>
      <c r="F2921" s="1131"/>
      <c r="G2921" s="1131"/>
      <c r="H2921" s="1131"/>
      <c r="I2921" s="1000"/>
      <c r="J2921" s="672" t="s">
        <v>1192</v>
      </c>
      <c r="K2921" s="670" t="s">
        <v>950</v>
      </c>
      <c r="L2921" s="1204" t="s">
        <v>1204</v>
      </c>
      <c r="M2921" s="1000"/>
      <c r="N2921" s="671" t="s">
        <v>1200</v>
      </c>
      <c r="O2921" s="362"/>
    </row>
    <row r="2922" spans="1:15" ht="15.75" customHeight="1">
      <c r="A2922" s="395" t="str">
        <f t="array" ref="A2922">IF(C2922&lt;&gt;0,INDEX(CodMat,MATCH(C2922,Materiales,0),),)</f>
        <v>MAT_C-94</v>
      </c>
      <c r="B2922" s="399"/>
      <c r="C2922" s="1210" t="s">
        <v>2580</v>
      </c>
      <c r="D2922" s="940"/>
      <c r="E2922" s="940"/>
      <c r="F2922" s="940"/>
      <c r="G2922" s="940"/>
      <c r="H2922" s="940"/>
      <c r="I2922" s="941"/>
      <c r="J2922" s="435" t="str">
        <f t="shared" ref="J2922:J2929" si="218">IF($A2922&gt;0,(VLOOKUP($A2922,TablaInsumos,5,FALSE)),"")</f>
        <v>KG</v>
      </c>
      <c r="K2922" s="673">
        <v>4</v>
      </c>
      <c r="L2922" s="1209">
        <f t="shared" ref="L2922:L2929" si="219">IF($A2922&gt;0,(VLOOKUP($A2922,TablaInsumos,7,FALSE)),"")</f>
        <v>575</v>
      </c>
      <c r="M2922" s="941"/>
      <c r="N2922" s="430">
        <f t="shared" ref="N2922:N2929" si="220">IF(K2922&gt;0,L2922*K2922,"")</f>
        <v>2300</v>
      </c>
      <c r="O2922" s="362"/>
    </row>
    <row r="2923" spans="1:15" ht="15.75" customHeight="1">
      <c r="A2923" s="395" t="str">
        <f t="array" ref="A2923">IF(C2923&lt;&gt;0,INDEX(CodMat,MATCH(C2923,Materiales,0),),)</f>
        <v>MAT_C-95</v>
      </c>
      <c r="B2923" s="399"/>
      <c r="C2923" s="1128" t="s">
        <v>2581</v>
      </c>
      <c r="D2923" s="940"/>
      <c r="E2923" s="940"/>
      <c r="F2923" s="940"/>
      <c r="G2923" s="940"/>
      <c r="H2923" s="940"/>
      <c r="I2923" s="941"/>
      <c r="J2923" s="435" t="str">
        <f t="shared" si="218"/>
        <v>KG</v>
      </c>
      <c r="K2923" s="673">
        <v>1</v>
      </c>
      <c r="L2923" s="1134">
        <f t="shared" si="219"/>
        <v>320</v>
      </c>
      <c r="M2923" s="941"/>
      <c r="N2923" s="430">
        <f t="shared" si="220"/>
        <v>320</v>
      </c>
      <c r="O2923" s="362"/>
    </row>
    <row r="2924" spans="1:15" ht="15.75" customHeight="1">
      <c r="A2924" s="395" t="str">
        <f t="array" ref="A2924">IF(C2924&lt;&gt;0,INDEX(CodMat,MATCH(C2924,Materiales,0),),)</f>
        <v>MAT_PIS-07</v>
      </c>
      <c r="B2924" s="399"/>
      <c r="C2924" s="1128" t="s">
        <v>2554</v>
      </c>
      <c r="D2924" s="940"/>
      <c r="E2924" s="940"/>
      <c r="F2924" s="940"/>
      <c r="G2924" s="940"/>
      <c r="H2924" s="940"/>
      <c r="I2924" s="941"/>
      <c r="J2924" s="435" t="str">
        <f t="shared" si="218"/>
        <v>M2</v>
      </c>
      <c r="K2924" s="673">
        <v>0.53</v>
      </c>
      <c r="L2924" s="1134">
        <f t="shared" si="219"/>
        <v>60400</v>
      </c>
      <c r="M2924" s="941"/>
      <c r="N2924" s="430">
        <f t="shared" si="220"/>
        <v>32012</v>
      </c>
      <c r="O2924" s="362"/>
    </row>
    <row r="2925" spans="1:15" ht="15.75" customHeight="1">
      <c r="A2925" s="395">
        <f t="array" ref="A2925">IF(C2925&lt;&gt;0,INDEX(CodMat,MATCH(C2925,Materiales,0),),)</f>
        <v>0</v>
      </c>
      <c r="B2925" s="399"/>
      <c r="C2925" s="1128"/>
      <c r="D2925" s="940"/>
      <c r="E2925" s="940"/>
      <c r="F2925" s="940"/>
      <c r="G2925" s="940"/>
      <c r="H2925" s="940"/>
      <c r="I2925" s="941"/>
      <c r="J2925" s="435" t="str">
        <f t="shared" si="218"/>
        <v/>
      </c>
      <c r="K2925" s="673"/>
      <c r="L2925" s="1134" t="str">
        <f t="shared" si="219"/>
        <v/>
      </c>
      <c r="M2925" s="941"/>
      <c r="N2925" s="430" t="str">
        <f t="shared" si="220"/>
        <v/>
      </c>
      <c r="O2925" s="362"/>
    </row>
    <row r="2926" spans="1:15" ht="15.75" customHeight="1">
      <c r="A2926" s="395">
        <f t="array" ref="A2926">IF(C2926&lt;&gt;0,INDEX(CodMat,MATCH(C2926,Materiales,0),),)</f>
        <v>0</v>
      </c>
      <c r="B2926" s="399"/>
      <c r="C2926" s="1128"/>
      <c r="D2926" s="940"/>
      <c r="E2926" s="940"/>
      <c r="F2926" s="940"/>
      <c r="G2926" s="940"/>
      <c r="H2926" s="940"/>
      <c r="I2926" s="941"/>
      <c r="J2926" s="435" t="str">
        <f t="shared" si="218"/>
        <v/>
      </c>
      <c r="K2926" s="673"/>
      <c r="L2926" s="1134" t="str">
        <f t="shared" si="219"/>
        <v/>
      </c>
      <c r="M2926" s="941"/>
      <c r="N2926" s="430" t="str">
        <f t="shared" si="220"/>
        <v/>
      </c>
      <c r="O2926" s="362"/>
    </row>
    <row r="2927" spans="1:15" ht="15.75" customHeight="1">
      <c r="A2927" s="395">
        <f t="array" ref="A2927">IF(C2927&lt;&gt;0,INDEX(CodMat,MATCH(C2927,Materiales,0),),)</f>
        <v>0</v>
      </c>
      <c r="B2927" s="399"/>
      <c r="C2927" s="1211"/>
      <c r="D2927" s="940"/>
      <c r="E2927" s="940"/>
      <c r="F2927" s="940"/>
      <c r="G2927" s="940"/>
      <c r="H2927" s="940"/>
      <c r="I2927" s="941"/>
      <c r="J2927" s="435" t="str">
        <f t="shared" si="218"/>
        <v/>
      </c>
      <c r="K2927" s="673"/>
      <c r="L2927" s="1134" t="str">
        <f t="shared" si="219"/>
        <v/>
      </c>
      <c r="M2927" s="941"/>
      <c r="N2927" s="430" t="str">
        <f t="shared" si="220"/>
        <v/>
      </c>
      <c r="O2927" s="362"/>
    </row>
    <row r="2928" spans="1:15" ht="15.75" customHeight="1">
      <c r="A2928" s="395">
        <f t="array" ref="A2928">IF(C2928&lt;&gt;0,INDEX(CodMat,MATCH(C2928,Materiales,0),),)</f>
        <v>0</v>
      </c>
      <c r="B2928" s="399"/>
      <c r="C2928" s="1128"/>
      <c r="D2928" s="940"/>
      <c r="E2928" s="940"/>
      <c r="F2928" s="940"/>
      <c r="G2928" s="940"/>
      <c r="H2928" s="940"/>
      <c r="I2928" s="941"/>
      <c r="J2928" s="435" t="str">
        <f t="shared" si="218"/>
        <v/>
      </c>
      <c r="K2928" s="673"/>
      <c r="L2928" s="1134" t="str">
        <f t="shared" si="219"/>
        <v/>
      </c>
      <c r="M2928" s="941"/>
      <c r="N2928" s="430" t="str">
        <f t="shared" si="220"/>
        <v/>
      </c>
      <c r="O2928" s="362"/>
    </row>
    <row r="2929" spans="1:15" ht="15.75" customHeight="1">
      <c r="A2929" s="395">
        <f t="array" ref="A2929">IF(C2929&lt;&gt;0,INDEX(CodMat,MATCH(C2929,Materiales,0),),)</f>
        <v>0</v>
      </c>
      <c r="B2929" s="399"/>
      <c r="C2929" s="1128"/>
      <c r="D2929" s="940"/>
      <c r="E2929" s="940"/>
      <c r="F2929" s="940"/>
      <c r="G2929" s="940"/>
      <c r="H2929" s="940"/>
      <c r="I2929" s="941"/>
      <c r="J2929" s="435" t="str">
        <f t="shared" si="218"/>
        <v/>
      </c>
      <c r="K2929" s="673"/>
      <c r="L2929" s="1205" t="str">
        <f t="shared" si="219"/>
        <v/>
      </c>
      <c r="M2929" s="1145"/>
      <c r="N2929" s="430" t="str">
        <f t="shared" si="220"/>
        <v/>
      </c>
      <c r="O2929" s="362"/>
    </row>
    <row r="2930" spans="1:15" ht="15.75" customHeight="1">
      <c r="A2930" s="395"/>
      <c r="B2930" s="399"/>
      <c r="C2930" s="1127" t="s">
        <v>1202</v>
      </c>
      <c r="D2930" s="965"/>
      <c r="E2930" s="965"/>
      <c r="F2930" s="965"/>
      <c r="G2930" s="965"/>
      <c r="H2930" s="965"/>
      <c r="I2930" s="965"/>
      <c r="J2930" s="965"/>
      <c r="K2930" s="965"/>
      <c r="L2930" s="965"/>
      <c r="M2930" s="966"/>
      <c r="N2930" s="433">
        <f>+SUM(N2922:N2929)</f>
        <v>34632</v>
      </c>
      <c r="O2930" s="362"/>
    </row>
    <row r="2931" spans="1:15" ht="15.75" customHeight="1">
      <c r="A2931" s="395"/>
      <c r="B2931" s="399"/>
      <c r="C2931" s="1129" t="s">
        <v>1208</v>
      </c>
      <c r="D2931" s="926"/>
      <c r="E2931" s="926"/>
      <c r="F2931" s="926"/>
      <c r="G2931" s="926"/>
      <c r="H2931" s="926"/>
      <c r="I2931" s="926"/>
      <c r="J2931" s="926"/>
      <c r="K2931" s="926"/>
      <c r="L2931" s="926"/>
      <c r="M2931" s="926"/>
      <c r="N2931" s="927"/>
      <c r="O2931" s="362"/>
    </row>
    <row r="2932" spans="1:15" ht="15.75" customHeight="1">
      <c r="A2932" s="395"/>
      <c r="B2932" s="399"/>
      <c r="C2932" s="920"/>
      <c r="D2932" s="922"/>
      <c r="E2932" s="922"/>
      <c r="F2932" s="922"/>
      <c r="G2932" s="922"/>
      <c r="H2932" s="922"/>
      <c r="I2932" s="922"/>
      <c r="J2932" s="922"/>
      <c r="K2932" s="922"/>
      <c r="L2932" s="922"/>
      <c r="M2932" s="922"/>
      <c r="N2932" s="924"/>
      <c r="O2932" s="362"/>
    </row>
    <row r="2933" spans="1:15" ht="15.75" customHeight="1">
      <c r="A2933" s="395"/>
      <c r="B2933" s="399"/>
      <c r="C2933" s="929"/>
      <c r="D2933" s="936"/>
      <c r="E2933" s="936"/>
      <c r="F2933" s="936"/>
      <c r="G2933" s="936"/>
      <c r="H2933" s="936"/>
      <c r="I2933" s="936"/>
      <c r="J2933" s="936"/>
      <c r="K2933" s="936"/>
      <c r="L2933" s="936"/>
      <c r="M2933" s="936"/>
      <c r="N2933" s="938"/>
      <c r="O2933" s="362"/>
    </row>
    <row r="2934" spans="1:15" ht="15.75" customHeight="1">
      <c r="A2934" s="395"/>
      <c r="B2934" s="399"/>
      <c r="C2934" s="1201" t="s">
        <v>1209</v>
      </c>
      <c r="D2934" s="1131"/>
      <c r="E2934" s="1131"/>
      <c r="F2934" s="1131"/>
      <c r="G2934" s="1131"/>
      <c r="H2934" s="1000"/>
      <c r="I2934" s="670" t="s">
        <v>1210</v>
      </c>
      <c r="J2934" s="674" t="s">
        <v>1211</v>
      </c>
      <c r="K2934" s="675" t="s">
        <v>2318</v>
      </c>
      <c r="L2934" s="1204" t="s">
        <v>1213</v>
      </c>
      <c r="M2934" s="1000"/>
      <c r="N2934" s="671" t="s">
        <v>1200</v>
      </c>
      <c r="O2934" s="362"/>
    </row>
    <row r="2935" spans="1:15" ht="15.75" customHeight="1">
      <c r="A2935" s="395">
        <f t="array" ref="A2935">IF(C2935&lt;&gt;0,INDEX(CodTransporte,MATCH(C2935,Transporte,0),),)</f>
        <v>0</v>
      </c>
      <c r="B2935" s="399"/>
      <c r="C2935" s="1128"/>
      <c r="D2935" s="940"/>
      <c r="E2935" s="940"/>
      <c r="F2935" s="940"/>
      <c r="G2935" s="940"/>
      <c r="H2935" s="940"/>
      <c r="I2935" s="440"/>
      <c r="J2935" s="441" t="str">
        <f>IF($A2935&gt;0,(VLOOKUP($A2935,TablaTransporte,6,FALSE)),"")</f>
        <v/>
      </c>
      <c r="K2935" s="442" t="str">
        <f>IF($A2935&gt;0,(VLOOKUP($A2935,TablaTransporte,5,FALSE)),"")</f>
        <v/>
      </c>
      <c r="L2935" s="1134" t="str">
        <f>IF($A2935&gt;0,(VLOOKUP($A2935,TablaTransporte,7,FALSE)),"")</f>
        <v/>
      </c>
      <c r="M2935" s="941"/>
      <c r="N2935" s="430" t="str">
        <f t="shared" ref="N2935:N2939" si="221">IF(I2935&gt;0,J2935*L2935*I2935,"")</f>
        <v/>
      </c>
      <c r="O2935" s="362"/>
    </row>
    <row r="2936" spans="1:15" ht="15.75" customHeight="1">
      <c r="A2936" s="395">
        <f t="array" ref="A2936">IF(C2936&lt;&gt;0,INDEX(CodTransporte,MATCH(C2936,Transporte,0),),)</f>
        <v>0</v>
      </c>
      <c r="B2936" s="399"/>
      <c r="C2936" s="1128"/>
      <c r="D2936" s="940"/>
      <c r="E2936" s="940"/>
      <c r="F2936" s="940"/>
      <c r="G2936" s="940"/>
      <c r="H2936" s="940"/>
      <c r="I2936" s="440"/>
      <c r="J2936" s="441" t="str">
        <f>IF($A2936&gt;0,(VLOOKUP($A2936,TablaTransporte,6,FALSE)),"")</f>
        <v/>
      </c>
      <c r="K2936" s="442" t="str">
        <f>IF($A2936&gt;0,(VLOOKUP($A2936,TablaTransporte,5,FALSE)),"")</f>
        <v/>
      </c>
      <c r="L2936" s="1134" t="str">
        <f>IF($A2936&gt;0,(VLOOKUP($A2936,TablaTransporte,7,FALSE)),"")</f>
        <v/>
      </c>
      <c r="M2936" s="941"/>
      <c r="N2936" s="430" t="str">
        <f t="shared" si="221"/>
        <v/>
      </c>
      <c r="O2936" s="362"/>
    </row>
    <row r="2937" spans="1:15" ht="15.75" customHeight="1">
      <c r="A2937" s="395">
        <f t="array" ref="A2937">IF(C2937&lt;&gt;0,INDEX(CodTransporte,MATCH(C2937,Transporte,0),),)</f>
        <v>0</v>
      </c>
      <c r="B2937" s="399"/>
      <c r="C2937" s="1128"/>
      <c r="D2937" s="940"/>
      <c r="E2937" s="940"/>
      <c r="F2937" s="940"/>
      <c r="G2937" s="940"/>
      <c r="H2937" s="940"/>
      <c r="I2937" s="440"/>
      <c r="J2937" s="441" t="str">
        <f>IF($A2937&gt;0,(VLOOKUP($A2937,TablaTransporte,6,FALSE)),"")</f>
        <v/>
      </c>
      <c r="K2937" s="442" t="str">
        <f>IF($A2937&gt;0,(VLOOKUP($A2937,TablaTransporte,5,FALSE)),"")</f>
        <v/>
      </c>
      <c r="L2937" s="1134" t="str">
        <f>IF($A2937&gt;0,(VLOOKUP($A2937,TablaTransporte,7,FALSE)),"")</f>
        <v/>
      </c>
      <c r="M2937" s="941"/>
      <c r="N2937" s="430" t="str">
        <f t="shared" si="221"/>
        <v/>
      </c>
      <c r="O2937" s="362"/>
    </row>
    <row r="2938" spans="1:15" ht="15.75" customHeight="1">
      <c r="A2938" s="395">
        <f t="array" ref="A2938">IF(C2938&lt;&gt;0,INDEX(CodTransporte,MATCH(C2938,Transporte,0),),)</f>
        <v>0</v>
      </c>
      <c r="B2938" s="399"/>
      <c r="C2938" s="1128"/>
      <c r="D2938" s="940"/>
      <c r="E2938" s="940"/>
      <c r="F2938" s="940"/>
      <c r="G2938" s="940"/>
      <c r="H2938" s="940"/>
      <c r="I2938" s="440"/>
      <c r="J2938" s="441" t="str">
        <f>IF($A2938&gt;0,(VLOOKUP($A2938,TablaTransporte,6,FALSE)),"")</f>
        <v/>
      </c>
      <c r="K2938" s="442" t="str">
        <f>IF($A2938&gt;0,(VLOOKUP($A2938,TablaTransporte,5,FALSE)),"")</f>
        <v/>
      </c>
      <c r="L2938" s="1134" t="str">
        <f>IF($A2938&gt;0,(VLOOKUP($A2938,TablaTransporte,7,FALSE)),"")</f>
        <v/>
      </c>
      <c r="M2938" s="941"/>
      <c r="N2938" s="430" t="str">
        <f t="shared" si="221"/>
        <v/>
      </c>
      <c r="O2938" s="362"/>
    </row>
    <row r="2939" spans="1:15" ht="15.75" customHeight="1">
      <c r="A2939" s="395">
        <f t="array" ref="A2939">IF(C2939&lt;&gt;0,INDEX(CodTransporte,MATCH(C2939,Transporte,0),),)</f>
        <v>0</v>
      </c>
      <c r="B2939" s="399"/>
      <c r="C2939" s="1128"/>
      <c r="D2939" s="940"/>
      <c r="E2939" s="940"/>
      <c r="F2939" s="940"/>
      <c r="G2939" s="940"/>
      <c r="H2939" s="940"/>
      <c r="I2939" s="440"/>
      <c r="J2939" s="441" t="str">
        <f>IF($A2939&gt;0,(VLOOKUP($A2939,TablaTransporte,6,FALSE)),"")</f>
        <v/>
      </c>
      <c r="K2939" s="442" t="str">
        <f>IF($A2939&gt;0,(VLOOKUP($A2939,TablaTransporte,5,FALSE)),"")</f>
        <v/>
      </c>
      <c r="L2939" s="1205" t="str">
        <f>IF($A2939&gt;0,(VLOOKUP($A2939,TablaTransporte,7,FALSE)),"")</f>
        <v/>
      </c>
      <c r="M2939" s="1145"/>
      <c r="N2939" s="430" t="str">
        <f t="shared" si="221"/>
        <v/>
      </c>
      <c r="O2939" s="362"/>
    </row>
    <row r="2940" spans="1:15" ht="15.75" customHeight="1">
      <c r="A2940" s="395"/>
      <c r="B2940" s="399"/>
      <c r="C2940" s="1127" t="s">
        <v>1202</v>
      </c>
      <c r="D2940" s="965"/>
      <c r="E2940" s="965"/>
      <c r="F2940" s="965"/>
      <c r="G2940" s="965"/>
      <c r="H2940" s="965"/>
      <c r="I2940" s="965"/>
      <c r="J2940" s="965"/>
      <c r="K2940" s="965"/>
      <c r="L2940" s="965"/>
      <c r="M2940" s="966"/>
      <c r="N2940" s="433">
        <f>+SUM(N2935:N2939)</f>
        <v>0</v>
      </c>
      <c r="O2940" s="362"/>
    </row>
    <row r="2941" spans="1:15" ht="15.75" customHeight="1">
      <c r="A2941" s="395"/>
      <c r="B2941" s="399"/>
      <c r="C2941" s="1129" t="s">
        <v>1214</v>
      </c>
      <c r="D2941" s="926"/>
      <c r="E2941" s="926"/>
      <c r="F2941" s="926"/>
      <c r="G2941" s="926"/>
      <c r="H2941" s="926"/>
      <c r="I2941" s="926"/>
      <c r="J2941" s="926"/>
      <c r="K2941" s="926"/>
      <c r="L2941" s="926"/>
      <c r="M2941" s="926"/>
      <c r="N2941" s="927"/>
      <c r="O2941" s="362"/>
    </row>
    <row r="2942" spans="1:15" ht="15.75" customHeight="1">
      <c r="A2942" s="395"/>
      <c r="B2942" s="399"/>
      <c r="C2942" s="920"/>
      <c r="D2942" s="922"/>
      <c r="E2942" s="922"/>
      <c r="F2942" s="922"/>
      <c r="G2942" s="922"/>
      <c r="H2942" s="922"/>
      <c r="I2942" s="922"/>
      <c r="J2942" s="922"/>
      <c r="K2942" s="922"/>
      <c r="L2942" s="922"/>
      <c r="M2942" s="922"/>
      <c r="N2942" s="924"/>
      <c r="O2942" s="362"/>
    </row>
    <row r="2943" spans="1:15" ht="15.75" customHeight="1">
      <c r="A2943" s="395"/>
      <c r="B2943" s="399"/>
      <c r="C2943" s="929"/>
      <c r="D2943" s="936"/>
      <c r="E2943" s="936"/>
      <c r="F2943" s="936"/>
      <c r="G2943" s="936"/>
      <c r="H2943" s="936"/>
      <c r="I2943" s="936"/>
      <c r="J2943" s="936"/>
      <c r="K2943" s="936"/>
      <c r="L2943" s="936"/>
      <c r="M2943" s="936"/>
      <c r="N2943" s="938"/>
      <c r="O2943" s="362"/>
    </row>
    <row r="2944" spans="1:15" ht="15.75" customHeight="1">
      <c r="A2944" s="395"/>
      <c r="B2944" s="399"/>
      <c r="C2944" s="1201" t="s">
        <v>1215</v>
      </c>
      <c r="D2944" s="1131"/>
      <c r="E2944" s="1131"/>
      <c r="F2944" s="1131"/>
      <c r="G2944" s="1131"/>
      <c r="H2944" s="1000"/>
      <c r="I2944" s="670" t="s">
        <v>1216</v>
      </c>
      <c r="J2944" s="676" t="s">
        <v>1217</v>
      </c>
      <c r="K2944" s="677" t="s">
        <v>1218</v>
      </c>
      <c r="L2944" s="1206" t="s">
        <v>1199</v>
      </c>
      <c r="M2944" s="1000"/>
      <c r="N2944" s="678" t="s">
        <v>1200</v>
      </c>
      <c r="O2944" s="362"/>
    </row>
    <row r="2945" spans="1:18" ht="15.75" customHeight="1">
      <c r="A2945" s="395" t="str">
        <f t="array" ref="A2945">IF(C2945&lt;&gt;0,INDEX(CodMO,MATCH(C2945,MO,0),),)</f>
        <v>M.O-05</v>
      </c>
      <c r="B2945" s="399"/>
      <c r="C2945" s="1128" t="s">
        <v>139</v>
      </c>
      <c r="D2945" s="940"/>
      <c r="E2945" s="940"/>
      <c r="F2945" s="940"/>
      <c r="G2945" s="940"/>
      <c r="H2945" s="940"/>
      <c r="I2945" s="447">
        <f>IF($A2945&gt;0,(VLOOKUP($A2945,TablaMO,8,FALSE)),"")</f>
        <v>125030.16666666667</v>
      </c>
      <c r="J2945" s="448">
        <f>IF($A2945&gt;0,(VLOOKUP($A2945,TablaMO,10,FALSE)),"")</f>
        <v>0.67071666666666663</v>
      </c>
      <c r="K2945" s="447">
        <f>IF($A2945&gt;0,(VLOOKUP($A2945,TablaMO,11,FALSE)),"")</f>
        <v>208890</v>
      </c>
      <c r="L2945" s="1146">
        <v>34.206145489442484</v>
      </c>
      <c r="M2945" s="941"/>
      <c r="N2945" s="430">
        <f t="shared" ref="N2945:N2949" si="222">IF(L2945&gt;0,K2945/L2945,"")</f>
        <v>6106.7973900909883</v>
      </c>
      <c r="O2945" s="362"/>
    </row>
    <row r="2946" spans="1:18" ht="15.75" customHeight="1">
      <c r="A2946" s="395" t="str">
        <f t="array" ref="A2946">IF(C2946&lt;&gt;0,INDEX(CodMO,MATCH(C2946,MO,0),),)</f>
        <v>M.O-01</v>
      </c>
      <c r="B2946" s="399"/>
      <c r="C2946" s="1128" t="s">
        <v>130</v>
      </c>
      <c r="D2946" s="940"/>
      <c r="E2946" s="940"/>
      <c r="F2946" s="940"/>
      <c r="G2946" s="940"/>
      <c r="H2946" s="940"/>
      <c r="I2946" s="447">
        <f>IF($A2946&gt;0,(VLOOKUP($A2946,TablaMO,8,FALSE)),"")</f>
        <v>72503.016666666677</v>
      </c>
      <c r="J2946" s="448">
        <f>IF($A2946&gt;0,(VLOOKUP($A2946,TablaMO,10,FALSE)),"")</f>
        <v>0.67071666666666663</v>
      </c>
      <c r="K2946" s="447">
        <f>IF($A2946&gt;0,(VLOOKUP($A2946,TablaMO,11,FALSE)),"")</f>
        <v>121132</v>
      </c>
      <c r="L2946" s="1146">
        <f>L2945</f>
        <v>34.206145489442484</v>
      </c>
      <c r="M2946" s="941"/>
      <c r="N2946" s="430">
        <f t="shared" si="222"/>
        <v>3541.2350110417042</v>
      </c>
      <c r="O2946" s="362"/>
    </row>
    <row r="2947" spans="1:18" ht="15.75" customHeight="1">
      <c r="A2947" s="395">
        <f t="array" ref="A2947">IF(C2947&lt;&gt;0,INDEX(CodMO,MATCH(C2947,MO,0),),)</f>
        <v>0</v>
      </c>
      <c r="B2947" s="399"/>
      <c r="C2947" s="1128"/>
      <c r="D2947" s="940"/>
      <c r="E2947" s="940"/>
      <c r="F2947" s="940"/>
      <c r="G2947" s="940"/>
      <c r="H2947" s="940"/>
      <c r="I2947" s="447" t="str">
        <f>IF($A2947&gt;0,(VLOOKUP($A2947,TablaMO,8,FALSE)),"")</f>
        <v/>
      </c>
      <c r="J2947" s="448" t="str">
        <f>IF($A2947&gt;0,(VLOOKUP($A2947,TablaMO,10,FALSE)),"")</f>
        <v/>
      </c>
      <c r="K2947" s="447" t="str">
        <f>IF($A2947&gt;0,(VLOOKUP($A2947,TablaMO,11,FALSE)),"")</f>
        <v/>
      </c>
      <c r="L2947" s="1146"/>
      <c r="M2947" s="941"/>
      <c r="N2947" s="430" t="str">
        <f t="shared" si="222"/>
        <v/>
      </c>
      <c r="O2947" s="362"/>
    </row>
    <row r="2948" spans="1:18" ht="15.75" customHeight="1">
      <c r="A2948" s="395">
        <f t="array" ref="A2948">IF(C2948&lt;&gt;0,INDEX(CodMO,MATCH(C2948,MO,0),),)</f>
        <v>0</v>
      </c>
      <c r="B2948" s="399"/>
      <c r="C2948" s="1128"/>
      <c r="D2948" s="940"/>
      <c r="E2948" s="940"/>
      <c r="F2948" s="940"/>
      <c r="G2948" s="940"/>
      <c r="H2948" s="940"/>
      <c r="I2948" s="447" t="str">
        <f>IF($A2948&gt;0,(VLOOKUP($A2948,TablaMO,8,FALSE)),"")</f>
        <v/>
      </c>
      <c r="J2948" s="448" t="str">
        <f>IF($A2948&gt;0,(VLOOKUP($A2948,TablaMO,10,FALSE)),"")</f>
        <v/>
      </c>
      <c r="K2948" s="447" t="str">
        <f>IF($A2948&gt;0,(VLOOKUP($A2948,TablaMO,11,FALSE)),"")</f>
        <v/>
      </c>
      <c r="L2948" s="1146"/>
      <c r="M2948" s="941"/>
      <c r="N2948" s="430" t="str">
        <f t="shared" si="222"/>
        <v/>
      </c>
      <c r="O2948" s="362"/>
    </row>
    <row r="2949" spans="1:18" ht="15.75" customHeight="1">
      <c r="A2949" s="395">
        <f t="array" ref="A2949">IF(C2949&lt;&gt;0,INDEX(CodMO,MATCH(C2949,MO,0),),)</f>
        <v>0</v>
      </c>
      <c r="B2949" s="399"/>
      <c r="C2949" s="1128"/>
      <c r="D2949" s="940"/>
      <c r="E2949" s="940"/>
      <c r="F2949" s="940"/>
      <c r="G2949" s="940"/>
      <c r="H2949" s="940"/>
      <c r="I2949" s="447" t="str">
        <f>IF($A2949&gt;0,(VLOOKUP($A2949,TablaMO,8,FALSE)),"")</f>
        <v/>
      </c>
      <c r="J2949" s="448" t="str">
        <f>IF($A2949&gt;0,(VLOOKUP($A2949,TablaMO,10,FALSE)),"")</f>
        <v/>
      </c>
      <c r="K2949" s="447" t="str">
        <f>IF($A2949&gt;0,(VLOOKUP($A2949,TablaMO,11,FALSE)),"")</f>
        <v/>
      </c>
      <c r="L2949" s="1146"/>
      <c r="M2949" s="941"/>
      <c r="N2949" s="430" t="str">
        <f t="shared" si="222"/>
        <v/>
      </c>
      <c r="O2949" s="362"/>
    </row>
    <row r="2950" spans="1:18" ht="15.75" customHeight="1">
      <c r="A2950" s="395"/>
      <c r="B2950" s="399"/>
      <c r="C2950" s="1127" t="s">
        <v>1202</v>
      </c>
      <c r="D2950" s="965"/>
      <c r="E2950" s="965"/>
      <c r="F2950" s="965"/>
      <c r="G2950" s="965"/>
      <c r="H2950" s="965"/>
      <c r="I2950" s="965"/>
      <c r="J2950" s="965"/>
      <c r="K2950" s="965"/>
      <c r="L2950" s="965"/>
      <c r="M2950" s="966"/>
      <c r="N2950" s="433">
        <f>+SUM(N2945:N2949)</f>
        <v>9648.032401132692</v>
      </c>
      <c r="O2950" s="362"/>
    </row>
    <row r="2951" spans="1:18" ht="15.75" customHeight="1">
      <c r="B2951" s="679"/>
      <c r="O2951" s="362"/>
    </row>
    <row r="2952" spans="1:18" ht="15.75" customHeight="1">
      <c r="B2952" s="679"/>
      <c r="C2952" s="1198" t="s">
        <v>1219</v>
      </c>
      <c r="D2952" s="965"/>
      <c r="E2952" s="965"/>
      <c r="F2952" s="965"/>
      <c r="G2952" s="965"/>
      <c r="H2952" s="965"/>
      <c r="I2952" s="965"/>
      <c r="J2952" s="965"/>
      <c r="K2952" s="965"/>
      <c r="L2952" s="965"/>
      <c r="M2952" s="966"/>
      <c r="N2952" s="680">
        <f>ROUND(SUM(N2950,N2940,N2930,N2917),0)</f>
        <v>44859</v>
      </c>
      <c r="O2952" s="362"/>
      <c r="Q2952" s="681">
        <f>VLOOKUP(C2906,PROPUESTASASERCO,8,FALSE)</f>
        <v>44859</v>
      </c>
      <c r="R2952" s="682">
        <f>Q2952-N2952</f>
        <v>0</v>
      </c>
    </row>
    <row r="2953" spans="1:18" ht="15.75" customHeight="1">
      <c r="B2953" s="679"/>
      <c r="C2953" s="1129" t="s">
        <v>1220</v>
      </c>
      <c r="D2953" s="926"/>
      <c r="E2953" s="926"/>
      <c r="F2953" s="926"/>
      <c r="G2953" s="926"/>
      <c r="H2953" s="926"/>
      <c r="I2953" s="926"/>
      <c r="J2953" s="926"/>
      <c r="K2953" s="926"/>
      <c r="L2953" s="926"/>
      <c r="M2953" s="926"/>
      <c r="N2953" s="927"/>
      <c r="O2953" s="362"/>
    </row>
    <row r="2954" spans="1:18" ht="15.75" customHeight="1">
      <c r="B2954" s="679"/>
      <c r="C2954" s="920"/>
      <c r="D2954" s="922"/>
      <c r="E2954" s="922"/>
      <c r="F2954" s="922"/>
      <c r="G2954" s="922"/>
      <c r="H2954" s="922"/>
      <c r="I2954" s="922"/>
      <c r="J2954" s="922"/>
      <c r="K2954" s="922"/>
      <c r="L2954" s="922"/>
      <c r="M2954" s="922"/>
      <c r="N2954" s="924"/>
      <c r="O2954" s="362"/>
    </row>
    <row r="2955" spans="1:18" ht="15.75" customHeight="1">
      <c r="B2955" s="679"/>
      <c r="C2955" s="929"/>
      <c r="D2955" s="936"/>
      <c r="E2955" s="936"/>
      <c r="F2955" s="936"/>
      <c r="G2955" s="936"/>
      <c r="H2955" s="936"/>
      <c r="I2955" s="936"/>
      <c r="J2955" s="936"/>
      <c r="K2955" s="936"/>
      <c r="L2955" s="936"/>
      <c r="M2955" s="936"/>
      <c r="N2955" s="938"/>
      <c r="O2955" s="362"/>
    </row>
    <row r="2956" spans="1:18" ht="15.75" customHeight="1">
      <c r="B2956" s="679"/>
      <c r="C2956" s="1201" t="s">
        <v>1221</v>
      </c>
      <c r="D2956" s="1131"/>
      <c r="E2956" s="1131"/>
      <c r="F2956" s="1131"/>
      <c r="G2956" s="1131"/>
      <c r="H2956" s="1132"/>
      <c r="I2956" s="674"/>
      <c r="J2956" s="674"/>
      <c r="K2956" s="674"/>
      <c r="L2956" s="1206" t="s">
        <v>1222</v>
      </c>
      <c r="M2956" s="1000"/>
      <c r="N2956" s="678" t="s">
        <v>1223</v>
      </c>
      <c r="O2956" s="362"/>
    </row>
    <row r="2957" spans="1:18" ht="15.75" customHeight="1">
      <c r="B2957" s="679"/>
      <c r="C2957" s="1128" t="s">
        <v>19</v>
      </c>
      <c r="D2957" s="940"/>
      <c r="E2957" s="940"/>
      <c r="F2957" s="940"/>
      <c r="G2957" s="940"/>
      <c r="H2957" s="940"/>
      <c r="I2957" s="452"/>
      <c r="J2957" s="452"/>
      <c r="K2957" s="452"/>
      <c r="L2957" s="1148">
        <f>+Datos!$E$18</f>
        <v>0.25</v>
      </c>
      <c r="M2957" s="941"/>
      <c r="N2957" s="430">
        <f>+L2957*N2952</f>
        <v>11214.75</v>
      </c>
      <c r="O2957" s="362"/>
    </row>
    <row r="2958" spans="1:18" ht="15.75" customHeight="1">
      <c r="B2958" s="679"/>
      <c r="C2958" s="454" t="s">
        <v>20</v>
      </c>
      <c r="D2958" s="455"/>
      <c r="E2958" s="455"/>
      <c r="F2958" s="455"/>
      <c r="G2958" s="455"/>
      <c r="H2958" s="455"/>
      <c r="I2958" s="452"/>
      <c r="J2958" s="452"/>
      <c r="K2958" s="452"/>
      <c r="L2958" s="1148">
        <f>+Datos!$E$19</f>
        <v>0.01</v>
      </c>
      <c r="M2958" s="941"/>
      <c r="N2958" s="430">
        <f>+L2958*N2952</f>
        <v>448.59000000000003</v>
      </c>
      <c r="O2958" s="362"/>
    </row>
    <row r="2959" spans="1:18" ht="15.75" customHeight="1">
      <c r="B2959" s="679"/>
      <c r="C2959" s="456" t="s">
        <v>21</v>
      </c>
      <c r="D2959" s="457"/>
      <c r="E2959" s="457"/>
      <c r="F2959" s="457"/>
      <c r="G2959" s="457"/>
      <c r="H2959" s="457"/>
      <c r="I2959" s="458"/>
      <c r="J2959" s="458"/>
      <c r="K2959" s="458"/>
      <c r="L2959" s="1148">
        <f>+Datos!$E$20</f>
        <v>0.05</v>
      </c>
      <c r="M2959" s="941"/>
      <c r="N2959" s="430">
        <f>+L2959*N2952</f>
        <v>2242.9500000000003</v>
      </c>
      <c r="O2959" s="362"/>
    </row>
    <row r="2960" spans="1:18" ht="15.75" customHeight="1">
      <c r="B2960" s="679"/>
      <c r="C2960" s="1127" t="s">
        <v>1202</v>
      </c>
      <c r="D2960" s="965"/>
      <c r="E2960" s="965"/>
      <c r="F2960" s="965"/>
      <c r="G2960" s="965"/>
      <c r="H2960" s="965"/>
      <c r="I2960" s="965"/>
      <c r="J2960" s="965"/>
      <c r="K2960" s="965"/>
      <c r="L2960" s="965"/>
      <c r="M2960" s="966"/>
      <c r="N2960" s="433">
        <f>+SUM(N2957:N2959)</f>
        <v>13906.29</v>
      </c>
      <c r="O2960" s="362"/>
    </row>
    <row r="2961" spans="1:15" ht="15.75" customHeight="1">
      <c r="B2961" s="679"/>
      <c r="C2961" s="418"/>
      <c r="D2961" s="39"/>
      <c r="E2961" s="39"/>
      <c r="F2961" s="39"/>
      <c r="G2961" s="39"/>
      <c r="H2961" s="39"/>
      <c r="I2961" s="39"/>
      <c r="J2961" s="39"/>
      <c r="K2961" s="39"/>
      <c r="L2961" s="39"/>
      <c r="M2961" s="39"/>
      <c r="N2961" s="40"/>
      <c r="O2961" s="362"/>
    </row>
    <row r="2962" spans="1:15" ht="15.75" customHeight="1">
      <c r="B2962" s="679"/>
      <c r="C2962" s="1198" t="s">
        <v>1224</v>
      </c>
      <c r="D2962" s="965"/>
      <c r="E2962" s="965"/>
      <c r="F2962" s="965"/>
      <c r="G2962" s="965"/>
      <c r="H2962" s="965"/>
      <c r="I2962" s="965"/>
      <c r="J2962" s="965"/>
      <c r="K2962" s="965"/>
      <c r="L2962" s="965"/>
      <c r="M2962" s="966"/>
      <c r="N2962" s="683">
        <f>+ROUND(SUM(N2960,N2952),0)</f>
        <v>58765</v>
      </c>
      <c r="O2962" s="362"/>
    </row>
    <row r="2963" spans="1:15" ht="15.75" customHeight="1">
      <c r="B2963" s="679"/>
      <c r="C2963" s="418"/>
      <c r="D2963" s="39" t="s">
        <v>1225</v>
      </c>
      <c r="E2963" s="39"/>
      <c r="F2963" s="39"/>
      <c r="G2963" s="184"/>
      <c r="H2963" s="184"/>
      <c r="I2963" s="184"/>
      <c r="J2963" s="39" t="s">
        <v>1225</v>
      </c>
      <c r="K2963" s="39"/>
      <c r="L2963" s="39"/>
      <c r="M2963" s="39"/>
      <c r="N2963" s="40"/>
      <c r="O2963" s="362"/>
    </row>
    <row r="2964" spans="1:15" ht="15.75" customHeight="1">
      <c r="B2964" s="679"/>
      <c r="C2964" s="418"/>
      <c r="D2964" s="39" t="s">
        <v>1226</v>
      </c>
      <c r="E2964" s="39"/>
      <c r="F2964" s="39"/>
      <c r="G2964" s="184"/>
      <c r="H2964" s="184"/>
      <c r="I2964" s="184"/>
      <c r="J2964" s="39" t="s">
        <v>1227</v>
      </c>
      <c r="K2964" s="39"/>
      <c r="L2964" s="39"/>
      <c r="M2964" s="39"/>
      <c r="N2964" s="40"/>
      <c r="O2964" s="362"/>
    </row>
    <row r="2965" spans="1:15" ht="15.75" customHeight="1">
      <c r="B2965" s="679"/>
      <c r="C2965" s="404"/>
      <c r="D2965" s="39" t="s">
        <v>1228</v>
      </c>
      <c r="E2965" s="42"/>
      <c r="F2965" s="42"/>
      <c r="G2965" s="184"/>
      <c r="H2965" s="184"/>
      <c r="I2965" s="184"/>
      <c r="J2965" s="39" t="s">
        <v>1228</v>
      </c>
      <c r="K2965" s="42"/>
      <c r="L2965" s="42"/>
      <c r="M2965" s="42"/>
      <c r="N2965" s="43"/>
      <c r="O2965" s="362"/>
    </row>
    <row r="2966" spans="1:15" ht="15.75" customHeight="1">
      <c r="B2966" s="679"/>
      <c r="C2966" s="418"/>
      <c r="D2966" s="39"/>
      <c r="E2966" s="39"/>
      <c r="F2966" s="39"/>
      <c r="G2966" s="39" t="s">
        <v>1229</v>
      </c>
      <c r="H2966" s="39"/>
      <c r="I2966" s="39"/>
      <c r="J2966" s="39"/>
      <c r="K2966" s="39"/>
      <c r="L2966" s="39"/>
      <c r="M2966" s="39"/>
      <c r="N2966" s="40"/>
      <c r="O2966" s="362"/>
    </row>
    <row r="2967" spans="1:15" ht="15.75" customHeight="1">
      <c r="B2967" s="679"/>
      <c r="C2967" s="466"/>
      <c r="D2967" s="467"/>
      <c r="E2967" s="467"/>
      <c r="F2967" s="39"/>
      <c r="G2967" s="39"/>
      <c r="H2967" s="39"/>
      <c r="I2967" s="39"/>
      <c r="J2967" s="1149"/>
      <c r="K2967" s="922"/>
      <c r="L2967" s="922"/>
      <c r="M2967" s="922"/>
      <c r="N2967" s="924"/>
      <c r="O2967" s="362"/>
    </row>
    <row r="2968" spans="1:15" ht="15.75" customHeight="1">
      <c r="B2968" s="679"/>
      <c r="C2968" s="1150"/>
      <c r="D2968" s="936"/>
      <c r="E2968" s="936"/>
      <c r="F2968" s="416"/>
      <c r="G2968" s="416"/>
      <c r="H2968" s="416"/>
      <c r="I2968" s="416"/>
      <c r="J2968" s="936"/>
      <c r="K2968" s="936"/>
      <c r="L2968" s="936"/>
      <c r="M2968" s="936"/>
      <c r="N2968" s="938"/>
      <c r="O2968" s="362"/>
    </row>
    <row r="2969" spans="1:15" ht="15.75" customHeight="1">
      <c r="B2969" s="684"/>
      <c r="C2969" s="685"/>
      <c r="D2969" s="685"/>
      <c r="E2969" s="685"/>
      <c r="F2969" s="685"/>
      <c r="G2969" s="685"/>
      <c r="H2969" s="685"/>
      <c r="I2969" s="685"/>
      <c r="J2969" s="685"/>
      <c r="K2969" s="685"/>
      <c r="L2969" s="685"/>
      <c r="M2969" s="685"/>
      <c r="N2969" s="685"/>
      <c r="O2969" s="686"/>
    </row>
    <row r="2970" spans="1:15" ht="15.75" customHeight="1"/>
    <row r="2971" spans="1:15" ht="15.75" customHeight="1"/>
    <row r="2972" spans="1:15" ht="15.75" customHeight="1"/>
    <row r="2973" spans="1:15" ht="15.75" customHeight="1">
      <c r="A2973" s="395" t="s">
        <v>941</v>
      </c>
      <c r="B2973" s="184"/>
      <c r="C2973" s="184"/>
      <c r="D2973" s="184"/>
      <c r="E2973" s="184"/>
      <c r="F2973" s="184"/>
      <c r="G2973" s="184"/>
      <c r="H2973" s="184"/>
      <c r="I2973" s="184"/>
      <c r="J2973" s="184"/>
      <c r="K2973" s="184"/>
      <c r="L2973" s="184"/>
      <c r="M2973" s="184"/>
      <c r="N2973" s="184"/>
    </row>
    <row r="2974" spans="1:15" ht="15.75" customHeight="1">
      <c r="A2974" s="395"/>
      <c r="B2974" s="396"/>
      <c r="C2974" s="397"/>
      <c r="D2974" s="397"/>
      <c r="E2974" s="397"/>
      <c r="F2974" s="397"/>
      <c r="G2974" s="397"/>
      <c r="H2974" s="397"/>
      <c r="I2974" s="397"/>
      <c r="J2974" s="397"/>
      <c r="K2974" s="397"/>
      <c r="L2974" s="397"/>
      <c r="M2974" s="397"/>
      <c r="N2974" s="397"/>
      <c r="O2974" s="667"/>
    </row>
    <row r="2975" spans="1:15" ht="15.75" customHeight="1">
      <c r="A2975" s="395"/>
      <c r="B2975" s="399"/>
      <c r="C2975" s="1124"/>
      <c r="D2975" s="927"/>
      <c r="E2975" s="1207" t="str">
        <f>Datos!$C$9</f>
        <v>CONSEJO SUPERIOR  DE  JUDICATURA– DIRECCIÓN  EJECUTIVA  SECCIONAL  DE ADMINISTRACIÓN JUDICIAL DE BUCARAMANGA</v>
      </c>
      <c r="F2975" s="926"/>
      <c r="G2975" s="926"/>
      <c r="H2975" s="926"/>
      <c r="I2975" s="926"/>
      <c r="J2975" s="926"/>
      <c r="K2975" s="927"/>
      <c r="L2975" s="925" t="s">
        <v>1</v>
      </c>
      <c r="M2975" s="931"/>
      <c r="N2975" s="933">
        <v>1</v>
      </c>
      <c r="O2975" s="362"/>
    </row>
    <row r="2976" spans="1:15" ht="15.75" customHeight="1">
      <c r="A2976" s="395"/>
      <c r="B2976" s="399"/>
      <c r="C2976" s="920"/>
      <c r="D2976" s="924"/>
      <c r="E2976" s="920"/>
      <c r="F2976" s="922"/>
      <c r="G2976" s="922"/>
      <c r="H2976" s="922"/>
      <c r="I2976" s="922"/>
      <c r="J2976" s="922"/>
      <c r="K2976" s="924"/>
      <c r="L2976" s="920"/>
      <c r="M2976" s="932"/>
      <c r="N2976" s="934"/>
      <c r="O2976" s="362"/>
    </row>
    <row r="2977" spans="1:15" ht="15.75" customHeight="1">
      <c r="A2977" s="395"/>
      <c r="B2977" s="399"/>
      <c r="C2977" s="920"/>
      <c r="D2977" s="924"/>
      <c r="E2977" s="919" t="str">
        <f>Datos!$C$13</f>
        <v xml:space="preserve">BGA - 030 - 2026 </v>
      </c>
      <c r="F2977" s="922"/>
      <c r="G2977" s="922"/>
      <c r="H2977" s="922"/>
      <c r="I2977" s="922"/>
      <c r="J2977" s="922"/>
      <c r="K2977" s="922"/>
      <c r="L2977" s="925" t="s">
        <v>29</v>
      </c>
      <c r="M2977" s="926"/>
      <c r="N2977" s="927"/>
      <c r="O2977" s="362"/>
    </row>
    <row r="2978" spans="1:15" ht="15.75" customHeight="1">
      <c r="A2978" s="395"/>
      <c r="B2978" s="399"/>
      <c r="C2978" s="920"/>
      <c r="D2978" s="924"/>
      <c r="E2978"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2978" s="922"/>
      <c r="G2978" s="922"/>
      <c r="H2978" s="922"/>
      <c r="I2978" s="922"/>
      <c r="J2978" s="922"/>
      <c r="K2978" s="924"/>
      <c r="L2978" s="919">
        <v>1</v>
      </c>
      <c r="M2978" s="921" t="s">
        <v>30</v>
      </c>
      <c r="N2978" s="923">
        <v>1</v>
      </c>
      <c r="O2978" s="362"/>
    </row>
    <row r="2979" spans="1:15" ht="15.75" customHeight="1">
      <c r="A2979" s="395"/>
      <c r="B2979" s="399"/>
      <c r="C2979" s="920"/>
      <c r="D2979" s="924"/>
      <c r="E2979" s="920"/>
      <c r="F2979" s="922"/>
      <c r="G2979" s="922"/>
      <c r="H2979" s="922"/>
      <c r="I2979" s="922"/>
      <c r="J2979" s="922"/>
      <c r="K2979" s="924"/>
      <c r="L2979" s="920"/>
      <c r="M2979" s="922"/>
      <c r="N2979" s="924"/>
      <c r="O2979" s="362"/>
    </row>
    <row r="2980" spans="1:15" ht="57.75" customHeight="1">
      <c r="A2980" s="395"/>
      <c r="B2980" s="399"/>
      <c r="C2980" s="920"/>
      <c r="D2980" s="924"/>
      <c r="E2980" s="920"/>
      <c r="F2980" s="922"/>
      <c r="G2980" s="922"/>
      <c r="H2980" s="922"/>
      <c r="I2980" s="922"/>
      <c r="J2980" s="922"/>
      <c r="K2980" s="924"/>
      <c r="L2980" s="925" t="s">
        <v>2</v>
      </c>
      <c r="M2980" s="926"/>
      <c r="N2980" s="927"/>
      <c r="O2980" s="362"/>
    </row>
    <row r="2981" spans="1:15" ht="15.75" customHeight="1">
      <c r="A2981" s="395"/>
      <c r="B2981" s="399"/>
      <c r="C2981" s="920"/>
      <c r="D2981" s="924"/>
      <c r="E2981" s="407"/>
      <c r="F2981" s="216"/>
      <c r="G2981" s="216"/>
      <c r="H2981" s="216"/>
      <c r="I2981" s="216"/>
      <c r="J2981" s="216"/>
      <c r="K2981" s="216"/>
      <c r="L2981" s="408" t="s">
        <v>3</v>
      </c>
      <c r="M2981" s="409" t="s">
        <v>4</v>
      </c>
      <c r="N2981" s="410" t="s">
        <v>5</v>
      </c>
      <c r="O2981" s="362"/>
    </row>
    <row r="2982" spans="1:15" ht="15.75" customHeight="1">
      <c r="A2982" s="395"/>
      <c r="B2982" s="399"/>
      <c r="C2982" s="920"/>
      <c r="D2982" s="924"/>
      <c r="E2982" s="1125" t="s">
        <v>1186</v>
      </c>
      <c r="F2982" s="945"/>
      <c r="G2982" s="945"/>
      <c r="H2982" s="945"/>
      <c r="I2982" s="945"/>
      <c r="J2982" s="945"/>
      <c r="K2982" s="945"/>
      <c r="L2982" s="928">
        <f>Datos!$C$7</f>
        <v>19</v>
      </c>
      <c r="M2982" s="935">
        <f>Datos!$D$7</f>
        <v>6</v>
      </c>
      <c r="N2982" s="937">
        <f>Datos!$E$7</f>
        <v>2026</v>
      </c>
      <c r="O2982" s="362"/>
    </row>
    <row r="2983" spans="1:15" ht="15.75" customHeight="1">
      <c r="A2983" s="395"/>
      <c r="B2983" s="399"/>
      <c r="C2983" s="929"/>
      <c r="D2983" s="938"/>
      <c r="E2983" s="929"/>
      <c r="F2983" s="936"/>
      <c r="G2983" s="936"/>
      <c r="H2983" s="936"/>
      <c r="I2983" s="936"/>
      <c r="J2983" s="936"/>
      <c r="K2983" s="936"/>
      <c r="L2983" s="929"/>
      <c r="M2983" s="936"/>
      <c r="N2983" s="938"/>
      <c r="O2983" s="362"/>
    </row>
    <row r="2984" spans="1:15" ht="15.75" customHeight="1">
      <c r="A2984" s="395"/>
      <c r="B2984" s="399"/>
      <c r="C2984" s="404"/>
      <c r="D2984" s="38"/>
      <c r="E2984" s="38"/>
      <c r="F2984" s="38"/>
      <c r="G2984" s="38"/>
      <c r="H2984" s="38"/>
      <c r="I2984" s="38"/>
      <c r="J2984" s="38"/>
      <c r="K2984" s="38"/>
      <c r="L2984" s="39"/>
      <c r="M2984" s="39"/>
      <c r="N2984" s="40"/>
      <c r="O2984" s="362"/>
    </row>
    <row r="2985" spans="1:15" ht="15.75" customHeight="1">
      <c r="A2985" s="395"/>
      <c r="B2985" s="399"/>
      <c r="C2985" s="412" t="s">
        <v>1187</v>
      </c>
      <c r="D2985" s="1199" t="str">
        <f>VLOOKUP(C2990,ListaAct,2,0)</f>
        <v>OBRA CIVIL</v>
      </c>
      <c r="E2985" s="922"/>
      <c r="F2985" s="922"/>
      <c r="G2985" s="922"/>
      <c r="H2985" s="922"/>
      <c r="I2985" s="922"/>
      <c r="J2985" s="922"/>
      <c r="K2985" s="922"/>
      <c r="L2985" s="922"/>
      <c r="M2985" s="1"/>
      <c r="N2985" s="413"/>
      <c r="O2985" s="362"/>
    </row>
    <row r="2986" spans="1:15" ht="15.75" customHeight="1">
      <c r="A2986" s="395"/>
      <c r="B2986" s="399"/>
      <c r="C2986" s="412" t="s">
        <v>1189</v>
      </c>
      <c r="D2986" s="1199" t="str">
        <f>VLOOKUP(C2990,ListaAct,3,0)</f>
        <v>LIMPIEZA GENERAL</v>
      </c>
      <c r="E2986" s="922"/>
      <c r="F2986" s="922"/>
      <c r="G2986" s="922"/>
      <c r="H2986" s="922"/>
      <c r="I2986" s="922"/>
      <c r="J2986" s="922"/>
      <c r="K2986" s="922"/>
      <c r="L2986" s="922"/>
      <c r="M2986" s="1"/>
      <c r="N2986" s="413"/>
      <c r="O2986" s="362"/>
    </row>
    <row r="2987" spans="1:15" ht="15.75" customHeight="1">
      <c r="A2987" s="395"/>
      <c r="B2987" s="399"/>
      <c r="C2987" s="925" t="s">
        <v>1191</v>
      </c>
      <c r="D2987" s="926"/>
      <c r="E2987" s="926"/>
      <c r="F2987" s="926"/>
      <c r="G2987" s="926"/>
      <c r="H2987" s="926"/>
      <c r="I2987" s="926"/>
      <c r="J2987" s="926"/>
      <c r="K2987" s="926"/>
      <c r="L2987" s="926"/>
      <c r="M2987" s="926"/>
      <c r="N2987" s="927"/>
      <c r="O2987" s="362"/>
    </row>
    <row r="2988" spans="1:15" ht="15.75" customHeight="1">
      <c r="A2988" s="395"/>
      <c r="B2988" s="399"/>
      <c r="C2988" s="418"/>
      <c r="D2988" s="39"/>
      <c r="E2988" s="39"/>
      <c r="F2988" s="39"/>
      <c r="G2988" s="39"/>
      <c r="H2988" s="39"/>
      <c r="I2988" s="39"/>
      <c r="J2988" s="39"/>
      <c r="K2988" s="39"/>
      <c r="L2988" s="39"/>
      <c r="M2988" s="39"/>
      <c r="N2988" s="40"/>
      <c r="O2988" s="362"/>
    </row>
    <row r="2989" spans="1:15" ht="15.75" customHeight="1">
      <c r="A2989" s="395"/>
      <c r="B2989" s="399"/>
      <c r="C2989" s="668" t="s">
        <v>965</v>
      </c>
      <c r="D2989" s="1200" t="s">
        <v>17</v>
      </c>
      <c r="E2989" s="1131"/>
      <c r="F2989" s="1131"/>
      <c r="G2989" s="1131"/>
      <c r="H2989" s="1131"/>
      <c r="I2989" s="1131"/>
      <c r="J2989" s="1131"/>
      <c r="K2989" s="1137"/>
      <c r="L2989" s="1201" t="s">
        <v>1192</v>
      </c>
      <c r="M2989" s="1137"/>
      <c r="N2989" s="668" t="s">
        <v>950</v>
      </c>
      <c r="O2989" s="362"/>
    </row>
    <row r="2990" spans="1:15" ht="15.75" customHeight="1">
      <c r="A2990" s="395"/>
      <c r="B2990" s="421"/>
      <c r="C2990" s="669" t="s">
        <v>1161</v>
      </c>
      <c r="D2990" s="1202" t="str">
        <f>IF($C2990&gt;0,(VLOOKUP($C2990,ListaAct,4,FALSE)),"")</f>
        <v>Aseo y limpieza general de cada espacio interno y externo del juzgado.</v>
      </c>
      <c r="E2990" s="979"/>
      <c r="F2990" s="979"/>
      <c r="G2990" s="979"/>
      <c r="H2990" s="979"/>
      <c r="I2990" s="979"/>
      <c r="J2990" s="979"/>
      <c r="K2990" s="980"/>
      <c r="L2990" s="1203" t="str">
        <f>IF($C2990&gt;0,(VLOOKUP($C2990,ListaAct,5,FALSE)),"")</f>
        <v>glb</v>
      </c>
      <c r="M2990" s="980"/>
      <c r="N2990" s="423">
        <f>IF($C2990&gt;0,(VLOOKUP($C2990,ListaAct,6,FALSE)),"")</f>
        <v>1</v>
      </c>
      <c r="O2990" s="362"/>
    </row>
    <row r="2991" spans="1:15" ht="15.75" customHeight="1">
      <c r="A2991" s="395"/>
      <c r="B2991" s="399"/>
      <c r="C2991" s="1129" t="s">
        <v>1195</v>
      </c>
      <c r="D2991" s="926"/>
      <c r="E2991" s="926"/>
      <c r="F2991" s="926"/>
      <c r="G2991" s="926"/>
      <c r="H2991" s="926"/>
      <c r="I2991" s="926"/>
      <c r="J2991" s="926"/>
      <c r="K2991" s="926"/>
      <c r="L2991" s="926"/>
      <c r="M2991" s="926"/>
      <c r="N2991" s="927"/>
      <c r="O2991" s="362"/>
    </row>
    <row r="2992" spans="1:15" ht="15.75" customHeight="1">
      <c r="A2992" s="395"/>
      <c r="B2992" s="399"/>
      <c r="C2992" s="920"/>
      <c r="D2992" s="922"/>
      <c r="E2992" s="922"/>
      <c r="F2992" s="922"/>
      <c r="G2992" s="922"/>
      <c r="H2992" s="922"/>
      <c r="I2992" s="922"/>
      <c r="J2992" s="922"/>
      <c r="K2992" s="922"/>
      <c r="L2992" s="922"/>
      <c r="M2992" s="922"/>
      <c r="N2992" s="924"/>
      <c r="O2992" s="362"/>
    </row>
    <row r="2993" spans="1:15" ht="15.75" customHeight="1">
      <c r="A2993" s="395"/>
      <c r="B2993" s="399"/>
      <c r="C2993" s="929"/>
      <c r="D2993" s="936"/>
      <c r="E2993" s="936"/>
      <c r="F2993" s="936"/>
      <c r="G2993" s="936"/>
      <c r="H2993" s="936"/>
      <c r="I2993" s="936"/>
      <c r="J2993" s="936"/>
      <c r="K2993" s="936"/>
      <c r="L2993" s="936"/>
      <c r="M2993" s="936"/>
      <c r="N2993" s="938"/>
      <c r="O2993" s="362"/>
    </row>
    <row r="2994" spans="1:15" ht="15.75" customHeight="1">
      <c r="A2994" s="395"/>
      <c r="B2994" s="399"/>
      <c r="C2994" s="1201" t="s">
        <v>17</v>
      </c>
      <c r="D2994" s="1131"/>
      <c r="E2994" s="1131"/>
      <c r="F2994" s="1000"/>
      <c r="G2994" s="1204" t="s">
        <v>1196</v>
      </c>
      <c r="H2994" s="1000"/>
      <c r="I2994" s="1204" t="s">
        <v>1197</v>
      </c>
      <c r="J2994" s="1000"/>
      <c r="K2994" s="670" t="s">
        <v>1213</v>
      </c>
      <c r="L2994" s="1204" t="s">
        <v>1199</v>
      </c>
      <c r="M2994" s="1000"/>
      <c r="N2994" s="671" t="s">
        <v>1200</v>
      </c>
      <c r="O2994" s="362"/>
    </row>
    <row r="2995" spans="1:15" ht="15.75" customHeight="1">
      <c r="A2995" s="395"/>
      <c r="B2995" s="399"/>
      <c r="C2995" s="1128" t="s">
        <v>1201</v>
      </c>
      <c r="D2995" s="940"/>
      <c r="E2995" s="940"/>
      <c r="F2995" s="941"/>
      <c r="G2995" s="1142"/>
      <c r="H2995" s="941"/>
      <c r="I2995" s="1142"/>
      <c r="J2995" s="941"/>
      <c r="K2995" s="429"/>
      <c r="L2995" s="1143">
        <v>0.06</v>
      </c>
      <c r="M2995" s="941"/>
      <c r="N2995" s="430">
        <f>+L2995*N3034</f>
        <v>26297.067836683294</v>
      </c>
      <c r="O2995" s="362"/>
    </row>
    <row r="2996" spans="1:15" ht="15.75" customHeight="1">
      <c r="A2996" s="395">
        <f t="array" ref="A2996">IF(C2996&lt;&gt;0,INDEX(CodEquipos,MATCH(C2996,Equipos,0),),)</f>
        <v>0</v>
      </c>
      <c r="B2996" s="399"/>
      <c r="C2996" s="1128"/>
      <c r="D2996" s="940"/>
      <c r="E2996" s="940"/>
      <c r="F2996" s="941"/>
      <c r="G2996" s="1142"/>
      <c r="H2996" s="941"/>
      <c r="I2996" s="1142"/>
      <c r="J2996" s="941"/>
      <c r="K2996" s="432" t="str">
        <f>IF($A2996&gt;0,(VLOOKUP($A2996,TablaEquipos,7,FALSE)),"")</f>
        <v/>
      </c>
      <c r="L2996" s="1146"/>
      <c r="M2996" s="941"/>
      <c r="N2996" s="430" t="str">
        <f t="shared" ref="N2996:N3000" si="223">IF(L2996&gt;0,K2996/L2996,"")</f>
        <v/>
      </c>
      <c r="O2996" s="362"/>
    </row>
    <row r="2997" spans="1:15" ht="15.75" customHeight="1">
      <c r="A2997" s="395">
        <f t="array" ref="A2997">IF(C2997&lt;&gt;0,INDEX(CodEquipos,MATCH(C2997,Equipos,0),),)</f>
        <v>0</v>
      </c>
      <c r="B2997" s="399"/>
      <c r="C2997" s="1128"/>
      <c r="D2997" s="940"/>
      <c r="E2997" s="940"/>
      <c r="F2997" s="941"/>
      <c r="G2997" s="1142"/>
      <c r="H2997" s="941"/>
      <c r="I2997" s="1142"/>
      <c r="J2997" s="941"/>
      <c r="K2997" s="432" t="str">
        <f>IF($A2997&gt;0,(VLOOKUP($A2997,TablaEquipos,7,FALSE)),"")</f>
        <v/>
      </c>
      <c r="L2997" s="1146"/>
      <c r="M2997" s="941"/>
      <c r="N2997" s="430" t="str">
        <f t="shared" si="223"/>
        <v/>
      </c>
      <c r="O2997" s="362"/>
    </row>
    <row r="2998" spans="1:15" ht="15.75" customHeight="1">
      <c r="A2998" s="395">
        <f t="array" ref="A2998">IF(C2998&lt;&gt;0,INDEX(CodEquipos,MATCH(C2998,Equipos,0),),)</f>
        <v>0</v>
      </c>
      <c r="B2998" s="399"/>
      <c r="C2998" s="1128"/>
      <c r="D2998" s="940"/>
      <c r="E2998" s="940"/>
      <c r="F2998" s="941"/>
      <c r="G2998" s="1142"/>
      <c r="H2998" s="941"/>
      <c r="I2998" s="1142"/>
      <c r="J2998" s="941"/>
      <c r="K2998" s="432" t="str">
        <f>IF($A2998&gt;0,(VLOOKUP($A2998,TablaEquipos,7,FALSE)),"")</f>
        <v/>
      </c>
      <c r="L2998" s="1146"/>
      <c r="M2998" s="941"/>
      <c r="N2998" s="430" t="str">
        <f t="shared" si="223"/>
        <v/>
      </c>
      <c r="O2998" s="362"/>
    </row>
    <row r="2999" spans="1:15" ht="15.75" customHeight="1">
      <c r="A2999" s="395">
        <f t="array" ref="A2999">IF(C2999&lt;&gt;0,INDEX(CodEquipos,MATCH(C2999,Equipos,0),),)</f>
        <v>0</v>
      </c>
      <c r="B2999" s="399"/>
      <c r="C2999" s="1128"/>
      <c r="D2999" s="940"/>
      <c r="E2999" s="940"/>
      <c r="F2999" s="941"/>
      <c r="G2999" s="1142"/>
      <c r="H2999" s="941"/>
      <c r="I2999" s="1142"/>
      <c r="J2999" s="941"/>
      <c r="K2999" s="432" t="str">
        <f>IF($A2999&gt;0,(VLOOKUP($A2999,TablaEquipos,7,FALSE)),"")</f>
        <v/>
      </c>
      <c r="L2999" s="1141"/>
      <c r="M2999" s="941"/>
      <c r="N2999" s="430" t="str">
        <f t="shared" si="223"/>
        <v/>
      </c>
      <c r="O2999" s="362"/>
    </row>
    <row r="3000" spans="1:15" ht="15.75" customHeight="1">
      <c r="A3000" s="395">
        <f t="array" ref="A3000">IF(C3000&lt;&gt;0,INDEX(CodEquipos,MATCH(C3000,Equipos,0),),)</f>
        <v>0</v>
      </c>
      <c r="B3000" s="399"/>
      <c r="C3000" s="1128"/>
      <c r="D3000" s="940"/>
      <c r="E3000" s="940"/>
      <c r="F3000" s="941"/>
      <c r="G3000" s="1144"/>
      <c r="H3000" s="1145"/>
      <c r="I3000" s="1144"/>
      <c r="J3000" s="1145"/>
      <c r="K3000" s="432" t="str">
        <f>IF($A3000&gt;0,(VLOOKUP($A3000,TablaEquipos,7,FALSE)),"")</f>
        <v/>
      </c>
      <c r="L3000" s="1208"/>
      <c r="M3000" s="1145"/>
      <c r="N3000" s="430" t="str">
        <f t="shared" si="223"/>
        <v/>
      </c>
      <c r="O3000" s="362"/>
    </row>
    <row r="3001" spans="1:15" ht="15.75" customHeight="1">
      <c r="A3001" s="395"/>
      <c r="B3001" s="399"/>
      <c r="C3001" s="1127" t="s">
        <v>1202</v>
      </c>
      <c r="D3001" s="965"/>
      <c r="E3001" s="965"/>
      <c r="F3001" s="965"/>
      <c r="G3001" s="965"/>
      <c r="H3001" s="965"/>
      <c r="I3001" s="965"/>
      <c r="J3001" s="965"/>
      <c r="K3001" s="965"/>
      <c r="L3001" s="965"/>
      <c r="M3001" s="966"/>
      <c r="N3001" s="433">
        <f>+SUM(N2995:N3000)</f>
        <v>26297.067836683294</v>
      </c>
      <c r="O3001" s="362"/>
    </row>
    <row r="3002" spans="1:15" ht="15.75" customHeight="1">
      <c r="A3002" s="395"/>
      <c r="B3002" s="399"/>
      <c r="C3002" s="1129" t="s">
        <v>1203</v>
      </c>
      <c r="D3002" s="926"/>
      <c r="E3002" s="926"/>
      <c r="F3002" s="926"/>
      <c r="G3002" s="926"/>
      <c r="H3002" s="926"/>
      <c r="I3002" s="926"/>
      <c r="J3002" s="926"/>
      <c r="K3002" s="926"/>
      <c r="L3002" s="926"/>
      <c r="M3002" s="926"/>
      <c r="N3002" s="927"/>
      <c r="O3002" s="362"/>
    </row>
    <row r="3003" spans="1:15" ht="15.75" customHeight="1">
      <c r="A3003" s="395"/>
      <c r="B3003" s="399"/>
      <c r="C3003" s="920"/>
      <c r="D3003" s="922"/>
      <c r="E3003" s="922"/>
      <c r="F3003" s="922"/>
      <c r="G3003" s="922"/>
      <c r="H3003" s="922"/>
      <c r="I3003" s="922"/>
      <c r="J3003" s="922"/>
      <c r="K3003" s="922"/>
      <c r="L3003" s="922"/>
      <c r="M3003" s="922"/>
      <c r="N3003" s="924"/>
      <c r="O3003" s="362"/>
    </row>
    <row r="3004" spans="1:15" ht="15.75" customHeight="1">
      <c r="A3004" s="395"/>
      <c r="B3004" s="399"/>
      <c r="C3004" s="929"/>
      <c r="D3004" s="936"/>
      <c r="E3004" s="936"/>
      <c r="F3004" s="936"/>
      <c r="G3004" s="936"/>
      <c r="H3004" s="936"/>
      <c r="I3004" s="936"/>
      <c r="J3004" s="936"/>
      <c r="K3004" s="936"/>
      <c r="L3004" s="936"/>
      <c r="M3004" s="936"/>
      <c r="N3004" s="938"/>
      <c r="O3004" s="362"/>
    </row>
    <row r="3005" spans="1:15" ht="15.75" customHeight="1">
      <c r="A3005" s="395"/>
      <c r="B3005" s="399"/>
      <c r="C3005" s="1201" t="s">
        <v>17</v>
      </c>
      <c r="D3005" s="1131"/>
      <c r="E3005" s="1131"/>
      <c r="F3005" s="1131"/>
      <c r="G3005" s="1131"/>
      <c r="H3005" s="1131"/>
      <c r="I3005" s="1000"/>
      <c r="J3005" s="672" t="s">
        <v>1192</v>
      </c>
      <c r="K3005" s="670" t="s">
        <v>950</v>
      </c>
      <c r="L3005" s="1204" t="s">
        <v>1204</v>
      </c>
      <c r="M3005" s="1000"/>
      <c r="N3005" s="671" t="s">
        <v>1200</v>
      </c>
      <c r="O3005" s="362"/>
    </row>
    <row r="3006" spans="1:15" ht="15.75" customHeight="1">
      <c r="A3006" s="395" t="str">
        <f t="array" ref="A3006">IF(C3006&lt;&gt;0,INDEX(CodMat,MATCH(C3006,Materiales,0),),)</f>
        <v>MAT_C-96</v>
      </c>
      <c r="B3006" s="399"/>
      <c r="C3006" s="1210" t="s">
        <v>2582</v>
      </c>
      <c r="D3006" s="940"/>
      <c r="E3006" s="940"/>
      <c r="F3006" s="940"/>
      <c r="G3006" s="940"/>
      <c r="H3006" s="940"/>
      <c r="I3006" s="941"/>
      <c r="J3006" s="435" t="str">
        <f t="shared" ref="J3006:J3013" si="224">IF($A3006&gt;0,(VLOOKUP($A3006,TablaInsumos,5,FALSE)),"")</f>
        <v>GLOBAL</v>
      </c>
      <c r="K3006" s="673">
        <v>1</v>
      </c>
      <c r="L3006" s="1209">
        <f t="shared" ref="L3006:L3013" si="225">IF($A3006&gt;0,(VLOOKUP($A3006,TablaInsumos,7,FALSE)),"")</f>
        <v>550000</v>
      </c>
      <c r="M3006" s="941"/>
      <c r="N3006" s="430">
        <f t="shared" ref="N3006:N3013" si="226">IF(K3006&gt;0,L3006*K3006,"")</f>
        <v>550000</v>
      </c>
      <c r="O3006" s="362"/>
    </row>
    <row r="3007" spans="1:15" ht="15.75" customHeight="1">
      <c r="A3007" s="395">
        <f t="array" ref="A3007">IF(C3007&lt;&gt;0,INDEX(CodMat,MATCH(C3007,Materiales,0),),)</f>
        <v>0</v>
      </c>
      <c r="B3007" s="399"/>
      <c r="C3007" s="1128"/>
      <c r="D3007" s="940"/>
      <c r="E3007" s="940"/>
      <c r="F3007" s="940"/>
      <c r="G3007" s="940"/>
      <c r="H3007" s="940"/>
      <c r="I3007" s="941"/>
      <c r="J3007" s="435" t="str">
        <f t="shared" si="224"/>
        <v/>
      </c>
      <c r="K3007" s="673"/>
      <c r="L3007" s="1134" t="str">
        <f t="shared" si="225"/>
        <v/>
      </c>
      <c r="M3007" s="941"/>
      <c r="N3007" s="430" t="str">
        <f t="shared" si="226"/>
        <v/>
      </c>
      <c r="O3007" s="362"/>
    </row>
    <row r="3008" spans="1:15" ht="15.75" customHeight="1">
      <c r="A3008" s="395">
        <f t="array" ref="A3008">IF(C3008&lt;&gt;0,INDEX(CodMat,MATCH(C3008,Materiales,0),),)</f>
        <v>0</v>
      </c>
      <c r="B3008" s="399"/>
      <c r="C3008" s="1128"/>
      <c r="D3008" s="940"/>
      <c r="E3008" s="940"/>
      <c r="F3008" s="940"/>
      <c r="G3008" s="940"/>
      <c r="H3008" s="940"/>
      <c r="I3008" s="941"/>
      <c r="J3008" s="435" t="str">
        <f t="shared" si="224"/>
        <v/>
      </c>
      <c r="K3008" s="673"/>
      <c r="L3008" s="1134" t="str">
        <f t="shared" si="225"/>
        <v/>
      </c>
      <c r="M3008" s="941"/>
      <c r="N3008" s="430" t="str">
        <f t="shared" si="226"/>
        <v/>
      </c>
      <c r="O3008" s="362"/>
    </row>
    <row r="3009" spans="1:15" ht="15.75" customHeight="1">
      <c r="A3009" s="395">
        <f t="array" ref="A3009">IF(C3009&lt;&gt;0,INDEX(CodMat,MATCH(C3009,Materiales,0),),)</f>
        <v>0</v>
      </c>
      <c r="B3009" s="399"/>
      <c r="C3009" s="1128"/>
      <c r="D3009" s="940"/>
      <c r="E3009" s="940"/>
      <c r="F3009" s="940"/>
      <c r="G3009" s="940"/>
      <c r="H3009" s="940"/>
      <c r="I3009" s="941"/>
      <c r="J3009" s="435" t="str">
        <f t="shared" si="224"/>
        <v/>
      </c>
      <c r="K3009" s="673"/>
      <c r="L3009" s="1134" t="str">
        <f t="shared" si="225"/>
        <v/>
      </c>
      <c r="M3009" s="941"/>
      <c r="N3009" s="430" t="str">
        <f t="shared" si="226"/>
        <v/>
      </c>
      <c r="O3009" s="362"/>
    </row>
    <row r="3010" spans="1:15" ht="15.75" customHeight="1">
      <c r="A3010" s="395">
        <f t="array" ref="A3010">IF(C3010&lt;&gt;0,INDEX(CodMat,MATCH(C3010,Materiales,0),),)</f>
        <v>0</v>
      </c>
      <c r="B3010" s="399"/>
      <c r="C3010" s="1128"/>
      <c r="D3010" s="940"/>
      <c r="E3010" s="940"/>
      <c r="F3010" s="940"/>
      <c r="G3010" s="940"/>
      <c r="H3010" s="940"/>
      <c r="I3010" s="941"/>
      <c r="J3010" s="435" t="str">
        <f t="shared" si="224"/>
        <v/>
      </c>
      <c r="K3010" s="673"/>
      <c r="L3010" s="1134" t="str">
        <f t="shared" si="225"/>
        <v/>
      </c>
      <c r="M3010" s="941"/>
      <c r="N3010" s="430" t="str">
        <f t="shared" si="226"/>
        <v/>
      </c>
      <c r="O3010" s="362"/>
    </row>
    <row r="3011" spans="1:15" ht="15.75" customHeight="1">
      <c r="A3011" s="395">
        <f t="array" ref="A3011">IF(C3011&lt;&gt;0,INDEX(CodMat,MATCH(C3011,Materiales,0),),)</f>
        <v>0</v>
      </c>
      <c r="B3011" s="399"/>
      <c r="C3011" s="1211"/>
      <c r="D3011" s="940"/>
      <c r="E3011" s="940"/>
      <c r="F3011" s="940"/>
      <c r="G3011" s="940"/>
      <c r="H3011" s="940"/>
      <c r="I3011" s="941"/>
      <c r="J3011" s="435" t="str">
        <f t="shared" si="224"/>
        <v/>
      </c>
      <c r="K3011" s="673"/>
      <c r="L3011" s="1134" t="str">
        <f t="shared" si="225"/>
        <v/>
      </c>
      <c r="M3011" s="941"/>
      <c r="N3011" s="430" t="str">
        <f t="shared" si="226"/>
        <v/>
      </c>
      <c r="O3011" s="362"/>
    </row>
    <row r="3012" spans="1:15" ht="15.75" customHeight="1">
      <c r="A3012" s="395">
        <f t="array" ref="A3012">IF(C3012&lt;&gt;0,INDEX(CodMat,MATCH(C3012,Materiales,0),),)</f>
        <v>0</v>
      </c>
      <c r="B3012" s="399"/>
      <c r="C3012" s="1128"/>
      <c r="D3012" s="940"/>
      <c r="E3012" s="940"/>
      <c r="F3012" s="940"/>
      <c r="G3012" s="940"/>
      <c r="H3012" s="940"/>
      <c r="I3012" s="941"/>
      <c r="J3012" s="435" t="str">
        <f t="shared" si="224"/>
        <v/>
      </c>
      <c r="K3012" s="673"/>
      <c r="L3012" s="1134" t="str">
        <f t="shared" si="225"/>
        <v/>
      </c>
      <c r="M3012" s="941"/>
      <c r="N3012" s="430" t="str">
        <f t="shared" si="226"/>
        <v/>
      </c>
      <c r="O3012" s="362"/>
    </row>
    <row r="3013" spans="1:15" ht="15.75" customHeight="1">
      <c r="A3013" s="395">
        <f t="array" ref="A3013">IF(C3013&lt;&gt;0,INDEX(CodMat,MATCH(C3013,Materiales,0),),)</f>
        <v>0</v>
      </c>
      <c r="B3013" s="399"/>
      <c r="C3013" s="1128"/>
      <c r="D3013" s="940"/>
      <c r="E3013" s="940"/>
      <c r="F3013" s="940"/>
      <c r="G3013" s="940"/>
      <c r="H3013" s="940"/>
      <c r="I3013" s="941"/>
      <c r="J3013" s="435" t="str">
        <f t="shared" si="224"/>
        <v/>
      </c>
      <c r="K3013" s="673"/>
      <c r="L3013" s="1205" t="str">
        <f t="shared" si="225"/>
        <v/>
      </c>
      <c r="M3013" s="1145"/>
      <c r="N3013" s="430" t="str">
        <f t="shared" si="226"/>
        <v/>
      </c>
      <c r="O3013" s="362"/>
    </row>
    <row r="3014" spans="1:15" ht="15.75" customHeight="1">
      <c r="A3014" s="395"/>
      <c r="B3014" s="399"/>
      <c r="C3014" s="1127" t="s">
        <v>1202</v>
      </c>
      <c r="D3014" s="965"/>
      <c r="E3014" s="965"/>
      <c r="F3014" s="965"/>
      <c r="G3014" s="965"/>
      <c r="H3014" s="965"/>
      <c r="I3014" s="965"/>
      <c r="J3014" s="965"/>
      <c r="K3014" s="965"/>
      <c r="L3014" s="965"/>
      <c r="M3014" s="966"/>
      <c r="N3014" s="433">
        <f>+SUM(N3006:N3013)</f>
        <v>550000</v>
      </c>
      <c r="O3014" s="362"/>
    </row>
    <row r="3015" spans="1:15" ht="15.75" customHeight="1">
      <c r="A3015" s="395"/>
      <c r="B3015" s="399"/>
      <c r="C3015" s="1129" t="s">
        <v>1208</v>
      </c>
      <c r="D3015" s="926"/>
      <c r="E3015" s="926"/>
      <c r="F3015" s="926"/>
      <c r="G3015" s="926"/>
      <c r="H3015" s="926"/>
      <c r="I3015" s="926"/>
      <c r="J3015" s="926"/>
      <c r="K3015" s="926"/>
      <c r="L3015" s="926"/>
      <c r="M3015" s="926"/>
      <c r="N3015" s="927"/>
      <c r="O3015" s="362"/>
    </row>
    <row r="3016" spans="1:15" ht="15.75" customHeight="1">
      <c r="A3016" s="395"/>
      <c r="B3016" s="399"/>
      <c r="C3016" s="920"/>
      <c r="D3016" s="922"/>
      <c r="E3016" s="922"/>
      <c r="F3016" s="922"/>
      <c r="G3016" s="922"/>
      <c r="H3016" s="922"/>
      <c r="I3016" s="922"/>
      <c r="J3016" s="922"/>
      <c r="K3016" s="922"/>
      <c r="L3016" s="922"/>
      <c r="M3016" s="922"/>
      <c r="N3016" s="924"/>
      <c r="O3016" s="362"/>
    </row>
    <row r="3017" spans="1:15" ht="15.75" customHeight="1">
      <c r="A3017" s="395"/>
      <c r="B3017" s="399"/>
      <c r="C3017" s="929"/>
      <c r="D3017" s="936"/>
      <c r="E3017" s="936"/>
      <c r="F3017" s="936"/>
      <c r="G3017" s="936"/>
      <c r="H3017" s="936"/>
      <c r="I3017" s="936"/>
      <c r="J3017" s="936"/>
      <c r="K3017" s="936"/>
      <c r="L3017" s="936"/>
      <c r="M3017" s="936"/>
      <c r="N3017" s="938"/>
      <c r="O3017" s="362"/>
    </row>
    <row r="3018" spans="1:15" ht="15.75" customHeight="1">
      <c r="A3018" s="395"/>
      <c r="B3018" s="399"/>
      <c r="C3018" s="1201" t="s">
        <v>1209</v>
      </c>
      <c r="D3018" s="1131"/>
      <c r="E3018" s="1131"/>
      <c r="F3018" s="1131"/>
      <c r="G3018" s="1131"/>
      <c r="H3018" s="1000"/>
      <c r="I3018" s="670" t="s">
        <v>1210</v>
      </c>
      <c r="J3018" s="674" t="s">
        <v>1211</v>
      </c>
      <c r="K3018" s="675" t="s">
        <v>2318</v>
      </c>
      <c r="L3018" s="1204" t="s">
        <v>1213</v>
      </c>
      <c r="M3018" s="1000"/>
      <c r="N3018" s="671" t="s">
        <v>1200</v>
      </c>
      <c r="O3018" s="362"/>
    </row>
    <row r="3019" spans="1:15" ht="15.75" customHeight="1">
      <c r="A3019" s="395">
        <f t="array" ref="A3019">IF(C3019&lt;&gt;0,INDEX(CodTransporte,MATCH(C3019,Transporte,0),),)</f>
        <v>0</v>
      </c>
      <c r="B3019" s="399"/>
      <c r="C3019" s="1128"/>
      <c r="D3019" s="940"/>
      <c r="E3019" s="940"/>
      <c r="F3019" s="940"/>
      <c r="G3019" s="940"/>
      <c r="H3019" s="940"/>
      <c r="I3019" s="440"/>
      <c r="J3019" s="441" t="str">
        <f>IF($A3019&gt;0,(VLOOKUP($A3019,TablaTransporte,6,FALSE)),"")</f>
        <v/>
      </c>
      <c r="K3019" s="442" t="str">
        <f>IF($A3019&gt;0,(VLOOKUP($A3019,TablaTransporte,5,FALSE)),"")</f>
        <v/>
      </c>
      <c r="L3019" s="1134" t="str">
        <f>IF($A3019&gt;0,(VLOOKUP($A3019,TablaTransporte,7,FALSE)),"")</f>
        <v/>
      </c>
      <c r="M3019" s="941"/>
      <c r="N3019" s="430" t="str">
        <f t="shared" ref="N3019:N3023" si="227">IF(I3019&gt;0,J3019*L3019*I3019,"")</f>
        <v/>
      </c>
      <c r="O3019" s="362"/>
    </row>
    <row r="3020" spans="1:15" ht="15.75" customHeight="1">
      <c r="A3020" s="395">
        <f t="array" ref="A3020">IF(C3020&lt;&gt;0,INDEX(CodTransporte,MATCH(C3020,Transporte,0),),)</f>
        <v>0</v>
      </c>
      <c r="B3020" s="399"/>
      <c r="C3020" s="1128"/>
      <c r="D3020" s="940"/>
      <c r="E3020" s="940"/>
      <c r="F3020" s="940"/>
      <c r="G3020" s="940"/>
      <c r="H3020" s="940"/>
      <c r="I3020" s="440"/>
      <c r="J3020" s="441" t="str">
        <f>IF($A3020&gt;0,(VLOOKUP($A3020,TablaTransporte,6,FALSE)),"")</f>
        <v/>
      </c>
      <c r="K3020" s="442" t="str">
        <f>IF($A3020&gt;0,(VLOOKUP($A3020,TablaTransporte,5,FALSE)),"")</f>
        <v/>
      </c>
      <c r="L3020" s="1134" t="str">
        <f>IF($A3020&gt;0,(VLOOKUP($A3020,TablaTransporte,7,FALSE)),"")</f>
        <v/>
      </c>
      <c r="M3020" s="941"/>
      <c r="N3020" s="430" t="str">
        <f t="shared" si="227"/>
        <v/>
      </c>
      <c r="O3020" s="362"/>
    </row>
    <row r="3021" spans="1:15" ht="15.75" customHeight="1">
      <c r="A3021" s="395">
        <f t="array" ref="A3021">IF(C3021&lt;&gt;0,INDEX(CodTransporte,MATCH(C3021,Transporte,0),),)</f>
        <v>0</v>
      </c>
      <c r="B3021" s="399"/>
      <c r="C3021" s="1128"/>
      <c r="D3021" s="940"/>
      <c r="E3021" s="940"/>
      <c r="F3021" s="940"/>
      <c r="G3021" s="940"/>
      <c r="H3021" s="940"/>
      <c r="I3021" s="440"/>
      <c r="J3021" s="441" t="str">
        <f>IF($A3021&gt;0,(VLOOKUP($A3021,TablaTransporte,6,FALSE)),"")</f>
        <v/>
      </c>
      <c r="K3021" s="442" t="str">
        <f>IF($A3021&gt;0,(VLOOKUP($A3021,TablaTransporte,5,FALSE)),"")</f>
        <v/>
      </c>
      <c r="L3021" s="1134" t="str">
        <f>IF($A3021&gt;0,(VLOOKUP($A3021,TablaTransporte,7,FALSE)),"")</f>
        <v/>
      </c>
      <c r="M3021" s="941"/>
      <c r="N3021" s="430" t="str">
        <f t="shared" si="227"/>
        <v/>
      </c>
      <c r="O3021" s="362"/>
    </row>
    <row r="3022" spans="1:15" ht="15.75" customHeight="1">
      <c r="A3022" s="395">
        <f t="array" ref="A3022">IF(C3022&lt;&gt;0,INDEX(CodTransporte,MATCH(C3022,Transporte,0),),)</f>
        <v>0</v>
      </c>
      <c r="B3022" s="399"/>
      <c r="C3022" s="1128"/>
      <c r="D3022" s="940"/>
      <c r="E3022" s="940"/>
      <c r="F3022" s="940"/>
      <c r="G3022" s="940"/>
      <c r="H3022" s="940"/>
      <c r="I3022" s="440"/>
      <c r="J3022" s="441" t="str">
        <f>IF($A3022&gt;0,(VLOOKUP($A3022,TablaTransporte,6,FALSE)),"")</f>
        <v/>
      </c>
      <c r="K3022" s="442" t="str">
        <f>IF($A3022&gt;0,(VLOOKUP($A3022,TablaTransporte,5,FALSE)),"")</f>
        <v/>
      </c>
      <c r="L3022" s="1134" t="str">
        <f>IF($A3022&gt;0,(VLOOKUP($A3022,TablaTransporte,7,FALSE)),"")</f>
        <v/>
      </c>
      <c r="M3022" s="941"/>
      <c r="N3022" s="430" t="str">
        <f t="shared" si="227"/>
        <v/>
      </c>
      <c r="O3022" s="362"/>
    </row>
    <row r="3023" spans="1:15" ht="15.75" customHeight="1">
      <c r="A3023" s="395">
        <f t="array" ref="A3023">IF(C3023&lt;&gt;0,INDEX(CodTransporte,MATCH(C3023,Transporte,0),),)</f>
        <v>0</v>
      </c>
      <c r="B3023" s="399"/>
      <c r="C3023" s="1128"/>
      <c r="D3023" s="940"/>
      <c r="E3023" s="940"/>
      <c r="F3023" s="940"/>
      <c r="G3023" s="940"/>
      <c r="H3023" s="940"/>
      <c r="I3023" s="440"/>
      <c r="J3023" s="441" t="str">
        <f>IF($A3023&gt;0,(VLOOKUP($A3023,TablaTransporte,6,FALSE)),"")</f>
        <v/>
      </c>
      <c r="K3023" s="442" t="str">
        <f>IF($A3023&gt;0,(VLOOKUP($A3023,TablaTransporte,5,FALSE)),"")</f>
        <v/>
      </c>
      <c r="L3023" s="1205" t="str">
        <f>IF($A3023&gt;0,(VLOOKUP($A3023,TablaTransporte,7,FALSE)),"")</f>
        <v/>
      </c>
      <c r="M3023" s="1145"/>
      <c r="N3023" s="430" t="str">
        <f t="shared" si="227"/>
        <v/>
      </c>
      <c r="O3023" s="362"/>
    </row>
    <row r="3024" spans="1:15" ht="15.75" customHeight="1">
      <c r="A3024" s="395"/>
      <c r="B3024" s="399"/>
      <c r="C3024" s="1127" t="s">
        <v>1202</v>
      </c>
      <c r="D3024" s="965"/>
      <c r="E3024" s="965"/>
      <c r="F3024" s="965"/>
      <c r="G3024" s="965"/>
      <c r="H3024" s="965"/>
      <c r="I3024" s="965"/>
      <c r="J3024" s="965"/>
      <c r="K3024" s="965"/>
      <c r="L3024" s="965"/>
      <c r="M3024" s="966"/>
      <c r="N3024" s="433">
        <f>+SUM(N3019:N3023)</f>
        <v>0</v>
      </c>
      <c r="O3024" s="362"/>
    </row>
    <row r="3025" spans="1:18" ht="15.75" customHeight="1">
      <c r="A3025" s="395"/>
      <c r="B3025" s="399"/>
      <c r="C3025" s="1129" t="s">
        <v>1214</v>
      </c>
      <c r="D3025" s="926"/>
      <c r="E3025" s="926"/>
      <c r="F3025" s="926"/>
      <c r="G3025" s="926"/>
      <c r="H3025" s="926"/>
      <c r="I3025" s="926"/>
      <c r="J3025" s="926"/>
      <c r="K3025" s="926"/>
      <c r="L3025" s="926"/>
      <c r="M3025" s="926"/>
      <c r="N3025" s="927"/>
      <c r="O3025" s="362"/>
    </row>
    <row r="3026" spans="1:18" ht="15.75" customHeight="1">
      <c r="A3026" s="395"/>
      <c r="B3026" s="399"/>
      <c r="C3026" s="920"/>
      <c r="D3026" s="922"/>
      <c r="E3026" s="922"/>
      <c r="F3026" s="922"/>
      <c r="G3026" s="922"/>
      <c r="H3026" s="922"/>
      <c r="I3026" s="922"/>
      <c r="J3026" s="922"/>
      <c r="K3026" s="922"/>
      <c r="L3026" s="922"/>
      <c r="M3026" s="922"/>
      <c r="N3026" s="924"/>
      <c r="O3026" s="362"/>
    </row>
    <row r="3027" spans="1:18" ht="15.75" customHeight="1">
      <c r="A3027" s="395"/>
      <c r="B3027" s="399"/>
      <c r="C3027" s="929"/>
      <c r="D3027" s="936"/>
      <c r="E3027" s="936"/>
      <c r="F3027" s="936"/>
      <c r="G3027" s="936"/>
      <c r="H3027" s="936"/>
      <c r="I3027" s="936"/>
      <c r="J3027" s="936"/>
      <c r="K3027" s="936"/>
      <c r="L3027" s="936"/>
      <c r="M3027" s="936"/>
      <c r="N3027" s="938"/>
      <c r="O3027" s="362"/>
    </row>
    <row r="3028" spans="1:18" ht="15.75" customHeight="1">
      <c r="A3028" s="395"/>
      <c r="B3028" s="399"/>
      <c r="C3028" s="1201" t="s">
        <v>1215</v>
      </c>
      <c r="D3028" s="1131"/>
      <c r="E3028" s="1131"/>
      <c r="F3028" s="1131"/>
      <c r="G3028" s="1131"/>
      <c r="H3028" s="1000"/>
      <c r="I3028" s="670" t="s">
        <v>1216</v>
      </c>
      <c r="J3028" s="676" t="s">
        <v>1217</v>
      </c>
      <c r="K3028" s="677" t="s">
        <v>1218</v>
      </c>
      <c r="L3028" s="1206" t="s">
        <v>1199</v>
      </c>
      <c r="M3028" s="1000"/>
      <c r="N3028" s="678" t="s">
        <v>1200</v>
      </c>
      <c r="O3028" s="362"/>
    </row>
    <row r="3029" spans="1:18" ht="15.75" customHeight="1">
      <c r="A3029" s="395" t="str">
        <f t="array" ref="A3029">IF(C3029&lt;&gt;0,INDEX(CodMO,MATCH(C3029,MO,0),),)</f>
        <v>M.O-05</v>
      </c>
      <c r="B3029" s="399"/>
      <c r="C3029" s="1128" t="s">
        <v>139</v>
      </c>
      <c r="D3029" s="940"/>
      <c r="E3029" s="940"/>
      <c r="F3029" s="940"/>
      <c r="G3029" s="940"/>
      <c r="H3029" s="940"/>
      <c r="I3029" s="447">
        <f>IF($A3029&gt;0,(VLOOKUP($A3029,TablaMO,8,FALSE)),"")</f>
        <v>125030.16666666667</v>
      </c>
      <c r="J3029" s="448">
        <f>IF($A3029&gt;0,(VLOOKUP($A3029,TablaMO,10,FALSE)),"")</f>
        <v>0.67071666666666663</v>
      </c>
      <c r="K3029" s="447">
        <f>IF($A3029&gt;0,(VLOOKUP($A3029,TablaMO,11,FALSE)),"")</f>
        <v>208890</v>
      </c>
      <c r="L3029" s="1146">
        <v>1.5059717017102565</v>
      </c>
      <c r="M3029" s="941"/>
      <c r="N3029" s="430">
        <f t="shared" ref="N3029:N3033" si="228">IF(L3029&gt;0,K3029/L3029,"")</f>
        <v>138707.78565279421</v>
      </c>
      <c r="O3029" s="362"/>
    </row>
    <row r="3030" spans="1:18" ht="15.75" customHeight="1">
      <c r="A3030" s="395" t="str">
        <f t="array" ref="A3030">IF(C3030&lt;&gt;0,INDEX(CodMO,MATCH(C3030,MO,0),),)</f>
        <v>M.O-06</v>
      </c>
      <c r="B3030" s="399"/>
      <c r="C3030" s="1128" t="s">
        <v>141</v>
      </c>
      <c r="D3030" s="940"/>
      <c r="E3030" s="940"/>
      <c r="F3030" s="940"/>
      <c r="G3030" s="940"/>
      <c r="H3030" s="940"/>
      <c r="I3030" s="447">
        <f>IF($A3030&gt;0,(VLOOKUP($A3030,TablaMO,8,FALSE)),"")</f>
        <v>125030.16666666667</v>
      </c>
      <c r="J3030" s="448">
        <f>IF($A3030&gt;0,(VLOOKUP($A3030,TablaMO,10,FALSE)),"")</f>
        <v>0.67071666666666663</v>
      </c>
      <c r="K3030" s="447">
        <f>IF($A3030&gt;0,(VLOOKUP($A3030,TablaMO,11,FALSE)),"")</f>
        <v>208890</v>
      </c>
      <c r="L3030" s="1146">
        <f>L3029</f>
        <v>1.5059717017102565</v>
      </c>
      <c r="M3030" s="941"/>
      <c r="N3030" s="430">
        <f t="shared" si="228"/>
        <v>138707.78565279421</v>
      </c>
      <c r="O3030" s="362"/>
    </row>
    <row r="3031" spans="1:18" ht="15.75" customHeight="1">
      <c r="A3031" s="395" t="str">
        <f t="array" ref="A3031">IF(C3031&lt;&gt;0,INDEX(CodMO,MATCH(C3031,MO,0),),)</f>
        <v>M.O-01</v>
      </c>
      <c r="B3031" s="399"/>
      <c r="C3031" s="1128" t="s">
        <v>130</v>
      </c>
      <c r="D3031" s="940"/>
      <c r="E3031" s="940"/>
      <c r="F3031" s="940"/>
      <c r="G3031" s="940"/>
      <c r="H3031" s="940"/>
      <c r="I3031" s="447">
        <f>IF($A3031&gt;0,(VLOOKUP($A3031,TablaMO,8,FALSE)),"")</f>
        <v>72503.016666666677</v>
      </c>
      <c r="J3031" s="448">
        <f>IF($A3031&gt;0,(VLOOKUP($A3031,TablaMO,10,FALSE)),"")</f>
        <v>0.67071666666666663</v>
      </c>
      <c r="K3031" s="447">
        <f>IF($A3031&gt;0,(VLOOKUP($A3031,TablaMO,11,FALSE)),"")</f>
        <v>121132</v>
      </c>
      <c r="L3031" s="1146">
        <f>L3029</f>
        <v>1.5059717017102565</v>
      </c>
      <c r="M3031" s="941"/>
      <c r="N3031" s="430">
        <f t="shared" si="228"/>
        <v>80434.446319566603</v>
      </c>
      <c r="O3031" s="362"/>
    </row>
    <row r="3032" spans="1:18" ht="15.75" customHeight="1">
      <c r="A3032" s="395" t="str">
        <f t="array" ref="A3032">IF(C3032&lt;&gt;0,INDEX(CodMO,MATCH(C3032,MO,0),),)</f>
        <v>M.O-02</v>
      </c>
      <c r="B3032" s="399"/>
      <c r="C3032" s="1128" t="s">
        <v>133</v>
      </c>
      <c r="D3032" s="940"/>
      <c r="E3032" s="940"/>
      <c r="F3032" s="940"/>
      <c r="G3032" s="940"/>
      <c r="H3032" s="940"/>
      <c r="I3032" s="447">
        <f>IF($A3032&gt;0,(VLOOKUP($A3032,TablaMO,8,FALSE)),"")</f>
        <v>72503.016666666677</v>
      </c>
      <c r="J3032" s="448">
        <f>IF($A3032&gt;0,(VLOOKUP($A3032,TablaMO,10,FALSE)),"")</f>
        <v>0.67071666666666663</v>
      </c>
      <c r="K3032" s="447">
        <f>IF($A3032&gt;0,(VLOOKUP($A3032,TablaMO,11,FALSE)),"")</f>
        <v>121132</v>
      </c>
      <c r="L3032" s="1146">
        <f>L3029</f>
        <v>1.5059717017102565</v>
      </c>
      <c r="M3032" s="941"/>
      <c r="N3032" s="430">
        <f t="shared" si="228"/>
        <v>80434.446319566603</v>
      </c>
      <c r="O3032" s="362"/>
    </row>
    <row r="3033" spans="1:18" ht="15.75" customHeight="1">
      <c r="A3033" s="395">
        <f t="array" ref="A3033">IF(C3033&lt;&gt;0,INDEX(CodMO,MATCH(C3033,MO,0),),)</f>
        <v>0</v>
      </c>
      <c r="B3033" s="399"/>
      <c r="C3033" s="1128"/>
      <c r="D3033" s="940"/>
      <c r="E3033" s="940"/>
      <c r="F3033" s="940"/>
      <c r="G3033" s="940"/>
      <c r="H3033" s="940"/>
      <c r="I3033" s="447" t="str">
        <f>IF($A3033&gt;0,(VLOOKUP($A3033,TablaMO,8,FALSE)),"")</f>
        <v/>
      </c>
      <c r="J3033" s="448" t="str">
        <f>IF($A3033&gt;0,(VLOOKUP($A3033,TablaMO,10,FALSE)),"")</f>
        <v/>
      </c>
      <c r="K3033" s="447" t="str">
        <f>IF($A3033&gt;0,(VLOOKUP($A3033,TablaMO,11,FALSE)),"")</f>
        <v/>
      </c>
      <c r="L3033" s="1146"/>
      <c r="M3033" s="941"/>
      <c r="N3033" s="430" t="str">
        <f t="shared" si="228"/>
        <v/>
      </c>
      <c r="O3033" s="362"/>
    </row>
    <row r="3034" spans="1:18" ht="15.75" customHeight="1">
      <c r="A3034" s="395"/>
      <c r="B3034" s="399"/>
      <c r="C3034" s="1127" t="s">
        <v>1202</v>
      </c>
      <c r="D3034" s="965"/>
      <c r="E3034" s="965"/>
      <c r="F3034" s="965"/>
      <c r="G3034" s="965"/>
      <c r="H3034" s="965"/>
      <c r="I3034" s="965"/>
      <c r="J3034" s="965"/>
      <c r="K3034" s="965"/>
      <c r="L3034" s="965"/>
      <c r="M3034" s="966"/>
      <c r="N3034" s="433">
        <f>+SUM(N3029:N3033)</f>
        <v>438284.46394472162</v>
      </c>
      <c r="O3034" s="362"/>
    </row>
    <row r="3035" spans="1:18" ht="15.75" customHeight="1">
      <c r="B3035" s="679"/>
      <c r="O3035" s="362"/>
    </row>
    <row r="3036" spans="1:18" ht="15.75" customHeight="1">
      <c r="B3036" s="679"/>
      <c r="C3036" s="1198" t="s">
        <v>1219</v>
      </c>
      <c r="D3036" s="965"/>
      <c r="E3036" s="965"/>
      <c r="F3036" s="965"/>
      <c r="G3036" s="965"/>
      <c r="H3036" s="965"/>
      <c r="I3036" s="965"/>
      <c r="J3036" s="965"/>
      <c r="K3036" s="965"/>
      <c r="L3036" s="965"/>
      <c r="M3036" s="966"/>
      <c r="N3036" s="680">
        <f>ROUND(SUM(N3034,N3024,N3014,N3001),0)</f>
        <v>1014582</v>
      </c>
      <c r="O3036" s="362"/>
      <c r="Q3036" s="681">
        <f>VLOOKUP(C2990,PROPUESTASASERCO,8,FALSE)</f>
        <v>1014582</v>
      </c>
      <c r="R3036" s="682">
        <f>Q3036-N3036</f>
        <v>0</v>
      </c>
    </row>
    <row r="3037" spans="1:18" ht="15.75" customHeight="1">
      <c r="B3037" s="679"/>
      <c r="C3037" s="1129" t="s">
        <v>1220</v>
      </c>
      <c r="D3037" s="926"/>
      <c r="E3037" s="926"/>
      <c r="F3037" s="926"/>
      <c r="G3037" s="926"/>
      <c r="H3037" s="926"/>
      <c r="I3037" s="926"/>
      <c r="J3037" s="926"/>
      <c r="K3037" s="926"/>
      <c r="L3037" s="926"/>
      <c r="M3037" s="926"/>
      <c r="N3037" s="927"/>
      <c r="O3037" s="362"/>
    </row>
    <row r="3038" spans="1:18" ht="15.75" customHeight="1">
      <c r="B3038" s="679"/>
      <c r="C3038" s="920"/>
      <c r="D3038" s="922"/>
      <c r="E3038" s="922"/>
      <c r="F3038" s="922"/>
      <c r="G3038" s="922"/>
      <c r="H3038" s="922"/>
      <c r="I3038" s="922"/>
      <c r="J3038" s="922"/>
      <c r="K3038" s="922"/>
      <c r="L3038" s="922"/>
      <c r="M3038" s="922"/>
      <c r="N3038" s="924"/>
      <c r="O3038" s="362"/>
    </row>
    <row r="3039" spans="1:18" ht="15.75" customHeight="1">
      <c r="B3039" s="679"/>
      <c r="C3039" s="929"/>
      <c r="D3039" s="936"/>
      <c r="E3039" s="936"/>
      <c r="F3039" s="936"/>
      <c r="G3039" s="936"/>
      <c r="H3039" s="936"/>
      <c r="I3039" s="936"/>
      <c r="J3039" s="936"/>
      <c r="K3039" s="936"/>
      <c r="L3039" s="936"/>
      <c r="M3039" s="936"/>
      <c r="N3039" s="938"/>
      <c r="O3039" s="362"/>
    </row>
    <row r="3040" spans="1:18" ht="15.75" customHeight="1">
      <c r="B3040" s="679"/>
      <c r="C3040" s="1201" t="s">
        <v>1221</v>
      </c>
      <c r="D3040" s="1131"/>
      <c r="E3040" s="1131"/>
      <c r="F3040" s="1131"/>
      <c r="G3040" s="1131"/>
      <c r="H3040" s="1132"/>
      <c r="I3040" s="674"/>
      <c r="J3040" s="674"/>
      <c r="K3040" s="674"/>
      <c r="L3040" s="1206" t="s">
        <v>1222</v>
      </c>
      <c r="M3040" s="1000"/>
      <c r="N3040" s="678" t="s">
        <v>1223</v>
      </c>
      <c r="O3040" s="362"/>
    </row>
    <row r="3041" spans="2:15" ht="15.75" customHeight="1">
      <c r="B3041" s="679"/>
      <c r="C3041" s="1128" t="s">
        <v>19</v>
      </c>
      <c r="D3041" s="940"/>
      <c r="E3041" s="940"/>
      <c r="F3041" s="940"/>
      <c r="G3041" s="940"/>
      <c r="H3041" s="940"/>
      <c r="I3041" s="452"/>
      <c r="J3041" s="452"/>
      <c r="K3041" s="452"/>
      <c r="L3041" s="1148">
        <f>+Datos!$E$18</f>
        <v>0.25</v>
      </c>
      <c r="M3041" s="941"/>
      <c r="N3041" s="430">
        <f>+L3041*N3036</f>
        <v>253645.5</v>
      </c>
      <c r="O3041" s="362"/>
    </row>
    <row r="3042" spans="2:15" ht="15.75" customHeight="1">
      <c r="B3042" s="679"/>
      <c r="C3042" s="454" t="s">
        <v>20</v>
      </c>
      <c r="D3042" s="455"/>
      <c r="E3042" s="455"/>
      <c r="F3042" s="455"/>
      <c r="G3042" s="455"/>
      <c r="H3042" s="455"/>
      <c r="I3042" s="452"/>
      <c r="J3042" s="452"/>
      <c r="K3042" s="452"/>
      <c r="L3042" s="1148">
        <f>+Datos!$E$19</f>
        <v>0.01</v>
      </c>
      <c r="M3042" s="941"/>
      <c r="N3042" s="430">
        <f>+L3042*N3036</f>
        <v>10145.82</v>
      </c>
      <c r="O3042" s="362"/>
    </row>
    <row r="3043" spans="2:15" ht="15.75" customHeight="1">
      <c r="B3043" s="679"/>
      <c r="C3043" s="456" t="s">
        <v>21</v>
      </c>
      <c r="D3043" s="457"/>
      <c r="E3043" s="457"/>
      <c r="F3043" s="457"/>
      <c r="G3043" s="457"/>
      <c r="H3043" s="457"/>
      <c r="I3043" s="458"/>
      <c r="J3043" s="458"/>
      <c r="K3043" s="458"/>
      <c r="L3043" s="1148">
        <f>+Datos!$E$20</f>
        <v>0.05</v>
      </c>
      <c r="M3043" s="941"/>
      <c r="N3043" s="430">
        <f>+L3043*N3036</f>
        <v>50729.100000000006</v>
      </c>
      <c r="O3043" s="362"/>
    </row>
    <row r="3044" spans="2:15" ht="15.75" customHeight="1">
      <c r="B3044" s="679"/>
      <c r="C3044" s="1127" t="s">
        <v>1202</v>
      </c>
      <c r="D3044" s="965"/>
      <c r="E3044" s="965"/>
      <c r="F3044" s="965"/>
      <c r="G3044" s="965"/>
      <c r="H3044" s="965"/>
      <c r="I3044" s="965"/>
      <c r="J3044" s="965"/>
      <c r="K3044" s="965"/>
      <c r="L3044" s="965"/>
      <c r="M3044" s="966"/>
      <c r="N3044" s="433">
        <f>+SUM(N3041:N3043)</f>
        <v>314520.42000000004</v>
      </c>
      <c r="O3044" s="362"/>
    </row>
    <row r="3045" spans="2:15" ht="15.75" customHeight="1">
      <c r="B3045" s="679"/>
      <c r="C3045" s="418"/>
      <c r="D3045" s="39"/>
      <c r="E3045" s="39"/>
      <c r="F3045" s="39"/>
      <c r="G3045" s="39"/>
      <c r="H3045" s="39"/>
      <c r="I3045" s="39"/>
      <c r="J3045" s="39"/>
      <c r="K3045" s="39"/>
      <c r="L3045" s="39"/>
      <c r="M3045" s="39"/>
      <c r="N3045" s="40"/>
      <c r="O3045" s="362"/>
    </row>
    <row r="3046" spans="2:15" ht="15.75" customHeight="1">
      <c r="B3046" s="679"/>
      <c r="C3046" s="1198" t="s">
        <v>1224</v>
      </c>
      <c r="D3046" s="965"/>
      <c r="E3046" s="965"/>
      <c r="F3046" s="965"/>
      <c r="G3046" s="965"/>
      <c r="H3046" s="965"/>
      <c r="I3046" s="965"/>
      <c r="J3046" s="965"/>
      <c r="K3046" s="965"/>
      <c r="L3046" s="965"/>
      <c r="M3046" s="966"/>
      <c r="N3046" s="683">
        <f>+ROUND(SUM(N3044,N3036),0)</f>
        <v>1329102</v>
      </c>
      <c r="O3046" s="362"/>
    </row>
    <row r="3047" spans="2:15" ht="15.75" customHeight="1">
      <c r="B3047" s="679"/>
      <c r="C3047" s="418"/>
      <c r="D3047" s="39" t="s">
        <v>1225</v>
      </c>
      <c r="E3047" s="39"/>
      <c r="F3047" s="39"/>
      <c r="G3047" s="184"/>
      <c r="H3047" s="184"/>
      <c r="I3047" s="184"/>
      <c r="J3047" s="39" t="s">
        <v>1225</v>
      </c>
      <c r="K3047" s="39"/>
      <c r="L3047" s="39"/>
      <c r="M3047" s="39"/>
      <c r="N3047" s="40"/>
      <c r="O3047" s="362"/>
    </row>
    <row r="3048" spans="2:15" ht="15.75" customHeight="1">
      <c r="B3048" s="679"/>
      <c r="C3048" s="418"/>
      <c r="D3048" s="39" t="s">
        <v>1226</v>
      </c>
      <c r="E3048" s="39"/>
      <c r="F3048" s="39"/>
      <c r="G3048" s="184"/>
      <c r="H3048" s="184"/>
      <c r="I3048" s="184"/>
      <c r="J3048" s="39" t="s">
        <v>1227</v>
      </c>
      <c r="K3048" s="39"/>
      <c r="L3048" s="39"/>
      <c r="M3048" s="39"/>
      <c r="N3048" s="40"/>
      <c r="O3048" s="362"/>
    </row>
    <row r="3049" spans="2:15" ht="15.75" customHeight="1">
      <c r="B3049" s="679"/>
      <c r="C3049" s="404"/>
      <c r="D3049" s="39" t="s">
        <v>1228</v>
      </c>
      <c r="E3049" s="42"/>
      <c r="F3049" s="42"/>
      <c r="G3049" s="184"/>
      <c r="H3049" s="184"/>
      <c r="I3049" s="184"/>
      <c r="J3049" s="39" t="s">
        <v>1228</v>
      </c>
      <c r="K3049" s="42"/>
      <c r="L3049" s="42"/>
      <c r="M3049" s="42"/>
      <c r="N3049" s="43"/>
      <c r="O3049" s="362"/>
    </row>
    <row r="3050" spans="2:15" ht="15.75" customHeight="1">
      <c r="B3050" s="679"/>
      <c r="C3050" s="418"/>
      <c r="D3050" s="39"/>
      <c r="E3050" s="39"/>
      <c r="F3050" s="39"/>
      <c r="G3050" s="39" t="s">
        <v>1229</v>
      </c>
      <c r="H3050" s="39"/>
      <c r="I3050" s="39"/>
      <c r="J3050" s="39"/>
      <c r="K3050" s="39"/>
      <c r="L3050" s="39"/>
      <c r="M3050" s="39"/>
      <c r="N3050" s="40"/>
      <c r="O3050" s="362"/>
    </row>
    <row r="3051" spans="2:15" ht="15.75" customHeight="1">
      <c r="B3051" s="679"/>
      <c r="C3051" s="466"/>
      <c r="D3051" s="467"/>
      <c r="E3051" s="467"/>
      <c r="F3051" s="39"/>
      <c r="G3051" s="39"/>
      <c r="H3051" s="39"/>
      <c r="I3051" s="39"/>
      <c r="J3051" s="1149"/>
      <c r="K3051" s="922"/>
      <c r="L3051" s="922"/>
      <c r="M3051" s="922"/>
      <c r="N3051" s="924"/>
      <c r="O3051" s="362"/>
    </row>
    <row r="3052" spans="2:15" ht="15.75" customHeight="1">
      <c r="B3052" s="679"/>
      <c r="C3052" s="1150"/>
      <c r="D3052" s="936"/>
      <c r="E3052" s="936"/>
      <c r="F3052" s="416"/>
      <c r="G3052" s="416"/>
      <c r="H3052" s="416"/>
      <c r="I3052" s="416"/>
      <c r="J3052" s="936"/>
      <c r="K3052" s="936"/>
      <c r="L3052" s="936"/>
      <c r="M3052" s="936"/>
      <c r="N3052" s="938"/>
      <c r="O3052" s="362"/>
    </row>
    <row r="3053" spans="2:15" ht="15.75" customHeight="1">
      <c r="B3053" s="684"/>
      <c r="C3053" s="685"/>
      <c r="D3053" s="685"/>
      <c r="E3053" s="685"/>
      <c r="F3053" s="685"/>
      <c r="G3053" s="685"/>
      <c r="H3053" s="685"/>
      <c r="I3053" s="685"/>
      <c r="J3053" s="685"/>
      <c r="K3053" s="685"/>
      <c r="L3053" s="685"/>
      <c r="M3053" s="685"/>
      <c r="N3053" s="685"/>
      <c r="O3053" s="686"/>
    </row>
    <row r="3054" spans="2:15" ht="15.75" customHeight="1"/>
    <row r="3055" spans="2:15" ht="15.75" customHeight="1"/>
    <row r="3056" spans="2:15" ht="15.75" customHeight="1"/>
    <row r="3057" spans="1:15" ht="15.75" customHeight="1">
      <c r="A3057" s="395" t="s">
        <v>941</v>
      </c>
      <c r="B3057" s="184"/>
      <c r="C3057" s="184"/>
      <c r="D3057" s="184"/>
      <c r="E3057" s="184"/>
      <c r="F3057" s="184"/>
      <c r="G3057" s="184"/>
      <c r="H3057" s="184"/>
      <c r="I3057" s="184"/>
      <c r="J3057" s="184"/>
      <c r="K3057" s="184"/>
      <c r="L3057" s="184"/>
      <c r="M3057" s="184"/>
      <c r="N3057" s="184"/>
    </row>
    <row r="3058" spans="1:15" ht="15.75" customHeight="1">
      <c r="A3058" s="395"/>
      <c r="B3058" s="396"/>
      <c r="C3058" s="397"/>
      <c r="D3058" s="397"/>
      <c r="E3058" s="397"/>
      <c r="F3058" s="397"/>
      <c r="G3058" s="397"/>
      <c r="H3058" s="397"/>
      <c r="I3058" s="397"/>
      <c r="J3058" s="397"/>
      <c r="K3058" s="397"/>
      <c r="L3058" s="397"/>
      <c r="M3058" s="397"/>
      <c r="N3058" s="397"/>
      <c r="O3058" s="667"/>
    </row>
    <row r="3059" spans="1:15" ht="15.75" customHeight="1">
      <c r="A3059" s="395"/>
      <c r="B3059" s="399"/>
      <c r="C3059" s="1124"/>
      <c r="D3059" s="927"/>
      <c r="E3059" s="1207" t="str">
        <f>Datos!$C$9</f>
        <v>CONSEJO SUPERIOR  DE  JUDICATURA– DIRECCIÓN  EJECUTIVA  SECCIONAL  DE ADMINISTRACIÓN JUDICIAL DE BUCARAMANGA</v>
      </c>
      <c r="F3059" s="926"/>
      <c r="G3059" s="926"/>
      <c r="H3059" s="926"/>
      <c r="I3059" s="926"/>
      <c r="J3059" s="926"/>
      <c r="K3059" s="927"/>
      <c r="L3059" s="925" t="s">
        <v>1</v>
      </c>
      <c r="M3059" s="931"/>
      <c r="N3059" s="933">
        <v>1</v>
      </c>
      <c r="O3059" s="362"/>
    </row>
    <row r="3060" spans="1:15" ht="15.75" customHeight="1">
      <c r="A3060" s="395"/>
      <c r="B3060" s="399"/>
      <c r="C3060" s="920"/>
      <c r="D3060" s="924"/>
      <c r="E3060" s="920"/>
      <c r="F3060" s="922"/>
      <c r="G3060" s="922"/>
      <c r="H3060" s="922"/>
      <c r="I3060" s="922"/>
      <c r="J3060" s="922"/>
      <c r="K3060" s="924"/>
      <c r="L3060" s="920"/>
      <c r="M3060" s="932"/>
      <c r="N3060" s="934"/>
      <c r="O3060" s="362"/>
    </row>
    <row r="3061" spans="1:15" ht="15.75" customHeight="1">
      <c r="A3061" s="395"/>
      <c r="B3061" s="399"/>
      <c r="C3061" s="920"/>
      <c r="D3061" s="924"/>
      <c r="E3061" s="919" t="str">
        <f>Datos!$C$13</f>
        <v xml:space="preserve">BGA - 030 - 2026 </v>
      </c>
      <c r="F3061" s="922"/>
      <c r="G3061" s="922"/>
      <c r="H3061" s="922"/>
      <c r="I3061" s="922"/>
      <c r="J3061" s="922"/>
      <c r="K3061" s="922"/>
      <c r="L3061" s="925" t="s">
        <v>29</v>
      </c>
      <c r="M3061" s="926"/>
      <c r="N3061" s="927"/>
      <c r="O3061" s="362"/>
    </row>
    <row r="3062" spans="1:15" ht="15.75" customHeight="1">
      <c r="A3062" s="395"/>
      <c r="B3062" s="399"/>
      <c r="C3062" s="920"/>
      <c r="D3062" s="924"/>
      <c r="E306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062" s="922"/>
      <c r="G3062" s="922"/>
      <c r="H3062" s="922"/>
      <c r="I3062" s="922"/>
      <c r="J3062" s="922"/>
      <c r="K3062" s="924"/>
      <c r="L3062" s="919">
        <v>1</v>
      </c>
      <c r="M3062" s="921" t="s">
        <v>30</v>
      </c>
      <c r="N3062" s="923">
        <v>1</v>
      </c>
      <c r="O3062" s="362"/>
    </row>
    <row r="3063" spans="1:15" ht="15.75" customHeight="1">
      <c r="A3063" s="395"/>
      <c r="B3063" s="399"/>
      <c r="C3063" s="920"/>
      <c r="D3063" s="924"/>
      <c r="E3063" s="920"/>
      <c r="F3063" s="922"/>
      <c r="G3063" s="922"/>
      <c r="H3063" s="922"/>
      <c r="I3063" s="922"/>
      <c r="J3063" s="922"/>
      <c r="K3063" s="924"/>
      <c r="L3063" s="920"/>
      <c r="M3063" s="922"/>
      <c r="N3063" s="924"/>
      <c r="O3063" s="362"/>
    </row>
    <row r="3064" spans="1:15" ht="53.25" customHeight="1">
      <c r="A3064" s="395"/>
      <c r="B3064" s="399"/>
      <c r="C3064" s="920"/>
      <c r="D3064" s="924"/>
      <c r="E3064" s="920"/>
      <c r="F3064" s="922"/>
      <c r="G3064" s="922"/>
      <c r="H3064" s="922"/>
      <c r="I3064" s="922"/>
      <c r="J3064" s="922"/>
      <c r="K3064" s="924"/>
      <c r="L3064" s="925" t="s">
        <v>2</v>
      </c>
      <c r="M3064" s="926"/>
      <c r="N3064" s="927"/>
      <c r="O3064" s="362"/>
    </row>
    <row r="3065" spans="1:15" ht="15.75" customHeight="1">
      <c r="A3065" s="395"/>
      <c r="B3065" s="399"/>
      <c r="C3065" s="920"/>
      <c r="D3065" s="924"/>
      <c r="E3065" s="407"/>
      <c r="F3065" s="216"/>
      <c r="G3065" s="216"/>
      <c r="H3065" s="216"/>
      <c r="I3065" s="216"/>
      <c r="J3065" s="216"/>
      <c r="K3065" s="216"/>
      <c r="L3065" s="408" t="s">
        <v>3</v>
      </c>
      <c r="M3065" s="409" t="s">
        <v>4</v>
      </c>
      <c r="N3065" s="410" t="s">
        <v>5</v>
      </c>
      <c r="O3065" s="362"/>
    </row>
    <row r="3066" spans="1:15" ht="15.75" customHeight="1">
      <c r="A3066" s="395"/>
      <c r="B3066" s="399"/>
      <c r="C3066" s="920"/>
      <c r="D3066" s="924"/>
      <c r="E3066" s="1125" t="s">
        <v>1186</v>
      </c>
      <c r="F3066" s="945"/>
      <c r="G3066" s="945"/>
      <c r="H3066" s="945"/>
      <c r="I3066" s="945"/>
      <c r="J3066" s="945"/>
      <c r="K3066" s="945"/>
      <c r="L3066" s="928">
        <f>Datos!$C$7</f>
        <v>19</v>
      </c>
      <c r="M3066" s="935">
        <f>Datos!$D$7</f>
        <v>6</v>
      </c>
      <c r="N3066" s="937">
        <f>Datos!$E$7</f>
        <v>2026</v>
      </c>
      <c r="O3066" s="362"/>
    </row>
    <row r="3067" spans="1:15" ht="15.75" customHeight="1">
      <c r="A3067" s="395"/>
      <c r="B3067" s="399"/>
      <c r="C3067" s="929"/>
      <c r="D3067" s="938"/>
      <c r="E3067" s="929"/>
      <c r="F3067" s="936"/>
      <c r="G3067" s="936"/>
      <c r="H3067" s="936"/>
      <c r="I3067" s="936"/>
      <c r="J3067" s="936"/>
      <c r="K3067" s="936"/>
      <c r="L3067" s="929"/>
      <c r="M3067" s="936"/>
      <c r="N3067" s="938"/>
      <c r="O3067" s="362"/>
    </row>
    <row r="3068" spans="1:15" ht="15.75" customHeight="1">
      <c r="A3068" s="395"/>
      <c r="B3068" s="399"/>
      <c r="C3068" s="404"/>
      <c r="D3068" s="38"/>
      <c r="E3068" s="38"/>
      <c r="F3068" s="38"/>
      <c r="G3068" s="38"/>
      <c r="H3068" s="38"/>
      <c r="I3068" s="38"/>
      <c r="J3068" s="38"/>
      <c r="K3068" s="38"/>
      <c r="L3068" s="39"/>
      <c r="M3068" s="39"/>
      <c r="N3068" s="40"/>
      <c r="O3068" s="362"/>
    </row>
    <row r="3069" spans="1:15" ht="15.75" customHeight="1">
      <c r="A3069" s="395"/>
      <c r="B3069" s="399"/>
      <c r="C3069" s="412" t="s">
        <v>1187</v>
      </c>
      <c r="D3069" s="1199" t="str">
        <f>VLOOKUP(C3074,ListaAct,2,0)</f>
        <v>OBRA CIVIL</v>
      </c>
      <c r="E3069" s="922"/>
      <c r="F3069" s="922"/>
      <c r="G3069" s="922"/>
      <c r="H3069" s="922"/>
      <c r="I3069" s="922"/>
      <c r="J3069" s="922"/>
      <c r="K3069" s="922"/>
      <c r="L3069" s="922"/>
      <c r="M3069" s="1"/>
      <c r="N3069" s="413"/>
      <c r="O3069" s="362"/>
    </row>
    <row r="3070" spans="1:15" ht="15.75" customHeight="1">
      <c r="A3070" s="395"/>
      <c r="B3070" s="399"/>
      <c r="C3070" s="412" t="s">
        <v>1189</v>
      </c>
      <c r="D3070" s="1199" t="str">
        <f>VLOOKUP(C3074,ListaAct,3,0)</f>
        <v>LIMPIEZA GENERAL</v>
      </c>
      <c r="E3070" s="922"/>
      <c r="F3070" s="922"/>
      <c r="G3070" s="922"/>
      <c r="H3070" s="922"/>
      <c r="I3070" s="922"/>
      <c r="J3070" s="922"/>
      <c r="K3070" s="922"/>
      <c r="L3070" s="922"/>
      <c r="M3070" s="1"/>
      <c r="N3070" s="413"/>
      <c r="O3070" s="362"/>
    </row>
    <row r="3071" spans="1:15" ht="15.75" customHeight="1">
      <c r="A3071" s="395"/>
      <c r="B3071" s="399"/>
      <c r="C3071" s="925" t="s">
        <v>1191</v>
      </c>
      <c r="D3071" s="926"/>
      <c r="E3071" s="926"/>
      <c r="F3071" s="926"/>
      <c r="G3071" s="926"/>
      <c r="H3071" s="926"/>
      <c r="I3071" s="926"/>
      <c r="J3071" s="926"/>
      <c r="K3071" s="926"/>
      <c r="L3071" s="926"/>
      <c r="M3071" s="926"/>
      <c r="N3071" s="927"/>
      <c r="O3071" s="362"/>
    </row>
    <row r="3072" spans="1:15" ht="15.75" customHeight="1">
      <c r="A3072" s="395"/>
      <c r="B3072" s="399"/>
      <c r="C3072" s="418"/>
      <c r="D3072" s="39"/>
      <c r="E3072" s="39"/>
      <c r="F3072" s="39"/>
      <c r="G3072" s="39"/>
      <c r="H3072" s="39"/>
      <c r="I3072" s="39"/>
      <c r="J3072" s="39"/>
      <c r="K3072" s="39"/>
      <c r="L3072" s="39"/>
      <c r="M3072" s="39"/>
      <c r="N3072" s="40"/>
      <c r="O3072" s="362"/>
    </row>
    <row r="3073" spans="1:15" ht="15.75" customHeight="1">
      <c r="A3073" s="395"/>
      <c r="B3073" s="399"/>
      <c r="C3073" s="668" t="s">
        <v>965</v>
      </c>
      <c r="D3073" s="1200" t="s">
        <v>17</v>
      </c>
      <c r="E3073" s="1131"/>
      <c r="F3073" s="1131"/>
      <c r="G3073" s="1131"/>
      <c r="H3073" s="1131"/>
      <c r="I3073" s="1131"/>
      <c r="J3073" s="1131"/>
      <c r="K3073" s="1137"/>
      <c r="L3073" s="1201" t="s">
        <v>1192</v>
      </c>
      <c r="M3073" s="1137"/>
      <c r="N3073" s="668" t="s">
        <v>950</v>
      </c>
      <c r="O3073" s="362"/>
    </row>
    <row r="3074" spans="1:15" ht="15.75" customHeight="1">
      <c r="A3074" s="395"/>
      <c r="B3074" s="421"/>
      <c r="C3074" s="669" t="s">
        <v>1165</v>
      </c>
      <c r="D3074" s="1202" t="str">
        <f>IF($C3074&gt;0,(VLOOKUP($C3074,ListaAct,4,FALSE)),"")</f>
        <v>Retiro de escombros a sitio seguro avalado por la autoridad local o regional.(Municipio de San Gil).</v>
      </c>
      <c r="E3074" s="979"/>
      <c r="F3074" s="979"/>
      <c r="G3074" s="979"/>
      <c r="H3074" s="979"/>
      <c r="I3074" s="979"/>
      <c r="J3074" s="979"/>
      <c r="K3074" s="980"/>
      <c r="L3074" s="1203" t="str">
        <f>IF($C3074&gt;0,(VLOOKUP($C3074,ListaAct,5,FALSE)),"")</f>
        <v>glb</v>
      </c>
      <c r="M3074" s="980"/>
      <c r="N3074" s="423">
        <f>IF($C3074&gt;0,(VLOOKUP($C3074,ListaAct,6,FALSE)),"")</f>
        <v>1</v>
      </c>
      <c r="O3074" s="362"/>
    </row>
    <row r="3075" spans="1:15" ht="15.75" customHeight="1">
      <c r="A3075" s="395"/>
      <c r="B3075" s="399"/>
      <c r="C3075" s="1129" t="s">
        <v>1195</v>
      </c>
      <c r="D3075" s="926"/>
      <c r="E3075" s="926"/>
      <c r="F3075" s="926"/>
      <c r="G3075" s="926"/>
      <c r="H3075" s="926"/>
      <c r="I3075" s="926"/>
      <c r="J3075" s="926"/>
      <c r="K3075" s="926"/>
      <c r="L3075" s="926"/>
      <c r="M3075" s="926"/>
      <c r="N3075" s="927"/>
      <c r="O3075" s="362"/>
    </row>
    <row r="3076" spans="1:15" ht="15.75" customHeight="1">
      <c r="A3076" s="395"/>
      <c r="B3076" s="399"/>
      <c r="C3076" s="920"/>
      <c r="D3076" s="922"/>
      <c r="E3076" s="922"/>
      <c r="F3076" s="922"/>
      <c r="G3076" s="922"/>
      <c r="H3076" s="922"/>
      <c r="I3076" s="922"/>
      <c r="J3076" s="922"/>
      <c r="K3076" s="922"/>
      <c r="L3076" s="922"/>
      <c r="M3076" s="922"/>
      <c r="N3076" s="924"/>
      <c r="O3076" s="362"/>
    </row>
    <row r="3077" spans="1:15" ht="15.75" customHeight="1">
      <c r="A3077" s="395"/>
      <c r="B3077" s="399"/>
      <c r="C3077" s="929"/>
      <c r="D3077" s="936"/>
      <c r="E3077" s="936"/>
      <c r="F3077" s="936"/>
      <c r="G3077" s="936"/>
      <c r="H3077" s="936"/>
      <c r="I3077" s="936"/>
      <c r="J3077" s="936"/>
      <c r="K3077" s="936"/>
      <c r="L3077" s="936"/>
      <c r="M3077" s="936"/>
      <c r="N3077" s="938"/>
      <c r="O3077" s="362"/>
    </row>
    <row r="3078" spans="1:15" ht="15.75" customHeight="1">
      <c r="A3078" s="395"/>
      <c r="B3078" s="399"/>
      <c r="C3078" s="1201" t="s">
        <v>17</v>
      </c>
      <c r="D3078" s="1131"/>
      <c r="E3078" s="1131"/>
      <c r="F3078" s="1000"/>
      <c r="G3078" s="1204" t="s">
        <v>1196</v>
      </c>
      <c r="H3078" s="1000"/>
      <c r="I3078" s="1204" t="s">
        <v>1197</v>
      </c>
      <c r="J3078" s="1000"/>
      <c r="K3078" s="670" t="s">
        <v>1213</v>
      </c>
      <c r="L3078" s="1204" t="s">
        <v>1199</v>
      </c>
      <c r="M3078" s="1000"/>
      <c r="N3078" s="671" t="s">
        <v>1200</v>
      </c>
      <c r="O3078" s="362"/>
    </row>
    <row r="3079" spans="1:15" ht="15.75" customHeight="1">
      <c r="A3079" s="395"/>
      <c r="B3079" s="399"/>
      <c r="C3079" s="1128" t="s">
        <v>1201</v>
      </c>
      <c r="D3079" s="940"/>
      <c r="E3079" s="940"/>
      <c r="F3079" s="941"/>
      <c r="G3079" s="1142"/>
      <c r="H3079" s="941"/>
      <c r="I3079" s="1142"/>
      <c r="J3079" s="941"/>
      <c r="K3079" s="429"/>
      <c r="L3079" s="1143">
        <v>0.06</v>
      </c>
      <c r="M3079" s="941"/>
      <c r="N3079" s="430">
        <f>+L3079*N3118</f>
        <v>45774.483824020877</v>
      </c>
      <c r="O3079" s="362"/>
    </row>
    <row r="3080" spans="1:15" ht="15.75" customHeight="1">
      <c r="A3080" s="395">
        <f t="array" ref="A3080">IF(C3080&lt;&gt;0,INDEX(CodEquipos,MATCH(C3080,Equipos,0),),)</f>
        <v>0</v>
      </c>
      <c r="B3080" s="399"/>
      <c r="C3080" s="1128"/>
      <c r="D3080" s="940"/>
      <c r="E3080" s="940"/>
      <c r="F3080" s="941"/>
      <c r="G3080" s="1142"/>
      <c r="H3080" s="941"/>
      <c r="I3080" s="1142"/>
      <c r="J3080" s="941"/>
      <c r="K3080" s="432" t="str">
        <f>IF($A3080&gt;0,(VLOOKUP($A3080,TablaEquipos,7,FALSE)),"")</f>
        <v/>
      </c>
      <c r="L3080" s="1146"/>
      <c r="M3080" s="941"/>
      <c r="N3080" s="430" t="str">
        <f t="shared" ref="N3080:N3084" si="229">IF(L3080&gt;0,K3080/L3080,"")</f>
        <v/>
      </c>
      <c r="O3080" s="362"/>
    </row>
    <row r="3081" spans="1:15" ht="15.75" customHeight="1">
      <c r="A3081" s="395">
        <f t="array" ref="A3081">IF(C3081&lt;&gt;0,INDEX(CodEquipos,MATCH(C3081,Equipos,0),),)</f>
        <v>0</v>
      </c>
      <c r="B3081" s="399"/>
      <c r="C3081" s="1128"/>
      <c r="D3081" s="940"/>
      <c r="E3081" s="940"/>
      <c r="F3081" s="941"/>
      <c r="G3081" s="1142"/>
      <c r="H3081" s="941"/>
      <c r="I3081" s="1142"/>
      <c r="J3081" s="941"/>
      <c r="K3081" s="432" t="str">
        <f>IF($A3081&gt;0,(VLOOKUP($A3081,TablaEquipos,7,FALSE)),"")</f>
        <v/>
      </c>
      <c r="L3081" s="1146"/>
      <c r="M3081" s="941"/>
      <c r="N3081" s="430" t="str">
        <f t="shared" si="229"/>
        <v/>
      </c>
      <c r="O3081" s="362"/>
    </row>
    <row r="3082" spans="1:15" ht="15.75" customHeight="1">
      <c r="A3082" s="395">
        <f t="array" ref="A3082">IF(C3082&lt;&gt;0,INDEX(CodEquipos,MATCH(C3082,Equipos,0),),)</f>
        <v>0</v>
      </c>
      <c r="B3082" s="399"/>
      <c r="C3082" s="1128"/>
      <c r="D3082" s="940"/>
      <c r="E3082" s="940"/>
      <c r="F3082" s="941"/>
      <c r="G3082" s="1142"/>
      <c r="H3082" s="941"/>
      <c r="I3082" s="1142"/>
      <c r="J3082" s="941"/>
      <c r="K3082" s="432" t="str">
        <f>IF($A3082&gt;0,(VLOOKUP($A3082,TablaEquipos,7,FALSE)),"")</f>
        <v/>
      </c>
      <c r="L3082" s="1146"/>
      <c r="M3082" s="941"/>
      <c r="N3082" s="430" t="str">
        <f t="shared" si="229"/>
        <v/>
      </c>
      <c r="O3082" s="362"/>
    </row>
    <row r="3083" spans="1:15" ht="15.75" customHeight="1">
      <c r="A3083" s="395">
        <f t="array" ref="A3083">IF(C3083&lt;&gt;0,INDEX(CodEquipos,MATCH(C3083,Equipos,0),),)</f>
        <v>0</v>
      </c>
      <c r="B3083" s="399"/>
      <c r="C3083" s="1128"/>
      <c r="D3083" s="940"/>
      <c r="E3083" s="940"/>
      <c r="F3083" s="941"/>
      <c r="G3083" s="1142"/>
      <c r="H3083" s="941"/>
      <c r="I3083" s="1142"/>
      <c r="J3083" s="941"/>
      <c r="K3083" s="432" t="str">
        <f>IF($A3083&gt;0,(VLOOKUP($A3083,TablaEquipos,7,FALSE)),"")</f>
        <v/>
      </c>
      <c r="L3083" s="1141"/>
      <c r="M3083" s="941"/>
      <c r="N3083" s="430" t="str">
        <f t="shared" si="229"/>
        <v/>
      </c>
      <c r="O3083" s="362"/>
    </row>
    <row r="3084" spans="1:15" ht="15.75" customHeight="1">
      <c r="A3084" s="395">
        <f t="array" ref="A3084">IF(C3084&lt;&gt;0,INDEX(CodEquipos,MATCH(C3084,Equipos,0),),)</f>
        <v>0</v>
      </c>
      <c r="B3084" s="399"/>
      <c r="C3084" s="1128"/>
      <c r="D3084" s="940"/>
      <c r="E3084" s="940"/>
      <c r="F3084" s="941"/>
      <c r="G3084" s="1144"/>
      <c r="H3084" s="1145"/>
      <c r="I3084" s="1144"/>
      <c r="J3084" s="1145"/>
      <c r="K3084" s="432" t="str">
        <f>IF($A3084&gt;0,(VLOOKUP($A3084,TablaEquipos,7,FALSE)),"")</f>
        <v/>
      </c>
      <c r="L3084" s="1208"/>
      <c r="M3084" s="1145"/>
      <c r="N3084" s="430" t="str">
        <f t="shared" si="229"/>
        <v/>
      </c>
      <c r="O3084" s="362"/>
    </row>
    <row r="3085" spans="1:15" ht="15.75" customHeight="1">
      <c r="A3085" s="395"/>
      <c r="B3085" s="399"/>
      <c r="C3085" s="1127" t="s">
        <v>1202</v>
      </c>
      <c r="D3085" s="965"/>
      <c r="E3085" s="965"/>
      <c r="F3085" s="965"/>
      <c r="G3085" s="965"/>
      <c r="H3085" s="965"/>
      <c r="I3085" s="965"/>
      <c r="J3085" s="965"/>
      <c r="K3085" s="965"/>
      <c r="L3085" s="965"/>
      <c r="M3085" s="966"/>
      <c r="N3085" s="433">
        <f>+SUM(N3079:N3084)</f>
        <v>45774.483824020877</v>
      </c>
      <c r="O3085" s="362"/>
    </row>
    <row r="3086" spans="1:15" ht="15.75" customHeight="1">
      <c r="A3086" s="395"/>
      <c r="B3086" s="399"/>
      <c r="C3086" s="1129" t="s">
        <v>1203</v>
      </c>
      <c r="D3086" s="926"/>
      <c r="E3086" s="926"/>
      <c r="F3086" s="926"/>
      <c r="G3086" s="926"/>
      <c r="H3086" s="926"/>
      <c r="I3086" s="926"/>
      <c r="J3086" s="926"/>
      <c r="K3086" s="926"/>
      <c r="L3086" s="926"/>
      <c r="M3086" s="926"/>
      <c r="N3086" s="927"/>
      <c r="O3086" s="362"/>
    </row>
    <row r="3087" spans="1:15" ht="15.75" customHeight="1">
      <c r="A3087" s="395"/>
      <c r="B3087" s="399"/>
      <c r="C3087" s="920"/>
      <c r="D3087" s="922"/>
      <c r="E3087" s="922"/>
      <c r="F3087" s="922"/>
      <c r="G3087" s="922"/>
      <c r="H3087" s="922"/>
      <c r="I3087" s="922"/>
      <c r="J3087" s="922"/>
      <c r="K3087" s="922"/>
      <c r="L3087" s="922"/>
      <c r="M3087" s="922"/>
      <c r="N3087" s="924"/>
      <c r="O3087" s="362"/>
    </row>
    <row r="3088" spans="1:15" ht="15.75" customHeight="1">
      <c r="A3088" s="395"/>
      <c r="B3088" s="399"/>
      <c r="C3088" s="929"/>
      <c r="D3088" s="936"/>
      <c r="E3088" s="936"/>
      <c r="F3088" s="936"/>
      <c r="G3088" s="936"/>
      <c r="H3088" s="936"/>
      <c r="I3088" s="936"/>
      <c r="J3088" s="936"/>
      <c r="K3088" s="936"/>
      <c r="L3088" s="936"/>
      <c r="M3088" s="936"/>
      <c r="N3088" s="938"/>
      <c r="O3088" s="362"/>
    </row>
    <row r="3089" spans="1:15" ht="15.75" customHeight="1">
      <c r="A3089" s="395"/>
      <c r="B3089" s="399"/>
      <c r="C3089" s="1201" t="s">
        <v>17</v>
      </c>
      <c r="D3089" s="1131"/>
      <c r="E3089" s="1131"/>
      <c r="F3089" s="1131"/>
      <c r="G3089" s="1131"/>
      <c r="H3089" s="1131"/>
      <c r="I3089" s="1000"/>
      <c r="J3089" s="672" t="s">
        <v>1192</v>
      </c>
      <c r="K3089" s="670" t="s">
        <v>950</v>
      </c>
      <c r="L3089" s="1204" t="s">
        <v>1204</v>
      </c>
      <c r="M3089" s="1000"/>
      <c r="N3089" s="671" t="s">
        <v>1200</v>
      </c>
      <c r="O3089" s="362"/>
    </row>
    <row r="3090" spans="1:15" ht="15.75" customHeight="1">
      <c r="A3090" s="395" t="str">
        <f t="array" ref="A3090">IF(C3090&lt;&gt;0,INDEX(CodMat,MATCH(C3090,Materiales,0),),)</f>
        <v>MAT_C-97</v>
      </c>
      <c r="B3090" s="399"/>
      <c r="C3090" s="1210" t="s">
        <v>2587</v>
      </c>
      <c r="D3090" s="940"/>
      <c r="E3090" s="940"/>
      <c r="F3090" s="940"/>
      <c r="G3090" s="940"/>
      <c r="H3090" s="940"/>
      <c r="I3090" s="941"/>
      <c r="J3090" s="435" t="str">
        <f t="shared" ref="J3090:J3097" si="230">IF($A3090&gt;0,(VLOOKUP($A3090,TablaInsumos,5,FALSE)),"")</f>
        <v>GLOBAL</v>
      </c>
      <c r="K3090" s="673">
        <v>1</v>
      </c>
      <c r="L3090" s="1209">
        <f t="shared" ref="L3090:L3097" si="231">IF($A3090&gt;0,(VLOOKUP($A3090,TablaInsumos,7,FALSE)),"")</f>
        <v>175000</v>
      </c>
      <c r="M3090" s="941"/>
      <c r="N3090" s="430">
        <f t="shared" ref="N3090:N3097" si="232">IF(K3090&gt;0,L3090*K3090,"")</f>
        <v>175000</v>
      </c>
      <c r="O3090" s="362"/>
    </row>
    <row r="3091" spans="1:15" ht="15.75" customHeight="1">
      <c r="A3091" s="395" t="str">
        <f t="array" ref="A3091">IF(C3091&lt;&gt;0,INDEX(CodMat,MATCH(C3091,Materiales,0),),)</f>
        <v>MAT_C-98</v>
      </c>
      <c r="B3091" s="399"/>
      <c r="C3091" s="1128" t="s">
        <v>723</v>
      </c>
      <c r="D3091" s="940"/>
      <c r="E3091" s="940"/>
      <c r="F3091" s="940"/>
      <c r="G3091" s="940"/>
      <c r="H3091" s="940"/>
      <c r="I3091" s="941"/>
      <c r="J3091" s="435" t="str">
        <f t="shared" si="230"/>
        <v>GLOBAL</v>
      </c>
      <c r="K3091" s="673">
        <v>1</v>
      </c>
      <c r="L3091" s="1134">
        <f t="shared" si="231"/>
        <v>785000</v>
      </c>
      <c r="M3091" s="941"/>
      <c r="N3091" s="430">
        <f t="shared" si="232"/>
        <v>785000</v>
      </c>
      <c r="O3091" s="362"/>
    </row>
    <row r="3092" spans="1:15" ht="15.75" customHeight="1">
      <c r="A3092" s="395">
        <f t="array" ref="A3092">IF(C3092&lt;&gt;0,INDEX(CodMat,MATCH(C3092,Materiales,0),),)</f>
        <v>0</v>
      </c>
      <c r="B3092" s="399"/>
      <c r="C3092" s="1128"/>
      <c r="D3092" s="940"/>
      <c r="E3092" s="940"/>
      <c r="F3092" s="940"/>
      <c r="G3092" s="940"/>
      <c r="H3092" s="940"/>
      <c r="I3092" s="941"/>
      <c r="J3092" s="435" t="str">
        <f t="shared" si="230"/>
        <v/>
      </c>
      <c r="K3092" s="673"/>
      <c r="L3092" s="1134" t="str">
        <f t="shared" si="231"/>
        <v/>
      </c>
      <c r="M3092" s="941"/>
      <c r="N3092" s="430" t="str">
        <f t="shared" si="232"/>
        <v/>
      </c>
      <c r="O3092" s="362"/>
    </row>
    <row r="3093" spans="1:15" ht="15.75" customHeight="1">
      <c r="A3093" s="395">
        <f t="array" ref="A3093">IF(C3093&lt;&gt;0,INDEX(CodMat,MATCH(C3093,Materiales,0),),)</f>
        <v>0</v>
      </c>
      <c r="B3093" s="399"/>
      <c r="C3093" s="1128"/>
      <c r="D3093" s="940"/>
      <c r="E3093" s="940"/>
      <c r="F3093" s="940"/>
      <c r="G3093" s="940"/>
      <c r="H3093" s="940"/>
      <c r="I3093" s="941"/>
      <c r="J3093" s="435" t="str">
        <f t="shared" si="230"/>
        <v/>
      </c>
      <c r="K3093" s="673"/>
      <c r="L3093" s="1134" t="str">
        <f t="shared" si="231"/>
        <v/>
      </c>
      <c r="M3093" s="941"/>
      <c r="N3093" s="430" t="str">
        <f t="shared" si="232"/>
        <v/>
      </c>
      <c r="O3093" s="362"/>
    </row>
    <row r="3094" spans="1:15" ht="15.75" customHeight="1">
      <c r="A3094" s="395">
        <f t="array" ref="A3094">IF(C3094&lt;&gt;0,INDEX(CodMat,MATCH(C3094,Materiales,0),),)</f>
        <v>0</v>
      </c>
      <c r="B3094" s="399"/>
      <c r="C3094" s="1128"/>
      <c r="D3094" s="940"/>
      <c r="E3094" s="940"/>
      <c r="F3094" s="940"/>
      <c r="G3094" s="940"/>
      <c r="H3094" s="940"/>
      <c r="I3094" s="941"/>
      <c r="J3094" s="435" t="str">
        <f t="shared" si="230"/>
        <v/>
      </c>
      <c r="K3094" s="673"/>
      <c r="L3094" s="1134" t="str">
        <f t="shared" si="231"/>
        <v/>
      </c>
      <c r="M3094" s="941"/>
      <c r="N3094" s="430" t="str">
        <f t="shared" si="232"/>
        <v/>
      </c>
      <c r="O3094" s="362"/>
    </row>
    <row r="3095" spans="1:15" ht="15.75" customHeight="1">
      <c r="A3095" s="395">
        <f t="array" ref="A3095">IF(C3095&lt;&gt;0,INDEX(CodMat,MATCH(C3095,Materiales,0),),)</f>
        <v>0</v>
      </c>
      <c r="B3095" s="399"/>
      <c r="C3095" s="1211"/>
      <c r="D3095" s="940"/>
      <c r="E3095" s="940"/>
      <c r="F3095" s="940"/>
      <c r="G3095" s="940"/>
      <c r="H3095" s="940"/>
      <c r="I3095" s="941"/>
      <c r="J3095" s="435" t="str">
        <f t="shared" si="230"/>
        <v/>
      </c>
      <c r="K3095" s="673"/>
      <c r="L3095" s="1134" t="str">
        <f t="shared" si="231"/>
        <v/>
      </c>
      <c r="M3095" s="941"/>
      <c r="N3095" s="430" t="str">
        <f t="shared" si="232"/>
        <v/>
      </c>
      <c r="O3095" s="362"/>
    </row>
    <row r="3096" spans="1:15" ht="15.75" customHeight="1">
      <c r="A3096" s="395">
        <f t="array" ref="A3096">IF(C3096&lt;&gt;0,INDEX(CodMat,MATCH(C3096,Materiales,0),),)</f>
        <v>0</v>
      </c>
      <c r="B3096" s="399"/>
      <c r="C3096" s="1128"/>
      <c r="D3096" s="940"/>
      <c r="E3096" s="940"/>
      <c r="F3096" s="940"/>
      <c r="G3096" s="940"/>
      <c r="H3096" s="940"/>
      <c r="I3096" s="941"/>
      <c r="J3096" s="435" t="str">
        <f t="shared" si="230"/>
        <v/>
      </c>
      <c r="K3096" s="673"/>
      <c r="L3096" s="1134" t="str">
        <f t="shared" si="231"/>
        <v/>
      </c>
      <c r="M3096" s="941"/>
      <c r="N3096" s="430" t="str">
        <f t="shared" si="232"/>
        <v/>
      </c>
      <c r="O3096" s="362"/>
    </row>
    <row r="3097" spans="1:15" ht="15.75" customHeight="1">
      <c r="A3097" s="395">
        <f t="array" ref="A3097">IF(C3097&lt;&gt;0,INDEX(CodMat,MATCH(C3097,Materiales,0),),)</f>
        <v>0</v>
      </c>
      <c r="B3097" s="399"/>
      <c r="C3097" s="1128"/>
      <c r="D3097" s="940"/>
      <c r="E3097" s="940"/>
      <c r="F3097" s="940"/>
      <c r="G3097" s="940"/>
      <c r="H3097" s="940"/>
      <c r="I3097" s="941"/>
      <c r="J3097" s="435" t="str">
        <f t="shared" si="230"/>
        <v/>
      </c>
      <c r="K3097" s="673"/>
      <c r="L3097" s="1205" t="str">
        <f t="shared" si="231"/>
        <v/>
      </c>
      <c r="M3097" s="1145"/>
      <c r="N3097" s="430" t="str">
        <f t="shared" si="232"/>
        <v/>
      </c>
      <c r="O3097" s="362"/>
    </row>
    <row r="3098" spans="1:15" ht="15.75" customHeight="1">
      <c r="A3098" s="395"/>
      <c r="B3098" s="399"/>
      <c r="C3098" s="1127" t="s">
        <v>1202</v>
      </c>
      <c r="D3098" s="965"/>
      <c r="E3098" s="965"/>
      <c r="F3098" s="965"/>
      <c r="G3098" s="965"/>
      <c r="H3098" s="965"/>
      <c r="I3098" s="965"/>
      <c r="J3098" s="965"/>
      <c r="K3098" s="965"/>
      <c r="L3098" s="965"/>
      <c r="M3098" s="966"/>
      <c r="N3098" s="433">
        <f>+SUM(N3090:N3097)</f>
        <v>960000</v>
      </c>
      <c r="O3098" s="362"/>
    </row>
    <row r="3099" spans="1:15" ht="15.75" customHeight="1">
      <c r="A3099" s="395"/>
      <c r="B3099" s="399"/>
      <c r="C3099" s="1129" t="s">
        <v>1208</v>
      </c>
      <c r="D3099" s="926"/>
      <c r="E3099" s="926"/>
      <c r="F3099" s="926"/>
      <c r="G3099" s="926"/>
      <c r="H3099" s="926"/>
      <c r="I3099" s="926"/>
      <c r="J3099" s="926"/>
      <c r="K3099" s="926"/>
      <c r="L3099" s="926"/>
      <c r="M3099" s="926"/>
      <c r="N3099" s="927"/>
      <c r="O3099" s="362"/>
    </row>
    <row r="3100" spans="1:15" ht="15.75" customHeight="1">
      <c r="A3100" s="395"/>
      <c r="B3100" s="399"/>
      <c r="C3100" s="920"/>
      <c r="D3100" s="922"/>
      <c r="E3100" s="922"/>
      <c r="F3100" s="922"/>
      <c r="G3100" s="922"/>
      <c r="H3100" s="922"/>
      <c r="I3100" s="922"/>
      <c r="J3100" s="922"/>
      <c r="K3100" s="922"/>
      <c r="L3100" s="922"/>
      <c r="M3100" s="922"/>
      <c r="N3100" s="924"/>
      <c r="O3100" s="362"/>
    </row>
    <row r="3101" spans="1:15" ht="15.75" customHeight="1">
      <c r="A3101" s="395"/>
      <c r="B3101" s="399"/>
      <c r="C3101" s="929"/>
      <c r="D3101" s="936"/>
      <c r="E3101" s="936"/>
      <c r="F3101" s="936"/>
      <c r="G3101" s="936"/>
      <c r="H3101" s="936"/>
      <c r="I3101" s="936"/>
      <c r="J3101" s="936"/>
      <c r="K3101" s="936"/>
      <c r="L3101" s="936"/>
      <c r="M3101" s="936"/>
      <c r="N3101" s="938"/>
      <c r="O3101" s="362"/>
    </row>
    <row r="3102" spans="1:15" ht="15.75" customHeight="1">
      <c r="A3102" s="395"/>
      <c r="B3102" s="399"/>
      <c r="C3102" s="1201" t="s">
        <v>1209</v>
      </c>
      <c r="D3102" s="1131"/>
      <c r="E3102" s="1131"/>
      <c r="F3102" s="1131"/>
      <c r="G3102" s="1131"/>
      <c r="H3102" s="1000"/>
      <c r="I3102" s="670" t="s">
        <v>1210</v>
      </c>
      <c r="J3102" s="674" t="s">
        <v>1211</v>
      </c>
      <c r="K3102" s="675" t="s">
        <v>2318</v>
      </c>
      <c r="L3102" s="1204" t="s">
        <v>1213</v>
      </c>
      <c r="M3102" s="1000"/>
      <c r="N3102" s="671" t="s">
        <v>1200</v>
      </c>
      <c r="O3102" s="362"/>
    </row>
    <row r="3103" spans="1:15" ht="15.75" customHeight="1">
      <c r="A3103" s="395" t="str">
        <f t="array" ref="A3103">IF(C3103&lt;&gt;0,INDEX(CodTransporte,MATCH(C3103,Transporte,0),),)</f>
        <v>T-13</v>
      </c>
      <c r="B3103" s="399"/>
      <c r="C3103" s="1128" t="s">
        <v>2588</v>
      </c>
      <c r="D3103" s="940"/>
      <c r="E3103" s="940"/>
      <c r="F3103" s="940"/>
      <c r="G3103" s="940"/>
      <c r="H3103" s="940"/>
      <c r="I3103" s="440">
        <v>4</v>
      </c>
      <c r="J3103" s="689">
        <v>1</v>
      </c>
      <c r="K3103" s="442" t="str">
        <f>IF($A3103&gt;0,(VLOOKUP($A3103,TablaTransporte,5,FALSE)),"")</f>
        <v>DIA</v>
      </c>
      <c r="L3103" s="1134">
        <f>IF($A3103&gt;0,(VLOOKUP($A3103,TablaTransporte,7,FALSE)),"")</f>
        <v>450000</v>
      </c>
      <c r="M3103" s="941"/>
      <c r="N3103" s="430">
        <f t="shared" ref="N3103:N3107" si="233">IF(I3103&gt;0,J3103*L3103*I3103,"")</f>
        <v>1800000</v>
      </c>
      <c r="O3103" s="362"/>
    </row>
    <row r="3104" spans="1:15" ht="15.75" customHeight="1">
      <c r="A3104" s="395">
        <f t="array" ref="A3104">IF(C3104&lt;&gt;0,INDEX(CodTransporte,MATCH(C3104,Transporte,0),),)</f>
        <v>0</v>
      </c>
      <c r="B3104" s="399"/>
      <c r="C3104" s="1128"/>
      <c r="D3104" s="940"/>
      <c r="E3104" s="940"/>
      <c r="F3104" s="940"/>
      <c r="G3104" s="940"/>
      <c r="H3104" s="940"/>
      <c r="I3104" s="440"/>
      <c r="J3104" s="689"/>
      <c r="K3104" s="442" t="str">
        <f>IF($A3104&gt;0,(VLOOKUP($A3104,TablaTransporte,5,FALSE)),"")</f>
        <v/>
      </c>
      <c r="L3104" s="1134" t="str">
        <f>IF($A3104&gt;0,(VLOOKUP($A3104,TablaTransporte,7,FALSE)),"")</f>
        <v/>
      </c>
      <c r="M3104" s="941"/>
      <c r="N3104" s="430" t="str">
        <f t="shared" si="233"/>
        <v/>
      </c>
      <c r="O3104" s="362"/>
    </row>
    <row r="3105" spans="1:18" ht="15.75" customHeight="1">
      <c r="A3105" s="395">
        <f t="array" ref="A3105">IF(C3105&lt;&gt;0,INDEX(CodTransporte,MATCH(C3105,Transporte,0),),)</f>
        <v>0</v>
      </c>
      <c r="B3105" s="399"/>
      <c r="C3105" s="1128"/>
      <c r="D3105" s="940"/>
      <c r="E3105" s="940"/>
      <c r="F3105" s="940"/>
      <c r="G3105" s="940"/>
      <c r="H3105" s="940"/>
      <c r="I3105" s="440"/>
      <c r="J3105" s="441" t="str">
        <f>IF($A3105&gt;0,(VLOOKUP($A3105,TablaTransporte,6,FALSE)),"")</f>
        <v/>
      </c>
      <c r="K3105" s="442" t="str">
        <f>IF($A3105&gt;0,(VLOOKUP($A3105,TablaTransporte,5,FALSE)),"")</f>
        <v/>
      </c>
      <c r="L3105" s="1134" t="str">
        <f>IF($A3105&gt;0,(VLOOKUP($A3105,TablaTransporte,7,FALSE)),"")</f>
        <v/>
      </c>
      <c r="M3105" s="941"/>
      <c r="N3105" s="430" t="str">
        <f t="shared" si="233"/>
        <v/>
      </c>
      <c r="O3105" s="362"/>
    </row>
    <row r="3106" spans="1:18" ht="15.75" customHeight="1">
      <c r="A3106" s="395">
        <f t="array" ref="A3106">IF(C3106&lt;&gt;0,INDEX(CodTransporte,MATCH(C3106,Transporte,0),),)</f>
        <v>0</v>
      </c>
      <c r="B3106" s="399"/>
      <c r="C3106" s="1128"/>
      <c r="D3106" s="940"/>
      <c r="E3106" s="940"/>
      <c r="F3106" s="940"/>
      <c r="G3106" s="940"/>
      <c r="H3106" s="940"/>
      <c r="I3106" s="440"/>
      <c r="J3106" s="441" t="str">
        <f>IF($A3106&gt;0,(VLOOKUP($A3106,TablaTransporte,6,FALSE)),"")</f>
        <v/>
      </c>
      <c r="K3106" s="442" t="str">
        <f>IF($A3106&gt;0,(VLOOKUP($A3106,TablaTransporte,5,FALSE)),"")</f>
        <v/>
      </c>
      <c r="L3106" s="1134" t="str">
        <f>IF($A3106&gt;0,(VLOOKUP($A3106,TablaTransporte,7,FALSE)),"")</f>
        <v/>
      </c>
      <c r="M3106" s="941"/>
      <c r="N3106" s="430" t="str">
        <f t="shared" si="233"/>
        <v/>
      </c>
      <c r="O3106" s="362"/>
    </row>
    <row r="3107" spans="1:18" ht="15.75" customHeight="1">
      <c r="A3107" s="395">
        <f t="array" ref="A3107">IF(C3107&lt;&gt;0,INDEX(CodTransporte,MATCH(C3107,Transporte,0),),)</f>
        <v>0</v>
      </c>
      <c r="B3107" s="399"/>
      <c r="C3107" s="1128"/>
      <c r="D3107" s="940"/>
      <c r="E3107" s="940"/>
      <c r="F3107" s="940"/>
      <c r="G3107" s="940"/>
      <c r="H3107" s="940"/>
      <c r="I3107" s="440"/>
      <c r="J3107" s="441" t="str">
        <f>IF($A3107&gt;0,(VLOOKUP($A3107,TablaTransporte,6,FALSE)),"")</f>
        <v/>
      </c>
      <c r="K3107" s="442" t="str">
        <f>IF($A3107&gt;0,(VLOOKUP($A3107,TablaTransporte,5,FALSE)),"")</f>
        <v/>
      </c>
      <c r="L3107" s="1205" t="str">
        <f>IF($A3107&gt;0,(VLOOKUP($A3107,TablaTransporte,7,FALSE)),"")</f>
        <v/>
      </c>
      <c r="M3107" s="1145"/>
      <c r="N3107" s="430" t="str">
        <f t="shared" si="233"/>
        <v/>
      </c>
      <c r="O3107" s="362"/>
    </row>
    <row r="3108" spans="1:18" ht="15.75" customHeight="1">
      <c r="A3108" s="395"/>
      <c r="B3108" s="399"/>
      <c r="C3108" s="1127" t="s">
        <v>1202</v>
      </c>
      <c r="D3108" s="965"/>
      <c r="E3108" s="965"/>
      <c r="F3108" s="965"/>
      <c r="G3108" s="965"/>
      <c r="H3108" s="965"/>
      <c r="I3108" s="965"/>
      <c r="J3108" s="965"/>
      <c r="K3108" s="965"/>
      <c r="L3108" s="965"/>
      <c r="M3108" s="966"/>
      <c r="N3108" s="433">
        <f>+SUM(N3103:N3107)</f>
        <v>1800000</v>
      </c>
      <c r="O3108" s="362"/>
    </row>
    <row r="3109" spans="1:18" ht="15.75" customHeight="1">
      <c r="A3109" s="395"/>
      <c r="B3109" s="399"/>
      <c r="C3109" s="1129" t="s">
        <v>1214</v>
      </c>
      <c r="D3109" s="926"/>
      <c r="E3109" s="926"/>
      <c r="F3109" s="926"/>
      <c r="G3109" s="926"/>
      <c r="H3109" s="926"/>
      <c r="I3109" s="926"/>
      <c r="J3109" s="926"/>
      <c r="K3109" s="926"/>
      <c r="L3109" s="926"/>
      <c r="M3109" s="926"/>
      <c r="N3109" s="927"/>
      <c r="O3109" s="362"/>
    </row>
    <row r="3110" spans="1:18" ht="15.75" customHeight="1">
      <c r="A3110" s="395"/>
      <c r="B3110" s="399"/>
      <c r="C3110" s="920"/>
      <c r="D3110" s="922"/>
      <c r="E3110" s="922"/>
      <c r="F3110" s="922"/>
      <c r="G3110" s="922"/>
      <c r="H3110" s="922"/>
      <c r="I3110" s="922"/>
      <c r="J3110" s="922"/>
      <c r="K3110" s="922"/>
      <c r="L3110" s="922"/>
      <c r="M3110" s="922"/>
      <c r="N3110" s="924"/>
      <c r="O3110" s="362"/>
    </row>
    <row r="3111" spans="1:18" ht="15.75" customHeight="1">
      <c r="A3111" s="395"/>
      <c r="B3111" s="399"/>
      <c r="C3111" s="929"/>
      <c r="D3111" s="936"/>
      <c r="E3111" s="936"/>
      <c r="F3111" s="936"/>
      <c r="G3111" s="936"/>
      <c r="H3111" s="936"/>
      <c r="I3111" s="936"/>
      <c r="J3111" s="936"/>
      <c r="K3111" s="936"/>
      <c r="L3111" s="936"/>
      <c r="M3111" s="936"/>
      <c r="N3111" s="938"/>
      <c r="O3111" s="362"/>
    </row>
    <row r="3112" spans="1:18" ht="15.75" customHeight="1">
      <c r="A3112" s="395"/>
      <c r="B3112" s="399"/>
      <c r="C3112" s="1201" t="s">
        <v>1215</v>
      </c>
      <c r="D3112" s="1131"/>
      <c r="E3112" s="1131"/>
      <c r="F3112" s="1131"/>
      <c r="G3112" s="1131"/>
      <c r="H3112" s="1000"/>
      <c r="I3112" s="670" t="s">
        <v>1216</v>
      </c>
      <c r="J3112" s="676" t="s">
        <v>1217</v>
      </c>
      <c r="K3112" s="677" t="s">
        <v>1218</v>
      </c>
      <c r="L3112" s="1206" t="s">
        <v>1199</v>
      </c>
      <c r="M3112" s="1000"/>
      <c r="N3112" s="678" t="s">
        <v>1200</v>
      </c>
      <c r="O3112" s="362"/>
    </row>
    <row r="3113" spans="1:18" ht="15.75" customHeight="1">
      <c r="A3113" s="395" t="str">
        <f t="array" ref="A3113">IF(C3113&lt;&gt;0,INDEX(CodMO,MATCH(C3113,MO,0),),)</f>
        <v>M.O-01</v>
      </c>
      <c r="B3113" s="399"/>
      <c r="C3113" s="1128" t="s">
        <v>130</v>
      </c>
      <c r="D3113" s="940"/>
      <c r="E3113" s="940"/>
      <c r="F3113" s="940"/>
      <c r="G3113" s="940"/>
      <c r="H3113" s="940"/>
      <c r="I3113" s="447">
        <f>IF($A3113&gt;0,(VLOOKUP($A3113,TablaMO,8,FALSE)),"")</f>
        <v>72503.016666666677</v>
      </c>
      <c r="J3113" s="448">
        <f>IF($A3113&gt;0,(VLOOKUP($A3113,TablaMO,10,FALSE)),"")</f>
        <v>0.67071666666666663</v>
      </c>
      <c r="K3113" s="447">
        <f>IF($A3113&gt;0,(VLOOKUP($A3113,TablaMO,11,FALSE)),"")</f>
        <v>121132</v>
      </c>
      <c r="L3113" s="1146">
        <v>0.86516846704927541</v>
      </c>
      <c r="M3113" s="941"/>
      <c r="N3113" s="430">
        <f t="shared" ref="N3113:N3117" si="234">IF(L3113&gt;0,K3113/L3113,"")</f>
        <v>140009.7259821895</v>
      </c>
      <c r="O3113" s="362"/>
    </row>
    <row r="3114" spans="1:18" ht="15.75" customHeight="1">
      <c r="A3114" s="395" t="str">
        <f t="array" ref="A3114">IF(C3114&lt;&gt;0,INDEX(CodMO,MATCH(C3114,MO,0),),)</f>
        <v>M.O-02</v>
      </c>
      <c r="B3114" s="399"/>
      <c r="C3114" s="1128" t="s">
        <v>133</v>
      </c>
      <c r="D3114" s="940"/>
      <c r="E3114" s="940"/>
      <c r="F3114" s="940"/>
      <c r="G3114" s="940"/>
      <c r="H3114" s="940"/>
      <c r="I3114" s="447">
        <f>IF($A3114&gt;0,(VLOOKUP($A3114,TablaMO,8,FALSE)),"")</f>
        <v>72503.016666666677</v>
      </c>
      <c r="J3114" s="448">
        <f>IF($A3114&gt;0,(VLOOKUP($A3114,TablaMO,10,FALSE)),"")</f>
        <v>0.67071666666666663</v>
      </c>
      <c r="K3114" s="447">
        <f>IF($A3114&gt;0,(VLOOKUP($A3114,TablaMO,11,FALSE)),"")</f>
        <v>121132</v>
      </c>
      <c r="L3114" s="1146">
        <f>L3113</f>
        <v>0.86516846704927541</v>
      </c>
      <c r="M3114" s="941"/>
      <c r="N3114" s="430">
        <f t="shared" si="234"/>
        <v>140009.7259821895</v>
      </c>
      <c r="O3114" s="362"/>
    </row>
    <row r="3115" spans="1:18" ht="15.75" customHeight="1">
      <c r="A3115" s="395" t="str">
        <f t="array" ref="A3115">IF(C3115&lt;&gt;0,INDEX(CodMO,MATCH(C3115,MO,0),),)</f>
        <v>M.O-05</v>
      </c>
      <c r="B3115" s="399"/>
      <c r="C3115" s="1128" t="s">
        <v>139</v>
      </c>
      <c r="D3115" s="940"/>
      <c r="E3115" s="940"/>
      <c r="F3115" s="940"/>
      <c r="G3115" s="940"/>
      <c r="H3115" s="940"/>
      <c r="I3115" s="447">
        <f>IF($A3115&gt;0,(VLOOKUP($A3115,TablaMO,8,FALSE)),"")</f>
        <v>125030.16666666667</v>
      </c>
      <c r="J3115" s="448">
        <f>IF($A3115&gt;0,(VLOOKUP($A3115,TablaMO,10,FALSE)),"")</f>
        <v>0.67071666666666663</v>
      </c>
      <c r="K3115" s="447">
        <f>IF($A3115&gt;0,(VLOOKUP($A3115,TablaMO,11,FALSE)),"")</f>
        <v>208890</v>
      </c>
      <c r="L3115" s="1146">
        <f>L3113</f>
        <v>0.86516846704927541</v>
      </c>
      <c r="M3115" s="941"/>
      <c r="N3115" s="430">
        <f t="shared" si="234"/>
        <v>241444.30588465117</v>
      </c>
      <c r="O3115" s="362"/>
    </row>
    <row r="3116" spans="1:18" ht="15.75" customHeight="1">
      <c r="A3116" s="395" t="str">
        <f t="array" ref="A3116">IF(C3116&lt;&gt;0,INDEX(CodMO,MATCH(C3116,MO,0),),)</f>
        <v>M.O-06</v>
      </c>
      <c r="B3116" s="399"/>
      <c r="C3116" s="1128" t="s">
        <v>141</v>
      </c>
      <c r="D3116" s="940"/>
      <c r="E3116" s="940"/>
      <c r="F3116" s="940"/>
      <c r="G3116" s="940"/>
      <c r="H3116" s="940"/>
      <c r="I3116" s="447">
        <f>IF($A3116&gt;0,(VLOOKUP($A3116,TablaMO,8,FALSE)),"")</f>
        <v>125030.16666666667</v>
      </c>
      <c r="J3116" s="448">
        <f>IF($A3116&gt;0,(VLOOKUP($A3116,TablaMO,10,FALSE)),"")</f>
        <v>0.67071666666666663</v>
      </c>
      <c r="K3116" s="447">
        <f>IF($A3116&gt;0,(VLOOKUP($A3116,TablaMO,11,FALSE)),"")</f>
        <v>208890</v>
      </c>
      <c r="L3116" s="1146">
        <f>L3113</f>
        <v>0.86516846704927541</v>
      </c>
      <c r="M3116" s="941"/>
      <c r="N3116" s="430">
        <f t="shared" si="234"/>
        <v>241444.30588465117</v>
      </c>
      <c r="O3116" s="362"/>
    </row>
    <row r="3117" spans="1:18" ht="15.75" customHeight="1">
      <c r="A3117" s="395">
        <f t="array" ref="A3117">IF(C3117&lt;&gt;0,INDEX(CodMO,MATCH(C3117,MO,0),),)</f>
        <v>0</v>
      </c>
      <c r="B3117" s="399"/>
      <c r="C3117" s="1128"/>
      <c r="D3117" s="940"/>
      <c r="E3117" s="940"/>
      <c r="F3117" s="940"/>
      <c r="G3117" s="940"/>
      <c r="H3117" s="940"/>
      <c r="I3117" s="447" t="str">
        <f>IF($A3117&gt;0,(VLOOKUP($A3117,TablaMO,8,FALSE)),"")</f>
        <v/>
      </c>
      <c r="J3117" s="448" t="str">
        <f>IF($A3117&gt;0,(VLOOKUP($A3117,TablaMO,10,FALSE)),"")</f>
        <v/>
      </c>
      <c r="K3117" s="447" t="str">
        <f>IF($A3117&gt;0,(VLOOKUP($A3117,TablaMO,11,FALSE)),"")</f>
        <v/>
      </c>
      <c r="L3117" s="1146"/>
      <c r="M3117" s="941"/>
      <c r="N3117" s="430" t="str">
        <f t="shared" si="234"/>
        <v/>
      </c>
      <c r="O3117" s="362"/>
    </row>
    <row r="3118" spans="1:18" ht="15.75" customHeight="1">
      <c r="A3118" s="395"/>
      <c r="B3118" s="399"/>
      <c r="C3118" s="1127" t="s">
        <v>1202</v>
      </c>
      <c r="D3118" s="965"/>
      <c r="E3118" s="965"/>
      <c r="F3118" s="965"/>
      <c r="G3118" s="965"/>
      <c r="H3118" s="965"/>
      <c r="I3118" s="965"/>
      <c r="J3118" s="965"/>
      <c r="K3118" s="965"/>
      <c r="L3118" s="965"/>
      <c r="M3118" s="966"/>
      <c r="N3118" s="433">
        <f>+SUM(N3113:N3117)</f>
        <v>762908.06373368134</v>
      </c>
      <c r="O3118" s="362"/>
    </row>
    <row r="3119" spans="1:18" ht="15.75" customHeight="1">
      <c r="B3119" s="679"/>
      <c r="O3119" s="362"/>
    </row>
    <row r="3120" spans="1:18" ht="15.75" customHeight="1">
      <c r="B3120" s="679"/>
      <c r="C3120" s="1198" t="s">
        <v>1219</v>
      </c>
      <c r="D3120" s="965"/>
      <c r="E3120" s="965"/>
      <c r="F3120" s="965"/>
      <c r="G3120" s="965"/>
      <c r="H3120" s="965"/>
      <c r="I3120" s="965"/>
      <c r="J3120" s="965"/>
      <c r="K3120" s="965"/>
      <c r="L3120" s="965"/>
      <c r="M3120" s="966"/>
      <c r="N3120" s="680">
        <f>ROUND(SUM(N3118,N3108,N3098,N3085),0)</f>
        <v>3568683</v>
      </c>
      <c r="O3120" s="362"/>
      <c r="Q3120" s="681">
        <f>VLOOKUP(C3074,PROPUESTASASERCO,8,FALSE)</f>
        <v>3568683</v>
      </c>
      <c r="R3120" s="682">
        <f>Q3120-N3120</f>
        <v>0</v>
      </c>
    </row>
    <row r="3121" spans="2:15" ht="15.75" customHeight="1">
      <c r="B3121" s="679"/>
      <c r="C3121" s="1129" t="s">
        <v>1220</v>
      </c>
      <c r="D3121" s="926"/>
      <c r="E3121" s="926"/>
      <c r="F3121" s="926"/>
      <c r="G3121" s="926"/>
      <c r="H3121" s="926"/>
      <c r="I3121" s="926"/>
      <c r="J3121" s="926"/>
      <c r="K3121" s="926"/>
      <c r="L3121" s="926"/>
      <c r="M3121" s="926"/>
      <c r="N3121" s="927"/>
      <c r="O3121" s="362"/>
    </row>
    <row r="3122" spans="2:15" ht="15.75" customHeight="1">
      <c r="B3122" s="679"/>
      <c r="C3122" s="920"/>
      <c r="D3122" s="922"/>
      <c r="E3122" s="922"/>
      <c r="F3122" s="922"/>
      <c r="G3122" s="922"/>
      <c r="H3122" s="922"/>
      <c r="I3122" s="922"/>
      <c r="J3122" s="922"/>
      <c r="K3122" s="922"/>
      <c r="L3122" s="922"/>
      <c r="M3122" s="922"/>
      <c r="N3122" s="924"/>
      <c r="O3122" s="362"/>
    </row>
    <row r="3123" spans="2:15" ht="15.75" customHeight="1">
      <c r="B3123" s="679"/>
      <c r="C3123" s="929"/>
      <c r="D3123" s="936"/>
      <c r="E3123" s="936"/>
      <c r="F3123" s="936"/>
      <c r="G3123" s="936"/>
      <c r="H3123" s="936"/>
      <c r="I3123" s="936"/>
      <c r="J3123" s="936"/>
      <c r="K3123" s="936"/>
      <c r="L3123" s="936"/>
      <c r="M3123" s="936"/>
      <c r="N3123" s="938"/>
      <c r="O3123" s="362"/>
    </row>
    <row r="3124" spans="2:15" ht="15.75" customHeight="1">
      <c r="B3124" s="679"/>
      <c r="C3124" s="1201" t="s">
        <v>1221</v>
      </c>
      <c r="D3124" s="1131"/>
      <c r="E3124" s="1131"/>
      <c r="F3124" s="1131"/>
      <c r="G3124" s="1131"/>
      <c r="H3124" s="1132"/>
      <c r="I3124" s="674"/>
      <c r="J3124" s="674"/>
      <c r="K3124" s="674"/>
      <c r="L3124" s="1206" t="s">
        <v>1222</v>
      </c>
      <c r="M3124" s="1000"/>
      <c r="N3124" s="678" t="s">
        <v>1223</v>
      </c>
      <c r="O3124" s="362"/>
    </row>
    <row r="3125" spans="2:15" ht="15.75" customHeight="1">
      <c r="B3125" s="679"/>
      <c r="C3125" s="1128" t="s">
        <v>19</v>
      </c>
      <c r="D3125" s="940"/>
      <c r="E3125" s="940"/>
      <c r="F3125" s="940"/>
      <c r="G3125" s="940"/>
      <c r="H3125" s="940"/>
      <c r="I3125" s="452"/>
      <c r="J3125" s="452"/>
      <c r="K3125" s="452"/>
      <c r="L3125" s="1148">
        <f>+Datos!$E$18</f>
        <v>0.25</v>
      </c>
      <c r="M3125" s="941"/>
      <c r="N3125" s="430">
        <f>+L3125*N3120</f>
        <v>892170.75</v>
      </c>
      <c r="O3125" s="362"/>
    </row>
    <row r="3126" spans="2:15" ht="15.75" customHeight="1">
      <c r="B3126" s="679"/>
      <c r="C3126" s="454" t="s">
        <v>20</v>
      </c>
      <c r="D3126" s="455"/>
      <c r="E3126" s="455"/>
      <c r="F3126" s="455"/>
      <c r="G3126" s="455"/>
      <c r="H3126" s="455"/>
      <c r="I3126" s="452"/>
      <c r="J3126" s="452"/>
      <c r="K3126" s="452"/>
      <c r="L3126" s="1148">
        <f>+Datos!$E$19</f>
        <v>0.01</v>
      </c>
      <c r="M3126" s="941"/>
      <c r="N3126" s="430">
        <f>+L3126*N3120</f>
        <v>35686.83</v>
      </c>
      <c r="O3126" s="362"/>
    </row>
    <row r="3127" spans="2:15" ht="15.75" customHeight="1">
      <c r="B3127" s="679"/>
      <c r="C3127" s="456" t="s">
        <v>21</v>
      </c>
      <c r="D3127" s="457"/>
      <c r="E3127" s="457"/>
      <c r="F3127" s="457"/>
      <c r="G3127" s="457"/>
      <c r="H3127" s="457"/>
      <c r="I3127" s="458"/>
      <c r="J3127" s="458"/>
      <c r="K3127" s="458"/>
      <c r="L3127" s="1148">
        <f>+Datos!$E$20</f>
        <v>0.05</v>
      </c>
      <c r="M3127" s="941"/>
      <c r="N3127" s="430">
        <f>+L3127*N3120</f>
        <v>178434.15000000002</v>
      </c>
      <c r="O3127" s="362"/>
    </row>
    <row r="3128" spans="2:15" ht="15.75" customHeight="1">
      <c r="B3128" s="679"/>
      <c r="C3128" s="1127" t="s">
        <v>1202</v>
      </c>
      <c r="D3128" s="965"/>
      <c r="E3128" s="965"/>
      <c r="F3128" s="965"/>
      <c r="G3128" s="965"/>
      <c r="H3128" s="965"/>
      <c r="I3128" s="965"/>
      <c r="J3128" s="965"/>
      <c r="K3128" s="965"/>
      <c r="L3128" s="965"/>
      <c r="M3128" s="966"/>
      <c r="N3128" s="433">
        <f>+SUM(N3125:N3127)</f>
        <v>1106291.73</v>
      </c>
      <c r="O3128" s="362"/>
    </row>
    <row r="3129" spans="2:15" ht="15.75" customHeight="1">
      <c r="B3129" s="679"/>
      <c r="C3129" s="418"/>
      <c r="D3129" s="39"/>
      <c r="E3129" s="39"/>
      <c r="F3129" s="39"/>
      <c r="G3129" s="39"/>
      <c r="H3129" s="39"/>
      <c r="I3129" s="39"/>
      <c r="J3129" s="39"/>
      <c r="K3129" s="39"/>
      <c r="L3129" s="39"/>
      <c r="M3129" s="39"/>
      <c r="N3129" s="40"/>
      <c r="O3129" s="362"/>
    </row>
    <row r="3130" spans="2:15" ht="15.75" customHeight="1">
      <c r="B3130" s="679"/>
      <c r="C3130" s="1198" t="s">
        <v>1224</v>
      </c>
      <c r="D3130" s="965"/>
      <c r="E3130" s="965"/>
      <c r="F3130" s="965"/>
      <c r="G3130" s="965"/>
      <c r="H3130" s="965"/>
      <c r="I3130" s="965"/>
      <c r="J3130" s="965"/>
      <c r="K3130" s="965"/>
      <c r="L3130" s="965"/>
      <c r="M3130" s="966"/>
      <c r="N3130" s="683">
        <f>+ROUND(SUM(N3128,N3120),0)</f>
        <v>4674975</v>
      </c>
      <c r="O3130" s="362"/>
    </row>
    <row r="3131" spans="2:15" ht="15.75" customHeight="1">
      <c r="B3131" s="679"/>
      <c r="C3131" s="418"/>
      <c r="D3131" s="39" t="s">
        <v>1225</v>
      </c>
      <c r="E3131" s="39"/>
      <c r="F3131" s="39"/>
      <c r="G3131" s="184"/>
      <c r="H3131" s="184"/>
      <c r="I3131" s="184"/>
      <c r="J3131" s="39" t="s">
        <v>1225</v>
      </c>
      <c r="K3131" s="39"/>
      <c r="L3131" s="39"/>
      <c r="M3131" s="39"/>
      <c r="N3131" s="40"/>
      <c r="O3131" s="362"/>
    </row>
    <row r="3132" spans="2:15" ht="15.75" customHeight="1">
      <c r="B3132" s="679"/>
      <c r="C3132" s="418"/>
      <c r="D3132" s="39" t="s">
        <v>1226</v>
      </c>
      <c r="E3132" s="39"/>
      <c r="F3132" s="39"/>
      <c r="G3132" s="184"/>
      <c r="H3132" s="184"/>
      <c r="I3132" s="184"/>
      <c r="J3132" s="39" t="s">
        <v>1227</v>
      </c>
      <c r="K3132" s="39"/>
      <c r="L3132" s="39"/>
      <c r="M3132" s="39"/>
      <c r="N3132" s="40"/>
      <c r="O3132" s="362"/>
    </row>
    <row r="3133" spans="2:15" ht="15.75" customHeight="1">
      <c r="B3133" s="679"/>
      <c r="C3133" s="404"/>
      <c r="D3133" s="39" t="s">
        <v>1228</v>
      </c>
      <c r="E3133" s="42"/>
      <c r="F3133" s="42"/>
      <c r="G3133" s="184"/>
      <c r="H3133" s="184"/>
      <c r="I3133" s="184"/>
      <c r="J3133" s="39" t="s">
        <v>1228</v>
      </c>
      <c r="K3133" s="42"/>
      <c r="L3133" s="42"/>
      <c r="M3133" s="42"/>
      <c r="N3133" s="43"/>
      <c r="O3133" s="362"/>
    </row>
    <row r="3134" spans="2:15" ht="15.75" customHeight="1">
      <c r="B3134" s="679"/>
      <c r="C3134" s="418"/>
      <c r="D3134" s="39"/>
      <c r="E3134" s="39"/>
      <c r="F3134" s="39"/>
      <c r="G3134" s="39" t="s">
        <v>1229</v>
      </c>
      <c r="H3134" s="39"/>
      <c r="I3134" s="39"/>
      <c r="J3134" s="39"/>
      <c r="K3134" s="39"/>
      <c r="L3134" s="39"/>
      <c r="M3134" s="39"/>
      <c r="N3134" s="40"/>
      <c r="O3134" s="362"/>
    </row>
    <row r="3135" spans="2:15" ht="15.75" customHeight="1">
      <c r="B3135" s="679"/>
      <c r="C3135" s="466"/>
      <c r="D3135" s="467"/>
      <c r="E3135" s="467"/>
      <c r="F3135" s="39"/>
      <c r="G3135" s="39"/>
      <c r="H3135" s="39"/>
      <c r="I3135" s="39"/>
      <c r="J3135" s="1149"/>
      <c r="K3135" s="922"/>
      <c r="L3135" s="922"/>
      <c r="M3135" s="922"/>
      <c r="N3135" s="924"/>
      <c r="O3135" s="362"/>
    </row>
    <row r="3136" spans="2:15" ht="15.75" customHeight="1">
      <c r="B3136" s="679"/>
      <c r="C3136" s="1150"/>
      <c r="D3136" s="936"/>
      <c r="E3136" s="936"/>
      <c r="F3136" s="416"/>
      <c r="G3136" s="416"/>
      <c r="H3136" s="416"/>
      <c r="I3136" s="416"/>
      <c r="J3136" s="936"/>
      <c r="K3136" s="936"/>
      <c r="L3136" s="936"/>
      <c r="M3136" s="936"/>
      <c r="N3136" s="938"/>
      <c r="O3136" s="362"/>
    </row>
    <row r="3137" spans="1:15" ht="15.75" customHeight="1">
      <c r="B3137" s="684"/>
      <c r="C3137" s="685"/>
      <c r="D3137" s="685"/>
      <c r="E3137" s="685"/>
      <c r="F3137" s="685"/>
      <c r="G3137" s="685"/>
      <c r="H3137" s="685"/>
      <c r="I3137" s="685"/>
      <c r="J3137" s="685"/>
      <c r="K3137" s="685"/>
      <c r="L3137" s="685"/>
      <c r="M3137" s="685"/>
      <c r="N3137" s="685"/>
      <c r="O3137" s="686"/>
    </row>
    <row r="3138" spans="1:15" ht="15.75" customHeight="1"/>
    <row r="3139" spans="1:15" ht="15.75" customHeight="1"/>
    <row r="3140" spans="1:15" ht="15.75" customHeight="1"/>
    <row r="3141" spans="1:15" ht="15.75" customHeight="1"/>
    <row r="3142" spans="1:15" ht="15.75" customHeight="1">
      <c r="A3142" s="395" t="s">
        <v>941</v>
      </c>
      <c r="B3142" s="184"/>
      <c r="C3142" s="184"/>
      <c r="D3142" s="184"/>
      <c r="E3142" s="184"/>
      <c r="F3142" s="184"/>
      <c r="G3142" s="184"/>
      <c r="H3142" s="184"/>
      <c r="I3142" s="184"/>
      <c r="J3142" s="184"/>
      <c r="K3142" s="184"/>
      <c r="L3142" s="184"/>
      <c r="M3142" s="184"/>
      <c r="N3142" s="184"/>
    </row>
    <row r="3143" spans="1:15" ht="15.75" customHeight="1">
      <c r="A3143" s="395"/>
      <c r="B3143" s="396"/>
      <c r="C3143" s="397"/>
      <c r="D3143" s="397"/>
      <c r="E3143" s="397"/>
      <c r="F3143" s="397"/>
      <c r="G3143" s="397"/>
      <c r="H3143" s="397"/>
      <c r="I3143" s="397"/>
      <c r="J3143" s="397"/>
      <c r="K3143" s="397"/>
      <c r="L3143" s="397"/>
      <c r="M3143" s="397"/>
      <c r="N3143" s="397"/>
      <c r="O3143" s="667"/>
    </row>
    <row r="3144" spans="1:15" ht="15.75" customHeight="1">
      <c r="A3144" s="395"/>
      <c r="B3144" s="399"/>
      <c r="C3144" s="1124"/>
      <c r="D3144" s="927"/>
      <c r="E3144" s="1207" t="str">
        <f>Datos!$C$9</f>
        <v>CONSEJO SUPERIOR  DE  JUDICATURA– DIRECCIÓN  EJECUTIVA  SECCIONAL  DE ADMINISTRACIÓN JUDICIAL DE BUCARAMANGA</v>
      </c>
      <c r="F3144" s="926"/>
      <c r="G3144" s="926"/>
      <c r="H3144" s="926"/>
      <c r="I3144" s="926"/>
      <c r="J3144" s="926"/>
      <c r="K3144" s="927"/>
      <c r="L3144" s="925" t="s">
        <v>1</v>
      </c>
      <c r="M3144" s="931"/>
      <c r="N3144" s="933">
        <v>1</v>
      </c>
      <c r="O3144" s="362"/>
    </row>
    <row r="3145" spans="1:15" ht="15.75" customHeight="1">
      <c r="A3145" s="395"/>
      <c r="B3145" s="399"/>
      <c r="C3145" s="920"/>
      <c r="D3145" s="924"/>
      <c r="E3145" s="920"/>
      <c r="F3145" s="922"/>
      <c r="G3145" s="922"/>
      <c r="H3145" s="922"/>
      <c r="I3145" s="922"/>
      <c r="J3145" s="922"/>
      <c r="K3145" s="924"/>
      <c r="L3145" s="920"/>
      <c r="M3145" s="932"/>
      <c r="N3145" s="934"/>
      <c r="O3145" s="362"/>
    </row>
    <row r="3146" spans="1:15" ht="15.75" customHeight="1">
      <c r="A3146" s="395"/>
      <c r="B3146" s="399"/>
      <c r="C3146" s="920"/>
      <c r="D3146" s="924"/>
      <c r="E3146" s="919" t="str">
        <f>Datos!$C$13</f>
        <v xml:space="preserve">BGA - 030 - 2026 </v>
      </c>
      <c r="F3146" s="922"/>
      <c r="G3146" s="922"/>
      <c r="H3146" s="922"/>
      <c r="I3146" s="922"/>
      <c r="J3146" s="922"/>
      <c r="K3146" s="922"/>
      <c r="L3146" s="925" t="s">
        <v>29</v>
      </c>
      <c r="M3146" s="926"/>
      <c r="N3146" s="927"/>
      <c r="O3146" s="362"/>
    </row>
    <row r="3147" spans="1:15" ht="15.75" customHeight="1">
      <c r="A3147" s="395"/>
      <c r="B3147" s="399"/>
      <c r="C3147" s="920"/>
      <c r="D3147" s="924"/>
      <c r="E314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147" s="922"/>
      <c r="G3147" s="922"/>
      <c r="H3147" s="922"/>
      <c r="I3147" s="922"/>
      <c r="J3147" s="922"/>
      <c r="K3147" s="924"/>
      <c r="L3147" s="919">
        <v>1</v>
      </c>
      <c r="M3147" s="921" t="s">
        <v>30</v>
      </c>
      <c r="N3147" s="923">
        <v>1</v>
      </c>
      <c r="O3147" s="362"/>
    </row>
    <row r="3148" spans="1:15" ht="15.75" customHeight="1">
      <c r="A3148" s="395"/>
      <c r="B3148" s="399"/>
      <c r="C3148" s="920"/>
      <c r="D3148" s="924"/>
      <c r="E3148" s="920"/>
      <c r="F3148" s="922"/>
      <c r="G3148" s="922"/>
      <c r="H3148" s="922"/>
      <c r="I3148" s="922"/>
      <c r="J3148" s="922"/>
      <c r="K3148" s="924"/>
      <c r="L3148" s="920"/>
      <c r="M3148" s="922"/>
      <c r="N3148" s="924"/>
      <c r="O3148" s="362"/>
    </row>
    <row r="3149" spans="1:15" ht="55.5" customHeight="1">
      <c r="A3149" s="395"/>
      <c r="B3149" s="399"/>
      <c r="C3149" s="920"/>
      <c r="D3149" s="924"/>
      <c r="E3149" s="920"/>
      <c r="F3149" s="922"/>
      <c r="G3149" s="922"/>
      <c r="H3149" s="922"/>
      <c r="I3149" s="922"/>
      <c r="J3149" s="922"/>
      <c r="K3149" s="924"/>
      <c r="L3149" s="925" t="s">
        <v>2</v>
      </c>
      <c r="M3149" s="926"/>
      <c r="N3149" s="927"/>
      <c r="O3149" s="362"/>
    </row>
    <row r="3150" spans="1:15" ht="15.75" customHeight="1">
      <c r="A3150" s="395"/>
      <c r="B3150" s="399"/>
      <c r="C3150" s="920"/>
      <c r="D3150" s="924"/>
      <c r="E3150" s="407"/>
      <c r="F3150" s="216"/>
      <c r="G3150" s="216"/>
      <c r="H3150" s="216"/>
      <c r="I3150" s="216"/>
      <c r="J3150" s="216"/>
      <c r="K3150" s="216"/>
      <c r="L3150" s="408" t="s">
        <v>3</v>
      </c>
      <c r="M3150" s="409" t="s">
        <v>4</v>
      </c>
      <c r="N3150" s="410" t="s">
        <v>5</v>
      </c>
      <c r="O3150" s="362"/>
    </row>
    <row r="3151" spans="1:15" ht="15.75" customHeight="1">
      <c r="A3151" s="395"/>
      <c r="B3151" s="399"/>
      <c r="C3151" s="920"/>
      <c r="D3151" s="924"/>
      <c r="E3151" s="1125" t="s">
        <v>1186</v>
      </c>
      <c r="F3151" s="945"/>
      <c r="G3151" s="945"/>
      <c r="H3151" s="945"/>
      <c r="I3151" s="945"/>
      <c r="J3151" s="945"/>
      <c r="K3151" s="945"/>
      <c r="L3151" s="928">
        <f>Datos!$C$7</f>
        <v>19</v>
      </c>
      <c r="M3151" s="935">
        <f>Datos!$D$7</f>
        <v>6</v>
      </c>
      <c r="N3151" s="937">
        <f>Datos!$E$7</f>
        <v>2026</v>
      </c>
      <c r="O3151" s="362"/>
    </row>
    <row r="3152" spans="1:15" ht="15.75" customHeight="1">
      <c r="A3152" s="395"/>
      <c r="B3152" s="399"/>
      <c r="C3152" s="929"/>
      <c r="D3152" s="938"/>
      <c r="E3152" s="929"/>
      <c r="F3152" s="936"/>
      <c r="G3152" s="936"/>
      <c r="H3152" s="936"/>
      <c r="I3152" s="936"/>
      <c r="J3152" s="936"/>
      <c r="K3152" s="936"/>
      <c r="L3152" s="929"/>
      <c r="M3152" s="936"/>
      <c r="N3152" s="938"/>
      <c r="O3152" s="362"/>
    </row>
    <row r="3153" spans="1:15" ht="15.75" customHeight="1">
      <c r="A3153" s="395"/>
      <c r="B3153" s="399"/>
      <c r="C3153" s="404"/>
      <c r="D3153" s="38"/>
      <c r="E3153" s="38"/>
      <c r="F3153" s="38"/>
      <c r="G3153" s="38"/>
      <c r="H3153" s="38"/>
      <c r="I3153" s="38"/>
      <c r="J3153" s="38"/>
      <c r="K3153" s="38"/>
      <c r="L3153" s="39"/>
      <c r="M3153" s="39"/>
      <c r="N3153" s="40"/>
      <c r="O3153" s="362"/>
    </row>
    <row r="3154" spans="1:15" ht="15.75" customHeight="1">
      <c r="A3154" s="395"/>
      <c r="B3154" s="399"/>
      <c r="C3154" s="412" t="s">
        <v>1187</v>
      </c>
      <c r="D3154" s="1199" t="str">
        <f>VLOOKUP(C3159,ListaAct,2,0)</f>
        <v>OBRA CIVIL</v>
      </c>
      <c r="E3154" s="922"/>
      <c r="F3154" s="922"/>
      <c r="G3154" s="922"/>
      <c r="H3154" s="922"/>
      <c r="I3154" s="922"/>
      <c r="J3154" s="922"/>
      <c r="K3154" s="922"/>
      <c r="L3154" s="922"/>
      <c r="M3154" s="1"/>
      <c r="N3154" s="413"/>
      <c r="O3154" s="362"/>
    </row>
    <row r="3155" spans="1:15" ht="15.75" customHeight="1">
      <c r="A3155" s="395"/>
      <c r="B3155" s="399"/>
      <c r="C3155" s="412" t="s">
        <v>1189</v>
      </c>
      <c r="D3155" s="1199" t="str">
        <f>VLOOKUP(C3159,ListaAct,3,0)</f>
        <v>OTRAS ACTIVIDADES Y/O SERVICIOS REQUERIDOS (SIN AIU)</v>
      </c>
      <c r="E3155" s="922"/>
      <c r="F3155" s="922"/>
      <c r="G3155" s="922"/>
      <c r="H3155" s="922"/>
      <c r="I3155" s="922"/>
      <c r="J3155" s="922"/>
      <c r="K3155" s="922"/>
      <c r="L3155" s="922"/>
      <c r="M3155" s="1"/>
      <c r="N3155" s="413"/>
      <c r="O3155" s="362"/>
    </row>
    <row r="3156" spans="1:15" ht="15.75" customHeight="1">
      <c r="A3156" s="395"/>
      <c r="B3156" s="399"/>
      <c r="C3156" s="925" t="s">
        <v>1191</v>
      </c>
      <c r="D3156" s="926"/>
      <c r="E3156" s="926"/>
      <c r="F3156" s="926"/>
      <c r="G3156" s="926"/>
      <c r="H3156" s="926"/>
      <c r="I3156" s="926"/>
      <c r="J3156" s="926"/>
      <c r="K3156" s="926"/>
      <c r="L3156" s="926"/>
      <c r="M3156" s="926"/>
      <c r="N3156" s="927"/>
      <c r="O3156" s="362"/>
    </row>
    <row r="3157" spans="1:15" ht="15.75" customHeight="1">
      <c r="A3157" s="395"/>
      <c r="B3157" s="399"/>
      <c r="C3157" s="418"/>
      <c r="D3157" s="39"/>
      <c r="E3157" s="39"/>
      <c r="F3157" s="39"/>
      <c r="G3157" s="39"/>
      <c r="H3157" s="39"/>
      <c r="I3157" s="39"/>
      <c r="J3157" s="39"/>
      <c r="K3157" s="39"/>
      <c r="L3157" s="39"/>
      <c r="M3157" s="39"/>
      <c r="N3157" s="40"/>
      <c r="O3157" s="362"/>
    </row>
    <row r="3158" spans="1:15" ht="15.75" customHeight="1">
      <c r="A3158" s="395"/>
      <c r="B3158" s="399"/>
      <c r="C3158" s="668" t="s">
        <v>965</v>
      </c>
      <c r="D3158" s="1200" t="s">
        <v>17</v>
      </c>
      <c r="E3158" s="1131"/>
      <c r="F3158" s="1131"/>
      <c r="G3158" s="1131"/>
      <c r="H3158" s="1131"/>
      <c r="I3158" s="1131"/>
      <c r="J3158" s="1131"/>
      <c r="K3158" s="1137"/>
      <c r="L3158" s="1201" t="s">
        <v>1192</v>
      </c>
      <c r="M3158" s="1137"/>
      <c r="N3158" s="668" t="s">
        <v>950</v>
      </c>
      <c r="O3158" s="362"/>
    </row>
    <row r="3159" spans="1:15" ht="24" customHeight="1">
      <c r="A3159" s="395"/>
      <c r="B3159" s="421"/>
      <c r="C3159" s="669" t="s">
        <v>1169</v>
      </c>
      <c r="D3159" s="1202" t="str">
        <f>IF($C3159&gt;0,(VLOOKUP($C3159,ListaAct,4,FALSE)),"")</f>
        <v xml:space="preserve"> Retiro de muebles, equipos, archivos, documentos y demas elementos no fijos del juzgado a lugar seguro previamente informado por la seccional </v>
      </c>
      <c r="E3159" s="979"/>
      <c r="F3159" s="979"/>
      <c r="G3159" s="979"/>
      <c r="H3159" s="979"/>
      <c r="I3159" s="979"/>
      <c r="J3159" s="979"/>
      <c r="K3159" s="980"/>
      <c r="L3159" s="1203" t="str">
        <f>IF($C3159&gt;0,(VLOOKUP($C3159,ListaAct,5,FALSE)),"")</f>
        <v>glb</v>
      </c>
      <c r="M3159" s="980"/>
      <c r="N3159" s="423">
        <f>IF($C3159&gt;0,(VLOOKUP($C3159,ListaAct,6,FALSE)),"")</f>
        <v>1</v>
      </c>
      <c r="O3159" s="362"/>
    </row>
    <row r="3160" spans="1:15" ht="15.75" customHeight="1">
      <c r="A3160" s="395"/>
      <c r="B3160" s="399"/>
      <c r="C3160" s="1129" t="s">
        <v>1195</v>
      </c>
      <c r="D3160" s="926"/>
      <c r="E3160" s="926"/>
      <c r="F3160" s="926"/>
      <c r="G3160" s="926"/>
      <c r="H3160" s="926"/>
      <c r="I3160" s="926"/>
      <c r="J3160" s="926"/>
      <c r="K3160" s="926"/>
      <c r="L3160" s="926"/>
      <c r="M3160" s="926"/>
      <c r="N3160" s="927"/>
      <c r="O3160" s="362"/>
    </row>
    <row r="3161" spans="1:15" ht="15.75" customHeight="1">
      <c r="A3161" s="395"/>
      <c r="B3161" s="399"/>
      <c r="C3161" s="920"/>
      <c r="D3161" s="922"/>
      <c r="E3161" s="922"/>
      <c r="F3161" s="922"/>
      <c r="G3161" s="922"/>
      <c r="H3161" s="922"/>
      <c r="I3161" s="922"/>
      <c r="J3161" s="922"/>
      <c r="K3161" s="922"/>
      <c r="L3161" s="922"/>
      <c r="M3161" s="922"/>
      <c r="N3161" s="924"/>
      <c r="O3161" s="362"/>
    </row>
    <row r="3162" spans="1:15" ht="15.75" customHeight="1">
      <c r="A3162" s="395"/>
      <c r="B3162" s="399"/>
      <c r="C3162" s="929"/>
      <c r="D3162" s="936"/>
      <c r="E3162" s="936"/>
      <c r="F3162" s="936"/>
      <c r="G3162" s="936"/>
      <c r="H3162" s="936"/>
      <c r="I3162" s="936"/>
      <c r="J3162" s="936"/>
      <c r="K3162" s="936"/>
      <c r="L3162" s="936"/>
      <c r="M3162" s="936"/>
      <c r="N3162" s="938"/>
      <c r="O3162" s="362"/>
    </row>
    <row r="3163" spans="1:15" ht="15.75" customHeight="1">
      <c r="A3163" s="395"/>
      <c r="B3163" s="399"/>
      <c r="C3163" s="1201" t="s">
        <v>17</v>
      </c>
      <c r="D3163" s="1131"/>
      <c r="E3163" s="1131"/>
      <c r="F3163" s="1000"/>
      <c r="G3163" s="1204" t="s">
        <v>1196</v>
      </c>
      <c r="H3163" s="1000"/>
      <c r="I3163" s="1204" t="s">
        <v>1197</v>
      </c>
      <c r="J3163" s="1000"/>
      <c r="K3163" s="670" t="s">
        <v>1213</v>
      </c>
      <c r="L3163" s="1204" t="s">
        <v>1199</v>
      </c>
      <c r="M3163" s="1000"/>
      <c r="N3163" s="671" t="s">
        <v>1200</v>
      </c>
      <c r="O3163" s="362"/>
    </row>
    <row r="3164" spans="1:15" ht="15.75" customHeight="1">
      <c r="A3164" s="395"/>
      <c r="B3164" s="399"/>
      <c r="C3164" s="1128" t="s">
        <v>1201</v>
      </c>
      <c r="D3164" s="940"/>
      <c r="E3164" s="940"/>
      <c r="F3164" s="941"/>
      <c r="G3164" s="1142"/>
      <c r="H3164" s="941"/>
      <c r="I3164" s="1142"/>
      <c r="J3164" s="941"/>
      <c r="K3164" s="429"/>
      <c r="L3164" s="1143">
        <v>0.06</v>
      </c>
      <c r="M3164" s="941"/>
      <c r="N3164" s="430">
        <f>+L3164*N3203</f>
        <v>46168.006969822207</v>
      </c>
      <c r="O3164" s="362"/>
    </row>
    <row r="3165" spans="1:15" ht="15.75" customHeight="1">
      <c r="A3165" s="395">
        <f t="array" ref="A3165">IF(C3165&lt;&gt;0,INDEX(CodEquipos,MATCH(C3165,Equipos,0),),)</f>
        <v>0</v>
      </c>
      <c r="B3165" s="399"/>
      <c r="C3165" s="1128"/>
      <c r="D3165" s="940"/>
      <c r="E3165" s="940"/>
      <c r="F3165" s="941"/>
      <c r="G3165" s="1142"/>
      <c r="H3165" s="941"/>
      <c r="I3165" s="1142"/>
      <c r="J3165" s="941"/>
      <c r="K3165" s="432" t="str">
        <f>IF($A3165&gt;0,(VLOOKUP($A3165,TablaEquipos,7,FALSE)),"")</f>
        <v/>
      </c>
      <c r="L3165" s="1146"/>
      <c r="M3165" s="941"/>
      <c r="N3165" s="430" t="str">
        <f t="shared" ref="N3165:N3169" si="235">IF(L3165&gt;0,K3165/L3165,"")</f>
        <v/>
      </c>
      <c r="O3165" s="362"/>
    </row>
    <row r="3166" spans="1:15" ht="15.75" customHeight="1">
      <c r="A3166" s="395">
        <f t="array" ref="A3166">IF(C3166&lt;&gt;0,INDEX(CodEquipos,MATCH(C3166,Equipos,0),),)</f>
        <v>0</v>
      </c>
      <c r="B3166" s="399"/>
      <c r="C3166" s="1128"/>
      <c r="D3166" s="940"/>
      <c r="E3166" s="940"/>
      <c r="F3166" s="941"/>
      <c r="G3166" s="1142"/>
      <c r="H3166" s="941"/>
      <c r="I3166" s="1142"/>
      <c r="J3166" s="941"/>
      <c r="K3166" s="432" t="str">
        <f>IF($A3166&gt;0,(VLOOKUP($A3166,TablaEquipos,7,FALSE)),"")</f>
        <v/>
      </c>
      <c r="L3166" s="1146"/>
      <c r="M3166" s="941"/>
      <c r="N3166" s="430" t="str">
        <f t="shared" si="235"/>
        <v/>
      </c>
      <c r="O3166" s="362"/>
    </row>
    <row r="3167" spans="1:15" ht="15.75" customHeight="1">
      <c r="A3167" s="395">
        <f t="array" ref="A3167">IF(C3167&lt;&gt;0,INDEX(CodEquipos,MATCH(C3167,Equipos,0),),)</f>
        <v>0</v>
      </c>
      <c r="B3167" s="399"/>
      <c r="C3167" s="1128"/>
      <c r="D3167" s="940"/>
      <c r="E3167" s="940"/>
      <c r="F3167" s="941"/>
      <c r="G3167" s="1142"/>
      <c r="H3167" s="941"/>
      <c r="I3167" s="1142"/>
      <c r="J3167" s="941"/>
      <c r="K3167" s="432" t="str">
        <f>IF($A3167&gt;0,(VLOOKUP($A3167,TablaEquipos,7,FALSE)),"")</f>
        <v/>
      </c>
      <c r="L3167" s="1146"/>
      <c r="M3167" s="941"/>
      <c r="N3167" s="430" t="str">
        <f t="shared" si="235"/>
        <v/>
      </c>
      <c r="O3167" s="362"/>
    </row>
    <row r="3168" spans="1:15" ht="15.75" customHeight="1">
      <c r="A3168" s="395">
        <f t="array" ref="A3168">IF(C3168&lt;&gt;0,INDEX(CodEquipos,MATCH(C3168,Equipos,0),),)</f>
        <v>0</v>
      </c>
      <c r="B3168" s="399"/>
      <c r="C3168" s="1128"/>
      <c r="D3168" s="940"/>
      <c r="E3168" s="940"/>
      <c r="F3168" s="941"/>
      <c r="G3168" s="1142"/>
      <c r="H3168" s="941"/>
      <c r="I3168" s="1142"/>
      <c r="J3168" s="941"/>
      <c r="K3168" s="432" t="str">
        <f>IF($A3168&gt;0,(VLOOKUP($A3168,TablaEquipos,7,FALSE)),"")</f>
        <v/>
      </c>
      <c r="L3168" s="1141"/>
      <c r="M3168" s="941"/>
      <c r="N3168" s="430" t="str">
        <f t="shared" si="235"/>
        <v/>
      </c>
      <c r="O3168" s="362"/>
    </row>
    <row r="3169" spans="1:15" ht="15.75" customHeight="1">
      <c r="A3169" s="395">
        <f t="array" ref="A3169">IF(C3169&lt;&gt;0,INDEX(CodEquipos,MATCH(C3169,Equipos,0),),)</f>
        <v>0</v>
      </c>
      <c r="B3169" s="399"/>
      <c r="C3169" s="1128"/>
      <c r="D3169" s="940"/>
      <c r="E3169" s="940"/>
      <c r="F3169" s="941"/>
      <c r="G3169" s="1144"/>
      <c r="H3169" s="1145"/>
      <c r="I3169" s="1144"/>
      <c r="J3169" s="1145"/>
      <c r="K3169" s="432" t="str">
        <f>IF($A3169&gt;0,(VLOOKUP($A3169,TablaEquipos,7,FALSE)),"")</f>
        <v/>
      </c>
      <c r="L3169" s="1208"/>
      <c r="M3169" s="1145"/>
      <c r="N3169" s="430" t="str">
        <f t="shared" si="235"/>
        <v/>
      </c>
      <c r="O3169" s="362"/>
    </row>
    <row r="3170" spans="1:15" ht="15.75" customHeight="1">
      <c r="A3170" s="395"/>
      <c r="B3170" s="399"/>
      <c r="C3170" s="1127" t="s">
        <v>1202</v>
      </c>
      <c r="D3170" s="965"/>
      <c r="E3170" s="965"/>
      <c r="F3170" s="965"/>
      <c r="G3170" s="965"/>
      <c r="H3170" s="965"/>
      <c r="I3170" s="965"/>
      <c r="J3170" s="965"/>
      <c r="K3170" s="965"/>
      <c r="L3170" s="965"/>
      <c r="M3170" s="966"/>
      <c r="N3170" s="433">
        <f>+SUM(N3164:N3169)</f>
        <v>46168.006969822207</v>
      </c>
      <c r="O3170" s="362"/>
    </row>
    <row r="3171" spans="1:15" ht="15.75" customHeight="1">
      <c r="A3171" s="395"/>
      <c r="B3171" s="399"/>
      <c r="C3171" s="1129" t="s">
        <v>1203</v>
      </c>
      <c r="D3171" s="926"/>
      <c r="E3171" s="926"/>
      <c r="F3171" s="926"/>
      <c r="G3171" s="926"/>
      <c r="H3171" s="926"/>
      <c r="I3171" s="926"/>
      <c r="J3171" s="926"/>
      <c r="K3171" s="926"/>
      <c r="L3171" s="926"/>
      <c r="M3171" s="926"/>
      <c r="N3171" s="927"/>
      <c r="O3171" s="362"/>
    </row>
    <row r="3172" spans="1:15" ht="15.75" customHeight="1">
      <c r="A3172" s="395"/>
      <c r="B3172" s="399"/>
      <c r="C3172" s="920"/>
      <c r="D3172" s="922"/>
      <c r="E3172" s="922"/>
      <c r="F3172" s="922"/>
      <c r="G3172" s="922"/>
      <c r="H3172" s="922"/>
      <c r="I3172" s="922"/>
      <c r="J3172" s="922"/>
      <c r="K3172" s="922"/>
      <c r="L3172" s="922"/>
      <c r="M3172" s="922"/>
      <c r="N3172" s="924"/>
      <c r="O3172" s="362"/>
    </row>
    <row r="3173" spans="1:15" ht="15.75" customHeight="1">
      <c r="A3173" s="395"/>
      <c r="B3173" s="399"/>
      <c r="C3173" s="929"/>
      <c r="D3173" s="936"/>
      <c r="E3173" s="936"/>
      <c r="F3173" s="936"/>
      <c r="G3173" s="936"/>
      <c r="H3173" s="936"/>
      <c r="I3173" s="936"/>
      <c r="J3173" s="936"/>
      <c r="K3173" s="936"/>
      <c r="L3173" s="936"/>
      <c r="M3173" s="936"/>
      <c r="N3173" s="938"/>
      <c r="O3173" s="362"/>
    </row>
    <row r="3174" spans="1:15" ht="15.75" customHeight="1">
      <c r="A3174" s="395"/>
      <c r="B3174" s="399"/>
      <c r="C3174" s="1201" t="s">
        <v>17</v>
      </c>
      <c r="D3174" s="1131"/>
      <c r="E3174" s="1131"/>
      <c r="F3174" s="1131"/>
      <c r="G3174" s="1131"/>
      <c r="H3174" s="1131"/>
      <c r="I3174" s="1000"/>
      <c r="J3174" s="672" t="s">
        <v>1192</v>
      </c>
      <c r="K3174" s="670" t="s">
        <v>950</v>
      </c>
      <c r="L3174" s="1204" t="s">
        <v>1204</v>
      </c>
      <c r="M3174" s="1000"/>
      <c r="N3174" s="671" t="s">
        <v>1200</v>
      </c>
      <c r="O3174" s="362"/>
    </row>
    <row r="3175" spans="1:15" ht="15.75" customHeight="1">
      <c r="A3175" s="395" t="str">
        <f t="array" ref="A3175">IF(C3175&lt;&gt;0,INDEX(CodMat,MATCH(C3175,Materiales,0),),)</f>
        <v>MAT_C-74</v>
      </c>
      <c r="B3175" s="399"/>
      <c r="C3175" s="1210" t="s">
        <v>2589</v>
      </c>
      <c r="D3175" s="940"/>
      <c r="E3175" s="940"/>
      <c r="F3175" s="940"/>
      <c r="G3175" s="940"/>
      <c r="H3175" s="940"/>
      <c r="I3175" s="941"/>
      <c r="J3175" s="435" t="str">
        <f t="shared" ref="J3175:J3182" si="236">IF($A3175&gt;0,(VLOOKUP($A3175,TablaInsumos,5,FALSE)),"")</f>
        <v>UND</v>
      </c>
      <c r="K3175" s="673">
        <v>3</v>
      </c>
      <c r="L3175" s="1209">
        <f t="shared" ref="L3175:L3182" si="237">IF($A3175&gt;0,(VLOOKUP($A3175,TablaInsumos,7,FALSE)),"")</f>
        <v>86250</v>
      </c>
      <c r="M3175" s="941"/>
      <c r="N3175" s="430">
        <f t="shared" ref="N3175:N3182" si="238">IF(K3175&gt;0,L3175*K3175,"")</f>
        <v>258750</v>
      </c>
      <c r="O3175" s="362"/>
    </row>
    <row r="3176" spans="1:15" ht="15.75" customHeight="1">
      <c r="A3176" s="395" t="str">
        <f t="array" ref="A3176">IF(C3176&lt;&gt;0,INDEX(CodMat,MATCH(C3176,Materiales,0),),)</f>
        <v>MAT_C-76</v>
      </c>
      <c r="B3176" s="399"/>
      <c r="C3176" s="1128" t="s">
        <v>2590</v>
      </c>
      <c r="D3176" s="940"/>
      <c r="E3176" s="940"/>
      <c r="F3176" s="940"/>
      <c r="G3176" s="940"/>
      <c r="H3176" s="940"/>
      <c r="I3176" s="941"/>
      <c r="J3176" s="435" t="str">
        <f t="shared" si="236"/>
        <v>UND</v>
      </c>
      <c r="K3176" s="673">
        <v>100</v>
      </c>
      <c r="L3176" s="1134">
        <f t="shared" si="237"/>
        <v>1744</v>
      </c>
      <c r="M3176" s="941"/>
      <c r="N3176" s="430">
        <f t="shared" si="238"/>
        <v>174400</v>
      </c>
      <c r="O3176" s="362"/>
    </row>
    <row r="3177" spans="1:15" ht="15.75" customHeight="1">
      <c r="A3177" s="395" t="str">
        <f t="array" ref="A3177">IF(C3177&lt;&gt;0,INDEX(CodMat,MATCH(C3177,Materiales,0),),)</f>
        <v>MAT_C-75</v>
      </c>
      <c r="B3177" s="399"/>
      <c r="C3177" s="1128" t="s">
        <v>2591</v>
      </c>
      <c r="D3177" s="940"/>
      <c r="E3177" s="940"/>
      <c r="F3177" s="940"/>
      <c r="G3177" s="940"/>
      <c r="H3177" s="940"/>
      <c r="I3177" s="941"/>
      <c r="J3177" s="435" t="str">
        <f t="shared" si="236"/>
        <v>UND</v>
      </c>
      <c r="K3177" s="673">
        <v>30</v>
      </c>
      <c r="L3177" s="1134">
        <f t="shared" si="237"/>
        <v>8295</v>
      </c>
      <c r="M3177" s="941"/>
      <c r="N3177" s="430">
        <f t="shared" si="238"/>
        <v>248850</v>
      </c>
      <c r="O3177" s="362"/>
    </row>
    <row r="3178" spans="1:15" ht="15.75" customHeight="1">
      <c r="A3178" s="395">
        <f t="array" ref="A3178">IF(C3178&lt;&gt;0,INDEX(CodMat,MATCH(C3178,Materiales,0),),)</f>
        <v>0</v>
      </c>
      <c r="B3178" s="399"/>
      <c r="C3178" s="1128"/>
      <c r="D3178" s="940"/>
      <c r="E3178" s="940"/>
      <c r="F3178" s="940"/>
      <c r="G3178" s="940"/>
      <c r="H3178" s="940"/>
      <c r="I3178" s="941"/>
      <c r="J3178" s="435" t="str">
        <f t="shared" si="236"/>
        <v/>
      </c>
      <c r="K3178" s="673"/>
      <c r="L3178" s="1134" t="str">
        <f t="shared" si="237"/>
        <v/>
      </c>
      <c r="M3178" s="941"/>
      <c r="N3178" s="430" t="str">
        <f t="shared" si="238"/>
        <v/>
      </c>
      <c r="O3178" s="362"/>
    </row>
    <row r="3179" spans="1:15" ht="15.75" customHeight="1">
      <c r="A3179" s="395">
        <f t="array" ref="A3179">IF(C3179&lt;&gt;0,INDEX(CodMat,MATCH(C3179,Materiales,0),),)</f>
        <v>0</v>
      </c>
      <c r="B3179" s="399"/>
      <c r="C3179" s="1128"/>
      <c r="D3179" s="940"/>
      <c r="E3179" s="940"/>
      <c r="F3179" s="940"/>
      <c r="G3179" s="940"/>
      <c r="H3179" s="940"/>
      <c r="I3179" s="941"/>
      <c r="J3179" s="435" t="str">
        <f t="shared" si="236"/>
        <v/>
      </c>
      <c r="K3179" s="673"/>
      <c r="L3179" s="1134" t="str">
        <f t="shared" si="237"/>
        <v/>
      </c>
      <c r="M3179" s="941"/>
      <c r="N3179" s="430" t="str">
        <f t="shared" si="238"/>
        <v/>
      </c>
      <c r="O3179" s="362"/>
    </row>
    <row r="3180" spans="1:15" ht="15.75" customHeight="1">
      <c r="A3180" s="395">
        <f t="array" ref="A3180">IF(C3180&lt;&gt;0,INDEX(CodMat,MATCH(C3180,Materiales,0),),)</f>
        <v>0</v>
      </c>
      <c r="B3180" s="399"/>
      <c r="C3180" s="1211"/>
      <c r="D3180" s="940"/>
      <c r="E3180" s="940"/>
      <c r="F3180" s="940"/>
      <c r="G3180" s="940"/>
      <c r="H3180" s="940"/>
      <c r="I3180" s="941"/>
      <c r="J3180" s="435" t="str">
        <f t="shared" si="236"/>
        <v/>
      </c>
      <c r="K3180" s="673"/>
      <c r="L3180" s="1134" t="str">
        <f t="shared" si="237"/>
        <v/>
      </c>
      <c r="M3180" s="941"/>
      <c r="N3180" s="430" t="str">
        <f t="shared" si="238"/>
        <v/>
      </c>
      <c r="O3180" s="362"/>
    </row>
    <row r="3181" spans="1:15" ht="15.75" customHeight="1">
      <c r="A3181" s="395">
        <f t="array" ref="A3181">IF(C3181&lt;&gt;0,INDEX(CodMat,MATCH(C3181,Materiales,0),),)</f>
        <v>0</v>
      </c>
      <c r="B3181" s="399"/>
      <c r="C3181" s="1128"/>
      <c r="D3181" s="940"/>
      <c r="E3181" s="940"/>
      <c r="F3181" s="940"/>
      <c r="G3181" s="940"/>
      <c r="H3181" s="940"/>
      <c r="I3181" s="941"/>
      <c r="J3181" s="435" t="str">
        <f t="shared" si="236"/>
        <v/>
      </c>
      <c r="K3181" s="673"/>
      <c r="L3181" s="1134" t="str">
        <f t="shared" si="237"/>
        <v/>
      </c>
      <c r="M3181" s="941"/>
      <c r="N3181" s="430" t="str">
        <f t="shared" si="238"/>
        <v/>
      </c>
      <c r="O3181" s="362"/>
    </row>
    <row r="3182" spans="1:15" ht="15.75" customHeight="1">
      <c r="A3182" s="395">
        <f t="array" ref="A3182">IF(C3182&lt;&gt;0,INDEX(CodMat,MATCH(C3182,Materiales,0),),)</f>
        <v>0</v>
      </c>
      <c r="B3182" s="399"/>
      <c r="C3182" s="1128"/>
      <c r="D3182" s="940"/>
      <c r="E3182" s="940"/>
      <c r="F3182" s="940"/>
      <c r="G3182" s="940"/>
      <c r="H3182" s="940"/>
      <c r="I3182" s="941"/>
      <c r="J3182" s="435" t="str">
        <f t="shared" si="236"/>
        <v/>
      </c>
      <c r="K3182" s="673"/>
      <c r="L3182" s="1205" t="str">
        <f t="shared" si="237"/>
        <v/>
      </c>
      <c r="M3182" s="1145"/>
      <c r="N3182" s="430" t="str">
        <f t="shared" si="238"/>
        <v/>
      </c>
      <c r="O3182" s="362"/>
    </row>
    <row r="3183" spans="1:15" ht="15.75" customHeight="1">
      <c r="A3183" s="395"/>
      <c r="B3183" s="399"/>
      <c r="C3183" s="1127" t="s">
        <v>1202</v>
      </c>
      <c r="D3183" s="965"/>
      <c r="E3183" s="965"/>
      <c r="F3183" s="965"/>
      <c r="G3183" s="965"/>
      <c r="H3183" s="965"/>
      <c r="I3183" s="965"/>
      <c r="J3183" s="965"/>
      <c r="K3183" s="965"/>
      <c r="L3183" s="965"/>
      <c r="M3183" s="966"/>
      <c r="N3183" s="433">
        <f>+SUM(N3175:N3182)</f>
        <v>682000</v>
      </c>
      <c r="O3183" s="362"/>
    </row>
    <row r="3184" spans="1:15" ht="15.75" customHeight="1">
      <c r="A3184" s="395"/>
      <c r="B3184" s="399"/>
      <c r="C3184" s="1129" t="s">
        <v>1208</v>
      </c>
      <c r="D3184" s="926"/>
      <c r="E3184" s="926"/>
      <c r="F3184" s="926"/>
      <c r="G3184" s="926"/>
      <c r="H3184" s="926"/>
      <c r="I3184" s="926"/>
      <c r="J3184" s="926"/>
      <c r="K3184" s="926"/>
      <c r="L3184" s="926"/>
      <c r="M3184" s="926"/>
      <c r="N3184" s="927"/>
      <c r="O3184" s="362"/>
    </row>
    <row r="3185" spans="1:15" ht="15.75" customHeight="1">
      <c r="A3185" s="395"/>
      <c r="B3185" s="399"/>
      <c r="C3185" s="920"/>
      <c r="D3185" s="922"/>
      <c r="E3185" s="922"/>
      <c r="F3185" s="922"/>
      <c r="G3185" s="922"/>
      <c r="H3185" s="922"/>
      <c r="I3185" s="922"/>
      <c r="J3185" s="922"/>
      <c r="K3185" s="922"/>
      <c r="L3185" s="922"/>
      <c r="M3185" s="922"/>
      <c r="N3185" s="924"/>
      <c r="O3185" s="362"/>
    </row>
    <row r="3186" spans="1:15" ht="15.75" customHeight="1">
      <c r="A3186" s="395"/>
      <c r="B3186" s="399"/>
      <c r="C3186" s="929"/>
      <c r="D3186" s="936"/>
      <c r="E3186" s="936"/>
      <c r="F3186" s="936"/>
      <c r="G3186" s="936"/>
      <c r="H3186" s="936"/>
      <c r="I3186" s="936"/>
      <c r="J3186" s="936"/>
      <c r="K3186" s="936"/>
      <c r="L3186" s="936"/>
      <c r="M3186" s="936"/>
      <c r="N3186" s="938"/>
      <c r="O3186" s="362"/>
    </row>
    <row r="3187" spans="1:15" ht="15.75" customHeight="1">
      <c r="A3187" s="395"/>
      <c r="B3187" s="399"/>
      <c r="C3187" s="1201" t="s">
        <v>1209</v>
      </c>
      <c r="D3187" s="1131"/>
      <c r="E3187" s="1131"/>
      <c r="F3187" s="1131"/>
      <c r="G3187" s="1131"/>
      <c r="H3187" s="1000"/>
      <c r="I3187" s="670" t="s">
        <v>1210</v>
      </c>
      <c r="J3187" s="674" t="s">
        <v>1211</v>
      </c>
      <c r="K3187" s="675" t="s">
        <v>2318</v>
      </c>
      <c r="L3187" s="1204" t="s">
        <v>1213</v>
      </c>
      <c r="M3187" s="1000"/>
      <c r="N3187" s="671" t="s">
        <v>1200</v>
      </c>
      <c r="O3187" s="362"/>
    </row>
    <row r="3188" spans="1:15" ht="15.75" customHeight="1">
      <c r="A3188" s="395">
        <f t="array" ref="A3188">IF(C3188&lt;&gt;0,INDEX(CodTransporte,MATCH(C3188,Transporte,0),),)</f>
        <v>0</v>
      </c>
      <c r="B3188" s="399"/>
      <c r="C3188" s="1128"/>
      <c r="D3188" s="940"/>
      <c r="E3188" s="940"/>
      <c r="F3188" s="940"/>
      <c r="G3188" s="940"/>
      <c r="H3188" s="940"/>
      <c r="I3188" s="440"/>
      <c r="J3188" s="690"/>
      <c r="K3188" s="442" t="str">
        <f>IF($A3188&gt;0,(VLOOKUP($A3188,TablaTransporte,5,FALSE)),"")</f>
        <v/>
      </c>
      <c r="L3188" s="1134" t="str">
        <f>IF($A3188&gt;0,(VLOOKUP($A3188,TablaTransporte,7,FALSE)),"")</f>
        <v/>
      </c>
      <c r="M3188" s="941"/>
      <c r="N3188" s="430" t="str">
        <f t="shared" ref="N3188:N3192" si="239">IF(I3188&gt;0,J3188*L3188*I3188,"")</f>
        <v/>
      </c>
      <c r="O3188" s="362"/>
    </row>
    <row r="3189" spans="1:15" ht="15.75" customHeight="1">
      <c r="A3189" s="395">
        <f t="array" ref="A3189">IF(C3189&lt;&gt;0,INDEX(CodTransporte,MATCH(C3189,Transporte,0),),)</f>
        <v>0</v>
      </c>
      <c r="B3189" s="399"/>
      <c r="C3189" s="1128"/>
      <c r="D3189" s="940"/>
      <c r="E3189" s="940"/>
      <c r="F3189" s="940"/>
      <c r="G3189" s="940"/>
      <c r="H3189" s="940"/>
      <c r="I3189" s="440"/>
      <c r="J3189" s="690"/>
      <c r="K3189" s="442" t="str">
        <f>IF($A3189&gt;0,(VLOOKUP($A3189,TablaTransporte,5,FALSE)),"")</f>
        <v/>
      </c>
      <c r="L3189" s="1134" t="str">
        <f>IF($A3189&gt;0,(VLOOKUP($A3189,TablaTransporte,7,FALSE)),"")</f>
        <v/>
      </c>
      <c r="M3189" s="941"/>
      <c r="N3189" s="430" t="str">
        <f t="shared" si="239"/>
        <v/>
      </c>
      <c r="O3189" s="362"/>
    </row>
    <row r="3190" spans="1:15" ht="15.75" customHeight="1">
      <c r="A3190" s="395">
        <f t="array" ref="A3190">IF(C3190&lt;&gt;0,INDEX(CodTransporte,MATCH(C3190,Transporte,0),),)</f>
        <v>0</v>
      </c>
      <c r="B3190" s="399"/>
      <c r="C3190" s="1128"/>
      <c r="D3190" s="940"/>
      <c r="E3190" s="940"/>
      <c r="F3190" s="940"/>
      <c r="G3190" s="940"/>
      <c r="H3190" s="940"/>
      <c r="I3190" s="440"/>
      <c r="J3190" s="441" t="str">
        <f>IF($A3190&gt;0,(VLOOKUP($A3190,TablaTransporte,6,FALSE)),"")</f>
        <v/>
      </c>
      <c r="K3190" s="442" t="str">
        <f>IF($A3190&gt;0,(VLOOKUP($A3190,TablaTransporte,5,FALSE)),"")</f>
        <v/>
      </c>
      <c r="L3190" s="1134" t="str">
        <f>IF($A3190&gt;0,(VLOOKUP($A3190,TablaTransporte,7,FALSE)),"")</f>
        <v/>
      </c>
      <c r="M3190" s="941"/>
      <c r="N3190" s="430" t="str">
        <f t="shared" si="239"/>
        <v/>
      </c>
      <c r="O3190" s="362"/>
    </row>
    <row r="3191" spans="1:15" ht="15.75" customHeight="1">
      <c r="A3191" s="395">
        <f t="array" ref="A3191">IF(C3191&lt;&gt;0,INDEX(CodTransporte,MATCH(C3191,Transporte,0),),)</f>
        <v>0</v>
      </c>
      <c r="B3191" s="399"/>
      <c r="C3191" s="1128"/>
      <c r="D3191" s="940"/>
      <c r="E3191" s="940"/>
      <c r="F3191" s="940"/>
      <c r="G3191" s="940"/>
      <c r="H3191" s="940"/>
      <c r="I3191" s="440"/>
      <c r="J3191" s="441" t="str">
        <f>IF($A3191&gt;0,(VLOOKUP($A3191,TablaTransporte,6,FALSE)),"")</f>
        <v/>
      </c>
      <c r="K3191" s="442" t="str">
        <f>IF($A3191&gt;0,(VLOOKUP($A3191,TablaTransporte,5,FALSE)),"")</f>
        <v/>
      </c>
      <c r="L3191" s="1134" t="str">
        <f>IF($A3191&gt;0,(VLOOKUP($A3191,TablaTransporte,7,FALSE)),"")</f>
        <v/>
      </c>
      <c r="M3191" s="941"/>
      <c r="N3191" s="430" t="str">
        <f t="shared" si="239"/>
        <v/>
      </c>
      <c r="O3191" s="362"/>
    </row>
    <row r="3192" spans="1:15" ht="15.75" customHeight="1">
      <c r="A3192" s="395">
        <f t="array" ref="A3192">IF(C3192&lt;&gt;0,INDEX(CodTransporte,MATCH(C3192,Transporte,0),),)</f>
        <v>0</v>
      </c>
      <c r="B3192" s="399"/>
      <c r="C3192" s="1128"/>
      <c r="D3192" s="940"/>
      <c r="E3192" s="940"/>
      <c r="F3192" s="940"/>
      <c r="G3192" s="940"/>
      <c r="H3192" s="940"/>
      <c r="I3192" s="440"/>
      <c r="J3192" s="441" t="str">
        <f>IF($A3192&gt;0,(VLOOKUP($A3192,TablaTransporte,6,FALSE)),"")</f>
        <v/>
      </c>
      <c r="K3192" s="442" t="str">
        <f>IF($A3192&gt;0,(VLOOKUP($A3192,TablaTransporte,5,FALSE)),"")</f>
        <v/>
      </c>
      <c r="L3192" s="1205" t="str">
        <f>IF($A3192&gt;0,(VLOOKUP($A3192,TablaTransporte,7,FALSE)),"")</f>
        <v/>
      </c>
      <c r="M3192" s="1145"/>
      <c r="N3192" s="430" t="str">
        <f t="shared" si="239"/>
        <v/>
      </c>
      <c r="O3192" s="362"/>
    </row>
    <row r="3193" spans="1:15" ht="15.75" customHeight="1">
      <c r="A3193" s="395"/>
      <c r="B3193" s="399"/>
      <c r="C3193" s="1127" t="s">
        <v>1202</v>
      </c>
      <c r="D3193" s="965"/>
      <c r="E3193" s="965"/>
      <c r="F3193" s="965"/>
      <c r="G3193" s="965"/>
      <c r="H3193" s="965"/>
      <c r="I3193" s="965"/>
      <c r="J3193" s="965"/>
      <c r="K3193" s="965"/>
      <c r="L3193" s="965"/>
      <c r="M3193" s="966"/>
      <c r="N3193" s="433">
        <f>+SUM(N3188:N3192)</f>
        <v>0</v>
      </c>
      <c r="O3193" s="362"/>
    </row>
    <row r="3194" spans="1:15" ht="15.75" customHeight="1">
      <c r="A3194" s="395"/>
      <c r="B3194" s="399"/>
      <c r="C3194" s="1129" t="s">
        <v>1214</v>
      </c>
      <c r="D3194" s="926"/>
      <c r="E3194" s="926"/>
      <c r="F3194" s="926"/>
      <c r="G3194" s="926"/>
      <c r="H3194" s="926"/>
      <c r="I3194" s="926"/>
      <c r="J3194" s="926"/>
      <c r="K3194" s="926"/>
      <c r="L3194" s="926"/>
      <c r="M3194" s="926"/>
      <c r="N3194" s="927"/>
      <c r="O3194" s="362"/>
    </row>
    <row r="3195" spans="1:15" ht="15.75" customHeight="1">
      <c r="A3195" s="395"/>
      <c r="B3195" s="399"/>
      <c r="C3195" s="920"/>
      <c r="D3195" s="922"/>
      <c r="E3195" s="922"/>
      <c r="F3195" s="922"/>
      <c r="G3195" s="922"/>
      <c r="H3195" s="922"/>
      <c r="I3195" s="922"/>
      <c r="J3195" s="922"/>
      <c r="K3195" s="922"/>
      <c r="L3195" s="922"/>
      <c r="M3195" s="922"/>
      <c r="N3195" s="924"/>
      <c r="O3195" s="362"/>
    </row>
    <row r="3196" spans="1:15" ht="15.75" customHeight="1">
      <c r="A3196" s="395"/>
      <c r="B3196" s="399"/>
      <c r="C3196" s="929"/>
      <c r="D3196" s="936"/>
      <c r="E3196" s="936"/>
      <c r="F3196" s="936"/>
      <c r="G3196" s="936"/>
      <c r="H3196" s="936"/>
      <c r="I3196" s="936"/>
      <c r="J3196" s="936"/>
      <c r="K3196" s="936"/>
      <c r="L3196" s="936"/>
      <c r="M3196" s="936"/>
      <c r="N3196" s="938"/>
      <c r="O3196" s="362"/>
    </row>
    <row r="3197" spans="1:15" ht="15.75" customHeight="1">
      <c r="A3197" s="395"/>
      <c r="B3197" s="399"/>
      <c r="C3197" s="1201" t="s">
        <v>1215</v>
      </c>
      <c r="D3197" s="1131"/>
      <c r="E3197" s="1131"/>
      <c r="F3197" s="1131"/>
      <c r="G3197" s="1131"/>
      <c r="H3197" s="1000"/>
      <c r="I3197" s="670" t="s">
        <v>1216</v>
      </c>
      <c r="J3197" s="676" t="s">
        <v>1217</v>
      </c>
      <c r="K3197" s="677" t="s">
        <v>1218</v>
      </c>
      <c r="L3197" s="1206" t="s">
        <v>1199</v>
      </c>
      <c r="M3197" s="1000"/>
      <c r="N3197" s="678" t="s">
        <v>1200</v>
      </c>
      <c r="O3197" s="362"/>
    </row>
    <row r="3198" spans="1:15" ht="15.75" customHeight="1">
      <c r="A3198" s="395" t="str">
        <f t="array" ref="A3198">IF(C3198&lt;&gt;0,INDEX(CodMO,MATCH(C3198,MO,0),),)</f>
        <v>M.O-01</v>
      </c>
      <c r="B3198" s="399"/>
      <c r="C3198" s="1128" t="s">
        <v>130</v>
      </c>
      <c r="D3198" s="940"/>
      <c r="E3198" s="940"/>
      <c r="F3198" s="940"/>
      <c r="G3198" s="940"/>
      <c r="H3198" s="940"/>
      <c r="I3198" s="447">
        <f>IF($A3198&gt;0,(VLOOKUP($A3198,TablaMO,8,FALSE)),"")</f>
        <v>72503.016666666677</v>
      </c>
      <c r="J3198" s="448">
        <f>IF($A3198&gt;0,(VLOOKUP($A3198,TablaMO,10,FALSE)),"")</f>
        <v>0.67071666666666663</v>
      </c>
      <c r="K3198" s="447">
        <f>IF($A3198&gt;0,(VLOOKUP($A3198,TablaMO,11,FALSE)),"")</f>
        <v>121132</v>
      </c>
      <c r="L3198" s="1146">
        <v>0.74374360631258218</v>
      </c>
      <c r="M3198" s="941"/>
      <c r="N3198" s="430">
        <f t="shared" ref="N3198:N3202" si="240">IF(L3198&gt;0,K3198/L3198,"")</f>
        <v>162867.9547250997</v>
      </c>
      <c r="O3198" s="362"/>
    </row>
    <row r="3199" spans="1:15" ht="15.75" customHeight="1">
      <c r="A3199" s="395" t="str">
        <f t="array" ref="A3199">IF(C3199&lt;&gt;0,INDEX(CodMO,MATCH(C3199,MO,0),),)</f>
        <v>M.O-02</v>
      </c>
      <c r="B3199" s="399"/>
      <c r="C3199" s="1128" t="s">
        <v>133</v>
      </c>
      <c r="D3199" s="940"/>
      <c r="E3199" s="940"/>
      <c r="F3199" s="940"/>
      <c r="G3199" s="940"/>
      <c r="H3199" s="940"/>
      <c r="I3199" s="447">
        <f>IF($A3199&gt;0,(VLOOKUP($A3199,TablaMO,8,FALSE)),"")</f>
        <v>72503.016666666677</v>
      </c>
      <c r="J3199" s="448">
        <f>IF($A3199&gt;0,(VLOOKUP($A3199,TablaMO,10,FALSE)),"")</f>
        <v>0.67071666666666663</v>
      </c>
      <c r="K3199" s="447">
        <f>IF($A3199&gt;0,(VLOOKUP($A3199,TablaMO,11,FALSE)),"")</f>
        <v>121132</v>
      </c>
      <c r="L3199" s="1146">
        <f>L3198</f>
        <v>0.74374360631258218</v>
      </c>
      <c r="M3199" s="941"/>
      <c r="N3199" s="430">
        <f t="shared" si="240"/>
        <v>162867.9547250997</v>
      </c>
      <c r="O3199" s="362"/>
    </row>
    <row r="3200" spans="1:15" ht="15.75" customHeight="1">
      <c r="A3200" s="395" t="str">
        <f t="array" ref="A3200">IF(C3200&lt;&gt;0,INDEX(CodMO,MATCH(C3200,MO,0),),)</f>
        <v>M.O-03</v>
      </c>
      <c r="B3200" s="399"/>
      <c r="C3200" s="1128" t="s">
        <v>135</v>
      </c>
      <c r="D3200" s="940"/>
      <c r="E3200" s="940"/>
      <c r="F3200" s="940"/>
      <c r="G3200" s="940"/>
      <c r="H3200" s="940"/>
      <c r="I3200" s="447">
        <f>IF($A3200&gt;0,(VLOOKUP($A3200,TablaMO,8,FALSE)),"")</f>
        <v>72503.016666666677</v>
      </c>
      <c r="J3200" s="448">
        <f>IF($A3200&gt;0,(VLOOKUP($A3200,TablaMO,10,FALSE)),"")</f>
        <v>0.67071666666666663</v>
      </c>
      <c r="K3200" s="447">
        <f>IF($A3200&gt;0,(VLOOKUP($A3200,TablaMO,11,FALSE)),"")</f>
        <v>121132</v>
      </c>
      <c r="L3200" s="1146">
        <f>L3198</f>
        <v>0.74374360631258218</v>
      </c>
      <c r="M3200" s="941"/>
      <c r="N3200" s="430">
        <f t="shared" si="240"/>
        <v>162867.9547250997</v>
      </c>
      <c r="O3200" s="362"/>
    </row>
    <row r="3201" spans="1:18" ht="15.75" customHeight="1">
      <c r="A3201" s="395" t="str">
        <f t="array" ref="A3201">IF(C3201&lt;&gt;0,INDEX(CodMO,MATCH(C3201,MO,0),),)</f>
        <v>M.O-05</v>
      </c>
      <c r="B3201" s="399"/>
      <c r="C3201" s="1128" t="s">
        <v>139</v>
      </c>
      <c r="D3201" s="940"/>
      <c r="E3201" s="940"/>
      <c r="F3201" s="940"/>
      <c r="G3201" s="940"/>
      <c r="H3201" s="940"/>
      <c r="I3201" s="447">
        <f>IF($A3201&gt;0,(VLOOKUP($A3201,TablaMO,8,FALSE)),"")</f>
        <v>125030.16666666667</v>
      </c>
      <c r="J3201" s="448">
        <f>IF($A3201&gt;0,(VLOOKUP($A3201,TablaMO,10,FALSE)),"")</f>
        <v>0.67071666666666663</v>
      </c>
      <c r="K3201" s="447">
        <f>IF($A3201&gt;0,(VLOOKUP($A3201,TablaMO,11,FALSE)),"")</f>
        <v>208890</v>
      </c>
      <c r="L3201" s="1146">
        <f>L3198</f>
        <v>0.74374360631258218</v>
      </c>
      <c r="M3201" s="941"/>
      <c r="N3201" s="430">
        <f t="shared" si="240"/>
        <v>280862.91865507112</v>
      </c>
      <c r="O3201" s="362"/>
    </row>
    <row r="3202" spans="1:18" ht="15.75" customHeight="1">
      <c r="A3202" s="395">
        <f t="array" ref="A3202">IF(C3202&lt;&gt;0,INDEX(CodMO,MATCH(C3202,MO,0),),)</f>
        <v>0</v>
      </c>
      <c r="B3202" s="399"/>
      <c r="C3202" s="1128"/>
      <c r="D3202" s="940"/>
      <c r="E3202" s="940"/>
      <c r="F3202" s="940"/>
      <c r="G3202" s="940"/>
      <c r="H3202" s="940"/>
      <c r="I3202" s="447" t="str">
        <f>IF($A3202&gt;0,(VLOOKUP($A3202,TablaMO,8,FALSE)),"")</f>
        <v/>
      </c>
      <c r="J3202" s="448" t="str">
        <f>IF($A3202&gt;0,(VLOOKUP($A3202,TablaMO,10,FALSE)),"")</f>
        <v/>
      </c>
      <c r="K3202" s="447" t="str">
        <f>IF($A3202&gt;0,(VLOOKUP($A3202,TablaMO,11,FALSE)),"")</f>
        <v/>
      </c>
      <c r="L3202" s="1146"/>
      <c r="M3202" s="941"/>
      <c r="N3202" s="430" t="str">
        <f t="shared" si="240"/>
        <v/>
      </c>
      <c r="O3202" s="362"/>
    </row>
    <row r="3203" spans="1:18" ht="15.75" customHeight="1">
      <c r="A3203" s="395"/>
      <c r="B3203" s="399"/>
      <c r="C3203" s="1127" t="s">
        <v>1202</v>
      </c>
      <c r="D3203" s="965"/>
      <c r="E3203" s="965"/>
      <c r="F3203" s="965"/>
      <c r="G3203" s="965"/>
      <c r="H3203" s="965"/>
      <c r="I3203" s="965"/>
      <c r="J3203" s="965"/>
      <c r="K3203" s="965"/>
      <c r="L3203" s="965"/>
      <c r="M3203" s="966"/>
      <c r="N3203" s="433">
        <f>+SUM(N3198:N3202)</f>
        <v>769466.78283037012</v>
      </c>
      <c r="O3203" s="362"/>
    </row>
    <row r="3204" spans="1:18" ht="15.75" customHeight="1">
      <c r="B3204" s="679"/>
      <c r="O3204" s="362"/>
    </row>
    <row r="3205" spans="1:18" ht="15.75" customHeight="1">
      <c r="B3205" s="679"/>
      <c r="C3205" s="1198" t="s">
        <v>1219</v>
      </c>
      <c r="D3205" s="965"/>
      <c r="E3205" s="965"/>
      <c r="F3205" s="965"/>
      <c r="G3205" s="965"/>
      <c r="H3205" s="965"/>
      <c r="I3205" s="965"/>
      <c r="J3205" s="965"/>
      <c r="K3205" s="965"/>
      <c r="L3205" s="965"/>
      <c r="M3205" s="966"/>
      <c r="N3205" s="680">
        <f>ROUND(SUM(N3203,N3193,N3183,N3170),0)</f>
        <v>1497635</v>
      </c>
      <c r="O3205" s="362"/>
      <c r="Q3205" s="681">
        <f>VLOOKUP(C3159,PROPUESTASASERCO,8,FALSE)</f>
        <v>1497635</v>
      </c>
      <c r="R3205" s="682">
        <f>Q3205-N3205</f>
        <v>0</v>
      </c>
    </row>
    <row r="3206" spans="1:18" ht="15.75" customHeight="1">
      <c r="B3206" s="679"/>
      <c r="C3206" s="1129" t="s">
        <v>1220</v>
      </c>
      <c r="D3206" s="926"/>
      <c r="E3206" s="926"/>
      <c r="F3206" s="926"/>
      <c r="G3206" s="926"/>
      <c r="H3206" s="926"/>
      <c r="I3206" s="926"/>
      <c r="J3206" s="926"/>
      <c r="K3206" s="926"/>
      <c r="L3206" s="926"/>
      <c r="M3206" s="926"/>
      <c r="N3206" s="927"/>
      <c r="O3206" s="362"/>
    </row>
    <row r="3207" spans="1:18" ht="15.75" customHeight="1">
      <c r="B3207" s="679"/>
      <c r="C3207" s="920"/>
      <c r="D3207" s="922"/>
      <c r="E3207" s="922"/>
      <c r="F3207" s="922"/>
      <c r="G3207" s="922"/>
      <c r="H3207" s="922"/>
      <c r="I3207" s="922"/>
      <c r="J3207" s="922"/>
      <c r="K3207" s="922"/>
      <c r="L3207" s="922"/>
      <c r="M3207" s="922"/>
      <c r="N3207" s="924"/>
      <c r="O3207" s="362"/>
    </row>
    <row r="3208" spans="1:18" ht="15.75" customHeight="1">
      <c r="B3208" s="679"/>
      <c r="C3208" s="929"/>
      <c r="D3208" s="936"/>
      <c r="E3208" s="936"/>
      <c r="F3208" s="936"/>
      <c r="G3208" s="936"/>
      <c r="H3208" s="936"/>
      <c r="I3208" s="936"/>
      <c r="J3208" s="936"/>
      <c r="K3208" s="936"/>
      <c r="L3208" s="936"/>
      <c r="M3208" s="936"/>
      <c r="N3208" s="938"/>
      <c r="O3208" s="362"/>
    </row>
    <row r="3209" spans="1:18" ht="15.75" customHeight="1">
      <c r="B3209" s="679"/>
      <c r="C3209" s="1201" t="s">
        <v>1221</v>
      </c>
      <c r="D3209" s="1131"/>
      <c r="E3209" s="1131"/>
      <c r="F3209" s="1131"/>
      <c r="G3209" s="1131"/>
      <c r="H3209" s="1132"/>
      <c r="I3209" s="674"/>
      <c r="J3209" s="674"/>
      <c r="K3209" s="674"/>
      <c r="L3209" s="1206" t="s">
        <v>1222</v>
      </c>
      <c r="M3209" s="1000"/>
      <c r="N3209" s="678" t="s">
        <v>1223</v>
      </c>
      <c r="O3209" s="362"/>
    </row>
    <row r="3210" spans="1:18" ht="15.75" customHeight="1">
      <c r="B3210" s="679"/>
      <c r="C3210" s="1128" t="s">
        <v>19</v>
      </c>
      <c r="D3210" s="940"/>
      <c r="E3210" s="940"/>
      <c r="F3210" s="940"/>
      <c r="G3210" s="940"/>
      <c r="H3210" s="940"/>
      <c r="I3210" s="452"/>
      <c r="J3210" s="452"/>
      <c r="K3210" s="452"/>
      <c r="L3210" s="1148">
        <v>0</v>
      </c>
      <c r="M3210" s="941"/>
      <c r="N3210" s="430">
        <f>+L3210*N3205</f>
        <v>0</v>
      </c>
      <c r="O3210" s="362"/>
    </row>
    <row r="3211" spans="1:18" ht="15.75" customHeight="1">
      <c r="B3211" s="679"/>
      <c r="C3211" s="454" t="s">
        <v>20</v>
      </c>
      <c r="D3211" s="455"/>
      <c r="E3211" s="455"/>
      <c r="F3211" s="455"/>
      <c r="G3211" s="455"/>
      <c r="H3211" s="455"/>
      <c r="I3211" s="452"/>
      <c r="J3211" s="452"/>
      <c r="K3211" s="452"/>
      <c r="L3211" s="1148">
        <v>0</v>
      </c>
      <c r="M3211" s="941"/>
      <c r="N3211" s="430">
        <f>+L3211*N3205</f>
        <v>0</v>
      </c>
      <c r="O3211" s="362"/>
    </row>
    <row r="3212" spans="1:18" ht="15.75" customHeight="1">
      <c r="B3212" s="679"/>
      <c r="C3212" s="456" t="s">
        <v>21</v>
      </c>
      <c r="D3212" s="457"/>
      <c r="E3212" s="457"/>
      <c r="F3212" s="457"/>
      <c r="G3212" s="457"/>
      <c r="H3212" s="457"/>
      <c r="I3212" s="458"/>
      <c r="J3212" s="458"/>
      <c r="K3212" s="458"/>
      <c r="L3212" s="1148">
        <v>0</v>
      </c>
      <c r="M3212" s="941"/>
      <c r="N3212" s="430">
        <f>+L3212*N3205</f>
        <v>0</v>
      </c>
      <c r="O3212" s="362"/>
    </row>
    <row r="3213" spans="1:18" ht="15.75" customHeight="1">
      <c r="B3213" s="679"/>
      <c r="C3213" s="1127" t="s">
        <v>1202</v>
      </c>
      <c r="D3213" s="965"/>
      <c r="E3213" s="965"/>
      <c r="F3213" s="965"/>
      <c r="G3213" s="965"/>
      <c r="H3213" s="965"/>
      <c r="I3213" s="965"/>
      <c r="J3213" s="965"/>
      <c r="K3213" s="965"/>
      <c r="L3213" s="965"/>
      <c r="M3213" s="966"/>
      <c r="N3213" s="433">
        <f>+SUM(N3210:N3212)</f>
        <v>0</v>
      </c>
      <c r="O3213" s="362"/>
    </row>
    <row r="3214" spans="1:18" ht="15.75" customHeight="1">
      <c r="B3214" s="679"/>
      <c r="C3214" s="418"/>
      <c r="D3214" s="39"/>
      <c r="E3214" s="39"/>
      <c r="F3214" s="39"/>
      <c r="G3214" s="39"/>
      <c r="H3214" s="39"/>
      <c r="I3214" s="39"/>
      <c r="J3214" s="39"/>
      <c r="K3214" s="39"/>
      <c r="L3214" s="39"/>
      <c r="M3214" s="39"/>
      <c r="N3214" s="40"/>
      <c r="O3214" s="362"/>
    </row>
    <row r="3215" spans="1:18" ht="15.75" customHeight="1">
      <c r="B3215" s="679"/>
      <c r="C3215" s="1198" t="s">
        <v>1224</v>
      </c>
      <c r="D3215" s="965"/>
      <c r="E3215" s="965"/>
      <c r="F3215" s="965"/>
      <c r="G3215" s="965"/>
      <c r="H3215" s="965"/>
      <c r="I3215" s="965"/>
      <c r="J3215" s="965"/>
      <c r="K3215" s="965"/>
      <c r="L3215" s="965"/>
      <c r="M3215" s="966"/>
      <c r="N3215" s="683">
        <f>+ROUND(SUM(N3213,N3205),0)</f>
        <v>1497635</v>
      </c>
      <c r="O3215" s="362"/>
    </row>
    <row r="3216" spans="1:18" ht="15.75" customHeight="1">
      <c r="B3216" s="679"/>
      <c r="C3216" s="418"/>
      <c r="D3216" s="39" t="s">
        <v>1225</v>
      </c>
      <c r="E3216" s="39"/>
      <c r="F3216" s="39"/>
      <c r="G3216" s="184"/>
      <c r="H3216" s="184"/>
      <c r="I3216" s="184"/>
      <c r="J3216" s="39" t="s">
        <v>1225</v>
      </c>
      <c r="K3216" s="39"/>
      <c r="L3216" s="39"/>
      <c r="M3216" s="39"/>
      <c r="N3216" s="40"/>
      <c r="O3216" s="362"/>
    </row>
    <row r="3217" spans="1:15" ht="15.75" customHeight="1">
      <c r="B3217" s="679"/>
      <c r="C3217" s="418"/>
      <c r="D3217" s="39" t="s">
        <v>1226</v>
      </c>
      <c r="E3217" s="39"/>
      <c r="F3217" s="39"/>
      <c r="G3217" s="184"/>
      <c r="H3217" s="184"/>
      <c r="I3217" s="184"/>
      <c r="J3217" s="39" t="s">
        <v>1227</v>
      </c>
      <c r="K3217" s="39"/>
      <c r="L3217" s="39"/>
      <c r="M3217" s="39"/>
      <c r="N3217" s="40"/>
      <c r="O3217" s="362"/>
    </row>
    <row r="3218" spans="1:15" ht="15.75" customHeight="1">
      <c r="B3218" s="679"/>
      <c r="C3218" s="404"/>
      <c r="D3218" s="39" t="s">
        <v>1228</v>
      </c>
      <c r="E3218" s="42"/>
      <c r="F3218" s="42"/>
      <c r="G3218" s="184"/>
      <c r="H3218" s="184"/>
      <c r="I3218" s="184"/>
      <c r="J3218" s="39" t="s">
        <v>1228</v>
      </c>
      <c r="K3218" s="42"/>
      <c r="L3218" s="42"/>
      <c r="M3218" s="42"/>
      <c r="N3218" s="43"/>
      <c r="O3218" s="362"/>
    </row>
    <row r="3219" spans="1:15" ht="15.75" customHeight="1">
      <c r="B3219" s="679"/>
      <c r="C3219" s="418"/>
      <c r="D3219" s="39"/>
      <c r="E3219" s="39"/>
      <c r="F3219" s="39"/>
      <c r="G3219" s="39" t="s">
        <v>1229</v>
      </c>
      <c r="H3219" s="39"/>
      <c r="I3219" s="39"/>
      <c r="J3219" s="39"/>
      <c r="K3219" s="39"/>
      <c r="L3219" s="39"/>
      <c r="M3219" s="39"/>
      <c r="N3219" s="40"/>
      <c r="O3219" s="362"/>
    </row>
    <row r="3220" spans="1:15" ht="15.75" customHeight="1">
      <c r="B3220" s="679"/>
      <c r="C3220" s="466"/>
      <c r="D3220" s="467"/>
      <c r="E3220" s="467"/>
      <c r="F3220" s="39"/>
      <c r="G3220" s="39"/>
      <c r="H3220" s="39"/>
      <c r="I3220" s="39"/>
      <c r="J3220" s="1149"/>
      <c r="K3220" s="922"/>
      <c r="L3220" s="922"/>
      <c r="M3220" s="922"/>
      <c r="N3220" s="924"/>
      <c r="O3220" s="362"/>
    </row>
    <row r="3221" spans="1:15" ht="15.75" customHeight="1">
      <c r="B3221" s="679"/>
      <c r="C3221" s="1150"/>
      <c r="D3221" s="936"/>
      <c r="E3221" s="936"/>
      <c r="F3221" s="416"/>
      <c r="G3221" s="416"/>
      <c r="H3221" s="416"/>
      <c r="I3221" s="416"/>
      <c r="J3221" s="936"/>
      <c r="K3221" s="936"/>
      <c r="L3221" s="936"/>
      <c r="M3221" s="936"/>
      <c r="N3221" s="938"/>
      <c r="O3221" s="362"/>
    </row>
    <row r="3222" spans="1:15" ht="15.75" customHeight="1">
      <c r="B3222" s="684"/>
      <c r="C3222" s="685"/>
      <c r="D3222" s="685"/>
      <c r="E3222" s="685"/>
      <c r="F3222" s="685"/>
      <c r="G3222" s="685"/>
      <c r="H3222" s="685"/>
      <c r="I3222" s="685"/>
      <c r="J3222" s="685"/>
      <c r="K3222" s="685"/>
      <c r="L3222" s="685"/>
      <c r="M3222" s="685"/>
      <c r="N3222" s="685"/>
      <c r="O3222" s="686"/>
    </row>
    <row r="3223" spans="1:15" ht="15.75" customHeight="1"/>
    <row r="3224" spans="1:15" ht="15.75" customHeight="1"/>
    <row r="3225" spans="1:15" ht="15.75" customHeight="1"/>
    <row r="3226" spans="1:15" ht="15.75" customHeight="1">
      <c r="A3226" s="395" t="s">
        <v>941</v>
      </c>
      <c r="B3226" s="184"/>
      <c r="C3226" s="184"/>
      <c r="D3226" s="184"/>
      <c r="E3226" s="184"/>
      <c r="F3226" s="184"/>
      <c r="G3226" s="184"/>
      <c r="H3226" s="184"/>
      <c r="I3226" s="184"/>
      <c r="J3226" s="184"/>
      <c r="K3226" s="184"/>
      <c r="L3226" s="184"/>
      <c r="M3226" s="184"/>
      <c r="N3226" s="184"/>
    </row>
    <row r="3227" spans="1:15" ht="15.75" customHeight="1">
      <c r="A3227" s="395"/>
      <c r="B3227" s="396"/>
      <c r="C3227" s="397"/>
      <c r="D3227" s="397"/>
      <c r="E3227" s="397"/>
      <c r="F3227" s="397"/>
      <c r="G3227" s="397"/>
      <c r="H3227" s="397"/>
      <c r="I3227" s="397"/>
      <c r="J3227" s="397"/>
      <c r="K3227" s="397"/>
      <c r="L3227" s="397"/>
      <c r="M3227" s="397"/>
      <c r="N3227" s="397"/>
      <c r="O3227" s="667"/>
    </row>
    <row r="3228" spans="1:15" ht="15.75" customHeight="1">
      <c r="A3228" s="395"/>
      <c r="B3228" s="399"/>
      <c r="C3228" s="1124"/>
      <c r="D3228" s="927"/>
      <c r="E3228" s="1207" t="str">
        <f>Datos!$C$9</f>
        <v>CONSEJO SUPERIOR  DE  JUDICATURA– DIRECCIÓN  EJECUTIVA  SECCIONAL  DE ADMINISTRACIÓN JUDICIAL DE BUCARAMANGA</v>
      </c>
      <c r="F3228" s="926"/>
      <c r="G3228" s="926"/>
      <c r="H3228" s="926"/>
      <c r="I3228" s="926"/>
      <c r="J3228" s="926"/>
      <c r="K3228" s="927"/>
      <c r="L3228" s="925" t="s">
        <v>1</v>
      </c>
      <c r="M3228" s="931"/>
      <c r="N3228" s="933">
        <v>1</v>
      </c>
      <c r="O3228" s="362"/>
    </row>
    <row r="3229" spans="1:15" ht="15.75" customHeight="1">
      <c r="A3229" s="395"/>
      <c r="B3229" s="399"/>
      <c r="C3229" s="920"/>
      <c r="D3229" s="924"/>
      <c r="E3229" s="920"/>
      <c r="F3229" s="922"/>
      <c r="G3229" s="922"/>
      <c r="H3229" s="922"/>
      <c r="I3229" s="922"/>
      <c r="J3229" s="922"/>
      <c r="K3229" s="924"/>
      <c r="L3229" s="920"/>
      <c r="M3229" s="932"/>
      <c r="N3229" s="934"/>
      <c r="O3229" s="362"/>
    </row>
    <row r="3230" spans="1:15" ht="15.75" customHeight="1">
      <c r="A3230" s="395"/>
      <c r="B3230" s="399"/>
      <c r="C3230" s="920"/>
      <c r="D3230" s="924"/>
      <c r="E3230" s="919" t="str">
        <f>Datos!$C$13</f>
        <v xml:space="preserve">BGA - 030 - 2026 </v>
      </c>
      <c r="F3230" s="922"/>
      <c r="G3230" s="922"/>
      <c r="H3230" s="922"/>
      <c r="I3230" s="922"/>
      <c r="J3230" s="922"/>
      <c r="K3230" s="922"/>
      <c r="L3230" s="925" t="s">
        <v>29</v>
      </c>
      <c r="M3230" s="926"/>
      <c r="N3230" s="927"/>
      <c r="O3230" s="362"/>
    </row>
    <row r="3231" spans="1:15" ht="15.75" customHeight="1">
      <c r="A3231" s="395"/>
      <c r="B3231" s="399"/>
      <c r="C3231" s="920"/>
      <c r="D3231" s="924"/>
      <c r="E3231"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231" s="922"/>
      <c r="G3231" s="922"/>
      <c r="H3231" s="922"/>
      <c r="I3231" s="922"/>
      <c r="J3231" s="922"/>
      <c r="K3231" s="924"/>
      <c r="L3231" s="919">
        <v>1</v>
      </c>
      <c r="M3231" s="921" t="s">
        <v>30</v>
      </c>
      <c r="N3231" s="923">
        <v>1</v>
      </c>
      <c r="O3231" s="362"/>
    </row>
    <row r="3232" spans="1:15" ht="15.75" customHeight="1">
      <c r="A3232" s="395"/>
      <c r="B3232" s="399"/>
      <c r="C3232" s="920"/>
      <c r="D3232" s="924"/>
      <c r="E3232" s="920"/>
      <c r="F3232" s="922"/>
      <c r="G3232" s="922"/>
      <c r="H3232" s="922"/>
      <c r="I3232" s="922"/>
      <c r="J3232" s="922"/>
      <c r="K3232" s="924"/>
      <c r="L3232" s="920"/>
      <c r="M3232" s="922"/>
      <c r="N3232" s="924"/>
      <c r="O3232" s="362"/>
    </row>
    <row r="3233" spans="1:15" ht="57.75" customHeight="1">
      <c r="A3233" s="395"/>
      <c r="B3233" s="399"/>
      <c r="C3233" s="920"/>
      <c r="D3233" s="924"/>
      <c r="E3233" s="920"/>
      <c r="F3233" s="922"/>
      <c r="G3233" s="922"/>
      <c r="H3233" s="922"/>
      <c r="I3233" s="922"/>
      <c r="J3233" s="922"/>
      <c r="K3233" s="924"/>
      <c r="L3233" s="925" t="s">
        <v>2</v>
      </c>
      <c r="M3233" s="926"/>
      <c r="N3233" s="927"/>
      <c r="O3233" s="362"/>
    </row>
    <row r="3234" spans="1:15" ht="15.75" customHeight="1">
      <c r="A3234" s="395"/>
      <c r="B3234" s="399"/>
      <c r="C3234" s="920"/>
      <c r="D3234" s="924"/>
      <c r="E3234" s="407"/>
      <c r="F3234" s="216"/>
      <c r="G3234" s="216"/>
      <c r="H3234" s="216"/>
      <c r="I3234" s="216"/>
      <c r="J3234" s="216"/>
      <c r="K3234" s="216"/>
      <c r="L3234" s="408" t="s">
        <v>3</v>
      </c>
      <c r="M3234" s="409" t="s">
        <v>4</v>
      </c>
      <c r="N3234" s="410" t="s">
        <v>5</v>
      </c>
      <c r="O3234" s="362"/>
    </row>
    <row r="3235" spans="1:15" ht="15.75" customHeight="1">
      <c r="A3235" s="395"/>
      <c r="B3235" s="399"/>
      <c r="C3235" s="920"/>
      <c r="D3235" s="924"/>
      <c r="E3235" s="1125" t="s">
        <v>1186</v>
      </c>
      <c r="F3235" s="945"/>
      <c r="G3235" s="945"/>
      <c r="H3235" s="945"/>
      <c r="I3235" s="945"/>
      <c r="J3235" s="945"/>
      <c r="K3235" s="945"/>
      <c r="L3235" s="928">
        <f>Datos!$C$7</f>
        <v>19</v>
      </c>
      <c r="M3235" s="935">
        <f>Datos!$D$7</f>
        <v>6</v>
      </c>
      <c r="N3235" s="937">
        <f>Datos!$E$7</f>
        <v>2026</v>
      </c>
      <c r="O3235" s="362"/>
    </row>
    <row r="3236" spans="1:15" ht="15.75" customHeight="1">
      <c r="A3236" s="395"/>
      <c r="B3236" s="399"/>
      <c r="C3236" s="929"/>
      <c r="D3236" s="938"/>
      <c r="E3236" s="929"/>
      <c r="F3236" s="936"/>
      <c r="G3236" s="936"/>
      <c r="H3236" s="936"/>
      <c r="I3236" s="936"/>
      <c r="J3236" s="936"/>
      <c r="K3236" s="936"/>
      <c r="L3236" s="929"/>
      <c r="M3236" s="936"/>
      <c r="N3236" s="938"/>
      <c r="O3236" s="362"/>
    </row>
    <row r="3237" spans="1:15" ht="15.75" customHeight="1">
      <c r="A3237" s="395"/>
      <c r="B3237" s="399"/>
      <c r="C3237" s="404"/>
      <c r="D3237" s="38"/>
      <c r="E3237" s="38"/>
      <c r="F3237" s="38"/>
      <c r="G3237" s="38"/>
      <c r="H3237" s="38"/>
      <c r="I3237" s="38"/>
      <c r="J3237" s="38"/>
      <c r="K3237" s="38"/>
      <c r="L3237" s="39"/>
      <c r="M3237" s="39"/>
      <c r="N3237" s="40"/>
      <c r="O3237" s="362"/>
    </row>
    <row r="3238" spans="1:15" ht="15.75" customHeight="1">
      <c r="A3238" s="395"/>
      <c r="B3238" s="399"/>
      <c r="C3238" s="412" t="s">
        <v>1187</v>
      </c>
      <c r="D3238" s="1199" t="str">
        <f>VLOOKUP(C3243,ListaAct,2,0)</f>
        <v>OBRA CIVIL</v>
      </c>
      <c r="E3238" s="922"/>
      <c r="F3238" s="922"/>
      <c r="G3238" s="922"/>
      <c r="H3238" s="922"/>
      <c r="I3238" s="922"/>
      <c r="J3238" s="922"/>
      <c r="K3238" s="922"/>
      <c r="L3238" s="922"/>
      <c r="M3238" s="1"/>
      <c r="N3238" s="413"/>
      <c r="O3238" s="362"/>
    </row>
    <row r="3239" spans="1:15" ht="15.75" customHeight="1">
      <c r="A3239" s="395"/>
      <c r="B3239" s="399"/>
      <c r="C3239" s="412" t="s">
        <v>1189</v>
      </c>
      <c r="D3239" s="1199" t="str">
        <f>VLOOKUP(C3243,ListaAct,3,0)</f>
        <v>OTRAS ACTIVIDADES Y/O SERVICIOS REQUERIDOS (SIN AIU)</v>
      </c>
      <c r="E3239" s="922"/>
      <c r="F3239" s="922"/>
      <c r="G3239" s="922"/>
      <c r="H3239" s="922"/>
      <c r="I3239" s="922"/>
      <c r="J3239" s="922"/>
      <c r="K3239" s="922"/>
      <c r="L3239" s="922"/>
      <c r="M3239" s="1"/>
      <c r="N3239" s="413"/>
      <c r="O3239" s="362"/>
    </row>
    <row r="3240" spans="1:15" ht="15.75" customHeight="1">
      <c r="A3240" s="395"/>
      <c r="B3240" s="399"/>
      <c r="C3240" s="925" t="s">
        <v>1191</v>
      </c>
      <c r="D3240" s="926"/>
      <c r="E3240" s="926"/>
      <c r="F3240" s="926"/>
      <c r="G3240" s="926"/>
      <c r="H3240" s="926"/>
      <c r="I3240" s="926"/>
      <c r="J3240" s="926"/>
      <c r="K3240" s="926"/>
      <c r="L3240" s="926"/>
      <c r="M3240" s="926"/>
      <c r="N3240" s="927"/>
      <c r="O3240" s="362"/>
    </row>
    <row r="3241" spans="1:15" ht="15.75" customHeight="1">
      <c r="A3241" s="395"/>
      <c r="B3241" s="399"/>
      <c r="C3241" s="418"/>
      <c r="D3241" s="39"/>
      <c r="E3241" s="39"/>
      <c r="F3241" s="39"/>
      <c r="G3241" s="39"/>
      <c r="H3241" s="39"/>
      <c r="I3241" s="39"/>
      <c r="J3241" s="39"/>
      <c r="K3241" s="39"/>
      <c r="L3241" s="39"/>
      <c r="M3241" s="39"/>
      <c r="N3241" s="40"/>
      <c r="O3241" s="362"/>
    </row>
    <row r="3242" spans="1:15" ht="15.75" customHeight="1">
      <c r="A3242" s="395"/>
      <c r="B3242" s="399"/>
      <c r="C3242" s="668" t="s">
        <v>965</v>
      </c>
      <c r="D3242" s="1200" t="s">
        <v>17</v>
      </c>
      <c r="E3242" s="1131"/>
      <c r="F3242" s="1131"/>
      <c r="G3242" s="1131"/>
      <c r="H3242" s="1131"/>
      <c r="I3242" s="1131"/>
      <c r="J3242" s="1131"/>
      <c r="K3242" s="1137"/>
      <c r="L3242" s="1201" t="s">
        <v>1192</v>
      </c>
      <c r="M3242" s="1137"/>
      <c r="N3242" s="668" t="s">
        <v>950</v>
      </c>
      <c r="O3242" s="362"/>
    </row>
    <row r="3243" spans="1:15" ht="15.75" customHeight="1">
      <c r="A3243" s="395"/>
      <c r="B3243" s="421"/>
      <c r="C3243" s="669" t="s">
        <v>1172</v>
      </c>
      <c r="D3243" s="1202" t="str">
        <f>IF($C3243&gt;0,(VLOOKUP($C3243,ListaAct,4,FALSE)),"")</f>
        <v xml:space="preserve"> Tramite y obtención de licencia de construcción ante la alcaldia de confines. </v>
      </c>
      <c r="E3243" s="979"/>
      <c r="F3243" s="979"/>
      <c r="G3243" s="979"/>
      <c r="H3243" s="979"/>
      <c r="I3243" s="979"/>
      <c r="J3243" s="979"/>
      <c r="K3243" s="980"/>
      <c r="L3243" s="1203" t="str">
        <f>IF($C3243&gt;0,(VLOOKUP($C3243,ListaAct,5,FALSE)),"")</f>
        <v>glb</v>
      </c>
      <c r="M3243" s="980"/>
      <c r="N3243" s="423">
        <f>IF($C3243&gt;0,(VLOOKUP($C3243,ListaAct,6,FALSE)),"")</f>
        <v>1</v>
      </c>
      <c r="O3243" s="362"/>
    </row>
    <row r="3244" spans="1:15" ht="15.75" customHeight="1">
      <c r="A3244" s="395"/>
      <c r="B3244" s="399"/>
      <c r="C3244" s="1129" t="s">
        <v>1195</v>
      </c>
      <c r="D3244" s="926"/>
      <c r="E3244" s="926"/>
      <c r="F3244" s="926"/>
      <c r="G3244" s="926"/>
      <c r="H3244" s="926"/>
      <c r="I3244" s="926"/>
      <c r="J3244" s="926"/>
      <c r="K3244" s="926"/>
      <c r="L3244" s="926"/>
      <c r="M3244" s="926"/>
      <c r="N3244" s="927"/>
      <c r="O3244" s="362"/>
    </row>
    <row r="3245" spans="1:15" ht="15.75" customHeight="1">
      <c r="A3245" s="395"/>
      <c r="B3245" s="399"/>
      <c r="C3245" s="920"/>
      <c r="D3245" s="922"/>
      <c r="E3245" s="922"/>
      <c r="F3245" s="922"/>
      <c r="G3245" s="922"/>
      <c r="H3245" s="922"/>
      <c r="I3245" s="922"/>
      <c r="J3245" s="922"/>
      <c r="K3245" s="922"/>
      <c r="L3245" s="922"/>
      <c r="M3245" s="922"/>
      <c r="N3245" s="924"/>
      <c r="O3245" s="362"/>
    </row>
    <row r="3246" spans="1:15" ht="15.75" customHeight="1">
      <c r="A3246" s="395"/>
      <c r="B3246" s="399"/>
      <c r="C3246" s="929"/>
      <c r="D3246" s="936"/>
      <c r="E3246" s="936"/>
      <c r="F3246" s="936"/>
      <c r="G3246" s="936"/>
      <c r="H3246" s="936"/>
      <c r="I3246" s="936"/>
      <c r="J3246" s="936"/>
      <c r="K3246" s="936"/>
      <c r="L3246" s="936"/>
      <c r="M3246" s="936"/>
      <c r="N3246" s="938"/>
      <c r="O3246" s="362"/>
    </row>
    <row r="3247" spans="1:15" ht="15.75" customHeight="1">
      <c r="A3247" s="395"/>
      <c r="B3247" s="399"/>
      <c r="C3247" s="1201" t="s">
        <v>17</v>
      </c>
      <c r="D3247" s="1131"/>
      <c r="E3247" s="1131"/>
      <c r="F3247" s="1000"/>
      <c r="G3247" s="1204" t="s">
        <v>1196</v>
      </c>
      <c r="H3247" s="1000"/>
      <c r="I3247" s="1204" t="s">
        <v>1197</v>
      </c>
      <c r="J3247" s="1000"/>
      <c r="K3247" s="670" t="s">
        <v>1213</v>
      </c>
      <c r="L3247" s="1204" t="s">
        <v>1199</v>
      </c>
      <c r="M3247" s="1000"/>
      <c r="N3247" s="671" t="s">
        <v>1200</v>
      </c>
      <c r="O3247" s="362"/>
    </row>
    <row r="3248" spans="1:15" ht="15.75" customHeight="1">
      <c r="A3248" s="395"/>
      <c r="B3248" s="399"/>
      <c r="C3248" s="1128" t="s">
        <v>1201</v>
      </c>
      <c r="D3248" s="940"/>
      <c r="E3248" s="940"/>
      <c r="F3248" s="941"/>
      <c r="G3248" s="1142"/>
      <c r="H3248" s="941"/>
      <c r="I3248" s="1142"/>
      <c r="J3248" s="941"/>
      <c r="K3248" s="429"/>
      <c r="L3248" s="1143">
        <v>0.06</v>
      </c>
      <c r="M3248" s="941"/>
      <c r="N3248" s="430">
        <f>+L3248*N3287</f>
        <v>70106.699350296331</v>
      </c>
      <c r="O3248" s="362"/>
    </row>
    <row r="3249" spans="1:15" ht="15.75" customHeight="1">
      <c r="A3249" s="395">
        <f t="array" ref="A3249">IF(C3249&lt;&gt;0,INDEX(CodEquipos,MATCH(C3249,Equipos,0),),)</f>
        <v>0</v>
      </c>
      <c r="B3249" s="399"/>
      <c r="C3249" s="1128"/>
      <c r="D3249" s="940"/>
      <c r="E3249" s="940"/>
      <c r="F3249" s="941"/>
      <c r="G3249" s="1142"/>
      <c r="H3249" s="941"/>
      <c r="I3249" s="1142"/>
      <c r="J3249" s="941"/>
      <c r="K3249" s="432" t="str">
        <f>IF($A3249&gt;0,(VLOOKUP($A3249,TablaEquipos,7,FALSE)),"")</f>
        <v/>
      </c>
      <c r="L3249" s="1146"/>
      <c r="M3249" s="941"/>
      <c r="N3249" s="430" t="str">
        <f t="shared" ref="N3249:N3253" si="241">IF(L3249&gt;0,K3249/L3249,"")</f>
        <v/>
      </c>
      <c r="O3249" s="362"/>
    </row>
    <row r="3250" spans="1:15" ht="15.75" customHeight="1">
      <c r="A3250" s="395">
        <f t="array" ref="A3250">IF(C3250&lt;&gt;0,INDEX(CodEquipos,MATCH(C3250,Equipos,0),),)</f>
        <v>0</v>
      </c>
      <c r="B3250" s="399"/>
      <c r="C3250" s="1128"/>
      <c r="D3250" s="940"/>
      <c r="E3250" s="940"/>
      <c r="F3250" s="941"/>
      <c r="G3250" s="1142"/>
      <c r="H3250" s="941"/>
      <c r="I3250" s="1142"/>
      <c r="J3250" s="941"/>
      <c r="K3250" s="432" t="str">
        <f>IF($A3250&gt;0,(VLOOKUP($A3250,TablaEquipos,7,FALSE)),"")</f>
        <v/>
      </c>
      <c r="L3250" s="1146"/>
      <c r="M3250" s="941"/>
      <c r="N3250" s="430" t="str">
        <f t="shared" si="241"/>
        <v/>
      </c>
      <c r="O3250" s="362"/>
    </row>
    <row r="3251" spans="1:15" ht="15.75" customHeight="1">
      <c r="A3251" s="395">
        <f t="array" ref="A3251">IF(C3251&lt;&gt;0,INDEX(CodEquipos,MATCH(C3251,Equipos,0),),)</f>
        <v>0</v>
      </c>
      <c r="B3251" s="399"/>
      <c r="C3251" s="1128"/>
      <c r="D3251" s="940"/>
      <c r="E3251" s="940"/>
      <c r="F3251" s="941"/>
      <c r="G3251" s="1142"/>
      <c r="H3251" s="941"/>
      <c r="I3251" s="1142"/>
      <c r="J3251" s="941"/>
      <c r="K3251" s="432" t="str">
        <f>IF($A3251&gt;0,(VLOOKUP($A3251,TablaEquipos,7,FALSE)),"")</f>
        <v/>
      </c>
      <c r="L3251" s="1146"/>
      <c r="M3251" s="941"/>
      <c r="N3251" s="430" t="str">
        <f t="shared" si="241"/>
        <v/>
      </c>
      <c r="O3251" s="362"/>
    </row>
    <row r="3252" spans="1:15" ht="15.75" customHeight="1">
      <c r="A3252" s="395">
        <f t="array" ref="A3252">IF(C3252&lt;&gt;0,INDEX(CodEquipos,MATCH(C3252,Equipos,0),),)</f>
        <v>0</v>
      </c>
      <c r="B3252" s="399"/>
      <c r="C3252" s="1128"/>
      <c r="D3252" s="940"/>
      <c r="E3252" s="940"/>
      <c r="F3252" s="941"/>
      <c r="G3252" s="1142"/>
      <c r="H3252" s="941"/>
      <c r="I3252" s="1142"/>
      <c r="J3252" s="941"/>
      <c r="K3252" s="432" t="str">
        <f>IF($A3252&gt;0,(VLOOKUP($A3252,TablaEquipos,7,FALSE)),"")</f>
        <v/>
      </c>
      <c r="L3252" s="1141"/>
      <c r="M3252" s="941"/>
      <c r="N3252" s="430" t="str">
        <f t="shared" si="241"/>
        <v/>
      </c>
      <c r="O3252" s="362"/>
    </row>
    <row r="3253" spans="1:15" ht="15.75" customHeight="1">
      <c r="A3253" s="395">
        <f t="array" ref="A3253">IF(C3253&lt;&gt;0,INDEX(CodEquipos,MATCH(C3253,Equipos,0),),)</f>
        <v>0</v>
      </c>
      <c r="B3253" s="399"/>
      <c r="C3253" s="1128"/>
      <c r="D3253" s="940"/>
      <c r="E3253" s="940"/>
      <c r="F3253" s="941"/>
      <c r="G3253" s="1144"/>
      <c r="H3253" s="1145"/>
      <c r="I3253" s="1144"/>
      <c r="J3253" s="1145"/>
      <c r="K3253" s="432" t="str">
        <f>IF($A3253&gt;0,(VLOOKUP($A3253,TablaEquipos,7,FALSE)),"")</f>
        <v/>
      </c>
      <c r="L3253" s="1208"/>
      <c r="M3253" s="1145"/>
      <c r="N3253" s="430" t="str">
        <f t="shared" si="241"/>
        <v/>
      </c>
      <c r="O3253" s="362"/>
    </row>
    <row r="3254" spans="1:15" ht="15.75" customHeight="1">
      <c r="A3254" s="395"/>
      <c r="B3254" s="399"/>
      <c r="C3254" s="1127" t="s">
        <v>1202</v>
      </c>
      <c r="D3254" s="965"/>
      <c r="E3254" s="965"/>
      <c r="F3254" s="965"/>
      <c r="G3254" s="965"/>
      <c r="H3254" s="965"/>
      <c r="I3254" s="965"/>
      <c r="J3254" s="965"/>
      <c r="K3254" s="965"/>
      <c r="L3254" s="965"/>
      <c r="M3254" s="966"/>
      <c r="N3254" s="433">
        <f>+SUM(N3248:N3253)</f>
        <v>70106.699350296331</v>
      </c>
      <c r="O3254" s="362"/>
    </row>
    <row r="3255" spans="1:15" ht="15.75" customHeight="1">
      <c r="A3255" s="395"/>
      <c r="B3255" s="399"/>
      <c r="C3255" s="1129" t="s">
        <v>1203</v>
      </c>
      <c r="D3255" s="926"/>
      <c r="E3255" s="926"/>
      <c r="F3255" s="926"/>
      <c r="G3255" s="926"/>
      <c r="H3255" s="926"/>
      <c r="I3255" s="926"/>
      <c r="J3255" s="926"/>
      <c r="K3255" s="926"/>
      <c r="L3255" s="926"/>
      <c r="M3255" s="926"/>
      <c r="N3255" s="927"/>
      <c r="O3255" s="362"/>
    </row>
    <row r="3256" spans="1:15" ht="15.75" customHeight="1">
      <c r="A3256" s="395"/>
      <c r="B3256" s="399"/>
      <c r="C3256" s="920"/>
      <c r="D3256" s="922"/>
      <c r="E3256" s="922"/>
      <c r="F3256" s="922"/>
      <c r="G3256" s="922"/>
      <c r="H3256" s="922"/>
      <c r="I3256" s="922"/>
      <c r="J3256" s="922"/>
      <c r="K3256" s="922"/>
      <c r="L3256" s="922"/>
      <c r="M3256" s="922"/>
      <c r="N3256" s="924"/>
      <c r="O3256" s="362"/>
    </row>
    <row r="3257" spans="1:15" ht="15.75" customHeight="1">
      <c r="A3257" s="395"/>
      <c r="B3257" s="399"/>
      <c r="C3257" s="929"/>
      <c r="D3257" s="936"/>
      <c r="E3257" s="936"/>
      <c r="F3257" s="936"/>
      <c r="G3257" s="936"/>
      <c r="H3257" s="936"/>
      <c r="I3257" s="936"/>
      <c r="J3257" s="936"/>
      <c r="K3257" s="936"/>
      <c r="L3257" s="936"/>
      <c r="M3257" s="936"/>
      <c r="N3257" s="938"/>
      <c r="O3257" s="362"/>
    </row>
    <row r="3258" spans="1:15" ht="15.75" customHeight="1">
      <c r="A3258" s="395"/>
      <c r="B3258" s="399"/>
      <c r="C3258" s="1201" t="s">
        <v>17</v>
      </c>
      <c r="D3258" s="1131"/>
      <c r="E3258" s="1131"/>
      <c r="F3258" s="1131"/>
      <c r="G3258" s="1131"/>
      <c r="H3258" s="1131"/>
      <c r="I3258" s="1000"/>
      <c r="J3258" s="672" t="s">
        <v>1192</v>
      </c>
      <c r="K3258" s="670" t="s">
        <v>950</v>
      </c>
      <c r="L3258" s="1204" t="s">
        <v>1204</v>
      </c>
      <c r="M3258" s="1000"/>
      <c r="N3258" s="671" t="s">
        <v>1200</v>
      </c>
      <c r="O3258" s="362"/>
    </row>
    <row r="3259" spans="1:15" ht="15.75" customHeight="1">
      <c r="A3259" s="395" t="str">
        <f t="array" ref="A3259">IF(C3259&lt;&gt;0,INDEX(CodMat,MATCH(C3259,Materiales,0),),)</f>
        <v>MAT_C-77</v>
      </c>
      <c r="B3259" s="399"/>
      <c r="C3259" s="1210" t="s">
        <v>1428</v>
      </c>
      <c r="D3259" s="940"/>
      <c r="E3259" s="940"/>
      <c r="F3259" s="940"/>
      <c r="G3259" s="940"/>
      <c r="H3259" s="940"/>
      <c r="I3259" s="941"/>
      <c r="J3259" s="435" t="str">
        <f t="shared" ref="J3259:J3266" si="242">IF($A3259&gt;0,(VLOOKUP($A3259,TablaInsumos,5,FALSE)),"")</f>
        <v>GLOBAL</v>
      </c>
      <c r="K3259" s="673">
        <v>1</v>
      </c>
      <c r="L3259" s="1209">
        <f t="shared" ref="L3259:L3266" si="243">IF($A3259&gt;0,(VLOOKUP($A3259,TablaInsumos,7,FALSE)),"")</f>
        <v>119000</v>
      </c>
      <c r="M3259" s="941"/>
      <c r="N3259" s="430">
        <f t="shared" ref="N3259:N3266" si="244">IF(K3259&gt;0,L3259*K3259,"")</f>
        <v>119000</v>
      </c>
      <c r="O3259" s="362"/>
    </row>
    <row r="3260" spans="1:15" ht="15.75" customHeight="1">
      <c r="A3260" s="395">
        <f t="array" ref="A3260">IF(C3260&lt;&gt;0,INDEX(CodMat,MATCH(C3260,Materiales,0),),)</f>
        <v>0</v>
      </c>
      <c r="B3260" s="399"/>
      <c r="C3260" s="1128"/>
      <c r="D3260" s="940"/>
      <c r="E3260" s="940"/>
      <c r="F3260" s="940"/>
      <c r="G3260" s="940"/>
      <c r="H3260" s="940"/>
      <c r="I3260" s="941"/>
      <c r="J3260" s="435" t="str">
        <f t="shared" si="242"/>
        <v/>
      </c>
      <c r="K3260" s="673"/>
      <c r="L3260" s="1134" t="str">
        <f t="shared" si="243"/>
        <v/>
      </c>
      <c r="M3260" s="941"/>
      <c r="N3260" s="430" t="str">
        <f t="shared" si="244"/>
        <v/>
      </c>
      <c r="O3260" s="362"/>
    </row>
    <row r="3261" spans="1:15" ht="15.75" customHeight="1">
      <c r="A3261" s="395">
        <f t="array" ref="A3261">IF(C3261&lt;&gt;0,INDEX(CodMat,MATCH(C3261,Materiales,0),),)</f>
        <v>0</v>
      </c>
      <c r="B3261" s="399"/>
      <c r="C3261" s="1128"/>
      <c r="D3261" s="940"/>
      <c r="E3261" s="940"/>
      <c r="F3261" s="940"/>
      <c r="G3261" s="940"/>
      <c r="H3261" s="940"/>
      <c r="I3261" s="941"/>
      <c r="J3261" s="435" t="str">
        <f t="shared" si="242"/>
        <v/>
      </c>
      <c r="K3261" s="673"/>
      <c r="L3261" s="1134" t="str">
        <f t="shared" si="243"/>
        <v/>
      </c>
      <c r="M3261" s="941"/>
      <c r="N3261" s="430" t="str">
        <f t="shared" si="244"/>
        <v/>
      </c>
      <c r="O3261" s="362"/>
    </row>
    <row r="3262" spans="1:15" ht="15.75" customHeight="1">
      <c r="A3262" s="395">
        <f t="array" ref="A3262">IF(C3262&lt;&gt;0,INDEX(CodMat,MATCH(C3262,Materiales,0),),)</f>
        <v>0</v>
      </c>
      <c r="B3262" s="399"/>
      <c r="C3262" s="1128"/>
      <c r="D3262" s="940"/>
      <c r="E3262" s="940"/>
      <c r="F3262" s="940"/>
      <c r="G3262" s="940"/>
      <c r="H3262" s="940"/>
      <c r="I3262" s="941"/>
      <c r="J3262" s="435" t="str">
        <f t="shared" si="242"/>
        <v/>
      </c>
      <c r="K3262" s="673"/>
      <c r="L3262" s="1134" t="str">
        <f t="shared" si="243"/>
        <v/>
      </c>
      <c r="M3262" s="941"/>
      <c r="N3262" s="430" t="str">
        <f t="shared" si="244"/>
        <v/>
      </c>
      <c r="O3262" s="362"/>
    </row>
    <row r="3263" spans="1:15" ht="15.75" customHeight="1">
      <c r="A3263" s="395">
        <f t="array" ref="A3263">IF(C3263&lt;&gt;0,INDEX(CodMat,MATCH(C3263,Materiales,0),),)</f>
        <v>0</v>
      </c>
      <c r="B3263" s="399"/>
      <c r="C3263" s="1128"/>
      <c r="D3263" s="940"/>
      <c r="E3263" s="940"/>
      <c r="F3263" s="940"/>
      <c r="G3263" s="940"/>
      <c r="H3263" s="940"/>
      <c r="I3263" s="941"/>
      <c r="J3263" s="435" t="str">
        <f t="shared" si="242"/>
        <v/>
      </c>
      <c r="K3263" s="673"/>
      <c r="L3263" s="1134" t="str">
        <f t="shared" si="243"/>
        <v/>
      </c>
      <c r="M3263" s="941"/>
      <c r="N3263" s="430" t="str">
        <f t="shared" si="244"/>
        <v/>
      </c>
      <c r="O3263" s="362"/>
    </row>
    <row r="3264" spans="1:15" ht="15.75" customHeight="1">
      <c r="A3264" s="395">
        <f t="array" ref="A3264">IF(C3264&lt;&gt;0,INDEX(CodMat,MATCH(C3264,Materiales,0),),)</f>
        <v>0</v>
      </c>
      <c r="B3264" s="399"/>
      <c r="C3264" s="1211"/>
      <c r="D3264" s="940"/>
      <c r="E3264" s="940"/>
      <c r="F3264" s="940"/>
      <c r="G3264" s="940"/>
      <c r="H3264" s="940"/>
      <c r="I3264" s="941"/>
      <c r="J3264" s="435" t="str">
        <f t="shared" si="242"/>
        <v/>
      </c>
      <c r="K3264" s="673"/>
      <c r="L3264" s="1134" t="str">
        <f t="shared" si="243"/>
        <v/>
      </c>
      <c r="M3264" s="941"/>
      <c r="N3264" s="430" t="str">
        <f t="shared" si="244"/>
        <v/>
      </c>
      <c r="O3264" s="362"/>
    </row>
    <row r="3265" spans="1:15" ht="15.75" customHeight="1">
      <c r="A3265" s="395">
        <f t="array" ref="A3265">IF(C3265&lt;&gt;0,INDEX(CodMat,MATCH(C3265,Materiales,0),),)</f>
        <v>0</v>
      </c>
      <c r="B3265" s="399"/>
      <c r="C3265" s="1128"/>
      <c r="D3265" s="940"/>
      <c r="E3265" s="940"/>
      <c r="F3265" s="940"/>
      <c r="G3265" s="940"/>
      <c r="H3265" s="940"/>
      <c r="I3265" s="941"/>
      <c r="J3265" s="435" t="str">
        <f t="shared" si="242"/>
        <v/>
      </c>
      <c r="K3265" s="673"/>
      <c r="L3265" s="1134" t="str">
        <f t="shared" si="243"/>
        <v/>
      </c>
      <c r="M3265" s="941"/>
      <c r="N3265" s="430" t="str">
        <f t="shared" si="244"/>
        <v/>
      </c>
      <c r="O3265" s="362"/>
    </row>
    <row r="3266" spans="1:15" ht="15.75" customHeight="1">
      <c r="A3266" s="395">
        <f t="array" ref="A3266">IF(C3266&lt;&gt;0,INDEX(CodMat,MATCH(C3266,Materiales,0),),)</f>
        <v>0</v>
      </c>
      <c r="B3266" s="399"/>
      <c r="C3266" s="1128"/>
      <c r="D3266" s="940"/>
      <c r="E3266" s="940"/>
      <c r="F3266" s="940"/>
      <c r="G3266" s="940"/>
      <c r="H3266" s="940"/>
      <c r="I3266" s="941"/>
      <c r="J3266" s="435" t="str">
        <f t="shared" si="242"/>
        <v/>
      </c>
      <c r="K3266" s="673"/>
      <c r="L3266" s="1205" t="str">
        <f t="shared" si="243"/>
        <v/>
      </c>
      <c r="M3266" s="1145"/>
      <c r="N3266" s="430" t="str">
        <f t="shared" si="244"/>
        <v/>
      </c>
      <c r="O3266" s="362"/>
    </row>
    <row r="3267" spans="1:15" ht="15.75" customHeight="1">
      <c r="A3267" s="395"/>
      <c r="B3267" s="399"/>
      <c r="C3267" s="1127" t="s">
        <v>1202</v>
      </c>
      <c r="D3267" s="965"/>
      <c r="E3267" s="965"/>
      <c r="F3267" s="965"/>
      <c r="G3267" s="965"/>
      <c r="H3267" s="965"/>
      <c r="I3267" s="965"/>
      <c r="J3267" s="965"/>
      <c r="K3267" s="965"/>
      <c r="L3267" s="965"/>
      <c r="M3267" s="966"/>
      <c r="N3267" s="433">
        <f>+SUM(N3259:N3266)</f>
        <v>119000</v>
      </c>
      <c r="O3267" s="362"/>
    </row>
    <row r="3268" spans="1:15" ht="15.75" customHeight="1">
      <c r="A3268" s="395"/>
      <c r="B3268" s="399"/>
      <c r="C3268" s="1129" t="s">
        <v>1208</v>
      </c>
      <c r="D3268" s="926"/>
      <c r="E3268" s="926"/>
      <c r="F3268" s="926"/>
      <c r="G3268" s="926"/>
      <c r="H3268" s="926"/>
      <c r="I3268" s="926"/>
      <c r="J3268" s="926"/>
      <c r="K3268" s="926"/>
      <c r="L3268" s="926"/>
      <c r="M3268" s="926"/>
      <c r="N3268" s="927"/>
      <c r="O3268" s="362"/>
    </row>
    <row r="3269" spans="1:15" ht="15.75" customHeight="1">
      <c r="A3269" s="395"/>
      <c r="B3269" s="399"/>
      <c r="C3269" s="920"/>
      <c r="D3269" s="922"/>
      <c r="E3269" s="922"/>
      <c r="F3269" s="922"/>
      <c r="G3269" s="922"/>
      <c r="H3269" s="922"/>
      <c r="I3269" s="922"/>
      <c r="J3269" s="922"/>
      <c r="K3269" s="922"/>
      <c r="L3269" s="922"/>
      <c r="M3269" s="922"/>
      <c r="N3269" s="924"/>
      <c r="O3269" s="362"/>
    </row>
    <row r="3270" spans="1:15" ht="15.75" customHeight="1">
      <c r="A3270" s="395"/>
      <c r="B3270" s="399"/>
      <c r="C3270" s="929"/>
      <c r="D3270" s="936"/>
      <c r="E3270" s="936"/>
      <c r="F3270" s="936"/>
      <c r="G3270" s="936"/>
      <c r="H3270" s="936"/>
      <c r="I3270" s="936"/>
      <c r="J3270" s="936"/>
      <c r="K3270" s="936"/>
      <c r="L3270" s="936"/>
      <c r="M3270" s="936"/>
      <c r="N3270" s="938"/>
      <c r="O3270" s="362"/>
    </row>
    <row r="3271" spans="1:15" ht="15.75" customHeight="1">
      <c r="A3271" s="395"/>
      <c r="B3271" s="399"/>
      <c r="C3271" s="1201" t="s">
        <v>1209</v>
      </c>
      <c r="D3271" s="1131"/>
      <c r="E3271" s="1131"/>
      <c r="F3271" s="1131"/>
      <c r="G3271" s="1131"/>
      <c r="H3271" s="1000"/>
      <c r="I3271" s="670" t="s">
        <v>1210</v>
      </c>
      <c r="J3271" s="674" t="s">
        <v>1211</v>
      </c>
      <c r="K3271" s="675" t="s">
        <v>2318</v>
      </c>
      <c r="L3271" s="1204" t="s">
        <v>1213</v>
      </c>
      <c r="M3271" s="1000"/>
      <c r="N3271" s="671" t="s">
        <v>1200</v>
      </c>
      <c r="O3271" s="362"/>
    </row>
    <row r="3272" spans="1:15" ht="15.75" customHeight="1">
      <c r="A3272" s="395">
        <f t="array" ref="A3272">IF(C3272&lt;&gt;0,INDEX(CodTransporte,MATCH(C3272,Transporte,0),),)</f>
        <v>0</v>
      </c>
      <c r="B3272" s="399"/>
      <c r="C3272" s="1128"/>
      <c r="D3272" s="940"/>
      <c r="E3272" s="940"/>
      <c r="F3272" s="940"/>
      <c r="G3272" s="940"/>
      <c r="H3272" s="940"/>
      <c r="I3272" s="440"/>
      <c r="J3272" s="690"/>
      <c r="K3272" s="442" t="str">
        <f>IF($A3272&gt;0,(VLOOKUP($A3272,TablaTransporte,5,FALSE)),"")</f>
        <v/>
      </c>
      <c r="L3272" s="1134" t="str">
        <f>IF($A3272&gt;0,(VLOOKUP($A3272,TablaTransporte,7,FALSE)),"")</f>
        <v/>
      </c>
      <c r="M3272" s="941"/>
      <c r="N3272" s="430" t="str">
        <f t="shared" ref="N3272:N3276" si="245">IF(I3272&gt;0,J3272*L3272*I3272,"")</f>
        <v/>
      </c>
      <c r="O3272" s="362"/>
    </row>
    <row r="3273" spans="1:15" ht="15.75" customHeight="1">
      <c r="A3273" s="395">
        <f t="array" ref="A3273">IF(C3273&lt;&gt;0,INDEX(CodTransporte,MATCH(C3273,Transporte,0),),)</f>
        <v>0</v>
      </c>
      <c r="B3273" s="399"/>
      <c r="C3273" s="1128"/>
      <c r="D3273" s="940"/>
      <c r="E3273" s="940"/>
      <c r="F3273" s="940"/>
      <c r="G3273" s="940"/>
      <c r="H3273" s="940"/>
      <c r="I3273" s="440"/>
      <c r="J3273" s="690"/>
      <c r="K3273" s="442" t="str">
        <f>IF($A3273&gt;0,(VLOOKUP($A3273,TablaTransporte,5,FALSE)),"")</f>
        <v/>
      </c>
      <c r="L3273" s="1134" t="str">
        <f>IF($A3273&gt;0,(VLOOKUP($A3273,TablaTransporte,7,FALSE)),"")</f>
        <v/>
      </c>
      <c r="M3273" s="941"/>
      <c r="N3273" s="430" t="str">
        <f t="shared" si="245"/>
        <v/>
      </c>
      <c r="O3273" s="362"/>
    </row>
    <row r="3274" spans="1:15" ht="15.75" customHeight="1">
      <c r="A3274" s="395">
        <f t="array" ref="A3274">IF(C3274&lt;&gt;0,INDEX(CodTransporte,MATCH(C3274,Transporte,0),),)</f>
        <v>0</v>
      </c>
      <c r="B3274" s="399"/>
      <c r="C3274" s="1128"/>
      <c r="D3274" s="940"/>
      <c r="E3274" s="940"/>
      <c r="F3274" s="940"/>
      <c r="G3274" s="940"/>
      <c r="H3274" s="940"/>
      <c r="I3274" s="440"/>
      <c r="J3274" s="441" t="str">
        <f>IF($A3274&gt;0,(VLOOKUP($A3274,TablaTransporte,6,FALSE)),"")</f>
        <v/>
      </c>
      <c r="K3274" s="442" t="str">
        <f>IF($A3274&gt;0,(VLOOKUP($A3274,TablaTransporte,5,FALSE)),"")</f>
        <v/>
      </c>
      <c r="L3274" s="1134" t="str">
        <f>IF($A3274&gt;0,(VLOOKUP($A3274,TablaTransporte,7,FALSE)),"")</f>
        <v/>
      </c>
      <c r="M3274" s="941"/>
      <c r="N3274" s="430" t="str">
        <f t="shared" si="245"/>
        <v/>
      </c>
      <c r="O3274" s="362"/>
    </row>
    <row r="3275" spans="1:15" ht="15.75" customHeight="1">
      <c r="A3275" s="395">
        <f t="array" ref="A3275">IF(C3275&lt;&gt;0,INDEX(CodTransporte,MATCH(C3275,Transporte,0),),)</f>
        <v>0</v>
      </c>
      <c r="B3275" s="399"/>
      <c r="C3275" s="1128"/>
      <c r="D3275" s="940"/>
      <c r="E3275" s="940"/>
      <c r="F3275" s="940"/>
      <c r="G3275" s="940"/>
      <c r="H3275" s="940"/>
      <c r="I3275" s="440"/>
      <c r="J3275" s="441" t="str">
        <f>IF($A3275&gt;0,(VLOOKUP($A3275,TablaTransporte,6,FALSE)),"")</f>
        <v/>
      </c>
      <c r="K3275" s="442" t="str">
        <f>IF($A3275&gt;0,(VLOOKUP($A3275,TablaTransporte,5,FALSE)),"")</f>
        <v/>
      </c>
      <c r="L3275" s="1134" t="str">
        <f>IF($A3275&gt;0,(VLOOKUP($A3275,TablaTransporte,7,FALSE)),"")</f>
        <v/>
      </c>
      <c r="M3275" s="941"/>
      <c r="N3275" s="430" t="str">
        <f t="shared" si="245"/>
        <v/>
      </c>
      <c r="O3275" s="362"/>
    </row>
    <row r="3276" spans="1:15" ht="15.75" customHeight="1">
      <c r="A3276" s="395">
        <f t="array" ref="A3276">IF(C3276&lt;&gt;0,INDEX(CodTransporte,MATCH(C3276,Transporte,0),),)</f>
        <v>0</v>
      </c>
      <c r="B3276" s="399"/>
      <c r="C3276" s="1128"/>
      <c r="D3276" s="940"/>
      <c r="E3276" s="940"/>
      <c r="F3276" s="940"/>
      <c r="G3276" s="940"/>
      <c r="H3276" s="940"/>
      <c r="I3276" s="440"/>
      <c r="J3276" s="441" t="str">
        <f>IF($A3276&gt;0,(VLOOKUP($A3276,TablaTransporte,6,FALSE)),"")</f>
        <v/>
      </c>
      <c r="K3276" s="442" t="str">
        <f>IF($A3276&gt;0,(VLOOKUP($A3276,TablaTransporte,5,FALSE)),"")</f>
        <v/>
      </c>
      <c r="L3276" s="1205" t="str">
        <f>IF($A3276&gt;0,(VLOOKUP($A3276,TablaTransporte,7,FALSE)),"")</f>
        <v/>
      </c>
      <c r="M3276" s="1145"/>
      <c r="N3276" s="430" t="str">
        <f t="shared" si="245"/>
        <v/>
      </c>
      <c r="O3276" s="362"/>
    </row>
    <row r="3277" spans="1:15" ht="15.75" customHeight="1">
      <c r="A3277" s="395"/>
      <c r="B3277" s="399"/>
      <c r="C3277" s="1127" t="s">
        <v>1202</v>
      </c>
      <c r="D3277" s="965"/>
      <c r="E3277" s="965"/>
      <c r="F3277" s="965"/>
      <c r="G3277" s="965"/>
      <c r="H3277" s="965"/>
      <c r="I3277" s="965"/>
      <c r="J3277" s="965"/>
      <c r="K3277" s="965"/>
      <c r="L3277" s="965"/>
      <c r="M3277" s="966"/>
      <c r="N3277" s="433">
        <f>+SUM(N3272:N3276)</f>
        <v>0</v>
      </c>
      <c r="O3277" s="362"/>
    </row>
    <row r="3278" spans="1:15" ht="15.75" customHeight="1">
      <c r="A3278" s="395"/>
      <c r="B3278" s="399"/>
      <c r="C3278" s="1129" t="s">
        <v>1214</v>
      </c>
      <c r="D3278" s="926"/>
      <c r="E3278" s="926"/>
      <c r="F3278" s="926"/>
      <c r="G3278" s="926"/>
      <c r="H3278" s="926"/>
      <c r="I3278" s="926"/>
      <c r="J3278" s="926"/>
      <c r="K3278" s="926"/>
      <c r="L3278" s="926"/>
      <c r="M3278" s="926"/>
      <c r="N3278" s="927"/>
      <c r="O3278" s="362"/>
    </row>
    <row r="3279" spans="1:15" ht="15.75" customHeight="1">
      <c r="A3279" s="395"/>
      <c r="B3279" s="399"/>
      <c r="C3279" s="920"/>
      <c r="D3279" s="922"/>
      <c r="E3279" s="922"/>
      <c r="F3279" s="922"/>
      <c r="G3279" s="922"/>
      <c r="H3279" s="922"/>
      <c r="I3279" s="922"/>
      <c r="J3279" s="922"/>
      <c r="K3279" s="922"/>
      <c r="L3279" s="922"/>
      <c r="M3279" s="922"/>
      <c r="N3279" s="924"/>
      <c r="O3279" s="362"/>
    </row>
    <row r="3280" spans="1:15" ht="15.75" customHeight="1">
      <c r="A3280" s="395"/>
      <c r="B3280" s="399"/>
      <c r="C3280" s="929"/>
      <c r="D3280" s="936"/>
      <c r="E3280" s="936"/>
      <c r="F3280" s="936"/>
      <c r="G3280" s="936"/>
      <c r="H3280" s="936"/>
      <c r="I3280" s="936"/>
      <c r="J3280" s="936"/>
      <c r="K3280" s="936"/>
      <c r="L3280" s="936"/>
      <c r="M3280" s="936"/>
      <c r="N3280" s="938"/>
      <c r="O3280" s="362"/>
    </row>
    <row r="3281" spans="1:18" ht="15.75" customHeight="1">
      <c r="A3281" s="395"/>
      <c r="B3281" s="399"/>
      <c r="C3281" s="1201" t="s">
        <v>1215</v>
      </c>
      <c r="D3281" s="1131"/>
      <c r="E3281" s="1131"/>
      <c r="F3281" s="1131"/>
      <c r="G3281" s="1131"/>
      <c r="H3281" s="1000"/>
      <c r="I3281" s="670" t="s">
        <v>1216</v>
      </c>
      <c r="J3281" s="676" t="s">
        <v>1217</v>
      </c>
      <c r="K3281" s="677" t="s">
        <v>1218</v>
      </c>
      <c r="L3281" s="1206" t="s">
        <v>1199</v>
      </c>
      <c r="M3281" s="1000"/>
      <c r="N3281" s="678" t="s">
        <v>1200</v>
      </c>
      <c r="O3281" s="362"/>
    </row>
    <row r="3282" spans="1:18" ht="15.75" customHeight="1">
      <c r="A3282" s="395" t="str">
        <f t="array" ref="A3282">IF(C3282&lt;&gt;0,INDEX(CodMO,MATCH(C3282,MO,0),),)</f>
        <v>MO025</v>
      </c>
      <c r="B3282" s="399"/>
      <c r="C3282" s="1128" t="s">
        <v>235</v>
      </c>
      <c r="D3282" s="940"/>
      <c r="E3282" s="940"/>
      <c r="F3282" s="940"/>
      <c r="G3282" s="940"/>
      <c r="H3282" s="940"/>
      <c r="I3282" s="447">
        <f>IF($A3282&gt;0,(VLOOKUP($A3282,TablaMO,8,FALSE)),"")</f>
        <v>233000</v>
      </c>
      <c r="J3282" s="448">
        <f>IF($A3282&gt;0,(VLOOKUP($A3282,TablaMO,10,FALSE)),"")</f>
        <v>0.67071666666666663</v>
      </c>
      <c r="K3282" s="447">
        <f>IF($A3282&gt;0,(VLOOKUP($A3282,TablaMO,11,FALSE)),"")</f>
        <v>389277</v>
      </c>
      <c r="L3282" s="1146">
        <v>0.61913055959346819</v>
      </c>
      <c r="M3282" s="941"/>
      <c r="N3282" s="430">
        <f t="shared" ref="N3282:N3286" si="246">IF(L3282&gt;0,K3282/L3282,"")</f>
        <v>628747.83673350897</v>
      </c>
      <c r="O3282" s="362"/>
    </row>
    <row r="3283" spans="1:18" ht="15.75" customHeight="1">
      <c r="A3283" s="395" t="str">
        <f t="array" ref="A3283">IF(C3283&lt;&gt;0,INDEX(CodMO,MATCH(C3283,MO,0),),)</f>
        <v>MO026</v>
      </c>
      <c r="B3283" s="399"/>
      <c r="C3283" s="1128" t="s">
        <v>237</v>
      </c>
      <c r="D3283" s="940"/>
      <c r="E3283" s="940"/>
      <c r="F3283" s="940"/>
      <c r="G3283" s="940"/>
      <c r="H3283" s="940"/>
      <c r="I3283" s="447">
        <f>IF($A3283&gt;0,(VLOOKUP($A3283,TablaMO,8,FALSE)),"")</f>
        <v>200000</v>
      </c>
      <c r="J3283" s="448">
        <f>IF($A3283&gt;0,(VLOOKUP($A3283,TablaMO,10,FALSE)),"")</f>
        <v>0.67071666666666663</v>
      </c>
      <c r="K3283" s="447">
        <f>IF($A3283&gt;0,(VLOOKUP($A3283,TablaMO,11,FALSE)),"")</f>
        <v>334143</v>
      </c>
      <c r="L3283" s="1146">
        <f>L3282</f>
        <v>0.61913055959346819</v>
      </c>
      <c r="M3283" s="941"/>
      <c r="N3283" s="430">
        <f t="shared" si="246"/>
        <v>539697.15243809647</v>
      </c>
      <c r="O3283" s="362"/>
    </row>
    <row r="3284" spans="1:18" ht="15.75" customHeight="1">
      <c r="A3284" s="395">
        <f t="array" ref="A3284">IF(C3284&lt;&gt;0,INDEX(CodMO,MATCH(C3284,MO,0),),)</f>
        <v>0</v>
      </c>
      <c r="B3284" s="399"/>
      <c r="C3284" s="1128"/>
      <c r="D3284" s="940"/>
      <c r="E3284" s="940"/>
      <c r="F3284" s="940"/>
      <c r="G3284" s="940"/>
      <c r="H3284" s="940"/>
      <c r="I3284" s="447" t="str">
        <f>IF($A3284&gt;0,(VLOOKUP($A3284,TablaMO,8,FALSE)),"")</f>
        <v/>
      </c>
      <c r="J3284" s="448" t="str">
        <f>IF($A3284&gt;0,(VLOOKUP($A3284,TablaMO,10,FALSE)),"")</f>
        <v/>
      </c>
      <c r="K3284" s="447" t="str">
        <f>IF($A3284&gt;0,(VLOOKUP($A3284,TablaMO,11,FALSE)),"")</f>
        <v/>
      </c>
      <c r="L3284" s="1146"/>
      <c r="M3284" s="941"/>
      <c r="N3284" s="430" t="str">
        <f t="shared" si="246"/>
        <v/>
      </c>
      <c r="O3284" s="362"/>
    </row>
    <row r="3285" spans="1:18" ht="15.75" customHeight="1">
      <c r="A3285" s="395">
        <f t="array" ref="A3285">IF(C3285&lt;&gt;0,INDEX(CodMO,MATCH(C3285,MO,0),),)</f>
        <v>0</v>
      </c>
      <c r="B3285" s="399"/>
      <c r="C3285" s="1128"/>
      <c r="D3285" s="940"/>
      <c r="E3285" s="940"/>
      <c r="F3285" s="940"/>
      <c r="G3285" s="940"/>
      <c r="H3285" s="940"/>
      <c r="I3285" s="447" t="str">
        <f>IF($A3285&gt;0,(VLOOKUP($A3285,TablaMO,8,FALSE)),"")</f>
        <v/>
      </c>
      <c r="J3285" s="448" t="str">
        <f>IF($A3285&gt;0,(VLOOKUP($A3285,TablaMO,10,FALSE)),"")</f>
        <v/>
      </c>
      <c r="K3285" s="447" t="str">
        <f>IF($A3285&gt;0,(VLOOKUP($A3285,TablaMO,11,FALSE)),"")</f>
        <v/>
      </c>
      <c r="L3285" s="1146"/>
      <c r="M3285" s="941"/>
      <c r="N3285" s="430" t="str">
        <f t="shared" si="246"/>
        <v/>
      </c>
      <c r="O3285" s="362"/>
    </row>
    <row r="3286" spans="1:18" ht="15.75" customHeight="1">
      <c r="A3286" s="395">
        <f t="array" ref="A3286">IF(C3286&lt;&gt;0,INDEX(CodMO,MATCH(C3286,MO,0),),)</f>
        <v>0</v>
      </c>
      <c r="B3286" s="399"/>
      <c r="C3286" s="1128"/>
      <c r="D3286" s="940"/>
      <c r="E3286" s="940"/>
      <c r="F3286" s="940"/>
      <c r="G3286" s="940"/>
      <c r="H3286" s="940"/>
      <c r="I3286" s="447" t="str">
        <f>IF($A3286&gt;0,(VLOOKUP($A3286,TablaMO,8,FALSE)),"")</f>
        <v/>
      </c>
      <c r="J3286" s="448" t="str">
        <f>IF($A3286&gt;0,(VLOOKUP($A3286,TablaMO,10,FALSE)),"")</f>
        <v/>
      </c>
      <c r="K3286" s="447" t="str">
        <f>IF($A3286&gt;0,(VLOOKUP($A3286,TablaMO,11,FALSE)),"")</f>
        <v/>
      </c>
      <c r="L3286" s="1146"/>
      <c r="M3286" s="941"/>
      <c r="N3286" s="430" t="str">
        <f t="shared" si="246"/>
        <v/>
      </c>
      <c r="O3286" s="362"/>
    </row>
    <row r="3287" spans="1:18" ht="15.75" customHeight="1">
      <c r="A3287" s="395"/>
      <c r="B3287" s="399"/>
      <c r="C3287" s="1127" t="s">
        <v>1202</v>
      </c>
      <c r="D3287" s="965"/>
      <c r="E3287" s="965"/>
      <c r="F3287" s="965"/>
      <c r="G3287" s="965"/>
      <c r="H3287" s="965"/>
      <c r="I3287" s="965"/>
      <c r="J3287" s="965"/>
      <c r="K3287" s="965"/>
      <c r="L3287" s="965"/>
      <c r="M3287" s="966"/>
      <c r="N3287" s="433">
        <f>+SUM(N3282:N3286)</f>
        <v>1168444.9891716056</v>
      </c>
      <c r="O3287" s="362"/>
    </row>
    <row r="3288" spans="1:18" ht="15.75" customHeight="1">
      <c r="B3288" s="679"/>
      <c r="O3288" s="362"/>
    </row>
    <row r="3289" spans="1:18" ht="15.75" customHeight="1">
      <c r="B3289" s="679"/>
      <c r="C3289" s="1198" t="s">
        <v>1219</v>
      </c>
      <c r="D3289" s="965"/>
      <c r="E3289" s="965"/>
      <c r="F3289" s="965"/>
      <c r="G3289" s="965"/>
      <c r="H3289" s="965"/>
      <c r="I3289" s="965"/>
      <c r="J3289" s="965"/>
      <c r="K3289" s="965"/>
      <c r="L3289" s="965"/>
      <c r="M3289" s="966"/>
      <c r="N3289" s="680">
        <f>ROUND(SUM(N3287,N3277,N3267,N3254),0)</f>
        <v>1357552</v>
      </c>
      <c r="O3289" s="362"/>
      <c r="Q3289" s="681">
        <f>VLOOKUP(C3243,PROPUESTASASERCO,8,FALSE)</f>
        <v>1357552</v>
      </c>
      <c r="R3289" s="682">
        <f>Q3289-N3289</f>
        <v>0</v>
      </c>
    </row>
    <row r="3290" spans="1:18" ht="15.75" customHeight="1">
      <c r="B3290" s="679"/>
      <c r="C3290" s="1129" t="s">
        <v>1220</v>
      </c>
      <c r="D3290" s="926"/>
      <c r="E3290" s="926"/>
      <c r="F3290" s="926"/>
      <c r="G3290" s="926"/>
      <c r="H3290" s="926"/>
      <c r="I3290" s="926"/>
      <c r="J3290" s="926"/>
      <c r="K3290" s="926"/>
      <c r="L3290" s="926"/>
      <c r="M3290" s="926"/>
      <c r="N3290" s="927"/>
      <c r="O3290" s="362"/>
    </row>
    <row r="3291" spans="1:18" ht="15.75" customHeight="1">
      <c r="B3291" s="679"/>
      <c r="C3291" s="920"/>
      <c r="D3291" s="922"/>
      <c r="E3291" s="922"/>
      <c r="F3291" s="922"/>
      <c r="G3291" s="922"/>
      <c r="H3291" s="922"/>
      <c r="I3291" s="922"/>
      <c r="J3291" s="922"/>
      <c r="K3291" s="922"/>
      <c r="L3291" s="922"/>
      <c r="M3291" s="922"/>
      <c r="N3291" s="924"/>
      <c r="O3291" s="362"/>
    </row>
    <row r="3292" spans="1:18" ht="15.75" customHeight="1">
      <c r="B3292" s="679"/>
      <c r="C3292" s="929"/>
      <c r="D3292" s="936"/>
      <c r="E3292" s="936"/>
      <c r="F3292" s="936"/>
      <c r="G3292" s="936"/>
      <c r="H3292" s="936"/>
      <c r="I3292" s="936"/>
      <c r="J3292" s="936"/>
      <c r="K3292" s="936"/>
      <c r="L3292" s="936"/>
      <c r="M3292" s="936"/>
      <c r="N3292" s="938"/>
      <c r="O3292" s="362"/>
    </row>
    <row r="3293" spans="1:18" ht="15.75" customHeight="1">
      <c r="B3293" s="679"/>
      <c r="C3293" s="1201" t="s">
        <v>1221</v>
      </c>
      <c r="D3293" s="1131"/>
      <c r="E3293" s="1131"/>
      <c r="F3293" s="1131"/>
      <c r="G3293" s="1131"/>
      <c r="H3293" s="1132"/>
      <c r="I3293" s="674"/>
      <c r="J3293" s="674"/>
      <c r="K3293" s="674"/>
      <c r="L3293" s="1206" t="s">
        <v>1222</v>
      </c>
      <c r="M3293" s="1000"/>
      <c r="N3293" s="678" t="s">
        <v>1223</v>
      </c>
      <c r="O3293" s="362"/>
    </row>
    <row r="3294" spans="1:18" ht="15.75" customHeight="1">
      <c r="B3294" s="679"/>
      <c r="C3294" s="1128" t="s">
        <v>19</v>
      </c>
      <c r="D3294" s="940"/>
      <c r="E3294" s="940"/>
      <c r="F3294" s="940"/>
      <c r="G3294" s="940"/>
      <c r="H3294" s="940"/>
      <c r="I3294" s="452"/>
      <c r="J3294" s="452"/>
      <c r="K3294" s="452"/>
      <c r="L3294" s="1148">
        <v>0</v>
      </c>
      <c r="M3294" s="941"/>
      <c r="N3294" s="430">
        <f>+L3294*N3289</f>
        <v>0</v>
      </c>
      <c r="O3294" s="362"/>
    </row>
    <row r="3295" spans="1:18" ht="15.75" customHeight="1">
      <c r="B3295" s="679"/>
      <c r="C3295" s="454" t="s">
        <v>20</v>
      </c>
      <c r="D3295" s="455"/>
      <c r="E3295" s="455"/>
      <c r="F3295" s="455"/>
      <c r="G3295" s="455"/>
      <c r="H3295" s="455"/>
      <c r="I3295" s="452"/>
      <c r="J3295" s="452"/>
      <c r="K3295" s="452"/>
      <c r="L3295" s="1148">
        <v>0</v>
      </c>
      <c r="M3295" s="941"/>
      <c r="N3295" s="430">
        <f>+L3295*N3289</f>
        <v>0</v>
      </c>
      <c r="O3295" s="362"/>
    </row>
    <row r="3296" spans="1:18" ht="15.75" customHeight="1">
      <c r="B3296" s="679"/>
      <c r="C3296" s="456" t="s">
        <v>21</v>
      </c>
      <c r="D3296" s="457"/>
      <c r="E3296" s="457"/>
      <c r="F3296" s="457"/>
      <c r="G3296" s="457"/>
      <c r="H3296" s="457"/>
      <c r="I3296" s="458"/>
      <c r="J3296" s="458"/>
      <c r="K3296" s="458"/>
      <c r="L3296" s="1148">
        <v>0</v>
      </c>
      <c r="M3296" s="941"/>
      <c r="N3296" s="430">
        <f>+L3296*N3289</f>
        <v>0</v>
      </c>
      <c r="O3296" s="362"/>
    </row>
    <row r="3297" spans="1:15" ht="15.75" customHeight="1">
      <c r="B3297" s="679"/>
      <c r="C3297" s="1127" t="s">
        <v>1202</v>
      </c>
      <c r="D3297" s="965"/>
      <c r="E3297" s="965"/>
      <c r="F3297" s="965"/>
      <c r="G3297" s="965"/>
      <c r="H3297" s="965"/>
      <c r="I3297" s="965"/>
      <c r="J3297" s="965"/>
      <c r="K3297" s="965"/>
      <c r="L3297" s="965"/>
      <c r="M3297" s="966"/>
      <c r="N3297" s="433">
        <f>+SUM(N3294:N3296)</f>
        <v>0</v>
      </c>
      <c r="O3297" s="362"/>
    </row>
    <row r="3298" spans="1:15" ht="15.75" customHeight="1">
      <c r="B3298" s="679"/>
      <c r="C3298" s="418"/>
      <c r="D3298" s="39"/>
      <c r="E3298" s="39"/>
      <c r="F3298" s="39"/>
      <c r="G3298" s="39"/>
      <c r="H3298" s="39"/>
      <c r="I3298" s="39"/>
      <c r="J3298" s="39"/>
      <c r="K3298" s="39"/>
      <c r="L3298" s="39"/>
      <c r="M3298" s="39"/>
      <c r="N3298" s="40"/>
      <c r="O3298" s="362"/>
    </row>
    <row r="3299" spans="1:15" ht="15.75" customHeight="1">
      <c r="B3299" s="679"/>
      <c r="C3299" s="1198" t="s">
        <v>1224</v>
      </c>
      <c r="D3299" s="965"/>
      <c r="E3299" s="965"/>
      <c r="F3299" s="965"/>
      <c r="G3299" s="965"/>
      <c r="H3299" s="965"/>
      <c r="I3299" s="965"/>
      <c r="J3299" s="965"/>
      <c r="K3299" s="965"/>
      <c r="L3299" s="965"/>
      <c r="M3299" s="966"/>
      <c r="N3299" s="683">
        <f>+ROUND(SUM(N3297,N3289),0)</f>
        <v>1357552</v>
      </c>
      <c r="O3299" s="362"/>
    </row>
    <row r="3300" spans="1:15" ht="15.75" customHeight="1">
      <c r="B3300" s="679"/>
      <c r="C3300" s="418"/>
      <c r="D3300" s="39" t="s">
        <v>1225</v>
      </c>
      <c r="E3300" s="39"/>
      <c r="F3300" s="39"/>
      <c r="G3300" s="184"/>
      <c r="H3300" s="184"/>
      <c r="I3300" s="184"/>
      <c r="J3300" s="39" t="s">
        <v>1225</v>
      </c>
      <c r="K3300" s="39"/>
      <c r="L3300" s="39"/>
      <c r="M3300" s="39"/>
      <c r="N3300" s="40"/>
      <c r="O3300" s="362"/>
    </row>
    <row r="3301" spans="1:15" ht="15.75" customHeight="1">
      <c r="B3301" s="679"/>
      <c r="C3301" s="418"/>
      <c r="D3301" s="39" t="s">
        <v>1226</v>
      </c>
      <c r="E3301" s="39"/>
      <c r="F3301" s="39"/>
      <c r="G3301" s="184"/>
      <c r="H3301" s="184"/>
      <c r="I3301" s="184"/>
      <c r="J3301" s="39" t="s">
        <v>1227</v>
      </c>
      <c r="K3301" s="39"/>
      <c r="L3301" s="39"/>
      <c r="M3301" s="39"/>
      <c r="N3301" s="40"/>
      <c r="O3301" s="362"/>
    </row>
    <row r="3302" spans="1:15" ht="15.75" customHeight="1">
      <c r="B3302" s="679"/>
      <c r="C3302" s="404"/>
      <c r="D3302" s="39" t="s">
        <v>1228</v>
      </c>
      <c r="E3302" s="42"/>
      <c r="F3302" s="42"/>
      <c r="G3302" s="184"/>
      <c r="H3302" s="184"/>
      <c r="I3302" s="184"/>
      <c r="J3302" s="39" t="s">
        <v>1228</v>
      </c>
      <c r="K3302" s="42"/>
      <c r="L3302" s="42"/>
      <c r="M3302" s="42"/>
      <c r="N3302" s="43"/>
      <c r="O3302" s="362"/>
    </row>
    <row r="3303" spans="1:15" ht="15.75" customHeight="1">
      <c r="B3303" s="679"/>
      <c r="C3303" s="418"/>
      <c r="D3303" s="39"/>
      <c r="E3303" s="39"/>
      <c r="F3303" s="39"/>
      <c r="G3303" s="39" t="s">
        <v>1229</v>
      </c>
      <c r="H3303" s="39"/>
      <c r="I3303" s="39"/>
      <c r="J3303" s="39"/>
      <c r="K3303" s="39"/>
      <c r="L3303" s="39"/>
      <c r="M3303" s="39"/>
      <c r="N3303" s="40"/>
      <c r="O3303" s="362"/>
    </row>
    <row r="3304" spans="1:15" ht="15.75" customHeight="1">
      <c r="B3304" s="679"/>
      <c r="C3304" s="466"/>
      <c r="D3304" s="467"/>
      <c r="E3304" s="467"/>
      <c r="F3304" s="39"/>
      <c r="G3304" s="39"/>
      <c r="H3304" s="39"/>
      <c r="I3304" s="39"/>
      <c r="J3304" s="1149"/>
      <c r="K3304" s="922"/>
      <c r="L3304" s="922"/>
      <c r="M3304" s="922"/>
      <c r="N3304" s="924"/>
      <c r="O3304" s="362"/>
    </row>
    <row r="3305" spans="1:15" ht="15.75" customHeight="1">
      <c r="B3305" s="679"/>
      <c r="C3305" s="1150"/>
      <c r="D3305" s="936"/>
      <c r="E3305" s="936"/>
      <c r="F3305" s="416"/>
      <c r="G3305" s="416"/>
      <c r="H3305" s="416"/>
      <c r="I3305" s="416"/>
      <c r="J3305" s="936"/>
      <c r="K3305" s="936"/>
      <c r="L3305" s="936"/>
      <c r="M3305" s="936"/>
      <c r="N3305" s="938"/>
      <c r="O3305" s="362"/>
    </row>
    <row r="3306" spans="1:15" ht="15.75" customHeight="1">
      <c r="B3306" s="684"/>
      <c r="C3306" s="685"/>
      <c r="D3306" s="685"/>
      <c r="E3306" s="685"/>
      <c r="F3306" s="685"/>
      <c r="G3306" s="685"/>
      <c r="H3306" s="685"/>
      <c r="I3306" s="685"/>
      <c r="J3306" s="685"/>
      <c r="K3306" s="685"/>
      <c r="L3306" s="685"/>
      <c r="M3306" s="685"/>
      <c r="N3306" s="685"/>
      <c r="O3306" s="686"/>
    </row>
    <row r="3307" spans="1:15" ht="15.75" customHeight="1"/>
    <row r="3308" spans="1:15" ht="15.75" customHeight="1"/>
    <row r="3309" spans="1:15" ht="15.75" customHeight="1"/>
    <row r="3310" spans="1:15" ht="15.75" customHeight="1">
      <c r="A3310" s="395" t="s">
        <v>941</v>
      </c>
      <c r="B3310" s="184"/>
      <c r="C3310" s="184"/>
      <c r="D3310" s="184"/>
      <c r="E3310" s="184"/>
      <c r="F3310" s="184"/>
      <c r="G3310" s="184"/>
      <c r="H3310" s="184"/>
      <c r="I3310" s="184"/>
      <c r="J3310" s="184"/>
      <c r="K3310" s="184"/>
      <c r="L3310" s="184"/>
      <c r="M3310" s="184"/>
      <c r="N3310" s="184"/>
    </row>
    <row r="3311" spans="1:15" ht="15.75" customHeight="1">
      <c r="A3311" s="395"/>
      <c r="B3311" s="396"/>
      <c r="C3311" s="397"/>
      <c r="D3311" s="397"/>
      <c r="E3311" s="397"/>
      <c r="F3311" s="397"/>
      <c r="G3311" s="397"/>
      <c r="H3311" s="397"/>
      <c r="I3311" s="397"/>
      <c r="J3311" s="397"/>
      <c r="K3311" s="397"/>
      <c r="L3311" s="397"/>
      <c r="M3311" s="397"/>
      <c r="N3311" s="397"/>
      <c r="O3311" s="667"/>
    </row>
    <row r="3312" spans="1:15" ht="15.75" customHeight="1">
      <c r="A3312" s="395"/>
      <c r="B3312" s="399"/>
      <c r="C3312" s="1124"/>
      <c r="D3312" s="927"/>
      <c r="E3312" s="1207" t="str">
        <f>Datos!$C$9</f>
        <v>CONSEJO SUPERIOR  DE  JUDICATURA– DIRECCIÓN  EJECUTIVA  SECCIONAL  DE ADMINISTRACIÓN JUDICIAL DE BUCARAMANGA</v>
      </c>
      <c r="F3312" s="926"/>
      <c r="G3312" s="926"/>
      <c r="H3312" s="926"/>
      <c r="I3312" s="926"/>
      <c r="J3312" s="926"/>
      <c r="K3312" s="927"/>
      <c r="L3312" s="925" t="s">
        <v>1</v>
      </c>
      <c r="M3312" s="931"/>
      <c r="N3312" s="933">
        <v>1</v>
      </c>
      <c r="O3312" s="362"/>
    </row>
    <row r="3313" spans="1:15" ht="15.75" customHeight="1">
      <c r="A3313" s="395"/>
      <c r="B3313" s="399"/>
      <c r="C3313" s="920"/>
      <c r="D3313" s="924"/>
      <c r="E3313" s="920"/>
      <c r="F3313" s="922"/>
      <c r="G3313" s="922"/>
      <c r="H3313" s="922"/>
      <c r="I3313" s="922"/>
      <c r="J3313" s="922"/>
      <c r="K3313" s="924"/>
      <c r="L3313" s="920"/>
      <c r="M3313" s="932"/>
      <c r="N3313" s="934"/>
      <c r="O3313" s="362"/>
    </row>
    <row r="3314" spans="1:15" ht="15.75" customHeight="1">
      <c r="A3314" s="395"/>
      <c r="B3314" s="399"/>
      <c r="C3314" s="920"/>
      <c r="D3314" s="924"/>
      <c r="E3314" s="919" t="str">
        <f>Datos!$C$13</f>
        <v xml:space="preserve">BGA - 030 - 2026 </v>
      </c>
      <c r="F3314" s="922"/>
      <c r="G3314" s="922"/>
      <c r="H3314" s="922"/>
      <c r="I3314" s="922"/>
      <c r="J3314" s="922"/>
      <c r="K3314" s="922"/>
      <c r="L3314" s="925" t="s">
        <v>29</v>
      </c>
      <c r="M3314" s="926"/>
      <c r="N3314" s="927"/>
      <c r="O3314" s="362"/>
    </row>
    <row r="3315" spans="1:15" ht="15.75" customHeight="1">
      <c r="A3315" s="395"/>
      <c r="B3315" s="399"/>
      <c r="C3315" s="920"/>
      <c r="D3315" s="924"/>
      <c r="E3315"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315" s="922"/>
      <c r="G3315" s="922"/>
      <c r="H3315" s="922"/>
      <c r="I3315" s="922"/>
      <c r="J3315" s="922"/>
      <c r="K3315" s="924"/>
      <c r="L3315" s="919">
        <v>1</v>
      </c>
      <c r="M3315" s="921" t="s">
        <v>30</v>
      </c>
      <c r="N3315" s="923">
        <v>1</v>
      </c>
      <c r="O3315" s="362"/>
    </row>
    <row r="3316" spans="1:15" ht="15.75" customHeight="1">
      <c r="A3316" s="395"/>
      <c r="B3316" s="399"/>
      <c r="C3316" s="920"/>
      <c r="D3316" s="924"/>
      <c r="E3316" s="920"/>
      <c r="F3316" s="922"/>
      <c r="G3316" s="922"/>
      <c r="H3316" s="922"/>
      <c r="I3316" s="922"/>
      <c r="J3316" s="922"/>
      <c r="K3316" s="924"/>
      <c r="L3316" s="920"/>
      <c r="M3316" s="922"/>
      <c r="N3316" s="924"/>
      <c r="O3316" s="362"/>
    </row>
    <row r="3317" spans="1:15" ht="65.25" customHeight="1">
      <c r="A3317" s="395"/>
      <c r="B3317" s="399"/>
      <c r="C3317" s="920"/>
      <c r="D3317" s="924"/>
      <c r="E3317" s="920"/>
      <c r="F3317" s="922"/>
      <c r="G3317" s="922"/>
      <c r="H3317" s="922"/>
      <c r="I3317" s="922"/>
      <c r="J3317" s="922"/>
      <c r="K3317" s="924"/>
      <c r="L3317" s="925" t="s">
        <v>2</v>
      </c>
      <c r="M3317" s="926"/>
      <c r="N3317" s="927"/>
      <c r="O3317" s="362"/>
    </row>
    <row r="3318" spans="1:15" ht="15.75" customHeight="1">
      <c r="A3318" s="395"/>
      <c r="B3318" s="399"/>
      <c r="C3318" s="920"/>
      <c r="D3318" s="924"/>
      <c r="E3318" s="407"/>
      <c r="F3318" s="216"/>
      <c r="G3318" s="216"/>
      <c r="H3318" s="216"/>
      <c r="I3318" s="216"/>
      <c r="J3318" s="216"/>
      <c r="K3318" s="216"/>
      <c r="L3318" s="408" t="s">
        <v>3</v>
      </c>
      <c r="M3318" s="409" t="s">
        <v>4</v>
      </c>
      <c r="N3318" s="410" t="s">
        <v>5</v>
      </c>
      <c r="O3318" s="362"/>
    </row>
    <row r="3319" spans="1:15" ht="15.75" customHeight="1">
      <c r="A3319" s="395"/>
      <c r="B3319" s="399"/>
      <c r="C3319" s="920"/>
      <c r="D3319" s="924"/>
      <c r="E3319" s="1125" t="s">
        <v>1186</v>
      </c>
      <c r="F3319" s="945"/>
      <c r="G3319" s="945"/>
      <c r="H3319" s="945"/>
      <c r="I3319" s="945"/>
      <c r="J3319" s="945"/>
      <c r="K3319" s="945"/>
      <c r="L3319" s="928">
        <f>Datos!$C$7</f>
        <v>19</v>
      </c>
      <c r="M3319" s="935">
        <f>Datos!$D$7</f>
        <v>6</v>
      </c>
      <c r="N3319" s="937">
        <f>Datos!$E$7</f>
        <v>2026</v>
      </c>
      <c r="O3319" s="362"/>
    </row>
    <row r="3320" spans="1:15" ht="15.75" customHeight="1">
      <c r="A3320" s="395"/>
      <c r="B3320" s="399"/>
      <c r="C3320" s="929"/>
      <c r="D3320" s="938"/>
      <c r="E3320" s="929"/>
      <c r="F3320" s="936"/>
      <c r="G3320" s="936"/>
      <c r="H3320" s="936"/>
      <c r="I3320" s="936"/>
      <c r="J3320" s="936"/>
      <c r="K3320" s="936"/>
      <c r="L3320" s="929"/>
      <c r="M3320" s="936"/>
      <c r="N3320" s="938"/>
      <c r="O3320" s="362"/>
    </row>
    <row r="3321" spans="1:15" ht="15.75" customHeight="1">
      <c r="A3321" s="395"/>
      <c r="B3321" s="399"/>
      <c r="C3321" s="404"/>
      <c r="D3321" s="38"/>
      <c r="E3321" s="38"/>
      <c r="F3321" s="38"/>
      <c r="G3321" s="38"/>
      <c r="H3321" s="38"/>
      <c r="I3321" s="38"/>
      <c r="J3321" s="38"/>
      <c r="K3321" s="38"/>
      <c r="L3321" s="39"/>
      <c r="M3321" s="39"/>
      <c r="N3321" s="40"/>
      <c r="O3321" s="362"/>
    </row>
    <row r="3322" spans="1:15" ht="15.75" customHeight="1">
      <c r="A3322" s="395"/>
      <c r="B3322" s="399"/>
      <c r="C3322" s="412" t="s">
        <v>1187</v>
      </c>
      <c r="D3322" s="1199" t="str">
        <f>VLOOKUP(C3327,ListaAct,2,0)</f>
        <v>OBRA CIVIL</v>
      </c>
      <c r="E3322" s="922"/>
      <c r="F3322" s="922"/>
      <c r="G3322" s="922"/>
      <c r="H3322" s="922"/>
      <c r="I3322" s="922"/>
      <c r="J3322" s="922"/>
      <c r="K3322" s="922"/>
      <c r="L3322" s="922"/>
      <c r="M3322" s="1"/>
      <c r="N3322" s="413"/>
      <c r="O3322" s="362"/>
    </row>
    <row r="3323" spans="1:15" ht="15.75" customHeight="1">
      <c r="A3323" s="395"/>
      <c r="B3323" s="399"/>
      <c r="C3323" s="412" t="s">
        <v>1189</v>
      </c>
      <c r="D3323" s="1199" t="str">
        <f>VLOOKUP(C3327,ListaAct,3,0)</f>
        <v>OTRAS ACTIVIDADES Y/O SERVICIOS REQUERIDOS (SIN AIU)</v>
      </c>
      <c r="E3323" s="922"/>
      <c r="F3323" s="922"/>
      <c r="G3323" s="922"/>
      <c r="H3323" s="922"/>
      <c r="I3323" s="922"/>
      <c r="J3323" s="922"/>
      <c r="K3323" s="922"/>
      <c r="L3323" s="922"/>
      <c r="M3323" s="1"/>
      <c r="N3323" s="413"/>
      <c r="O3323" s="362"/>
    </row>
    <row r="3324" spans="1:15" ht="15.75" customHeight="1">
      <c r="A3324" s="395"/>
      <c r="B3324" s="399"/>
      <c r="C3324" s="925" t="s">
        <v>1191</v>
      </c>
      <c r="D3324" s="926"/>
      <c r="E3324" s="926"/>
      <c r="F3324" s="926"/>
      <c r="G3324" s="926"/>
      <c r="H3324" s="926"/>
      <c r="I3324" s="926"/>
      <c r="J3324" s="926"/>
      <c r="K3324" s="926"/>
      <c r="L3324" s="926"/>
      <c r="M3324" s="926"/>
      <c r="N3324" s="927"/>
      <c r="O3324" s="362"/>
    </row>
    <row r="3325" spans="1:15" ht="15.75" customHeight="1">
      <c r="A3325" s="395"/>
      <c r="B3325" s="399"/>
      <c r="C3325" s="418"/>
      <c r="D3325" s="39"/>
      <c r="E3325" s="39"/>
      <c r="F3325" s="39"/>
      <c r="G3325" s="39"/>
      <c r="H3325" s="39"/>
      <c r="I3325" s="39"/>
      <c r="J3325" s="39"/>
      <c r="K3325" s="39"/>
      <c r="L3325" s="39"/>
      <c r="M3325" s="39"/>
      <c r="N3325" s="40"/>
      <c r="O3325" s="362"/>
    </row>
    <row r="3326" spans="1:15" ht="15.75" customHeight="1">
      <c r="A3326" s="395"/>
      <c r="B3326" s="399"/>
      <c r="C3326" s="668" t="s">
        <v>965</v>
      </c>
      <c r="D3326" s="1200" t="s">
        <v>17</v>
      </c>
      <c r="E3326" s="1131"/>
      <c r="F3326" s="1131"/>
      <c r="G3326" s="1131"/>
      <c r="H3326" s="1131"/>
      <c r="I3326" s="1131"/>
      <c r="J3326" s="1131"/>
      <c r="K3326" s="1137"/>
      <c r="L3326" s="1201" t="s">
        <v>1192</v>
      </c>
      <c r="M3326" s="1137"/>
      <c r="N3326" s="668" t="s">
        <v>950</v>
      </c>
      <c r="O3326" s="362"/>
    </row>
    <row r="3327" spans="1:15" ht="15.75" customHeight="1">
      <c r="A3327" s="395"/>
      <c r="B3327" s="421"/>
      <c r="C3327" s="669" t="s">
        <v>1175</v>
      </c>
      <c r="D3327" s="1202" t="str">
        <f>IF($C3327&gt;0,(VLOOKUP($C3327,ListaAct,4,FALSE)),"")</f>
        <v xml:space="preserve"> Suministro e instalación de medidas de seguridad en movilidad tales como avisos, conos, captafaro nocturno, entre otros que garanticen la movilidad en la esquina de la carrera 6 y calle 2. </v>
      </c>
      <c r="E3327" s="979"/>
      <c r="F3327" s="979"/>
      <c r="G3327" s="979"/>
      <c r="H3327" s="979"/>
      <c r="I3327" s="979"/>
      <c r="J3327" s="979"/>
      <c r="K3327" s="980"/>
      <c r="L3327" s="1203" t="str">
        <f>IF($C3327&gt;0,(VLOOKUP($C3327,ListaAct,5,FALSE)),"")</f>
        <v>glb</v>
      </c>
      <c r="M3327" s="980"/>
      <c r="N3327" s="423">
        <f>IF($C3327&gt;0,(VLOOKUP($C3327,ListaAct,6,FALSE)),"")</f>
        <v>1</v>
      </c>
      <c r="O3327" s="362"/>
    </row>
    <row r="3328" spans="1:15" ht="15.75" customHeight="1">
      <c r="A3328" s="395"/>
      <c r="B3328" s="399"/>
      <c r="C3328" s="1129" t="s">
        <v>1195</v>
      </c>
      <c r="D3328" s="926"/>
      <c r="E3328" s="926"/>
      <c r="F3328" s="926"/>
      <c r="G3328" s="926"/>
      <c r="H3328" s="926"/>
      <c r="I3328" s="926"/>
      <c r="J3328" s="926"/>
      <c r="K3328" s="926"/>
      <c r="L3328" s="926"/>
      <c r="M3328" s="926"/>
      <c r="N3328" s="927"/>
      <c r="O3328" s="362"/>
    </row>
    <row r="3329" spans="1:15" ht="15.75" customHeight="1">
      <c r="A3329" s="395"/>
      <c r="B3329" s="399"/>
      <c r="C3329" s="920"/>
      <c r="D3329" s="922"/>
      <c r="E3329" s="922"/>
      <c r="F3329" s="922"/>
      <c r="G3329" s="922"/>
      <c r="H3329" s="922"/>
      <c r="I3329" s="922"/>
      <c r="J3329" s="922"/>
      <c r="K3329" s="922"/>
      <c r="L3329" s="922"/>
      <c r="M3329" s="922"/>
      <c r="N3329" s="924"/>
      <c r="O3329" s="362"/>
    </row>
    <row r="3330" spans="1:15" ht="15.75" customHeight="1">
      <c r="A3330" s="395"/>
      <c r="B3330" s="399"/>
      <c r="C3330" s="929"/>
      <c r="D3330" s="936"/>
      <c r="E3330" s="936"/>
      <c r="F3330" s="936"/>
      <c r="G3330" s="936"/>
      <c r="H3330" s="936"/>
      <c r="I3330" s="936"/>
      <c r="J3330" s="936"/>
      <c r="K3330" s="936"/>
      <c r="L3330" s="936"/>
      <c r="M3330" s="936"/>
      <c r="N3330" s="938"/>
      <c r="O3330" s="362"/>
    </row>
    <row r="3331" spans="1:15" ht="15.75" customHeight="1">
      <c r="A3331" s="395"/>
      <c r="B3331" s="399"/>
      <c r="C3331" s="1201" t="s">
        <v>17</v>
      </c>
      <c r="D3331" s="1131"/>
      <c r="E3331" s="1131"/>
      <c r="F3331" s="1000"/>
      <c r="G3331" s="1204" t="s">
        <v>1196</v>
      </c>
      <c r="H3331" s="1000"/>
      <c r="I3331" s="1204" t="s">
        <v>1197</v>
      </c>
      <c r="J3331" s="1000"/>
      <c r="K3331" s="670" t="s">
        <v>1213</v>
      </c>
      <c r="L3331" s="1204" t="s">
        <v>1199</v>
      </c>
      <c r="M3331" s="1000"/>
      <c r="N3331" s="671" t="s">
        <v>1200</v>
      </c>
      <c r="O3331" s="362"/>
    </row>
    <row r="3332" spans="1:15" ht="15.75" customHeight="1">
      <c r="A3332" s="395"/>
      <c r="B3332" s="399"/>
      <c r="C3332" s="1128" t="s">
        <v>1201</v>
      </c>
      <c r="D3332" s="940"/>
      <c r="E3332" s="940"/>
      <c r="F3332" s="941"/>
      <c r="G3332" s="1142"/>
      <c r="H3332" s="941"/>
      <c r="I3332" s="1142"/>
      <c r="J3332" s="941"/>
      <c r="K3332" s="429"/>
      <c r="L3332" s="1143">
        <v>0.06</v>
      </c>
      <c r="M3332" s="941"/>
      <c r="N3332" s="430">
        <f>+L3332*N3371</f>
        <v>3972.6060561298818</v>
      </c>
      <c r="O3332" s="362"/>
    </row>
    <row r="3333" spans="1:15" ht="15.75" customHeight="1">
      <c r="A3333" s="395">
        <f t="array" ref="A3333">IF(C3333&lt;&gt;0,INDEX(CodEquipos,MATCH(C3333,Equipos,0),),)</f>
        <v>0</v>
      </c>
      <c r="B3333" s="399"/>
      <c r="C3333" s="1128"/>
      <c r="D3333" s="940"/>
      <c r="E3333" s="940"/>
      <c r="F3333" s="941"/>
      <c r="G3333" s="1142"/>
      <c r="H3333" s="941"/>
      <c r="I3333" s="1142"/>
      <c r="J3333" s="941"/>
      <c r="K3333" s="432" t="str">
        <f>IF($A3333&gt;0,(VLOOKUP($A3333,TablaEquipos,7,FALSE)),"")</f>
        <v/>
      </c>
      <c r="L3333" s="1146"/>
      <c r="M3333" s="941"/>
      <c r="N3333" s="430" t="str">
        <f t="shared" ref="N3333:N3337" si="247">IF(L3333&gt;0,K3333/L3333,"")</f>
        <v/>
      </c>
      <c r="O3333" s="362"/>
    </row>
    <row r="3334" spans="1:15" ht="15.75" customHeight="1">
      <c r="A3334" s="395">
        <f t="array" ref="A3334">IF(C3334&lt;&gt;0,INDEX(CodEquipos,MATCH(C3334,Equipos,0),),)</f>
        <v>0</v>
      </c>
      <c r="B3334" s="399"/>
      <c r="C3334" s="1128"/>
      <c r="D3334" s="940"/>
      <c r="E3334" s="940"/>
      <c r="F3334" s="941"/>
      <c r="G3334" s="1142"/>
      <c r="H3334" s="941"/>
      <c r="I3334" s="1142"/>
      <c r="J3334" s="941"/>
      <c r="K3334" s="432" t="str">
        <f>IF($A3334&gt;0,(VLOOKUP($A3334,TablaEquipos,7,FALSE)),"")</f>
        <v/>
      </c>
      <c r="L3334" s="1146"/>
      <c r="M3334" s="941"/>
      <c r="N3334" s="430" t="str">
        <f t="shared" si="247"/>
        <v/>
      </c>
      <c r="O3334" s="362"/>
    </row>
    <row r="3335" spans="1:15" ht="15.75" customHeight="1">
      <c r="A3335" s="395">
        <f t="array" ref="A3335">IF(C3335&lt;&gt;0,INDEX(CodEquipos,MATCH(C3335,Equipos,0),),)</f>
        <v>0</v>
      </c>
      <c r="B3335" s="399"/>
      <c r="C3335" s="1128"/>
      <c r="D3335" s="940"/>
      <c r="E3335" s="940"/>
      <c r="F3335" s="941"/>
      <c r="G3335" s="1142"/>
      <c r="H3335" s="941"/>
      <c r="I3335" s="1142"/>
      <c r="J3335" s="941"/>
      <c r="K3335" s="432" t="str">
        <f>IF($A3335&gt;0,(VLOOKUP($A3335,TablaEquipos,7,FALSE)),"")</f>
        <v/>
      </c>
      <c r="L3335" s="1146"/>
      <c r="M3335" s="941"/>
      <c r="N3335" s="430" t="str">
        <f t="shared" si="247"/>
        <v/>
      </c>
      <c r="O3335" s="362"/>
    </row>
    <row r="3336" spans="1:15" ht="15.75" customHeight="1">
      <c r="A3336" s="395">
        <f t="array" ref="A3336">IF(C3336&lt;&gt;0,INDEX(CodEquipos,MATCH(C3336,Equipos,0),),)</f>
        <v>0</v>
      </c>
      <c r="B3336" s="399"/>
      <c r="C3336" s="1128"/>
      <c r="D3336" s="940"/>
      <c r="E3336" s="940"/>
      <c r="F3336" s="941"/>
      <c r="G3336" s="1142"/>
      <c r="H3336" s="941"/>
      <c r="I3336" s="1142"/>
      <c r="J3336" s="941"/>
      <c r="K3336" s="432" t="str">
        <f>IF($A3336&gt;0,(VLOOKUP($A3336,TablaEquipos,7,FALSE)),"")</f>
        <v/>
      </c>
      <c r="L3336" s="1141"/>
      <c r="M3336" s="941"/>
      <c r="N3336" s="430" t="str">
        <f t="shared" si="247"/>
        <v/>
      </c>
      <c r="O3336" s="362"/>
    </row>
    <row r="3337" spans="1:15" ht="15.75" customHeight="1">
      <c r="A3337" s="395">
        <f t="array" ref="A3337">IF(C3337&lt;&gt;0,INDEX(CodEquipos,MATCH(C3337,Equipos,0),),)</f>
        <v>0</v>
      </c>
      <c r="B3337" s="399"/>
      <c r="C3337" s="1128"/>
      <c r="D3337" s="940"/>
      <c r="E3337" s="940"/>
      <c r="F3337" s="941"/>
      <c r="G3337" s="1144"/>
      <c r="H3337" s="1145"/>
      <c r="I3337" s="1144"/>
      <c r="J3337" s="1145"/>
      <c r="K3337" s="432" t="str">
        <f>IF($A3337&gt;0,(VLOOKUP($A3337,TablaEquipos,7,FALSE)),"")</f>
        <v/>
      </c>
      <c r="L3337" s="1208"/>
      <c r="M3337" s="1145"/>
      <c r="N3337" s="430" t="str">
        <f t="shared" si="247"/>
        <v/>
      </c>
      <c r="O3337" s="362"/>
    </row>
    <row r="3338" spans="1:15" ht="15.75" customHeight="1">
      <c r="A3338" s="395"/>
      <c r="B3338" s="399"/>
      <c r="C3338" s="1127" t="s">
        <v>1202</v>
      </c>
      <c r="D3338" s="965"/>
      <c r="E3338" s="965"/>
      <c r="F3338" s="965"/>
      <c r="G3338" s="965"/>
      <c r="H3338" s="965"/>
      <c r="I3338" s="965"/>
      <c r="J3338" s="965"/>
      <c r="K3338" s="965"/>
      <c r="L3338" s="965"/>
      <c r="M3338" s="966"/>
      <c r="N3338" s="433">
        <f>+SUM(N3332:N3337)</f>
        <v>3972.6060561298818</v>
      </c>
      <c r="O3338" s="362"/>
    </row>
    <row r="3339" spans="1:15" ht="15.75" customHeight="1">
      <c r="A3339" s="395"/>
      <c r="B3339" s="399"/>
      <c r="C3339" s="1129" t="s">
        <v>1203</v>
      </c>
      <c r="D3339" s="926"/>
      <c r="E3339" s="926"/>
      <c r="F3339" s="926"/>
      <c r="G3339" s="926"/>
      <c r="H3339" s="926"/>
      <c r="I3339" s="926"/>
      <c r="J3339" s="926"/>
      <c r="K3339" s="926"/>
      <c r="L3339" s="926"/>
      <c r="M3339" s="926"/>
      <c r="N3339" s="927"/>
      <c r="O3339" s="362"/>
    </row>
    <row r="3340" spans="1:15" ht="15.75" customHeight="1">
      <c r="A3340" s="395"/>
      <c r="B3340" s="399"/>
      <c r="C3340" s="920"/>
      <c r="D3340" s="922"/>
      <c r="E3340" s="922"/>
      <c r="F3340" s="922"/>
      <c r="G3340" s="922"/>
      <c r="H3340" s="922"/>
      <c r="I3340" s="922"/>
      <c r="J3340" s="922"/>
      <c r="K3340" s="922"/>
      <c r="L3340" s="922"/>
      <c r="M3340" s="922"/>
      <c r="N3340" s="924"/>
      <c r="O3340" s="362"/>
    </row>
    <row r="3341" spans="1:15" ht="15.75" customHeight="1">
      <c r="A3341" s="395"/>
      <c r="B3341" s="399"/>
      <c r="C3341" s="929"/>
      <c r="D3341" s="936"/>
      <c r="E3341" s="936"/>
      <c r="F3341" s="936"/>
      <c r="G3341" s="936"/>
      <c r="H3341" s="936"/>
      <c r="I3341" s="936"/>
      <c r="J3341" s="936"/>
      <c r="K3341" s="936"/>
      <c r="L3341" s="936"/>
      <c r="M3341" s="936"/>
      <c r="N3341" s="938"/>
      <c r="O3341" s="362"/>
    </row>
    <row r="3342" spans="1:15" ht="15.75" customHeight="1">
      <c r="A3342" s="395"/>
      <c r="B3342" s="399"/>
      <c r="C3342" s="1201" t="s">
        <v>17</v>
      </c>
      <c r="D3342" s="1131"/>
      <c r="E3342" s="1131"/>
      <c r="F3342" s="1131"/>
      <c r="G3342" s="1131"/>
      <c r="H3342" s="1131"/>
      <c r="I3342" s="1000"/>
      <c r="J3342" s="672" t="s">
        <v>1192</v>
      </c>
      <c r="K3342" s="670" t="s">
        <v>950</v>
      </c>
      <c r="L3342" s="1204" t="s">
        <v>1204</v>
      </c>
      <c r="M3342" s="1000"/>
      <c r="N3342" s="671" t="s">
        <v>1200</v>
      </c>
      <c r="O3342" s="362"/>
    </row>
    <row r="3343" spans="1:15" ht="15.75" customHeight="1">
      <c r="A3343" s="395" t="str">
        <f t="array" ref="A3343">IF(C3343&lt;&gt;0,INDEX(CodMat,MATCH(C3343,Materiales,0),),)</f>
        <v>MAT_C-78</v>
      </c>
      <c r="B3343" s="399"/>
      <c r="C3343" s="1210" t="s">
        <v>1432</v>
      </c>
      <c r="D3343" s="940"/>
      <c r="E3343" s="940"/>
      <c r="F3343" s="940"/>
      <c r="G3343" s="940"/>
      <c r="H3343" s="940"/>
      <c r="I3343" s="941"/>
      <c r="J3343" s="435" t="str">
        <f t="shared" ref="J3343:J3350" si="248">IF($A3343&gt;0,(VLOOKUP($A3343,TablaInsumos,5,FALSE)),"")</f>
        <v>UND</v>
      </c>
      <c r="K3343" s="673">
        <v>2</v>
      </c>
      <c r="L3343" s="1209">
        <f t="shared" ref="L3343:L3350" si="249">IF($A3343&gt;0,(VLOOKUP($A3343,TablaInsumos,7,FALSE)),"")</f>
        <v>215000</v>
      </c>
      <c r="M3343" s="941"/>
      <c r="N3343" s="430">
        <f t="shared" ref="N3343:N3350" si="250">IF(K3343&gt;0,L3343*K3343,"")</f>
        <v>430000</v>
      </c>
      <c r="O3343" s="362"/>
    </row>
    <row r="3344" spans="1:15" ht="15.75" customHeight="1">
      <c r="A3344" s="395" t="str">
        <f t="array" ref="A3344">IF(C3344&lt;&gt;0,INDEX(CodMat,MATCH(C3344,Materiales,0),),)</f>
        <v>MAT_C-99</v>
      </c>
      <c r="B3344" s="399"/>
      <c r="C3344" s="1128" t="s">
        <v>2592</v>
      </c>
      <c r="D3344" s="940"/>
      <c r="E3344" s="940"/>
      <c r="F3344" s="940"/>
      <c r="G3344" s="940"/>
      <c r="H3344" s="940"/>
      <c r="I3344" s="941"/>
      <c r="J3344" s="435" t="str">
        <f t="shared" si="248"/>
        <v>UND</v>
      </c>
      <c r="K3344" s="673">
        <v>3</v>
      </c>
      <c r="L3344" s="1134">
        <f t="shared" si="249"/>
        <v>215000</v>
      </c>
      <c r="M3344" s="941"/>
      <c r="N3344" s="430">
        <f t="shared" si="250"/>
        <v>645000</v>
      </c>
      <c r="O3344" s="362"/>
    </row>
    <row r="3345" spans="1:15" ht="15.75" customHeight="1">
      <c r="A3345" s="395" t="str">
        <f t="array" ref="A3345">IF(C3345&lt;&gt;0,INDEX(CodMat,MATCH(C3345,Materiales,0),),)</f>
        <v>MAT_C-100</v>
      </c>
      <c r="B3345" s="399"/>
      <c r="C3345" s="1128" t="s">
        <v>2593</v>
      </c>
      <c r="D3345" s="940"/>
      <c r="E3345" s="940"/>
      <c r="F3345" s="940"/>
      <c r="G3345" s="940"/>
      <c r="H3345" s="940"/>
      <c r="I3345" s="941"/>
      <c r="J3345" s="435" t="str">
        <f t="shared" si="248"/>
        <v>UND</v>
      </c>
      <c r="K3345" s="673">
        <v>2</v>
      </c>
      <c r="L3345" s="1134">
        <f t="shared" si="249"/>
        <v>705000</v>
      </c>
      <c r="M3345" s="941"/>
      <c r="N3345" s="430">
        <f t="shared" si="250"/>
        <v>1410000</v>
      </c>
      <c r="O3345" s="362"/>
    </row>
    <row r="3346" spans="1:15" ht="15.75" customHeight="1">
      <c r="A3346" s="395" t="str">
        <f t="array" ref="A3346">IF(C3346&lt;&gt;0,INDEX(CodMat,MATCH(C3346,Materiales,0),),)</f>
        <v>MAT_C-101</v>
      </c>
      <c r="B3346" s="399"/>
      <c r="C3346" s="1128" t="s">
        <v>2594</v>
      </c>
      <c r="D3346" s="940"/>
      <c r="E3346" s="940"/>
      <c r="F3346" s="940"/>
      <c r="G3346" s="940"/>
      <c r="H3346" s="940"/>
      <c r="I3346" s="941"/>
      <c r="J3346" s="435" t="str">
        <f t="shared" si="248"/>
        <v>UND</v>
      </c>
      <c r="K3346" s="673">
        <v>3</v>
      </c>
      <c r="L3346" s="1134">
        <f t="shared" si="249"/>
        <v>50500</v>
      </c>
      <c r="M3346" s="941"/>
      <c r="N3346" s="430">
        <f t="shared" si="250"/>
        <v>151500</v>
      </c>
      <c r="O3346" s="362"/>
    </row>
    <row r="3347" spans="1:15" ht="15.75" customHeight="1">
      <c r="A3347" s="395">
        <f t="array" ref="A3347">IF(C3347&lt;&gt;0,INDEX(CodMat,MATCH(C3347,Materiales,0),),)</f>
        <v>0</v>
      </c>
      <c r="B3347" s="399"/>
      <c r="C3347" s="1128"/>
      <c r="D3347" s="940"/>
      <c r="E3347" s="940"/>
      <c r="F3347" s="940"/>
      <c r="G3347" s="940"/>
      <c r="H3347" s="940"/>
      <c r="I3347" s="941"/>
      <c r="J3347" s="435" t="str">
        <f t="shared" si="248"/>
        <v/>
      </c>
      <c r="K3347" s="673"/>
      <c r="L3347" s="1134" t="str">
        <f t="shared" si="249"/>
        <v/>
      </c>
      <c r="M3347" s="941"/>
      <c r="N3347" s="430" t="str">
        <f t="shared" si="250"/>
        <v/>
      </c>
      <c r="O3347" s="362"/>
    </row>
    <row r="3348" spans="1:15" ht="15.75" customHeight="1">
      <c r="A3348" s="395">
        <f t="array" ref="A3348">IF(C3348&lt;&gt;0,INDEX(CodMat,MATCH(C3348,Materiales,0),),)</f>
        <v>0</v>
      </c>
      <c r="B3348" s="399"/>
      <c r="C3348" s="1211"/>
      <c r="D3348" s="940"/>
      <c r="E3348" s="940"/>
      <c r="F3348" s="940"/>
      <c r="G3348" s="940"/>
      <c r="H3348" s="940"/>
      <c r="I3348" s="941"/>
      <c r="J3348" s="435" t="str">
        <f t="shared" si="248"/>
        <v/>
      </c>
      <c r="K3348" s="673"/>
      <c r="L3348" s="1134" t="str">
        <f t="shared" si="249"/>
        <v/>
      </c>
      <c r="M3348" s="941"/>
      <c r="N3348" s="430" t="str">
        <f t="shared" si="250"/>
        <v/>
      </c>
      <c r="O3348" s="362"/>
    </row>
    <row r="3349" spans="1:15" ht="15.75" customHeight="1">
      <c r="A3349" s="395">
        <f t="array" ref="A3349">IF(C3349&lt;&gt;0,INDEX(CodMat,MATCH(C3349,Materiales,0),),)</f>
        <v>0</v>
      </c>
      <c r="B3349" s="399"/>
      <c r="C3349" s="1128"/>
      <c r="D3349" s="940"/>
      <c r="E3349" s="940"/>
      <c r="F3349" s="940"/>
      <c r="G3349" s="940"/>
      <c r="H3349" s="940"/>
      <c r="I3349" s="941"/>
      <c r="J3349" s="435" t="str">
        <f t="shared" si="248"/>
        <v/>
      </c>
      <c r="K3349" s="673"/>
      <c r="L3349" s="1134" t="str">
        <f t="shared" si="249"/>
        <v/>
      </c>
      <c r="M3349" s="941"/>
      <c r="N3349" s="430" t="str">
        <f t="shared" si="250"/>
        <v/>
      </c>
      <c r="O3349" s="362"/>
    </row>
    <row r="3350" spans="1:15" ht="15.75" customHeight="1">
      <c r="A3350" s="395">
        <f t="array" ref="A3350">IF(C3350&lt;&gt;0,INDEX(CodMat,MATCH(C3350,Materiales,0),),)</f>
        <v>0</v>
      </c>
      <c r="B3350" s="399"/>
      <c r="C3350" s="1128"/>
      <c r="D3350" s="940"/>
      <c r="E3350" s="940"/>
      <c r="F3350" s="940"/>
      <c r="G3350" s="940"/>
      <c r="H3350" s="940"/>
      <c r="I3350" s="941"/>
      <c r="J3350" s="435" t="str">
        <f t="shared" si="248"/>
        <v/>
      </c>
      <c r="K3350" s="673"/>
      <c r="L3350" s="1205" t="str">
        <f t="shared" si="249"/>
        <v/>
      </c>
      <c r="M3350" s="1145"/>
      <c r="N3350" s="430" t="str">
        <f t="shared" si="250"/>
        <v/>
      </c>
      <c r="O3350" s="362"/>
    </row>
    <row r="3351" spans="1:15" ht="15.75" customHeight="1">
      <c r="A3351" s="395"/>
      <c r="B3351" s="399"/>
      <c r="C3351" s="1127" t="s">
        <v>1202</v>
      </c>
      <c r="D3351" s="965"/>
      <c r="E3351" s="965"/>
      <c r="F3351" s="965"/>
      <c r="G3351" s="965"/>
      <c r="H3351" s="965"/>
      <c r="I3351" s="965"/>
      <c r="J3351" s="965"/>
      <c r="K3351" s="965"/>
      <c r="L3351" s="965"/>
      <c r="M3351" s="966"/>
      <c r="N3351" s="433">
        <f>+SUM(N3343:N3350)</f>
        <v>2636500</v>
      </c>
      <c r="O3351" s="362"/>
    </row>
    <row r="3352" spans="1:15" ht="15.75" customHeight="1">
      <c r="A3352" s="395"/>
      <c r="B3352" s="399"/>
      <c r="C3352" s="1129" t="s">
        <v>1208</v>
      </c>
      <c r="D3352" s="926"/>
      <c r="E3352" s="926"/>
      <c r="F3352" s="926"/>
      <c r="G3352" s="926"/>
      <c r="H3352" s="926"/>
      <c r="I3352" s="926"/>
      <c r="J3352" s="926"/>
      <c r="K3352" s="926"/>
      <c r="L3352" s="926"/>
      <c r="M3352" s="926"/>
      <c r="N3352" s="927"/>
      <c r="O3352" s="362"/>
    </row>
    <row r="3353" spans="1:15" ht="15.75" customHeight="1">
      <c r="A3353" s="395"/>
      <c r="B3353" s="399"/>
      <c r="C3353" s="920"/>
      <c r="D3353" s="922"/>
      <c r="E3353" s="922"/>
      <c r="F3353" s="922"/>
      <c r="G3353" s="922"/>
      <c r="H3353" s="922"/>
      <c r="I3353" s="922"/>
      <c r="J3353" s="922"/>
      <c r="K3353" s="922"/>
      <c r="L3353" s="922"/>
      <c r="M3353" s="922"/>
      <c r="N3353" s="924"/>
      <c r="O3353" s="362"/>
    </row>
    <row r="3354" spans="1:15" ht="15.75" customHeight="1">
      <c r="A3354" s="395"/>
      <c r="B3354" s="399"/>
      <c r="C3354" s="929"/>
      <c r="D3354" s="936"/>
      <c r="E3354" s="936"/>
      <c r="F3354" s="936"/>
      <c r="G3354" s="936"/>
      <c r="H3354" s="936"/>
      <c r="I3354" s="936"/>
      <c r="J3354" s="936"/>
      <c r="K3354" s="936"/>
      <c r="L3354" s="936"/>
      <c r="M3354" s="936"/>
      <c r="N3354" s="938"/>
      <c r="O3354" s="362"/>
    </row>
    <row r="3355" spans="1:15" ht="15.75" customHeight="1">
      <c r="A3355" s="395"/>
      <c r="B3355" s="399"/>
      <c r="C3355" s="1201" t="s">
        <v>1209</v>
      </c>
      <c r="D3355" s="1131"/>
      <c r="E3355" s="1131"/>
      <c r="F3355" s="1131"/>
      <c r="G3355" s="1131"/>
      <c r="H3355" s="1000"/>
      <c r="I3355" s="670" t="s">
        <v>1210</v>
      </c>
      <c r="J3355" s="674" t="s">
        <v>1211</v>
      </c>
      <c r="K3355" s="675" t="s">
        <v>2318</v>
      </c>
      <c r="L3355" s="1204" t="s">
        <v>1213</v>
      </c>
      <c r="M3355" s="1000"/>
      <c r="N3355" s="671" t="s">
        <v>1200</v>
      </c>
      <c r="O3355" s="362"/>
    </row>
    <row r="3356" spans="1:15" ht="15.75" customHeight="1">
      <c r="A3356" s="395">
        <f t="array" ref="A3356">IF(C3356&lt;&gt;0,INDEX(CodTransporte,MATCH(C3356,Transporte,0),),)</f>
        <v>0</v>
      </c>
      <c r="B3356" s="399"/>
      <c r="C3356" s="1128"/>
      <c r="D3356" s="940"/>
      <c r="E3356" s="940"/>
      <c r="F3356" s="940"/>
      <c r="G3356" s="940"/>
      <c r="H3356" s="940"/>
      <c r="I3356" s="440"/>
      <c r="J3356" s="690"/>
      <c r="K3356" s="442" t="str">
        <f>IF($A3356&gt;0,(VLOOKUP($A3356,TablaTransporte,5,FALSE)),"")</f>
        <v/>
      </c>
      <c r="L3356" s="1134" t="str">
        <f>IF($A3356&gt;0,(VLOOKUP($A3356,TablaTransporte,7,FALSE)),"")</f>
        <v/>
      </c>
      <c r="M3356" s="941"/>
      <c r="N3356" s="430" t="str">
        <f t="shared" ref="N3356:N3360" si="251">IF(I3356&gt;0,J3356*L3356*I3356,"")</f>
        <v/>
      </c>
      <c r="O3356" s="362"/>
    </row>
    <row r="3357" spans="1:15" ht="15.75" customHeight="1">
      <c r="A3357" s="395">
        <f t="array" ref="A3357">IF(C3357&lt;&gt;0,INDEX(CodTransporte,MATCH(C3357,Transporte,0),),)</f>
        <v>0</v>
      </c>
      <c r="B3357" s="399"/>
      <c r="C3357" s="1128"/>
      <c r="D3357" s="940"/>
      <c r="E3357" s="940"/>
      <c r="F3357" s="940"/>
      <c r="G3357" s="940"/>
      <c r="H3357" s="940"/>
      <c r="I3357" s="440"/>
      <c r="J3357" s="690"/>
      <c r="K3357" s="442" t="str">
        <f>IF($A3357&gt;0,(VLOOKUP($A3357,TablaTransporte,5,FALSE)),"")</f>
        <v/>
      </c>
      <c r="L3357" s="1134" t="str">
        <f>IF($A3357&gt;0,(VLOOKUP($A3357,TablaTransporte,7,FALSE)),"")</f>
        <v/>
      </c>
      <c r="M3357" s="941"/>
      <c r="N3357" s="430" t="str">
        <f t="shared" si="251"/>
        <v/>
      </c>
      <c r="O3357" s="362"/>
    </row>
    <row r="3358" spans="1:15" ht="15.75" customHeight="1">
      <c r="A3358" s="395">
        <f t="array" ref="A3358">IF(C3358&lt;&gt;0,INDEX(CodTransporte,MATCH(C3358,Transporte,0),),)</f>
        <v>0</v>
      </c>
      <c r="B3358" s="399"/>
      <c r="C3358" s="1128"/>
      <c r="D3358" s="940"/>
      <c r="E3358" s="940"/>
      <c r="F3358" s="940"/>
      <c r="G3358" s="940"/>
      <c r="H3358" s="940"/>
      <c r="I3358" s="440"/>
      <c r="J3358" s="441" t="str">
        <f>IF($A3358&gt;0,(VLOOKUP($A3358,TablaTransporte,6,FALSE)),"")</f>
        <v/>
      </c>
      <c r="K3358" s="442" t="str">
        <f>IF($A3358&gt;0,(VLOOKUP($A3358,TablaTransporte,5,FALSE)),"")</f>
        <v/>
      </c>
      <c r="L3358" s="1134" t="str">
        <f>IF($A3358&gt;0,(VLOOKUP($A3358,TablaTransporte,7,FALSE)),"")</f>
        <v/>
      </c>
      <c r="M3358" s="941"/>
      <c r="N3358" s="430" t="str">
        <f t="shared" si="251"/>
        <v/>
      </c>
      <c r="O3358" s="362"/>
    </row>
    <row r="3359" spans="1:15" ht="15.75" customHeight="1">
      <c r="A3359" s="395">
        <f t="array" ref="A3359">IF(C3359&lt;&gt;0,INDEX(CodTransporte,MATCH(C3359,Transporte,0),),)</f>
        <v>0</v>
      </c>
      <c r="B3359" s="399"/>
      <c r="C3359" s="1128"/>
      <c r="D3359" s="940"/>
      <c r="E3359" s="940"/>
      <c r="F3359" s="940"/>
      <c r="G3359" s="940"/>
      <c r="H3359" s="940"/>
      <c r="I3359" s="440"/>
      <c r="J3359" s="441" t="str">
        <f>IF($A3359&gt;0,(VLOOKUP($A3359,TablaTransporte,6,FALSE)),"")</f>
        <v/>
      </c>
      <c r="K3359" s="442" t="str">
        <f>IF($A3359&gt;0,(VLOOKUP($A3359,TablaTransporte,5,FALSE)),"")</f>
        <v/>
      </c>
      <c r="L3359" s="1134" t="str">
        <f>IF($A3359&gt;0,(VLOOKUP($A3359,TablaTransporte,7,FALSE)),"")</f>
        <v/>
      </c>
      <c r="M3359" s="941"/>
      <c r="N3359" s="430" t="str">
        <f t="shared" si="251"/>
        <v/>
      </c>
      <c r="O3359" s="362"/>
    </row>
    <row r="3360" spans="1:15" ht="15.75" customHeight="1">
      <c r="A3360" s="395">
        <f t="array" ref="A3360">IF(C3360&lt;&gt;0,INDEX(CodTransporte,MATCH(C3360,Transporte,0),),)</f>
        <v>0</v>
      </c>
      <c r="B3360" s="399"/>
      <c r="C3360" s="1128"/>
      <c r="D3360" s="940"/>
      <c r="E3360" s="940"/>
      <c r="F3360" s="940"/>
      <c r="G3360" s="940"/>
      <c r="H3360" s="940"/>
      <c r="I3360" s="440"/>
      <c r="J3360" s="441" t="str">
        <f>IF($A3360&gt;0,(VLOOKUP($A3360,TablaTransporte,6,FALSE)),"")</f>
        <v/>
      </c>
      <c r="K3360" s="442" t="str">
        <f>IF($A3360&gt;0,(VLOOKUP($A3360,TablaTransporte,5,FALSE)),"")</f>
        <v/>
      </c>
      <c r="L3360" s="1205" t="str">
        <f>IF($A3360&gt;0,(VLOOKUP($A3360,TablaTransporte,7,FALSE)),"")</f>
        <v/>
      </c>
      <c r="M3360" s="1145"/>
      <c r="N3360" s="430" t="str">
        <f t="shared" si="251"/>
        <v/>
      </c>
      <c r="O3360" s="362"/>
    </row>
    <row r="3361" spans="1:18" ht="15.75" customHeight="1">
      <c r="A3361" s="395"/>
      <c r="B3361" s="399"/>
      <c r="C3361" s="1127" t="s">
        <v>1202</v>
      </c>
      <c r="D3361" s="965"/>
      <c r="E3361" s="965"/>
      <c r="F3361" s="965"/>
      <c r="G3361" s="965"/>
      <c r="H3361" s="965"/>
      <c r="I3361" s="965"/>
      <c r="J3361" s="965"/>
      <c r="K3361" s="965"/>
      <c r="L3361" s="965"/>
      <c r="M3361" s="966"/>
      <c r="N3361" s="433">
        <f>+SUM(N3356:N3360)</f>
        <v>0</v>
      </c>
      <c r="O3361" s="362"/>
    </row>
    <row r="3362" spans="1:18" ht="15.75" customHeight="1">
      <c r="A3362" s="395"/>
      <c r="B3362" s="399"/>
      <c r="C3362" s="1129" t="s">
        <v>1214</v>
      </c>
      <c r="D3362" s="926"/>
      <c r="E3362" s="926"/>
      <c r="F3362" s="926"/>
      <c r="G3362" s="926"/>
      <c r="H3362" s="926"/>
      <c r="I3362" s="926"/>
      <c r="J3362" s="926"/>
      <c r="K3362" s="926"/>
      <c r="L3362" s="926"/>
      <c r="M3362" s="926"/>
      <c r="N3362" s="927"/>
      <c r="O3362" s="362"/>
    </row>
    <row r="3363" spans="1:18" ht="15.75" customHeight="1">
      <c r="A3363" s="395"/>
      <c r="B3363" s="399"/>
      <c r="C3363" s="920"/>
      <c r="D3363" s="922"/>
      <c r="E3363" s="922"/>
      <c r="F3363" s="922"/>
      <c r="G3363" s="922"/>
      <c r="H3363" s="922"/>
      <c r="I3363" s="922"/>
      <c r="J3363" s="922"/>
      <c r="K3363" s="922"/>
      <c r="L3363" s="922"/>
      <c r="M3363" s="922"/>
      <c r="N3363" s="924"/>
      <c r="O3363" s="362"/>
    </row>
    <row r="3364" spans="1:18" ht="15.75" customHeight="1">
      <c r="A3364" s="395"/>
      <c r="B3364" s="399"/>
      <c r="C3364" s="929"/>
      <c r="D3364" s="936"/>
      <c r="E3364" s="936"/>
      <c r="F3364" s="936"/>
      <c r="G3364" s="936"/>
      <c r="H3364" s="936"/>
      <c r="I3364" s="936"/>
      <c r="J3364" s="936"/>
      <c r="K3364" s="936"/>
      <c r="L3364" s="936"/>
      <c r="M3364" s="936"/>
      <c r="N3364" s="938"/>
      <c r="O3364" s="362"/>
    </row>
    <row r="3365" spans="1:18" ht="15.75" customHeight="1">
      <c r="A3365" s="395"/>
      <c r="B3365" s="399"/>
      <c r="C3365" s="1201" t="s">
        <v>1215</v>
      </c>
      <c r="D3365" s="1131"/>
      <c r="E3365" s="1131"/>
      <c r="F3365" s="1131"/>
      <c r="G3365" s="1131"/>
      <c r="H3365" s="1000"/>
      <c r="I3365" s="670" t="s">
        <v>1216</v>
      </c>
      <c r="J3365" s="676" t="s">
        <v>1217</v>
      </c>
      <c r="K3365" s="677" t="s">
        <v>1218</v>
      </c>
      <c r="L3365" s="1206" t="s">
        <v>1199</v>
      </c>
      <c r="M3365" s="1000"/>
      <c r="N3365" s="678" t="s">
        <v>1200</v>
      </c>
      <c r="O3365" s="362"/>
    </row>
    <row r="3366" spans="1:18" ht="15.75" customHeight="1">
      <c r="A3366" s="395" t="str">
        <f t="array" ref="A3366">IF(C3366&lt;&gt;0,INDEX(CodMO,MATCH(C3366,MO,0),),)</f>
        <v>M.O-05</v>
      </c>
      <c r="B3366" s="399"/>
      <c r="C3366" s="1128" t="s">
        <v>139</v>
      </c>
      <c r="D3366" s="940"/>
      <c r="E3366" s="940"/>
      <c r="F3366" s="940"/>
      <c r="G3366" s="940"/>
      <c r="H3366" s="940"/>
      <c r="I3366" s="447">
        <f>IF($A3366&gt;0,(VLOOKUP($A3366,TablaMO,8,FALSE)),"")</f>
        <v>125030.16666666667</v>
      </c>
      <c r="J3366" s="448">
        <f>IF($A3366&gt;0,(VLOOKUP($A3366,TablaMO,10,FALSE)),"")</f>
        <v>0.67071666666666663</v>
      </c>
      <c r="K3366" s="447">
        <f>IF($A3366&gt;0,(VLOOKUP($A3366,TablaMO,11,FALSE)),"")</f>
        <v>208890</v>
      </c>
      <c r="L3366" s="1146">
        <v>9.968932091540168</v>
      </c>
      <c r="M3366" s="941"/>
      <c r="N3366" s="430">
        <f t="shared" ref="N3366:N3370" si="252">IF(L3366&gt;0,K3366/L3366,"")</f>
        <v>20954.100006084722</v>
      </c>
      <c r="O3366" s="362"/>
    </row>
    <row r="3367" spans="1:18" ht="15.75" customHeight="1">
      <c r="A3367" s="395" t="str">
        <f t="array" ref="A3367">IF(C3367&lt;&gt;0,INDEX(CodMO,MATCH(C3367,MO,0),),)</f>
        <v>M.O-06</v>
      </c>
      <c r="B3367" s="399"/>
      <c r="C3367" s="1128" t="s">
        <v>141</v>
      </c>
      <c r="D3367" s="940"/>
      <c r="E3367" s="940"/>
      <c r="F3367" s="940"/>
      <c r="G3367" s="940"/>
      <c r="H3367" s="940"/>
      <c r="I3367" s="447">
        <f>IF($A3367&gt;0,(VLOOKUP($A3367,TablaMO,8,FALSE)),"")</f>
        <v>125030.16666666667</v>
      </c>
      <c r="J3367" s="448">
        <f>IF($A3367&gt;0,(VLOOKUP($A3367,TablaMO,10,FALSE)),"")</f>
        <v>0.67071666666666663</v>
      </c>
      <c r="K3367" s="447">
        <f>IF($A3367&gt;0,(VLOOKUP($A3367,TablaMO,11,FALSE)),"")</f>
        <v>208890</v>
      </c>
      <c r="L3367" s="1146">
        <f>L3366</f>
        <v>9.968932091540168</v>
      </c>
      <c r="M3367" s="941"/>
      <c r="N3367" s="430">
        <f t="shared" si="252"/>
        <v>20954.100006084722</v>
      </c>
      <c r="O3367" s="362"/>
    </row>
    <row r="3368" spans="1:18" ht="15.75" customHeight="1">
      <c r="A3368" s="395" t="str">
        <f t="array" ref="A3368">IF(C3368&lt;&gt;0,INDEX(CodMO,MATCH(C3368,MO,0),),)</f>
        <v>M.O-01</v>
      </c>
      <c r="B3368" s="399"/>
      <c r="C3368" s="1128" t="s">
        <v>130</v>
      </c>
      <c r="D3368" s="940"/>
      <c r="E3368" s="940"/>
      <c r="F3368" s="940"/>
      <c r="G3368" s="940"/>
      <c r="H3368" s="940"/>
      <c r="I3368" s="447">
        <f>IF($A3368&gt;0,(VLOOKUP($A3368,TablaMO,8,FALSE)),"")</f>
        <v>72503.016666666677</v>
      </c>
      <c r="J3368" s="448">
        <f>IF($A3368&gt;0,(VLOOKUP($A3368,TablaMO,10,FALSE)),"")</f>
        <v>0.67071666666666663</v>
      </c>
      <c r="K3368" s="447">
        <f>IF($A3368&gt;0,(VLOOKUP($A3368,TablaMO,11,FALSE)),"")</f>
        <v>121132</v>
      </c>
      <c r="L3368" s="1146">
        <f>L3366</f>
        <v>9.968932091540168</v>
      </c>
      <c r="M3368" s="941"/>
      <c r="N3368" s="430">
        <f t="shared" si="252"/>
        <v>12150.950461664293</v>
      </c>
      <c r="O3368" s="362"/>
    </row>
    <row r="3369" spans="1:18" ht="15.75" customHeight="1">
      <c r="A3369" s="395" t="str">
        <f t="array" ref="A3369">IF(C3369&lt;&gt;0,INDEX(CodMO,MATCH(C3369,MO,0),),)</f>
        <v>M.O-02</v>
      </c>
      <c r="B3369" s="399"/>
      <c r="C3369" s="1128" t="s">
        <v>133</v>
      </c>
      <c r="D3369" s="940"/>
      <c r="E3369" s="940"/>
      <c r="F3369" s="940"/>
      <c r="G3369" s="940"/>
      <c r="H3369" s="940"/>
      <c r="I3369" s="447">
        <f>IF($A3369&gt;0,(VLOOKUP($A3369,TablaMO,8,FALSE)),"")</f>
        <v>72503.016666666677</v>
      </c>
      <c r="J3369" s="448">
        <f>IF($A3369&gt;0,(VLOOKUP($A3369,TablaMO,10,FALSE)),"")</f>
        <v>0.67071666666666663</v>
      </c>
      <c r="K3369" s="447">
        <f>IF($A3369&gt;0,(VLOOKUP($A3369,TablaMO,11,FALSE)),"")</f>
        <v>121132</v>
      </c>
      <c r="L3369" s="1146">
        <f>L3366</f>
        <v>9.968932091540168</v>
      </c>
      <c r="M3369" s="941"/>
      <c r="N3369" s="430">
        <f t="shared" si="252"/>
        <v>12150.950461664293</v>
      </c>
      <c r="O3369" s="362"/>
    </row>
    <row r="3370" spans="1:18" ht="15.75" customHeight="1">
      <c r="A3370" s="395">
        <f t="array" ref="A3370">IF(C3370&lt;&gt;0,INDEX(CodMO,MATCH(C3370,MO,0),),)</f>
        <v>0</v>
      </c>
      <c r="B3370" s="399"/>
      <c r="C3370" s="1128"/>
      <c r="D3370" s="940"/>
      <c r="E3370" s="940"/>
      <c r="F3370" s="940"/>
      <c r="G3370" s="940"/>
      <c r="H3370" s="940"/>
      <c r="I3370" s="447" t="str">
        <f>IF($A3370&gt;0,(VLOOKUP($A3370,TablaMO,8,FALSE)),"")</f>
        <v/>
      </c>
      <c r="J3370" s="448" t="str">
        <f>IF($A3370&gt;0,(VLOOKUP($A3370,TablaMO,10,FALSE)),"")</f>
        <v/>
      </c>
      <c r="K3370" s="447" t="str">
        <f>IF($A3370&gt;0,(VLOOKUP($A3370,TablaMO,11,FALSE)),"")</f>
        <v/>
      </c>
      <c r="L3370" s="1146"/>
      <c r="M3370" s="941"/>
      <c r="N3370" s="430" t="str">
        <f t="shared" si="252"/>
        <v/>
      </c>
      <c r="O3370" s="362"/>
    </row>
    <row r="3371" spans="1:18" ht="15.75" customHeight="1">
      <c r="A3371" s="395"/>
      <c r="B3371" s="399"/>
      <c r="C3371" s="1127" t="s">
        <v>1202</v>
      </c>
      <c r="D3371" s="965"/>
      <c r="E3371" s="965"/>
      <c r="F3371" s="965"/>
      <c r="G3371" s="965"/>
      <c r="H3371" s="965"/>
      <c r="I3371" s="965"/>
      <c r="J3371" s="965"/>
      <c r="K3371" s="965"/>
      <c r="L3371" s="965"/>
      <c r="M3371" s="966"/>
      <c r="N3371" s="433">
        <f>+SUM(N3366:N3370)</f>
        <v>66210.100935498034</v>
      </c>
      <c r="O3371" s="362"/>
    </row>
    <row r="3372" spans="1:18" ht="15.75" customHeight="1">
      <c r="B3372" s="679"/>
      <c r="O3372" s="362"/>
    </row>
    <row r="3373" spans="1:18" ht="15.75" customHeight="1">
      <c r="B3373" s="679"/>
      <c r="C3373" s="1198" t="s">
        <v>1219</v>
      </c>
      <c r="D3373" s="965"/>
      <c r="E3373" s="965"/>
      <c r="F3373" s="965"/>
      <c r="G3373" s="965"/>
      <c r="H3373" s="965"/>
      <c r="I3373" s="965"/>
      <c r="J3373" s="965"/>
      <c r="K3373" s="965"/>
      <c r="L3373" s="965"/>
      <c r="M3373" s="966"/>
      <c r="N3373" s="680">
        <f>ROUND(SUM(N3371,N3361,N3351,N3338),0)</f>
        <v>2706683</v>
      </c>
      <c r="O3373" s="362"/>
      <c r="Q3373" s="681">
        <f>VLOOKUP(C3327,PROPUESTASASERCO,8,FALSE)</f>
        <v>2706683</v>
      </c>
      <c r="R3373" s="682">
        <f>Q3373-N3373</f>
        <v>0</v>
      </c>
    </row>
    <row r="3374" spans="1:18" ht="15.75" customHeight="1">
      <c r="B3374" s="679"/>
      <c r="C3374" s="1129" t="s">
        <v>1220</v>
      </c>
      <c r="D3374" s="926"/>
      <c r="E3374" s="926"/>
      <c r="F3374" s="926"/>
      <c r="G3374" s="926"/>
      <c r="H3374" s="926"/>
      <c r="I3374" s="926"/>
      <c r="J3374" s="926"/>
      <c r="K3374" s="926"/>
      <c r="L3374" s="926"/>
      <c r="M3374" s="926"/>
      <c r="N3374" s="927"/>
      <c r="O3374" s="362"/>
    </row>
    <row r="3375" spans="1:18" ht="15.75" customHeight="1">
      <c r="B3375" s="679"/>
      <c r="C3375" s="920"/>
      <c r="D3375" s="922"/>
      <c r="E3375" s="922"/>
      <c r="F3375" s="922"/>
      <c r="G3375" s="922"/>
      <c r="H3375" s="922"/>
      <c r="I3375" s="922"/>
      <c r="J3375" s="922"/>
      <c r="K3375" s="922"/>
      <c r="L3375" s="922"/>
      <c r="M3375" s="922"/>
      <c r="N3375" s="924"/>
      <c r="O3375" s="362"/>
    </row>
    <row r="3376" spans="1:18" ht="15.75" customHeight="1">
      <c r="B3376" s="679"/>
      <c r="C3376" s="929"/>
      <c r="D3376" s="936"/>
      <c r="E3376" s="936"/>
      <c r="F3376" s="936"/>
      <c r="G3376" s="936"/>
      <c r="H3376" s="936"/>
      <c r="I3376" s="936"/>
      <c r="J3376" s="936"/>
      <c r="K3376" s="936"/>
      <c r="L3376" s="936"/>
      <c r="M3376" s="936"/>
      <c r="N3376" s="938"/>
      <c r="O3376" s="362"/>
    </row>
    <row r="3377" spans="2:15" ht="15.75" customHeight="1">
      <c r="B3377" s="679"/>
      <c r="C3377" s="1201" t="s">
        <v>1221</v>
      </c>
      <c r="D3377" s="1131"/>
      <c r="E3377" s="1131"/>
      <c r="F3377" s="1131"/>
      <c r="G3377" s="1131"/>
      <c r="H3377" s="1132"/>
      <c r="I3377" s="674"/>
      <c r="J3377" s="674"/>
      <c r="K3377" s="674"/>
      <c r="L3377" s="1206" t="s">
        <v>1222</v>
      </c>
      <c r="M3377" s="1000"/>
      <c r="N3377" s="678" t="s">
        <v>1223</v>
      </c>
      <c r="O3377" s="362"/>
    </row>
    <row r="3378" spans="2:15" ht="15.75" customHeight="1">
      <c r="B3378" s="679"/>
      <c r="C3378" s="1128" t="s">
        <v>19</v>
      </c>
      <c r="D3378" s="940"/>
      <c r="E3378" s="940"/>
      <c r="F3378" s="940"/>
      <c r="G3378" s="940"/>
      <c r="H3378" s="940"/>
      <c r="I3378" s="452"/>
      <c r="J3378" s="452"/>
      <c r="K3378" s="452"/>
      <c r="L3378" s="1148">
        <v>0</v>
      </c>
      <c r="M3378" s="941"/>
      <c r="N3378" s="430">
        <f>+L3378*N3373</f>
        <v>0</v>
      </c>
      <c r="O3378" s="362"/>
    </row>
    <row r="3379" spans="2:15" ht="15.75" customHeight="1">
      <c r="B3379" s="679"/>
      <c r="C3379" s="454" t="s">
        <v>20</v>
      </c>
      <c r="D3379" s="455"/>
      <c r="E3379" s="455"/>
      <c r="F3379" s="455"/>
      <c r="G3379" s="455"/>
      <c r="H3379" s="455"/>
      <c r="I3379" s="452"/>
      <c r="J3379" s="452"/>
      <c r="K3379" s="452"/>
      <c r="L3379" s="1148">
        <v>0</v>
      </c>
      <c r="M3379" s="941"/>
      <c r="N3379" s="430">
        <f>+L3379*N3373</f>
        <v>0</v>
      </c>
      <c r="O3379" s="362"/>
    </row>
    <row r="3380" spans="2:15" ht="15.75" customHeight="1">
      <c r="B3380" s="679"/>
      <c r="C3380" s="456" t="s">
        <v>21</v>
      </c>
      <c r="D3380" s="457"/>
      <c r="E3380" s="457"/>
      <c r="F3380" s="457"/>
      <c r="G3380" s="457"/>
      <c r="H3380" s="457"/>
      <c r="I3380" s="458"/>
      <c r="J3380" s="458"/>
      <c r="K3380" s="458"/>
      <c r="L3380" s="1148">
        <v>0</v>
      </c>
      <c r="M3380" s="941"/>
      <c r="N3380" s="430">
        <f>+L3380*N3373</f>
        <v>0</v>
      </c>
      <c r="O3380" s="362"/>
    </row>
    <row r="3381" spans="2:15" ht="15.75" customHeight="1">
      <c r="B3381" s="679"/>
      <c r="C3381" s="1127" t="s">
        <v>1202</v>
      </c>
      <c r="D3381" s="965"/>
      <c r="E3381" s="965"/>
      <c r="F3381" s="965"/>
      <c r="G3381" s="965"/>
      <c r="H3381" s="965"/>
      <c r="I3381" s="965"/>
      <c r="J3381" s="965"/>
      <c r="K3381" s="965"/>
      <c r="L3381" s="965"/>
      <c r="M3381" s="966"/>
      <c r="N3381" s="433">
        <f>+SUM(N3378:N3380)</f>
        <v>0</v>
      </c>
      <c r="O3381" s="362"/>
    </row>
    <row r="3382" spans="2:15" ht="15.75" customHeight="1">
      <c r="B3382" s="679"/>
      <c r="C3382" s="418"/>
      <c r="D3382" s="39"/>
      <c r="E3382" s="39"/>
      <c r="F3382" s="39"/>
      <c r="G3382" s="39"/>
      <c r="H3382" s="39"/>
      <c r="I3382" s="39"/>
      <c r="J3382" s="39"/>
      <c r="K3382" s="39"/>
      <c r="L3382" s="39"/>
      <c r="M3382" s="39"/>
      <c r="N3382" s="40"/>
      <c r="O3382" s="362"/>
    </row>
    <row r="3383" spans="2:15" ht="15.75" customHeight="1">
      <c r="B3383" s="679"/>
      <c r="C3383" s="1198" t="s">
        <v>1224</v>
      </c>
      <c r="D3383" s="965"/>
      <c r="E3383" s="965"/>
      <c r="F3383" s="965"/>
      <c r="G3383" s="965"/>
      <c r="H3383" s="965"/>
      <c r="I3383" s="965"/>
      <c r="J3383" s="965"/>
      <c r="K3383" s="965"/>
      <c r="L3383" s="965"/>
      <c r="M3383" s="966"/>
      <c r="N3383" s="683">
        <f>+ROUND(SUM(N3381,N3373),0)</f>
        <v>2706683</v>
      </c>
      <c r="O3383" s="362"/>
    </row>
    <row r="3384" spans="2:15" ht="15.75" customHeight="1">
      <c r="B3384" s="679"/>
      <c r="C3384" s="418"/>
      <c r="D3384" s="39" t="s">
        <v>1225</v>
      </c>
      <c r="E3384" s="39"/>
      <c r="F3384" s="39"/>
      <c r="G3384" s="184"/>
      <c r="H3384" s="184"/>
      <c r="I3384" s="184"/>
      <c r="J3384" s="39" t="s">
        <v>1225</v>
      </c>
      <c r="K3384" s="39"/>
      <c r="L3384" s="39"/>
      <c r="M3384" s="39"/>
      <c r="N3384" s="40"/>
      <c r="O3384" s="362"/>
    </row>
    <row r="3385" spans="2:15" ht="15.75" customHeight="1">
      <c r="B3385" s="679"/>
      <c r="C3385" s="418"/>
      <c r="D3385" s="39" t="s">
        <v>1226</v>
      </c>
      <c r="E3385" s="39"/>
      <c r="F3385" s="39"/>
      <c r="G3385" s="184"/>
      <c r="H3385" s="184"/>
      <c r="I3385" s="184"/>
      <c r="J3385" s="39" t="s">
        <v>1227</v>
      </c>
      <c r="K3385" s="39"/>
      <c r="L3385" s="39"/>
      <c r="M3385" s="39"/>
      <c r="N3385" s="40"/>
      <c r="O3385" s="362"/>
    </row>
    <row r="3386" spans="2:15" ht="15.75" customHeight="1">
      <c r="B3386" s="679"/>
      <c r="C3386" s="404"/>
      <c r="D3386" s="39" t="s">
        <v>1228</v>
      </c>
      <c r="E3386" s="42"/>
      <c r="F3386" s="42"/>
      <c r="G3386" s="184"/>
      <c r="H3386" s="184"/>
      <c r="I3386" s="184"/>
      <c r="J3386" s="39" t="s">
        <v>1228</v>
      </c>
      <c r="K3386" s="42"/>
      <c r="L3386" s="42"/>
      <c r="M3386" s="42"/>
      <c r="N3386" s="43"/>
      <c r="O3386" s="362"/>
    </row>
    <row r="3387" spans="2:15" ht="15.75" customHeight="1">
      <c r="B3387" s="679"/>
      <c r="C3387" s="418"/>
      <c r="D3387" s="39"/>
      <c r="E3387" s="39"/>
      <c r="F3387" s="39"/>
      <c r="G3387" s="39" t="s">
        <v>1229</v>
      </c>
      <c r="H3387" s="39"/>
      <c r="I3387" s="39"/>
      <c r="J3387" s="39"/>
      <c r="K3387" s="39"/>
      <c r="L3387" s="39"/>
      <c r="M3387" s="39"/>
      <c r="N3387" s="40"/>
      <c r="O3387" s="362"/>
    </row>
    <row r="3388" spans="2:15" ht="15.75" customHeight="1">
      <c r="B3388" s="679"/>
      <c r="C3388" s="466"/>
      <c r="D3388" s="467"/>
      <c r="E3388" s="467"/>
      <c r="F3388" s="39"/>
      <c r="G3388" s="39"/>
      <c r="H3388" s="39"/>
      <c r="I3388" s="39"/>
      <c r="J3388" s="1149"/>
      <c r="K3388" s="922"/>
      <c r="L3388" s="922"/>
      <c r="M3388" s="922"/>
      <c r="N3388" s="924"/>
      <c r="O3388" s="362"/>
    </row>
    <row r="3389" spans="2:15" ht="15.75" customHeight="1">
      <c r="B3389" s="679"/>
      <c r="C3389" s="1150"/>
      <c r="D3389" s="936"/>
      <c r="E3389" s="936"/>
      <c r="F3389" s="416"/>
      <c r="G3389" s="416"/>
      <c r="H3389" s="416"/>
      <c r="I3389" s="416"/>
      <c r="J3389" s="936"/>
      <c r="K3389" s="936"/>
      <c r="L3389" s="936"/>
      <c r="M3389" s="936"/>
      <c r="N3389" s="938"/>
      <c r="O3389" s="362"/>
    </row>
    <row r="3390" spans="2:15" ht="15.75" customHeight="1">
      <c r="B3390" s="684"/>
      <c r="C3390" s="685"/>
      <c r="D3390" s="685"/>
      <c r="E3390" s="685"/>
      <c r="F3390" s="685"/>
      <c r="G3390" s="685"/>
      <c r="H3390" s="685"/>
      <c r="I3390" s="685"/>
      <c r="J3390" s="685"/>
      <c r="K3390" s="685"/>
      <c r="L3390" s="685"/>
      <c r="M3390" s="685"/>
      <c r="N3390" s="685"/>
      <c r="O3390" s="686"/>
    </row>
    <row r="3391" spans="2:15" ht="15.75" customHeight="1"/>
    <row r="3392" spans="2:15" ht="15.75" customHeight="1"/>
    <row r="3393" spans="1:15" ht="15.75" customHeight="1"/>
    <row r="3394" spans="1:15" ht="15.75" customHeight="1">
      <c r="A3394" s="395" t="s">
        <v>941</v>
      </c>
      <c r="B3394" s="184"/>
      <c r="C3394" s="184"/>
      <c r="D3394" s="184"/>
      <c r="E3394" s="184"/>
      <c r="F3394" s="184"/>
      <c r="G3394" s="184"/>
      <c r="H3394" s="184"/>
      <c r="I3394" s="184"/>
      <c r="J3394" s="184"/>
      <c r="K3394" s="184"/>
      <c r="L3394" s="184"/>
      <c r="M3394" s="184"/>
      <c r="N3394" s="184"/>
    </row>
    <row r="3395" spans="1:15" ht="15.75" customHeight="1">
      <c r="A3395" s="395"/>
      <c r="B3395" s="396"/>
      <c r="C3395" s="397"/>
      <c r="D3395" s="397"/>
      <c r="E3395" s="397"/>
      <c r="F3395" s="397"/>
      <c r="G3395" s="397"/>
      <c r="H3395" s="397"/>
      <c r="I3395" s="397"/>
      <c r="J3395" s="397"/>
      <c r="K3395" s="397"/>
      <c r="L3395" s="397"/>
      <c r="M3395" s="397"/>
      <c r="N3395" s="397"/>
      <c r="O3395" s="667"/>
    </row>
    <row r="3396" spans="1:15" ht="15.75" customHeight="1">
      <c r="A3396" s="395"/>
      <c r="B3396" s="399"/>
      <c r="C3396" s="1124"/>
      <c r="D3396" s="927"/>
      <c r="E3396" s="1207" t="str">
        <f>Datos!$C$9</f>
        <v>CONSEJO SUPERIOR  DE  JUDICATURA– DIRECCIÓN  EJECUTIVA  SECCIONAL  DE ADMINISTRACIÓN JUDICIAL DE BUCARAMANGA</v>
      </c>
      <c r="F3396" s="926"/>
      <c r="G3396" s="926"/>
      <c r="H3396" s="926"/>
      <c r="I3396" s="926"/>
      <c r="J3396" s="926"/>
      <c r="K3396" s="927"/>
      <c r="L3396" s="925" t="s">
        <v>1</v>
      </c>
      <c r="M3396" s="931"/>
      <c r="N3396" s="933">
        <v>1</v>
      </c>
      <c r="O3396" s="362"/>
    </row>
    <row r="3397" spans="1:15" ht="15.75" customHeight="1">
      <c r="A3397" s="395"/>
      <c r="B3397" s="399"/>
      <c r="C3397" s="920"/>
      <c r="D3397" s="924"/>
      <c r="E3397" s="920"/>
      <c r="F3397" s="922"/>
      <c r="G3397" s="922"/>
      <c r="H3397" s="922"/>
      <c r="I3397" s="922"/>
      <c r="J3397" s="922"/>
      <c r="K3397" s="924"/>
      <c r="L3397" s="920"/>
      <c r="M3397" s="932"/>
      <c r="N3397" s="934"/>
      <c r="O3397" s="362"/>
    </row>
    <row r="3398" spans="1:15" ht="15.75" customHeight="1">
      <c r="A3398" s="395"/>
      <c r="B3398" s="399"/>
      <c r="C3398" s="920"/>
      <c r="D3398" s="924"/>
      <c r="E3398" s="919" t="str">
        <f>Datos!$C$13</f>
        <v xml:space="preserve">BGA - 030 - 2026 </v>
      </c>
      <c r="F3398" s="922"/>
      <c r="G3398" s="922"/>
      <c r="H3398" s="922"/>
      <c r="I3398" s="922"/>
      <c r="J3398" s="922"/>
      <c r="K3398" s="922"/>
      <c r="L3398" s="925" t="s">
        <v>29</v>
      </c>
      <c r="M3398" s="926"/>
      <c r="N3398" s="927"/>
      <c r="O3398" s="362"/>
    </row>
    <row r="3399" spans="1:15" ht="15.75" customHeight="1">
      <c r="A3399" s="395"/>
      <c r="B3399" s="399"/>
      <c r="C3399" s="920"/>
      <c r="D3399" s="924"/>
      <c r="E3399"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399" s="922"/>
      <c r="G3399" s="922"/>
      <c r="H3399" s="922"/>
      <c r="I3399" s="922"/>
      <c r="J3399" s="922"/>
      <c r="K3399" s="924"/>
      <c r="L3399" s="919">
        <v>1</v>
      </c>
      <c r="M3399" s="921" t="s">
        <v>30</v>
      </c>
      <c r="N3399" s="923">
        <v>1</v>
      </c>
      <c r="O3399" s="362"/>
    </row>
    <row r="3400" spans="1:15" ht="15.75" customHeight="1">
      <c r="A3400" s="395"/>
      <c r="B3400" s="399"/>
      <c r="C3400" s="920"/>
      <c r="D3400" s="924"/>
      <c r="E3400" s="920"/>
      <c r="F3400" s="922"/>
      <c r="G3400" s="922"/>
      <c r="H3400" s="922"/>
      <c r="I3400" s="922"/>
      <c r="J3400" s="922"/>
      <c r="K3400" s="924"/>
      <c r="L3400" s="920"/>
      <c r="M3400" s="922"/>
      <c r="N3400" s="924"/>
      <c r="O3400" s="362"/>
    </row>
    <row r="3401" spans="1:15" ht="56.25" customHeight="1">
      <c r="A3401" s="395"/>
      <c r="B3401" s="399"/>
      <c r="C3401" s="920"/>
      <c r="D3401" s="924"/>
      <c r="E3401" s="920"/>
      <c r="F3401" s="922"/>
      <c r="G3401" s="922"/>
      <c r="H3401" s="922"/>
      <c r="I3401" s="922"/>
      <c r="J3401" s="922"/>
      <c r="K3401" s="924"/>
      <c r="L3401" s="925" t="s">
        <v>2</v>
      </c>
      <c r="M3401" s="926"/>
      <c r="N3401" s="927"/>
      <c r="O3401" s="362"/>
    </row>
    <row r="3402" spans="1:15" ht="15.75" customHeight="1">
      <c r="A3402" s="395"/>
      <c r="B3402" s="399"/>
      <c r="C3402" s="920"/>
      <c r="D3402" s="924"/>
      <c r="E3402" s="407"/>
      <c r="F3402" s="216"/>
      <c r="G3402" s="216"/>
      <c r="H3402" s="216"/>
      <c r="I3402" s="216"/>
      <c r="J3402" s="216"/>
      <c r="K3402" s="216"/>
      <c r="L3402" s="408" t="s">
        <v>3</v>
      </c>
      <c r="M3402" s="409" t="s">
        <v>4</v>
      </c>
      <c r="N3402" s="410" t="s">
        <v>5</v>
      </c>
      <c r="O3402" s="362"/>
    </row>
    <row r="3403" spans="1:15" ht="15.75" customHeight="1">
      <c r="A3403" s="395"/>
      <c r="B3403" s="399"/>
      <c r="C3403" s="920"/>
      <c r="D3403" s="924"/>
      <c r="E3403" s="1125" t="s">
        <v>1186</v>
      </c>
      <c r="F3403" s="945"/>
      <c r="G3403" s="945"/>
      <c r="H3403" s="945"/>
      <c r="I3403" s="945"/>
      <c r="J3403" s="945"/>
      <c r="K3403" s="945"/>
      <c r="L3403" s="928">
        <f>Datos!$C$7</f>
        <v>19</v>
      </c>
      <c r="M3403" s="935">
        <f>Datos!$D$7</f>
        <v>6</v>
      </c>
      <c r="N3403" s="937">
        <f>Datos!$E$7</f>
        <v>2026</v>
      </c>
      <c r="O3403" s="362"/>
    </row>
    <row r="3404" spans="1:15" ht="15.75" customHeight="1">
      <c r="A3404" s="395"/>
      <c r="B3404" s="399"/>
      <c r="C3404" s="929"/>
      <c r="D3404" s="938"/>
      <c r="E3404" s="929"/>
      <c r="F3404" s="936"/>
      <c r="G3404" s="936"/>
      <c r="H3404" s="936"/>
      <c r="I3404" s="936"/>
      <c r="J3404" s="936"/>
      <c r="K3404" s="936"/>
      <c r="L3404" s="929"/>
      <c r="M3404" s="936"/>
      <c r="N3404" s="938"/>
      <c r="O3404" s="362"/>
    </row>
    <row r="3405" spans="1:15" ht="15.75" customHeight="1">
      <c r="A3405" s="395"/>
      <c r="B3405" s="399"/>
      <c r="C3405" s="404"/>
      <c r="D3405" s="38"/>
      <c r="E3405" s="38"/>
      <c r="F3405" s="38"/>
      <c r="G3405" s="38"/>
      <c r="H3405" s="38"/>
      <c r="I3405" s="38"/>
      <c r="J3405" s="38"/>
      <c r="K3405" s="38"/>
      <c r="L3405" s="39"/>
      <c r="M3405" s="39"/>
      <c r="N3405" s="40"/>
      <c r="O3405" s="362"/>
    </row>
    <row r="3406" spans="1:15" ht="15.75" customHeight="1">
      <c r="A3406" s="395"/>
      <c r="B3406" s="399"/>
      <c r="C3406" s="412" t="s">
        <v>1187</v>
      </c>
      <c r="D3406" s="1199" t="str">
        <f>VLOOKUP(C3411,ListaAct,2,0)</f>
        <v>OBRA CIVIL</v>
      </c>
      <c r="E3406" s="922"/>
      <c r="F3406" s="922"/>
      <c r="G3406" s="922"/>
      <c r="H3406" s="922"/>
      <c r="I3406" s="922"/>
      <c r="J3406" s="922"/>
      <c r="K3406" s="922"/>
      <c r="L3406" s="922"/>
      <c r="M3406" s="1"/>
      <c r="N3406" s="413"/>
      <c r="O3406" s="362"/>
    </row>
    <row r="3407" spans="1:15" ht="15.75" customHeight="1">
      <c r="A3407" s="395"/>
      <c r="B3407" s="399"/>
      <c r="C3407" s="412" t="s">
        <v>1189</v>
      </c>
      <c r="D3407" s="1199" t="str">
        <f>VLOOKUP(C3411,ListaAct,3,0)</f>
        <v>ACTIVIDADES ELECTRICAS, DATOS Y DEMAS REQUERIDAS</v>
      </c>
      <c r="E3407" s="922"/>
      <c r="F3407" s="922"/>
      <c r="G3407" s="922"/>
      <c r="H3407" s="922"/>
      <c r="I3407" s="922"/>
      <c r="J3407" s="922"/>
      <c r="K3407" s="922"/>
      <c r="L3407" s="922"/>
      <c r="M3407" s="1"/>
      <c r="N3407" s="413"/>
      <c r="O3407" s="362"/>
    </row>
    <row r="3408" spans="1:15" ht="15.75" customHeight="1">
      <c r="A3408" s="395"/>
      <c r="B3408" s="399"/>
      <c r="C3408" s="925" t="s">
        <v>1191</v>
      </c>
      <c r="D3408" s="926"/>
      <c r="E3408" s="926"/>
      <c r="F3408" s="926"/>
      <c r="G3408" s="926"/>
      <c r="H3408" s="926"/>
      <c r="I3408" s="926"/>
      <c r="J3408" s="926"/>
      <c r="K3408" s="926"/>
      <c r="L3408" s="926"/>
      <c r="M3408" s="926"/>
      <c r="N3408" s="927"/>
      <c r="O3408" s="362"/>
    </row>
    <row r="3409" spans="1:15" ht="15.75" customHeight="1">
      <c r="A3409" s="395"/>
      <c r="B3409" s="399"/>
      <c r="C3409" s="418"/>
      <c r="D3409" s="39"/>
      <c r="E3409" s="39"/>
      <c r="F3409" s="39"/>
      <c r="G3409" s="39"/>
      <c r="H3409" s="39"/>
      <c r="I3409" s="39"/>
      <c r="J3409" s="39"/>
      <c r="K3409" s="39"/>
      <c r="L3409" s="39"/>
      <c r="M3409" s="39"/>
      <c r="N3409" s="40"/>
      <c r="O3409" s="362"/>
    </row>
    <row r="3410" spans="1:15" ht="15.75" customHeight="1">
      <c r="A3410" s="395"/>
      <c r="B3410" s="399"/>
      <c r="C3410" s="668" t="s">
        <v>965</v>
      </c>
      <c r="D3410" s="1200" t="s">
        <v>17</v>
      </c>
      <c r="E3410" s="1131"/>
      <c r="F3410" s="1131"/>
      <c r="G3410" s="1131"/>
      <c r="H3410" s="1131"/>
      <c r="I3410" s="1131"/>
      <c r="J3410" s="1131"/>
      <c r="K3410" s="1137"/>
      <c r="L3410" s="1201" t="s">
        <v>1192</v>
      </c>
      <c r="M3410" s="1137"/>
      <c r="N3410" s="668" t="s">
        <v>950</v>
      </c>
      <c r="O3410" s="362"/>
    </row>
    <row r="3411" spans="1:15" ht="15.75" customHeight="1">
      <c r="A3411" s="395"/>
      <c r="B3411" s="421"/>
      <c r="C3411" s="669" t="s">
        <v>1097</v>
      </c>
      <c r="D3411" s="1202" t="str">
        <f>IF($C3411&gt;0,(VLOOKUP($C3411,ListaAct,4,FALSE)),"")</f>
        <v xml:space="preserve"> Desmonte de luminarias y/o bombillos incluye desmonte de cableado, canaletas y accesorios de soporte </v>
      </c>
      <c r="E3411" s="979"/>
      <c r="F3411" s="979"/>
      <c r="G3411" s="979"/>
      <c r="H3411" s="979"/>
      <c r="I3411" s="979"/>
      <c r="J3411" s="979"/>
      <c r="K3411" s="980"/>
      <c r="L3411" s="1203" t="str">
        <f>IF($C3411&gt;0,(VLOOKUP($C3411,ListaAct,5,FALSE)),"")</f>
        <v>und</v>
      </c>
      <c r="M3411" s="980"/>
      <c r="N3411" s="423">
        <f>IF($C3411&gt;0,(VLOOKUP($C3411,ListaAct,6,FALSE)),"")</f>
        <v>12</v>
      </c>
      <c r="O3411" s="362"/>
    </row>
    <row r="3412" spans="1:15" ht="15.75" customHeight="1">
      <c r="A3412" s="395"/>
      <c r="B3412" s="399"/>
      <c r="C3412" s="1129" t="s">
        <v>1195</v>
      </c>
      <c r="D3412" s="926"/>
      <c r="E3412" s="926"/>
      <c r="F3412" s="926"/>
      <c r="G3412" s="926"/>
      <c r="H3412" s="926"/>
      <c r="I3412" s="926"/>
      <c r="J3412" s="926"/>
      <c r="K3412" s="926"/>
      <c r="L3412" s="926"/>
      <c r="M3412" s="926"/>
      <c r="N3412" s="927"/>
      <c r="O3412" s="362"/>
    </row>
    <row r="3413" spans="1:15" ht="15.75" customHeight="1">
      <c r="A3413" s="395"/>
      <c r="B3413" s="399"/>
      <c r="C3413" s="920"/>
      <c r="D3413" s="922"/>
      <c r="E3413" s="922"/>
      <c r="F3413" s="922"/>
      <c r="G3413" s="922"/>
      <c r="H3413" s="922"/>
      <c r="I3413" s="922"/>
      <c r="J3413" s="922"/>
      <c r="K3413" s="922"/>
      <c r="L3413" s="922"/>
      <c r="M3413" s="922"/>
      <c r="N3413" s="924"/>
      <c r="O3413" s="362"/>
    </row>
    <row r="3414" spans="1:15" ht="15.75" customHeight="1">
      <c r="A3414" s="395"/>
      <c r="B3414" s="399"/>
      <c r="C3414" s="929"/>
      <c r="D3414" s="936"/>
      <c r="E3414" s="936"/>
      <c r="F3414" s="936"/>
      <c r="G3414" s="936"/>
      <c r="H3414" s="936"/>
      <c r="I3414" s="936"/>
      <c r="J3414" s="936"/>
      <c r="K3414" s="936"/>
      <c r="L3414" s="936"/>
      <c r="M3414" s="936"/>
      <c r="N3414" s="938"/>
      <c r="O3414" s="362"/>
    </row>
    <row r="3415" spans="1:15" ht="15.75" customHeight="1">
      <c r="A3415" s="395"/>
      <c r="B3415" s="399"/>
      <c r="C3415" s="1201" t="s">
        <v>17</v>
      </c>
      <c r="D3415" s="1131"/>
      <c r="E3415" s="1131"/>
      <c r="F3415" s="1000"/>
      <c r="G3415" s="1204" t="s">
        <v>1196</v>
      </c>
      <c r="H3415" s="1000"/>
      <c r="I3415" s="1204" t="s">
        <v>1197</v>
      </c>
      <c r="J3415" s="1000"/>
      <c r="K3415" s="670" t="s">
        <v>1213</v>
      </c>
      <c r="L3415" s="1204" t="s">
        <v>1199</v>
      </c>
      <c r="M3415" s="1000"/>
      <c r="N3415" s="671" t="s">
        <v>1200</v>
      </c>
      <c r="O3415" s="362"/>
    </row>
    <row r="3416" spans="1:15" ht="15.75" customHeight="1">
      <c r="A3416" s="395"/>
      <c r="B3416" s="399"/>
      <c r="C3416" s="1128" t="s">
        <v>1201</v>
      </c>
      <c r="D3416" s="940"/>
      <c r="E3416" s="940"/>
      <c r="F3416" s="941"/>
      <c r="G3416" s="1142"/>
      <c r="H3416" s="941"/>
      <c r="I3416" s="1142"/>
      <c r="J3416" s="941"/>
      <c r="K3416" s="429"/>
      <c r="L3416" s="1143">
        <v>0.05</v>
      </c>
      <c r="M3416" s="941"/>
      <c r="N3416" s="430">
        <f>+L3416*N3455</f>
        <v>1596.514715340018</v>
      </c>
      <c r="O3416" s="362"/>
    </row>
    <row r="3417" spans="1:15" ht="15.75" customHeight="1">
      <c r="A3417" s="395" t="str">
        <f t="array" ref="A3417">IF(C3417&lt;&gt;0,INDEX(CodEquipos,MATCH(C3417,Equipos,0),),)</f>
        <v>EQ-30</v>
      </c>
      <c r="B3417" s="399"/>
      <c r="C3417" s="1128" t="s">
        <v>2596</v>
      </c>
      <c r="D3417" s="940"/>
      <c r="E3417" s="940"/>
      <c r="F3417" s="941"/>
      <c r="G3417" s="1142"/>
      <c r="H3417" s="941"/>
      <c r="I3417" s="1142"/>
      <c r="J3417" s="941"/>
      <c r="K3417" s="432">
        <f>IF($A3417&gt;0,(VLOOKUP($A3417,TablaEquipos,7,FALSE)),"")</f>
        <v>750</v>
      </c>
      <c r="L3417" s="1146">
        <v>0.52500000000000002</v>
      </c>
      <c r="M3417" s="941"/>
      <c r="N3417" s="430">
        <f>IF(L3417&gt;0,K3417*L3417,"")</f>
        <v>393.75</v>
      </c>
      <c r="O3417" s="362"/>
    </row>
    <row r="3418" spans="1:15" ht="15.75" customHeight="1">
      <c r="A3418" s="395">
        <f t="array" ref="A3418">IF(C3418&lt;&gt;0,INDEX(CodEquipos,MATCH(C3418,Equipos,0),),)</f>
        <v>0</v>
      </c>
      <c r="B3418" s="399"/>
      <c r="C3418" s="1128"/>
      <c r="D3418" s="940"/>
      <c r="E3418" s="940"/>
      <c r="F3418" s="941"/>
      <c r="G3418" s="1142"/>
      <c r="H3418" s="941"/>
      <c r="I3418" s="1142"/>
      <c r="J3418" s="941"/>
      <c r="K3418" s="432" t="str">
        <f>IF($A3418&gt;0,(VLOOKUP($A3418,TablaEquipos,7,FALSE)),"")</f>
        <v/>
      </c>
      <c r="L3418" s="1146"/>
      <c r="M3418" s="941"/>
      <c r="N3418" s="430" t="str">
        <f t="shared" ref="N3418:N3421" si="253">IF(L3418&gt;0,K3418/L3418,"")</f>
        <v/>
      </c>
      <c r="O3418" s="362"/>
    </row>
    <row r="3419" spans="1:15" ht="15.75" customHeight="1">
      <c r="A3419" s="395">
        <f t="array" ref="A3419">IF(C3419&lt;&gt;0,INDEX(CodEquipos,MATCH(C3419,Equipos,0),),)</f>
        <v>0</v>
      </c>
      <c r="B3419" s="399"/>
      <c r="C3419" s="1128"/>
      <c r="D3419" s="940"/>
      <c r="E3419" s="940"/>
      <c r="F3419" s="941"/>
      <c r="G3419" s="1142"/>
      <c r="H3419" s="941"/>
      <c r="I3419" s="1142"/>
      <c r="J3419" s="941"/>
      <c r="K3419" s="432" t="str">
        <f>IF($A3419&gt;0,(VLOOKUP($A3419,TablaEquipos,7,FALSE)),"")</f>
        <v/>
      </c>
      <c r="L3419" s="1146"/>
      <c r="M3419" s="941"/>
      <c r="N3419" s="430" t="str">
        <f t="shared" si="253"/>
        <v/>
      </c>
      <c r="O3419" s="362"/>
    </row>
    <row r="3420" spans="1:15" ht="15.75" customHeight="1">
      <c r="A3420" s="395">
        <f t="array" ref="A3420">IF(C3420&lt;&gt;0,INDEX(CodEquipos,MATCH(C3420,Equipos,0),),)</f>
        <v>0</v>
      </c>
      <c r="B3420" s="399"/>
      <c r="C3420" s="1128"/>
      <c r="D3420" s="940"/>
      <c r="E3420" s="940"/>
      <c r="F3420" s="941"/>
      <c r="G3420" s="1142"/>
      <c r="H3420" s="941"/>
      <c r="I3420" s="1142"/>
      <c r="J3420" s="941"/>
      <c r="K3420" s="432" t="str">
        <f>IF($A3420&gt;0,(VLOOKUP($A3420,TablaEquipos,7,FALSE)),"")</f>
        <v/>
      </c>
      <c r="L3420" s="1141"/>
      <c r="M3420" s="941"/>
      <c r="N3420" s="430" t="str">
        <f t="shared" si="253"/>
        <v/>
      </c>
      <c r="O3420" s="362"/>
    </row>
    <row r="3421" spans="1:15" ht="15.75" customHeight="1">
      <c r="A3421" s="395">
        <f t="array" ref="A3421">IF(C3421&lt;&gt;0,INDEX(CodEquipos,MATCH(C3421,Equipos,0),),)</f>
        <v>0</v>
      </c>
      <c r="B3421" s="399"/>
      <c r="C3421" s="1128"/>
      <c r="D3421" s="940"/>
      <c r="E3421" s="940"/>
      <c r="F3421" s="941"/>
      <c r="G3421" s="1144"/>
      <c r="H3421" s="1145"/>
      <c r="I3421" s="1144"/>
      <c r="J3421" s="1145"/>
      <c r="K3421" s="432" t="str">
        <f>IF($A3421&gt;0,(VLOOKUP($A3421,TablaEquipos,7,FALSE)),"")</f>
        <v/>
      </c>
      <c r="L3421" s="1208"/>
      <c r="M3421" s="1145"/>
      <c r="N3421" s="430" t="str">
        <f t="shared" si="253"/>
        <v/>
      </c>
      <c r="O3421" s="362"/>
    </row>
    <row r="3422" spans="1:15" ht="15.75" customHeight="1">
      <c r="A3422" s="395"/>
      <c r="B3422" s="399"/>
      <c r="C3422" s="1127" t="s">
        <v>1202</v>
      </c>
      <c r="D3422" s="965"/>
      <c r="E3422" s="965"/>
      <c r="F3422" s="965"/>
      <c r="G3422" s="965"/>
      <c r="H3422" s="965"/>
      <c r="I3422" s="965"/>
      <c r="J3422" s="965"/>
      <c r="K3422" s="965"/>
      <c r="L3422" s="965"/>
      <c r="M3422" s="966"/>
      <c r="N3422" s="433">
        <f>+SUM(N3416:N3421)</f>
        <v>1990.264715340018</v>
      </c>
      <c r="O3422" s="362"/>
    </row>
    <row r="3423" spans="1:15" ht="15.75" customHeight="1">
      <c r="A3423" s="395"/>
      <c r="B3423" s="399"/>
      <c r="C3423" s="1129" t="s">
        <v>1203</v>
      </c>
      <c r="D3423" s="926"/>
      <c r="E3423" s="926"/>
      <c r="F3423" s="926"/>
      <c r="G3423" s="926"/>
      <c r="H3423" s="926"/>
      <c r="I3423" s="926"/>
      <c r="J3423" s="926"/>
      <c r="K3423" s="926"/>
      <c r="L3423" s="926"/>
      <c r="M3423" s="926"/>
      <c r="N3423" s="927"/>
      <c r="O3423" s="362"/>
    </row>
    <row r="3424" spans="1:15" ht="15.75" customHeight="1">
      <c r="A3424" s="395"/>
      <c r="B3424" s="399"/>
      <c r="C3424" s="920"/>
      <c r="D3424" s="922"/>
      <c r="E3424" s="922"/>
      <c r="F3424" s="922"/>
      <c r="G3424" s="922"/>
      <c r="H3424" s="922"/>
      <c r="I3424" s="922"/>
      <c r="J3424" s="922"/>
      <c r="K3424" s="922"/>
      <c r="L3424" s="922"/>
      <c r="M3424" s="922"/>
      <c r="N3424" s="924"/>
      <c r="O3424" s="362"/>
    </row>
    <row r="3425" spans="1:15" ht="15.75" customHeight="1">
      <c r="A3425" s="395"/>
      <c r="B3425" s="399"/>
      <c r="C3425" s="929"/>
      <c r="D3425" s="936"/>
      <c r="E3425" s="936"/>
      <c r="F3425" s="936"/>
      <c r="G3425" s="936"/>
      <c r="H3425" s="936"/>
      <c r="I3425" s="936"/>
      <c r="J3425" s="936"/>
      <c r="K3425" s="936"/>
      <c r="L3425" s="936"/>
      <c r="M3425" s="936"/>
      <c r="N3425" s="938"/>
      <c r="O3425" s="362"/>
    </row>
    <row r="3426" spans="1:15" ht="15.75" customHeight="1">
      <c r="A3426" s="395"/>
      <c r="B3426" s="399"/>
      <c r="C3426" s="1201" t="s">
        <v>17</v>
      </c>
      <c r="D3426" s="1131"/>
      <c r="E3426" s="1131"/>
      <c r="F3426" s="1131"/>
      <c r="G3426" s="1131"/>
      <c r="H3426" s="1131"/>
      <c r="I3426" s="1000"/>
      <c r="J3426" s="672" t="s">
        <v>1192</v>
      </c>
      <c r="K3426" s="670" t="s">
        <v>950</v>
      </c>
      <c r="L3426" s="1204" t="s">
        <v>1204</v>
      </c>
      <c r="M3426" s="1000"/>
      <c r="N3426" s="671" t="s">
        <v>1200</v>
      </c>
      <c r="O3426" s="362"/>
    </row>
    <row r="3427" spans="1:15" ht="15.75" customHeight="1">
      <c r="A3427" s="395">
        <f t="array" ref="A3427">IF(C3427&lt;&gt;0,INDEX(CodMat,MATCH(C3427,Materiales,0),),)</f>
        <v>0</v>
      </c>
      <c r="B3427" s="399"/>
      <c r="C3427" s="1210"/>
      <c r="D3427" s="940"/>
      <c r="E3427" s="940"/>
      <c r="F3427" s="940"/>
      <c r="G3427" s="940"/>
      <c r="H3427" s="940"/>
      <c r="I3427" s="941"/>
      <c r="J3427" s="435" t="str">
        <f t="shared" ref="J3427:J3434" si="254">IF($A3427&gt;0,(VLOOKUP($A3427,TablaInsumos,5,FALSE)),"")</f>
        <v/>
      </c>
      <c r="K3427" s="673"/>
      <c r="L3427" s="1209" t="str">
        <f t="shared" ref="L3427:L3434" si="255">IF($A3427&gt;0,(VLOOKUP($A3427,TablaInsumos,7,FALSE)),"")</f>
        <v/>
      </c>
      <c r="M3427" s="941"/>
      <c r="N3427" s="430" t="str">
        <f t="shared" ref="N3427:N3434" si="256">IF(K3427&gt;0,L3427*K3427,"")</f>
        <v/>
      </c>
      <c r="O3427" s="362"/>
    </row>
    <row r="3428" spans="1:15" ht="15.75" customHeight="1">
      <c r="A3428" s="395">
        <f t="array" ref="A3428">IF(C3428&lt;&gt;0,INDEX(CodMat,MATCH(C3428,Materiales,0),),)</f>
        <v>0</v>
      </c>
      <c r="B3428" s="399"/>
      <c r="C3428" s="1128"/>
      <c r="D3428" s="940"/>
      <c r="E3428" s="940"/>
      <c r="F3428" s="940"/>
      <c r="G3428" s="940"/>
      <c r="H3428" s="940"/>
      <c r="I3428" s="941"/>
      <c r="J3428" s="435" t="str">
        <f t="shared" si="254"/>
        <v/>
      </c>
      <c r="K3428" s="673"/>
      <c r="L3428" s="1134" t="str">
        <f t="shared" si="255"/>
        <v/>
      </c>
      <c r="M3428" s="941"/>
      <c r="N3428" s="430" t="str">
        <f t="shared" si="256"/>
        <v/>
      </c>
      <c r="O3428" s="362"/>
    </row>
    <row r="3429" spans="1:15" ht="15.75" customHeight="1">
      <c r="A3429" s="395">
        <f t="array" ref="A3429">IF(C3429&lt;&gt;0,INDEX(CodMat,MATCH(C3429,Materiales,0),),)</f>
        <v>0</v>
      </c>
      <c r="B3429" s="399"/>
      <c r="C3429" s="1128"/>
      <c r="D3429" s="940"/>
      <c r="E3429" s="940"/>
      <c r="F3429" s="940"/>
      <c r="G3429" s="940"/>
      <c r="H3429" s="940"/>
      <c r="I3429" s="941"/>
      <c r="J3429" s="435" t="str">
        <f t="shared" si="254"/>
        <v/>
      </c>
      <c r="K3429" s="673"/>
      <c r="L3429" s="1134" t="str">
        <f t="shared" si="255"/>
        <v/>
      </c>
      <c r="M3429" s="941"/>
      <c r="N3429" s="430" t="str">
        <f t="shared" si="256"/>
        <v/>
      </c>
      <c r="O3429" s="362"/>
    </row>
    <row r="3430" spans="1:15" ht="15.75" customHeight="1">
      <c r="A3430" s="395">
        <f t="array" ref="A3430">IF(C3430&lt;&gt;0,INDEX(CodMat,MATCH(C3430,Materiales,0),),)</f>
        <v>0</v>
      </c>
      <c r="B3430" s="399"/>
      <c r="C3430" s="1128"/>
      <c r="D3430" s="940"/>
      <c r="E3430" s="940"/>
      <c r="F3430" s="940"/>
      <c r="G3430" s="940"/>
      <c r="H3430" s="940"/>
      <c r="I3430" s="941"/>
      <c r="J3430" s="435" t="str">
        <f t="shared" si="254"/>
        <v/>
      </c>
      <c r="K3430" s="673"/>
      <c r="L3430" s="1134" t="str">
        <f t="shared" si="255"/>
        <v/>
      </c>
      <c r="M3430" s="941"/>
      <c r="N3430" s="430" t="str">
        <f t="shared" si="256"/>
        <v/>
      </c>
      <c r="O3430" s="362"/>
    </row>
    <row r="3431" spans="1:15" ht="15.75" customHeight="1">
      <c r="A3431" s="395">
        <f t="array" ref="A3431">IF(C3431&lt;&gt;0,INDEX(CodMat,MATCH(C3431,Materiales,0),),)</f>
        <v>0</v>
      </c>
      <c r="B3431" s="399"/>
      <c r="C3431" s="1128"/>
      <c r="D3431" s="940"/>
      <c r="E3431" s="940"/>
      <c r="F3431" s="940"/>
      <c r="G3431" s="940"/>
      <c r="H3431" s="940"/>
      <c r="I3431" s="941"/>
      <c r="J3431" s="435" t="str">
        <f t="shared" si="254"/>
        <v/>
      </c>
      <c r="K3431" s="673"/>
      <c r="L3431" s="1134" t="str">
        <f t="shared" si="255"/>
        <v/>
      </c>
      <c r="M3431" s="941"/>
      <c r="N3431" s="430" t="str">
        <f t="shared" si="256"/>
        <v/>
      </c>
      <c r="O3431" s="362"/>
    </row>
    <row r="3432" spans="1:15" ht="15.75" customHeight="1">
      <c r="A3432" s="395">
        <f t="array" ref="A3432">IF(C3432&lt;&gt;0,INDEX(CodMat,MATCH(C3432,Materiales,0),),)</f>
        <v>0</v>
      </c>
      <c r="B3432" s="399"/>
      <c r="C3432" s="1211"/>
      <c r="D3432" s="940"/>
      <c r="E3432" s="940"/>
      <c r="F3432" s="940"/>
      <c r="G3432" s="940"/>
      <c r="H3432" s="940"/>
      <c r="I3432" s="941"/>
      <c r="J3432" s="435" t="str">
        <f t="shared" si="254"/>
        <v/>
      </c>
      <c r="K3432" s="673"/>
      <c r="L3432" s="1134" t="str">
        <f t="shared" si="255"/>
        <v/>
      </c>
      <c r="M3432" s="941"/>
      <c r="N3432" s="430" t="str">
        <f t="shared" si="256"/>
        <v/>
      </c>
      <c r="O3432" s="362"/>
    </row>
    <row r="3433" spans="1:15" ht="15.75" customHeight="1">
      <c r="A3433" s="395">
        <f t="array" ref="A3433">IF(C3433&lt;&gt;0,INDEX(CodMat,MATCH(C3433,Materiales,0),),)</f>
        <v>0</v>
      </c>
      <c r="B3433" s="399"/>
      <c r="C3433" s="1128"/>
      <c r="D3433" s="940"/>
      <c r="E3433" s="940"/>
      <c r="F3433" s="940"/>
      <c r="G3433" s="940"/>
      <c r="H3433" s="940"/>
      <c r="I3433" s="941"/>
      <c r="J3433" s="435" t="str">
        <f t="shared" si="254"/>
        <v/>
      </c>
      <c r="K3433" s="673"/>
      <c r="L3433" s="1134" t="str">
        <f t="shared" si="255"/>
        <v/>
      </c>
      <c r="M3433" s="941"/>
      <c r="N3433" s="430" t="str">
        <f t="shared" si="256"/>
        <v/>
      </c>
      <c r="O3433" s="362"/>
    </row>
    <row r="3434" spans="1:15" ht="15.75" customHeight="1">
      <c r="A3434" s="395">
        <f t="array" ref="A3434">IF(C3434&lt;&gt;0,INDEX(CodMat,MATCH(C3434,Materiales,0),),)</f>
        <v>0</v>
      </c>
      <c r="B3434" s="399"/>
      <c r="C3434" s="1128"/>
      <c r="D3434" s="940"/>
      <c r="E3434" s="940"/>
      <c r="F3434" s="940"/>
      <c r="G3434" s="940"/>
      <c r="H3434" s="940"/>
      <c r="I3434" s="941"/>
      <c r="J3434" s="435" t="str">
        <f t="shared" si="254"/>
        <v/>
      </c>
      <c r="K3434" s="673"/>
      <c r="L3434" s="1205" t="str">
        <f t="shared" si="255"/>
        <v/>
      </c>
      <c r="M3434" s="1145"/>
      <c r="N3434" s="430" t="str">
        <f t="shared" si="256"/>
        <v/>
      </c>
      <c r="O3434" s="362"/>
    </row>
    <row r="3435" spans="1:15" ht="15.75" customHeight="1">
      <c r="A3435" s="395"/>
      <c r="B3435" s="399"/>
      <c r="C3435" s="1127" t="s">
        <v>1202</v>
      </c>
      <c r="D3435" s="965"/>
      <c r="E3435" s="965"/>
      <c r="F3435" s="965"/>
      <c r="G3435" s="965"/>
      <c r="H3435" s="965"/>
      <c r="I3435" s="965"/>
      <c r="J3435" s="965"/>
      <c r="K3435" s="965"/>
      <c r="L3435" s="965"/>
      <c r="M3435" s="966"/>
      <c r="N3435" s="433">
        <f>+SUM(N3427:N3434)</f>
        <v>0</v>
      </c>
      <c r="O3435" s="362"/>
    </row>
    <row r="3436" spans="1:15" ht="15.75" customHeight="1">
      <c r="A3436" s="395"/>
      <c r="B3436" s="399"/>
      <c r="C3436" s="1129" t="s">
        <v>1208</v>
      </c>
      <c r="D3436" s="926"/>
      <c r="E3436" s="926"/>
      <c r="F3436" s="926"/>
      <c r="G3436" s="926"/>
      <c r="H3436" s="926"/>
      <c r="I3436" s="926"/>
      <c r="J3436" s="926"/>
      <c r="K3436" s="926"/>
      <c r="L3436" s="926"/>
      <c r="M3436" s="926"/>
      <c r="N3436" s="927"/>
      <c r="O3436" s="362"/>
    </row>
    <row r="3437" spans="1:15" ht="15.75" customHeight="1">
      <c r="A3437" s="395"/>
      <c r="B3437" s="399"/>
      <c r="C3437" s="920"/>
      <c r="D3437" s="922"/>
      <c r="E3437" s="922"/>
      <c r="F3437" s="922"/>
      <c r="G3437" s="922"/>
      <c r="H3437" s="922"/>
      <c r="I3437" s="922"/>
      <c r="J3437" s="922"/>
      <c r="K3437" s="922"/>
      <c r="L3437" s="922"/>
      <c r="M3437" s="922"/>
      <c r="N3437" s="924"/>
      <c r="O3437" s="362"/>
    </row>
    <row r="3438" spans="1:15" ht="15.75" customHeight="1">
      <c r="A3438" s="395"/>
      <c r="B3438" s="399"/>
      <c r="C3438" s="929"/>
      <c r="D3438" s="936"/>
      <c r="E3438" s="936"/>
      <c r="F3438" s="936"/>
      <c r="G3438" s="936"/>
      <c r="H3438" s="936"/>
      <c r="I3438" s="936"/>
      <c r="J3438" s="936"/>
      <c r="K3438" s="936"/>
      <c r="L3438" s="936"/>
      <c r="M3438" s="936"/>
      <c r="N3438" s="938"/>
      <c r="O3438" s="362"/>
    </row>
    <row r="3439" spans="1:15" ht="15.75" customHeight="1">
      <c r="A3439" s="395"/>
      <c r="B3439" s="399"/>
      <c r="C3439" s="1201" t="s">
        <v>1209</v>
      </c>
      <c r="D3439" s="1131"/>
      <c r="E3439" s="1131"/>
      <c r="F3439" s="1131"/>
      <c r="G3439" s="1131"/>
      <c r="H3439" s="1000"/>
      <c r="I3439" s="670" t="s">
        <v>1210</v>
      </c>
      <c r="J3439" s="674" t="s">
        <v>1211</v>
      </c>
      <c r="K3439" s="675" t="s">
        <v>2318</v>
      </c>
      <c r="L3439" s="1204" t="s">
        <v>1213</v>
      </c>
      <c r="M3439" s="1000"/>
      <c r="N3439" s="671" t="s">
        <v>1200</v>
      </c>
      <c r="O3439" s="362"/>
    </row>
    <row r="3440" spans="1:15" ht="15.75" customHeight="1">
      <c r="A3440" s="395">
        <f t="array" ref="A3440">IF(C3440&lt;&gt;0,INDEX(CodTransporte,MATCH(C3440,Transporte,0),),)</f>
        <v>0</v>
      </c>
      <c r="B3440" s="399"/>
      <c r="C3440" s="1128"/>
      <c r="D3440" s="940"/>
      <c r="E3440" s="940"/>
      <c r="F3440" s="940"/>
      <c r="G3440" s="940"/>
      <c r="H3440" s="940"/>
      <c r="I3440" s="440"/>
      <c r="J3440" s="690"/>
      <c r="K3440" s="442" t="str">
        <f>IF($A3440&gt;0,(VLOOKUP($A3440,TablaTransporte,5,FALSE)),"")</f>
        <v/>
      </c>
      <c r="L3440" s="1134" t="str">
        <f>IF($A3440&gt;0,(VLOOKUP($A3440,TablaTransporte,7,FALSE)),"")</f>
        <v/>
      </c>
      <c r="M3440" s="941"/>
      <c r="N3440" s="430" t="str">
        <f t="shared" ref="N3440:N3444" si="257">IF(I3440&gt;0,J3440*L3440*I3440,"")</f>
        <v/>
      </c>
      <c r="O3440" s="362"/>
    </row>
    <row r="3441" spans="1:15" ht="15.75" customHeight="1">
      <c r="A3441" s="395">
        <f t="array" ref="A3441">IF(C3441&lt;&gt;0,INDEX(CodTransporte,MATCH(C3441,Transporte,0),),)</f>
        <v>0</v>
      </c>
      <c r="B3441" s="399"/>
      <c r="C3441" s="1128"/>
      <c r="D3441" s="940"/>
      <c r="E3441" s="940"/>
      <c r="F3441" s="940"/>
      <c r="G3441" s="940"/>
      <c r="H3441" s="940"/>
      <c r="I3441" s="440"/>
      <c r="J3441" s="690"/>
      <c r="K3441" s="442" t="str">
        <f>IF($A3441&gt;0,(VLOOKUP($A3441,TablaTransporte,5,FALSE)),"")</f>
        <v/>
      </c>
      <c r="L3441" s="1134" t="str">
        <f>IF($A3441&gt;0,(VLOOKUP($A3441,TablaTransporte,7,FALSE)),"")</f>
        <v/>
      </c>
      <c r="M3441" s="941"/>
      <c r="N3441" s="430" t="str">
        <f t="shared" si="257"/>
        <v/>
      </c>
      <c r="O3441" s="362"/>
    </row>
    <row r="3442" spans="1:15" ht="15.75" customHeight="1">
      <c r="A3442" s="395">
        <f t="array" ref="A3442">IF(C3442&lt;&gt;0,INDEX(CodTransporte,MATCH(C3442,Transporte,0),),)</f>
        <v>0</v>
      </c>
      <c r="B3442" s="399"/>
      <c r="C3442" s="1128"/>
      <c r="D3442" s="940"/>
      <c r="E3442" s="940"/>
      <c r="F3442" s="940"/>
      <c r="G3442" s="940"/>
      <c r="H3442" s="940"/>
      <c r="I3442" s="440"/>
      <c r="J3442" s="441" t="str">
        <f>IF($A3442&gt;0,(VLOOKUP($A3442,TablaTransporte,6,FALSE)),"")</f>
        <v/>
      </c>
      <c r="K3442" s="442" t="str">
        <f>IF($A3442&gt;0,(VLOOKUP($A3442,TablaTransporte,5,FALSE)),"")</f>
        <v/>
      </c>
      <c r="L3442" s="1134" t="str">
        <f>IF($A3442&gt;0,(VLOOKUP($A3442,TablaTransporte,7,FALSE)),"")</f>
        <v/>
      </c>
      <c r="M3442" s="941"/>
      <c r="N3442" s="430" t="str">
        <f t="shared" si="257"/>
        <v/>
      </c>
      <c r="O3442" s="362"/>
    </row>
    <row r="3443" spans="1:15" ht="15.75" customHeight="1">
      <c r="A3443" s="395">
        <f t="array" ref="A3443">IF(C3443&lt;&gt;0,INDEX(CodTransporte,MATCH(C3443,Transporte,0),),)</f>
        <v>0</v>
      </c>
      <c r="B3443" s="399"/>
      <c r="C3443" s="1128"/>
      <c r="D3443" s="940"/>
      <c r="E3443" s="940"/>
      <c r="F3443" s="940"/>
      <c r="G3443" s="940"/>
      <c r="H3443" s="940"/>
      <c r="I3443" s="440"/>
      <c r="J3443" s="441" t="str">
        <f>IF($A3443&gt;0,(VLOOKUP($A3443,TablaTransporte,6,FALSE)),"")</f>
        <v/>
      </c>
      <c r="K3443" s="442" t="str">
        <f>IF($A3443&gt;0,(VLOOKUP($A3443,TablaTransporte,5,FALSE)),"")</f>
        <v/>
      </c>
      <c r="L3443" s="1134" t="str">
        <f>IF($A3443&gt;0,(VLOOKUP($A3443,TablaTransporte,7,FALSE)),"")</f>
        <v/>
      </c>
      <c r="M3443" s="941"/>
      <c r="N3443" s="430" t="str">
        <f t="shared" si="257"/>
        <v/>
      </c>
      <c r="O3443" s="362"/>
    </row>
    <row r="3444" spans="1:15" ht="15.75" customHeight="1">
      <c r="A3444" s="395">
        <f t="array" ref="A3444">IF(C3444&lt;&gt;0,INDEX(CodTransporte,MATCH(C3444,Transporte,0),),)</f>
        <v>0</v>
      </c>
      <c r="B3444" s="399"/>
      <c r="C3444" s="1128"/>
      <c r="D3444" s="940"/>
      <c r="E3444" s="940"/>
      <c r="F3444" s="940"/>
      <c r="G3444" s="940"/>
      <c r="H3444" s="940"/>
      <c r="I3444" s="440"/>
      <c r="J3444" s="441" t="str">
        <f>IF($A3444&gt;0,(VLOOKUP($A3444,TablaTransporte,6,FALSE)),"")</f>
        <v/>
      </c>
      <c r="K3444" s="442" t="str">
        <f>IF($A3444&gt;0,(VLOOKUP($A3444,TablaTransporte,5,FALSE)),"")</f>
        <v/>
      </c>
      <c r="L3444" s="1205" t="str">
        <f>IF($A3444&gt;0,(VLOOKUP($A3444,TablaTransporte,7,FALSE)),"")</f>
        <v/>
      </c>
      <c r="M3444" s="1145"/>
      <c r="N3444" s="430" t="str">
        <f t="shared" si="257"/>
        <v/>
      </c>
      <c r="O3444" s="362"/>
    </row>
    <row r="3445" spans="1:15" ht="15.75" customHeight="1">
      <c r="A3445" s="395"/>
      <c r="B3445" s="399"/>
      <c r="C3445" s="1127" t="s">
        <v>1202</v>
      </c>
      <c r="D3445" s="965"/>
      <c r="E3445" s="965"/>
      <c r="F3445" s="965"/>
      <c r="G3445" s="965"/>
      <c r="H3445" s="965"/>
      <c r="I3445" s="965"/>
      <c r="J3445" s="965"/>
      <c r="K3445" s="965"/>
      <c r="L3445" s="965"/>
      <c r="M3445" s="966"/>
      <c r="N3445" s="433">
        <f>+SUM(N3440:N3444)</f>
        <v>0</v>
      </c>
      <c r="O3445" s="362"/>
    </row>
    <row r="3446" spans="1:15" ht="15.75" customHeight="1">
      <c r="A3446" s="395"/>
      <c r="B3446" s="399"/>
      <c r="C3446" s="1129" t="s">
        <v>1214</v>
      </c>
      <c r="D3446" s="926"/>
      <c r="E3446" s="926"/>
      <c r="F3446" s="926"/>
      <c r="G3446" s="926"/>
      <c r="H3446" s="926"/>
      <c r="I3446" s="926"/>
      <c r="J3446" s="926"/>
      <c r="K3446" s="926"/>
      <c r="L3446" s="926"/>
      <c r="M3446" s="926"/>
      <c r="N3446" s="927"/>
      <c r="O3446" s="362"/>
    </row>
    <row r="3447" spans="1:15" ht="15.75" customHeight="1">
      <c r="A3447" s="395"/>
      <c r="B3447" s="399"/>
      <c r="C3447" s="920"/>
      <c r="D3447" s="922"/>
      <c r="E3447" s="922"/>
      <c r="F3447" s="922"/>
      <c r="G3447" s="922"/>
      <c r="H3447" s="922"/>
      <c r="I3447" s="922"/>
      <c r="J3447" s="922"/>
      <c r="K3447" s="922"/>
      <c r="L3447" s="922"/>
      <c r="M3447" s="922"/>
      <c r="N3447" s="924"/>
      <c r="O3447" s="362"/>
    </row>
    <row r="3448" spans="1:15" ht="15.75" customHeight="1">
      <c r="A3448" s="395"/>
      <c r="B3448" s="399"/>
      <c r="C3448" s="929"/>
      <c r="D3448" s="936"/>
      <c r="E3448" s="936"/>
      <c r="F3448" s="936"/>
      <c r="G3448" s="936"/>
      <c r="H3448" s="936"/>
      <c r="I3448" s="936"/>
      <c r="J3448" s="936"/>
      <c r="K3448" s="936"/>
      <c r="L3448" s="936"/>
      <c r="M3448" s="936"/>
      <c r="N3448" s="938"/>
      <c r="O3448" s="362"/>
    </row>
    <row r="3449" spans="1:15" ht="15.75" customHeight="1">
      <c r="A3449" s="395"/>
      <c r="B3449" s="399"/>
      <c r="C3449" s="1201" t="s">
        <v>1215</v>
      </c>
      <c r="D3449" s="1131"/>
      <c r="E3449" s="1131"/>
      <c r="F3449" s="1131"/>
      <c r="G3449" s="1131"/>
      <c r="H3449" s="1000"/>
      <c r="I3449" s="670" t="s">
        <v>1216</v>
      </c>
      <c r="J3449" s="676" t="s">
        <v>1217</v>
      </c>
      <c r="K3449" s="677" t="s">
        <v>1218</v>
      </c>
      <c r="L3449" s="1206" t="s">
        <v>1199</v>
      </c>
      <c r="M3449" s="1000"/>
      <c r="N3449" s="678" t="s">
        <v>1200</v>
      </c>
      <c r="O3449" s="362"/>
    </row>
    <row r="3450" spans="1:15" ht="15.75" customHeight="1">
      <c r="A3450" s="395" t="str">
        <f t="array" ref="A3450">IF(C3450&lt;&gt;0,INDEX(CodMO,MATCH(C3450,MO,0),),)</f>
        <v>M.O-19</v>
      </c>
      <c r="B3450" s="399"/>
      <c r="C3450" s="1128" t="s">
        <v>2597</v>
      </c>
      <c r="D3450" s="940"/>
      <c r="E3450" s="940"/>
      <c r="F3450" s="940"/>
      <c r="G3450" s="940"/>
      <c r="H3450" s="940"/>
      <c r="I3450" s="447">
        <f>IF($A3450&gt;0,(VLOOKUP($A3450,TablaMO,8,FALSE)),"")</f>
        <v>72503.016666666677</v>
      </c>
      <c r="J3450" s="448">
        <f>IF($A3450&gt;0,(VLOOKUP($A3450,TablaMO,10,FALSE)),"")</f>
        <v>0.67071666666666663</v>
      </c>
      <c r="K3450" s="447">
        <f>IF($A3450&gt;0,(VLOOKUP($A3450,TablaMO,11,FALSE)),"")</f>
        <v>121132</v>
      </c>
      <c r="L3450" s="1146">
        <v>3.7936386942165421</v>
      </c>
      <c r="M3450" s="941"/>
      <c r="N3450" s="430">
        <f t="shared" ref="N3450:N3454" si="258">IF(L3450&gt;0,K3450/L3450,"")</f>
        <v>31930.294306800359</v>
      </c>
      <c r="O3450" s="362"/>
    </row>
    <row r="3451" spans="1:15" ht="15.75" customHeight="1">
      <c r="A3451" s="395">
        <f t="array" ref="A3451">IF(C3451&lt;&gt;0,INDEX(CodMO,MATCH(C3451,MO,0),),)</f>
        <v>0</v>
      </c>
      <c r="B3451" s="399"/>
      <c r="C3451" s="1128"/>
      <c r="D3451" s="940"/>
      <c r="E3451" s="940"/>
      <c r="F3451" s="940"/>
      <c r="G3451" s="940"/>
      <c r="H3451" s="940"/>
      <c r="I3451" s="447" t="str">
        <f>IF($A3451&gt;0,(VLOOKUP($A3451,TablaMO,8,FALSE)),"")</f>
        <v/>
      </c>
      <c r="J3451" s="448" t="str">
        <f>IF($A3451&gt;0,(VLOOKUP($A3451,TablaMO,10,FALSE)),"")</f>
        <v/>
      </c>
      <c r="K3451" s="447" t="str">
        <f>IF($A3451&gt;0,(VLOOKUP($A3451,TablaMO,11,FALSE)),"")</f>
        <v/>
      </c>
      <c r="L3451" s="1146"/>
      <c r="M3451" s="941"/>
      <c r="N3451" s="430" t="str">
        <f t="shared" si="258"/>
        <v/>
      </c>
      <c r="O3451" s="362"/>
    </row>
    <row r="3452" spans="1:15" ht="15.75" customHeight="1">
      <c r="A3452" s="395">
        <f t="array" ref="A3452">IF(C3452&lt;&gt;0,INDEX(CodMO,MATCH(C3452,MO,0),),)</f>
        <v>0</v>
      </c>
      <c r="B3452" s="399"/>
      <c r="C3452" s="1128"/>
      <c r="D3452" s="940"/>
      <c r="E3452" s="940"/>
      <c r="F3452" s="940"/>
      <c r="G3452" s="940"/>
      <c r="H3452" s="940"/>
      <c r="I3452" s="447" t="str">
        <f>IF($A3452&gt;0,(VLOOKUP($A3452,TablaMO,8,FALSE)),"")</f>
        <v/>
      </c>
      <c r="J3452" s="448" t="str">
        <f>IF($A3452&gt;0,(VLOOKUP($A3452,TablaMO,10,FALSE)),"")</f>
        <v/>
      </c>
      <c r="K3452" s="447" t="str">
        <f>IF($A3452&gt;0,(VLOOKUP($A3452,TablaMO,11,FALSE)),"")</f>
        <v/>
      </c>
      <c r="L3452" s="1146"/>
      <c r="M3452" s="941"/>
      <c r="N3452" s="430" t="str">
        <f t="shared" si="258"/>
        <v/>
      </c>
      <c r="O3452" s="362"/>
    </row>
    <row r="3453" spans="1:15" ht="15.75" customHeight="1">
      <c r="A3453" s="395">
        <f t="array" ref="A3453">IF(C3453&lt;&gt;0,INDEX(CodMO,MATCH(C3453,MO,0),),)</f>
        <v>0</v>
      </c>
      <c r="B3453" s="399"/>
      <c r="C3453" s="1128"/>
      <c r="D3453" s="940"/>
      <c r="E3453" s="940"/>
      <c r="F3453" s="940"/>
      <c r="G3453" s="940"/>
      <c r="H3453" s="940"/>
      <c r="I3453" s="447" t="str">
        <f>IF($A3453&gt;0,(VLOOKUP($A3453,TablaMO,8,FALSE)),"")</f>
        <v/>
      </c>
      <c r="J3453" s="448" t="str">
        <f>IF($A3453&gt;0,(VLOOKUP($A3453,TablaMO,10,FALSE)),"")</f>
        <v/>
      </c>
      <c r="K3453" s="447" t="str">
        <f>IF($A3453&gt;0,(VLOOKUP($A3453,TablaMO,11,FALSE)),"")</f>
        <v/>
      </c>
      <c r="L3453" s="1146"/>
      <c r="M3453" s="941"/>
      <c r="N3453" s="430" t="str">
        <f t="shared" si="258"/>
        <v/>
      </c>
      <c r="O3453" s="362"/>
    </row>
    <row r="3454" spans="1:15" ht="15.75" customHeight="1">
      <c r="A3454" s="395">
        <f t="array" ref="A3454">IF(C3454&lt;&gt;0,INDEX(CodMO,MATCH(C3454,MO,0),),)</f>
        <v>0</v>
      </c>
      <c r="B3454" s="399"/>
      <c r="C3454" s="1128"/>
      <c r="D3454" s="940"/>
      <c r="E3454" s="940"/>
      <c r="F3454" s="940"/>
      <c r="G3454" s="940"/>
      <c r="H3454" s="940"/>
      <c r="I3454" s="447" t="str">
        <f>IF($A3454&gt;0,(VLOOKUP($A3454,TablaMO,8,FALSE)),"")</f>
        <v/>
      </c>
      <c r="J3454" s="448" t="str">
        <f>IF($A3454&gt;0,(VLOOKUP($A3454,TablaMO,10,FALSE)),"")</f>
        <v/>
      </c>
      <c r="K3454" s="447" t="str">
        <f>IF($A3454&gt;0,(VLOOKUP($A3454,TablaMO,11,FALSE)),"")</f>
        <v/>
      </c>
      <c r="L3454" s="1146"/>
      <c r="M3454" s="941"/>
      <c r="N3454" s="430" t="str">
        <f t="shared" si="258"/>
        <v/>
      </c>
      <c r="O3454" s="362"/>
    </row>
    <row r="3455" spans="1:15" ht="15.75" customHeight="1">
      <c r="A3455" s="395"/>
      <c r="B3455" s="399"/>
      <c r="C3455" s="1127" t="s">
        <v>1202</v>
      </c>
      <c r="D3455" s="965"/>
      <c r="E3455" s="965"/>
      <c r="F3455" s="965"/>
      <c r="G3455" s="965"/>
      <c r="H3455" s="965"/>
      <c r="I3455" s="965"/>
      <c r="J3455" s="965"/>
      <c r="K3455" s="965"/>
      <c r="L3455" s="965"/>
      <c r="M3455" s="966"/>
      <c r="N3455" s="433">
        <f>+SUM(N3450:N3454)</f>
        <v>31930.294306800359</v>
      </c>
      <c r="O3455" s="362"/>
    </row>
    <row r="3456" spans="1:15" ht="15.75" customHeight="1">
      <c r="B3456" s="679"/>
      <c r="O3456" s="362"/>
    </row>
    <row r="3457" spans="2:18" ht="15.75" customHeight="1">
      <c r="B3457" s="679"/>
      <c r="C3457" s="1198" t="s">
        <v>1219</v>
      </c>
      <c r="D3457" s="965"/>
      <c r="E3457" s="965"/>
      <c r="F3457" s="965"/>
      <c r="G3457" s="965"/>
      <c r="H3457" s="965"/>
      <c r="I3457" s="965"/>
      <c r="J3457" s="965"/>
      <c r="K3457" s="965"/>
      <c r="L3457" s="965"/>
      <c r="M3457" s="966"/>
      <c r="N3457" s="680">
        <f>ROUND(SUM(N3455,N3445,N3435,N3422),0)</f>
        <v>33921</v>
      </c>
      <c r="O3457" s="362"/>
      <c r="Q3457" s="681">
        <f>VLOOKUP(C3411,PROPUESTASASERCO,8,FALSE)</f>
        <v>33921</v>
      </c>
      <c r="R3457" s="682">
        <f>Q3457-N3457</f>
        <v>0</v>
      </c>
    </row>
    <row r="3458" spans="2:18" ht="15.75" customHeight="1">
      <c r="B3458" s="679"/>
      <c r="C3458" s="1129" t="s">
        <v>1220</v>
      </c>
      <c r="D3458" s="926"/>
      <c r="E3458" s="926"/>
      <c r="F3458" s="926"/>
      <c r="G3458" s="926"/>
      <c r="H3458" s="926"/>
      <c r="I3458" s="926"/>
      <c r="J3458" s="926"/>
      <c r="K3458" s="926"/>
      <c r="L3458" s="926"/>
      <c r="M3458" s="926"/>
      <c r="N3458" s="927"/>
      <c r="O3458" s="362"/>
    </row>
    <row r="3459" spans="2:18" ht="15.75" customHeight="1">
      <c r="B3459" s="679"/>
      <c r="C3459" s="920"/>
      <c r="D3459" s="922"/>
      <c r="E3459" s="922"/>
      <c r="F3459" s="922"/>
      <c r="G3459" s="922"/>
      <c r="H3459" s="922"/>
      <c r="I3459" s="922"/>
      <c r="J3459" s="922"/>
      <c r="K3459" s="922"/>
      <c r="L3459" s="922"/>
      <c r="M3459" s="922"/>
      <c r="N3459" s="924"/>
      <c r="O3459" s="362"/>
    </row>
    <row r="3460" spans="2:18" ht="15.75" customHeight="1">
      <c r="B3460" s="679"/>
      <c r="C3460" s="929"/>
      <c r="D3460" s="936"/>
      <c r="E3460" s="936"/>
      <c r="F3460" s="936"/>
      <c r="G3460" s="936"/>
      <c r="H3460" s="936"/>
      <c r="I3460" s="936"/>
      <c r="J3460" s="936"/>
      <c r="K3460" s="936"/>
      <c r="L3460" s="936"/>
      <c r="M3460" s="936"/>
      <c r="N3460" s="938"/>
      <c r="O3460" s="362"/>
    </row>
    <row r="3461" spans="2:18" ht="15.75" customHeight="1">
      <c r="B3461" s="679"/>
      <c r="C3461" s="1201" t="s">
        <v>1221</v>
      </c>
      <c r="D3461" s="1131"/>
      <c r="E3461" s="1131"/>
      <c r="F3461" s="1131"/>
      <c r="G3461" s="1131"/>
      <c r="H3461" s="1132"/>
      <c r="I3461" s="674"/>
      <c r="J3461" s="674"/>
      <c r="K3461" s="674"/>
      <c r="L3461" s="1206" t="s">
        <v>1222</v>
      </c>
      <c r="M3461" s="1000"/>
      <c r="N3461" s="678" t="s">
        <v>1223</v>
      </c>
      <c r="O3461" s="362"/>
    </row>
    <row r="3462" spans="2:18" ht="15.75" customHeight="1">
      <c r="B3462" s="679"/>
      <c r="C3462" s="1128" t="s">
        <v>19</v>
      </c>
      <c r="D3462" s="940"/>
      <c r="E3462" s="940"/>
      <c r="F3462" s="940"/>
      <c r="G3462" s="940"/>
      <c r="H3462" s="940"/>
      <c r="I3462" s="452"/>
      <c r="J3462" s="452"/>
      <c r="K3462" s="452"/>
      <c r="L3462" s="1148">
        <f>+Datos!$E$18</f>
        <v>0.25</v>
      </c>
      <c r="M3462" s="941"/>
      <c r="N3462" s="430">
        <f>+L3462*N3457</f>
        <v>8480.25</v>
      </c>
      <c r="O3462" s="362"/>
    </row>
    <row r="3463" spans="2:18" ht="15.75" customHeight="1">
      <c r="B3463" s="679"/>
      <c r="C3463" s="454" t="s">
        <v>20</v>
      </c>
      <c r="D3463" s="455"/>
      <c r="E3463" s="455"/>
      <c r="F3463" s="455"/>
      <c r="G3463" s="455"/>
      <c r="H3463" s="455"/>
      <c r="I3463" s="452"/>
      <c r="J3463" s="452"/>
      <c r="K3463" s="452"/>
      <c r="L3463" s="1148">
        <f>+Datos!$E$19</f>
        <v>0.01</v>
      </c>
      <c r="M3463" s="941"/>
      <c r="N3463" s="430">
        <f>+L3463*N3457</f>
        <v>339.21</v>
      </c>
      <c r="O3463" s="362"/>
    </row>
    <row r="3464" spans="2:18" ht="15.75" customHeight="1">
      <c r="B3464" s="679"/>
      <c r="C3464" s="456" t="s">
        <v>21</v>
      </c>
      <c r="D3464" s="457"/>
      <c r="E3464" s="457"/>
      <c r="F3464" s="457"/>
      <c r="G3464" s="457"/>
      <c r="H3464" s="457"/>
      <c r="I3464" s="458"/>
      <c r="J3464" s="458"/>
      <c r="K3464" s="458"/>
      <c r="L3464" s="1148">
        <f>+Datos!$E$20</f>
        <v>0.05</v>
      </c>
      <c r="M3464" s="941"/>
      <c r="N3464" s="430">
        <f>+L3464*N3457</f>
        <v>1696.0500000000002</v>
      </c>
      <c r="O3464" s="362"/>
    </row>
    <row r="3465" spans="2:18" ht="15.75" customHeight="1">
      <c r="B3465" s="679"/>
      <c r="C3465" s="1127" t="s">
        <v>1202</v>
      </c>
      <c r="D3465" s="965"/>
      <c r="E3465" s="965"/>
      <c r="F3465" s="965"/>
      <c r="G3465" s="965"/>
      <c r="H3465" s="965"/>
      <c r="I3465" s="965"/>
      <c r="J3465" s="965"/>
      <c r="K3465" s="965"/>
      <c r="L3465" s="965"/>
      <c r="M3465" s="966"/>
      <c r="N3465" s="433">
        <f>+SUM(N3462:N3464)</f>
        <v>10515.509999999998</v>
      </c>
      <c r="O3465" s="362"/>
    </row>
    <row r="3466" spans="2:18" ht="15.75" customHeight="1">
      <c r="B3466" s="679"/>
      <c r="C3466" s="418"/>
      <c r="D3466" s="39"/>
      <c r="E3466" s="39"/>
      <c r="F3466" s="39"/>
      <c r="G3466" s="39"/>
      <c r="H3466" s="39"/>
      <c r="I3466" s="39"/>
      <c r="J3466" s="39"/>
      <c r="K3466" s="39"/>
      <c r="L3466" s="39"/>
      <c r="M3466" s="39"/>
      <c r="N3466" s="40"/>
      <c r="O3466" s="362"/>
    </row>
    <row r="3467" spans="2:18" ht="15.75" customHeight="1">
      <c r="B3467" s="679"/>
      <c r="C3467" s="1198" t="s">
        <v>1224</v>
      </c>
      <c r="D3467" s="965"/>
      <c r="E3467" s="965"/>
      <c r="F3467" s="965"/>
      <c r="G3467" s="965"/>
      <c r="H3467" s="965"/>
      <c r="I3467" s="965"/>
      <c r="J3467" s="965"/>
      <c r="K3467" s="965"/>
      <c r="L3467" s="965"/>
      <c r="M3467" s="966"/>
      <c r="N3467" s="683">
        <f>+ROUND(SUM(N3465,N3457),0)</f>
        <v>44437</v>
      </c>
      <c r="O3467" s="362"/>
    </row>
    <row r="3468" spans="2:18" ht="15.75" customHeight="1">
      <c r="B3468" s="679"/>
      <c r="C3468" s="418"/>
      <c r="D3468" s="39" t="s">
        <v>1225</v>
      </c>
      <c r="E3468" s="39"/>
      <c r="F3468" s="39"/>
      <c r="G3468" s="184"/>
      <c r="H3468" s="184"/>
      <c r="I3468" s="184"/>
      <c r="J3468" s="39" t="s">
        <v>1225</v>
      </c>
      <c r="K3468" s="39"/>
      <c r="L3468" s="39"/>
      <c r="M3468" s="39"/>
      <c r="N3468" s="40"/>
      <c r="O3468" s="362"/>
    </row>
    <row r="3469" spans="2:18" ht="15.75" customHeight="1">
      <c r="B3469" s="679"/>
      <c r="C3469" s="418"/>
      <c r="D3469" s="39" t="s">
        <v>1226</v>
      </c>
      <c r="E3469" s="39"/>
      <c r="F3469" s="39"/>
      <c r="G3469" s="184"/>
      <c r="H3469" s="184"/>
      <c r="I3469" s="184"/>
      <c r="J3469" s="39" t="s">
        <v>1227</v>
      </c>
      <c r="K3469" s="39"/>
      <c r="L3469" s="39"/>
      <c r="M3469" s="39"/>
      <c r="N3469" s="40"/>
      <c r="O3469" s="362"/>
    </row>
    <row r="3470" spans="2:18" ht="15.75" customHeight="1">
      <c r="B3470" s="679"/>
      <c r="C3470" s="404"/>
      <c r="D3470" s="39" t="s">
        <v>1228</v>
      </c>
      <c r="E3470" s="42"/>
      <c r="F3470" s="42"/>
      <c r="G3470" s="184"/>
      <c r="H3470" s="184"/>
      <c r="I3470" s="184"/>
      <c r="J3470" s="39" t="s">
        <v>1228</v>
      </c>
      <c r="K3470" s="42"/>
      <c r="L3470" s="42"/>
      <c r="M3470" s="42"/>
      <c r="N3470" s="43"/>
      <c r="O3470" s="362"/>
    </row>
    <row r="3471" spans="2:18" ht="15.75" customHeight="1">
      <c r="B3471" s="679"/>
      <c r="C3471" s="418"/>
      <c r="D3471" s="39"/>
      <c r="E3471" s="39"/>
      <c r="F3471" s="39"/>
      <c r="G3471" s="39" t="s">
        <v>1229</v>
      </c>
      <c r="H3471" s="39"/>
      <c r="I3471" s="39"/>
      <c r="J3471" s="39"/>
      <c r="K3471" s="39"/>
      <c r="L3471" s="39"/>
      <c r="M3471" s="39"/>
      <c r="N3471" s="40"/>
      <c r="O3471" s="362"/>
    </row>
    <row r="3472" spans="2:18" ht="15.75" customHeight="1">
      <c r="B3472" s="679"/>
      <c r="C3472" s="466"/>
      <c r="D3472" s="467"/>
      <c r="E3472" s="467"/>
      <c r="F3472" s="39"/>
      <c r="G3472" s="39"/>
      <c r="H3472" s="39"/>
      <c r="I3472" s="39"/>
      <c r="J3472" s="1149"/>
      <c r="K3472" s="922"/>
      <c r="L3472" s="922"/>
      <c r="M3472" s="922"/>
      <c r="N3472" s="924"/>
      <c r="O3472" s="362"/>
    </row>
    <row r="3473" spans="1:15" ht="15.75" customHeight="1">
      <c r="B3473" s="679"/>
      <c r="C3473" s="1150"/>
      <c r="D3473" s="936"/>
      <c r="E3473" s="936"/>
      <c r="F3473" s="416"/>
      <c r="G3473" s="416"/>
      <c r="H3473" s="416"/>
      <c r="I3473" s="416"/>
      <c r="J3473" s="936"/>
      <c r="K3473" s="936"/>
      <c r="L3473" s="936"/>
      <c r="M3473" s="936"/>
      <c r="N3473" s="938"/>
      <c r="O3473" s="362"/>
    </row>
    <row r="3474" spans="1:15" ht="15.75" customHeight="1">
      <c r="B3474" s="684"/>
      <c r="C3474" s="685"/>
      <c r="D3474" s="685"/>
      <c r="E3474" s="685"/>
      <c r="F3474" s="685"/>
      <c r="G3474" s="685"/>
      <c r="H3474" s="685"/>
      <c r="I3474" s="685"/>
      <c r="J3474" s="685"/>
      <c r="K3474" s="685"/>
      <c r="L3474" s="685"/>
      <c r="M3474" s="685"/>
      <c r="N3474" s="685"/>
      <c r="O3474" s="686"/>
    </row>
    <row r="3475" spans="1:15" ht="15.75" customHeight="1"/>
    <row r="3476" spans="1:15" ht="15.75" customHeight="1"/>
    <row r="3477" spans="1:15" ht="15.75" customHeight="1"/>
    <row r="3478" spans="1:15" ht="15.75" customHeight="1">
      <c r="A3478" s="395" t="s">
        <v>941</v>
      </c>
      <c r="B3478" s="184"/>
      <c r="C3478" s="184"/>
      <c r="D3478" s="184"/>
      <c r="E3478" s="184"/>
      <c r="F3478" s="184"/>
      <c r="G3478" s="184"/>
      <c r="H3478" s="184"/>
      <c r="I3478" s="184"/>
      <c r="J3478" s="184"/>
      <c r="K3478" s="184"/>
      <c r="L3478" s="184"/>
      <c r="M3478" s="184"/>
      <c r="N3478" s="184"/>
    </row>
    <row r="3479" spans="1:15" ht="15.75" customHeight="1">
      <c r="A3479" s="395"/>
      <c r="B3479" s="396"/>
      <c r="C3479" s="397"/>
      <c r="D3479" s="397"/>
      <c r="E3479" s="397"/>
      <c r="F3479" s="397"/>
      <c r="G3479" s="397"/>
      <c r="H3479" s="397"/>
      <c r="I3479" s="397"/>
      <c r="J3479" s="397"/>
      <c r="K3479" s="397"/>
      <c r="L3479" s="397"/>
      <c r="M3479" s="397"/>
      <c r="N3479" s="397"/>
      <c r="O3479" s="667"/>
    </row>
    <row r="3480" spans="1:15" ht="15.75" customHeight="1">
      <c r="A3480" s="395"/>
      <c r="B3480" s="399"/>
      <c r="C3480" s="1124"/>
      <c r="D3480" s="927"/>
      <c r="E3480" s="1207" t="str">
        <f>Datos!$C$9</f>
        <v>CONSEJO SUPERIOR  DE  JUDICATURA– DIRECCIÓN  EJECUTIVA  SECCIONAL  DE ADMINISTRACIÓN JUDICIAL DE BUCARAMANGA</v>
      </c>
      <c r="F3480" s="926"/>
      <c r="G3480" s="926"/>
      <c r="H3480" s="926"/>
      <c r="I3480" s="926"/>
      <c r="J3480" s="926"/>
      <c r="K3480" s="927"/>
      <c r="L3480" s="925" t="s">
        <v>1</v>
      </c>
      <c r="M3480" s="931"/>
      <c r="N3480" s="933">
        <v>1</v>
      </c>
      <c r="O3480" s="362"/>
    </row>
    <row r="3481" spans="1:15" ht="15.75" customHeight="1">
      <c r="A3481" s="395"/>
      <c r="B3481" s="399"/>
      <c r="C3481" s="920"/>
      <c r="D3481" s="924"/>
      <c r="E3481" s="920"/>
      <c r="F3481" s="922"/>
      <c r="G3481" s="922"/>
      <c r="H3481" s="922"/>
      <c r="I3481" s="922"/>
      <c r="J3481" s="922"/>
      <c r="K3481" s="924"/>
      <c r="L3481" s="920"/>
      <c r="M3481" s="932"/>
      <c r="N3481" s="934"/>
      <c r="O3481" s="362"/>
    </row>
    <row r="3482" spans="1:15" ht="15.75" customHeight="1">
      <c r="A3482" s="395"/>
      <c r="B3482" s="399"/>
      <c r="C3482" s="920"/>
      <c r="D3482" s="924"/>
      <c r="E3482" s="919" t="str">
        <f>Datos!$C$13</f>
        <v xml:space="preserve">BGA - 030 - 2026 </v>
      </c>
      <c r="F3482" s="922"/>
      <c r="G3482" s="922"/>
      <c r="H3482" s="922"/>
      <c r="I3482" s="922"/>
      <c r="J3482" s="922"/>
      <c r="K3482" s="922"/>
      <c r="L3482" s="925" t="s">
        <v>29</v>
      </c>
      <c r="M3482" s="926"/>
      <c r="N3482" s="927"/>
      <c r="O3482" s="362"/>
    </row>
    <row r="3483" spans="1:15" ht="15.75" customHeight="1">
      <c r="A3483" s="395"/>
      <c r="B3483" s="399"/>
      <c r="C3483" s="920"/>
      <c r="D3483" s="924"/>
      <c r="E3483"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483" s="922"/>
      <c r="G3483" s="922"/>
      <c r="H3483" s="922"/>
      <c r="I3483" s="922"/>
      <c r="J3483" s="922"/>
      <c r="K3483" s="924"/>
      <c r="L3483" s="919">
        <v>1</v>
      </c>
      <c r="M3483" s="921" t="s">
        <v>30</v>
      </c>
      <c r="N3483" s="923">
        <v>1</v>
      </c>
      <c r="O3483" s="362"/>
    </row>
    <row r="3484" spans="1:15" ht="15.75" customHeight="1">
      <c r="A3484" s="395"/>
      <c r="B3484" s="399"/>
      <c r="C3484" s="920"/>
      <c r="D3484" s="924"/>
      <c r="E3484" s="920"/>
      <c r="F3484" s="922"/>
      <c r="G3484" s="922"/>
      <c r="H3484" s="922"/>
      <c r="I3484" s="922"/>
      <c r="J3484" s="922"/>
      <c r="K3484" s="924"/>
      <c r="L3484" s="920"/>
      <c r="M3484" s="922"/>
      <c r="N3484" s="924"/>
      <c r="O3484" s="362"/>
    </row>
    <row r="3485" spans="1:15" ht="50.25" customHeight="1">
      <c r="A3485" s="395"/>
      <c r="B3485" s="399"/>
      <c r="C3485" s="920"/>
      <c r="D3485" s="924"/>
      <c r="E3485" s="920"/>
      <c r="F3485" s="922"/>
      <c r="G3485" s="922"/>
      <c r="H3485" s="922"/>
      <c r="I3485" s="922"/>
      <c r="J3485" s="922"/>
      <c r="K3485" s="924"/>
      <c r="L3485" s="925" t="s">
        <v>2</v>
      </c>
      <c r="M3485" s="926"/>
      <c r="N3485" s="927"/>
      <c r="O3485" s="362"/>
    </row>
    <row r="3486" spans="1:15" ht="15.75" customHeight="1">
      <c r="A3486" s="395"/>
      <c r="B3486" s="399"/>
      <c r="C3486" s="920"/>
      <c r="D3486" s="924"/>
      <c r="E3486" s="407"/>
      <c r="F3486" s="216"/>
      <c r="G3486" s="216"/>
      <c r="H3486" s="216"/>
      <c r="I3486" s="216"/>
      <c r="J3486" s="216"/>
      <c r="K3486" s="216"/>
      <c r="L3486" s="408" t="s">
        <v>3</v>
      </c>
      <c r="M3486" s="409" t="s">
        <v>4</v>
      </c>
      <c r="N3486" s="410" t="s">
        <v>5</v>
      </c>
      <c r="O3486" s="362"/>
    </row>
    <row r="3487" spans="1:15" ht="15.75" customHeight="1">
      <c r="A3487" s="395"/>
      <c r="B3487" s="399"/>
      <c r="C3487" s="920"/>
      <c r="D3487" s="924"/>
      <c r="E3487" s="1125" t="s">
        <v>1186</v>
      </c>
      <c r="F3487" s="945"/>
      <c r="G3487" s="945"/>
      <c r="H3487" s="945"/>
      <c r="I3487" s="945"/>
      <c r="J3487" s="945"/>
      <c r="K3487" s="945"/>
      <c r="L3487" s="928">
        <f>Datos!$C$7</f>
        <v>19</v>
      </c>
      <c r="M3487" s="935">
        <f>Datos!$D$7</f>
        <v>6</v>
      </c>
      <c r="N3487" s="937">
        <f>Datos!$E$7</f>
        <v>2026</v>
      </c>
      <c r="O3487" s="362"/>
    </row>
    <row r="3488" spans="1:15" ht="15.75" customHeight="1">
      <c r="A3488" s="395"/>
      <c r="B3488" s="399"/>
      <c r="C3488" s="929"/>
      <c r="D3488" s="938"/>
      <c r="E3488" s="929"/>
      <c r="F3488" s="936"/>
      <c r="G3488" s="936"/>
      <c r="H3488" s="936"/>
      <c r="I3488" s="936"/>
      <c r="J3488" s="936"/>
      <c r="K3488" s="936"/>
      <c r="L3488" s="929"/>
      <c r="M3488" s="936"/>
      <c r="N3488" s="938"/>
      <c r="O3488" s="362"/>
    </row>
    <row r="3489" spans="1:15" ht="15.75" customHeight="1">
      <c r="A3489" s="395"/>
      <c r="B3489" s="399"/>
      <c r="C3489" s="404"/>
      <c r="D3489" s="38"/>
      <c r="E3489" s="38"/>
      <c r="F3489" s="38"/>
      <c r="G3489" s="38"/>
      <c r="H3489" s="38"/>
      <c r="I3489" s="38"/>
      <c r="J3489" s="38"/>
      <c r="K3489" s="38"/>
      <c r="L3489" s="39"/>
      <c r="M3489" s="39"/>
      <c r="N3489" s="40"/>
      <c r="O3489" s="362"/>
    </row>
    <row r="3490" spans="1:15" ht="15.75" customHeight="1">
      <c r="A3490" s="395"/>
      <c r="B3490" s="399"/>
      <c r="C3490" s="412" t="s">
        <v>1187</v>
      </c>
      <c r="D3490" s="1199" t="str">
        <f>VLOOKUP(C3495,ListaAct,2,0)</f>
        <v>OBRA CIVIL</v>
      </c>
      <c r="E3490" s="922"/>
      <c r="F3490" s="922"/>
      <c r="G3490" s="922"/>
      <c r="H3490" s="922"/>
      <c r="I3490" s="922"/>
      <c r="J3490" s="922"/>
      <c r="K3490" s="922"/>
      <c r="L3490" s="922"/>
      <c r="M3490" s="1"/>
      <c r="N3490" s="413"/>
      <c r="O3490" s="362"/>
    </row>
    <row r="3491" spans="1:15" ht="15.75" customHeight="1">
      <c r="A3491" s="395"/>
      <c r="B3491" s="399"/>
      <c r="C3491" s="412" t="s">
        <v>1189</v>
      </c>
      <c r="D3491" s="1199" t="str">
        <f>VLOOKUP(C3495,ListaAct,3,0)</f>
        <v>ACTIVIDADES ELECTRICAS, DATOS Y DEMAS REQUERIDAS</v>
      </c>
      <c r="E3491" s="922"/>
      <c r="F3491" s="922"/>
      <c r="G3491" s="922"/>
      <c r="H3491" s="922"/>
      <c r="I3491" s="922"/>
      <c r="J3491" s="922"/>
      <c r="K3491" s="922"/>
      <c r="L3491" s="922"/>
      <c r="M3491" s="1"/>
      <c r="N3491" s="413"/>
      <c r="O3491" s="362"/>
    </row>
    <row r="3492" spans="1:15" ht="15.75" customHeight="1">
      <c r="A3492" s="395"/>
      <c r="B3492" s="399"/>
      <c r="C3492" s="925" t="s">
        <v>1191</v>
      </c>
      <c r="D3492" s="926"/>
      <c r="E3492" s="926"/>
      <c r="F3492" s="926"/>
      <c r="G3492" s="926"/>
      <c r="H3492" s="926"/>
      <c r="I3492" s="926"/>
      <c r="J3492" s="926"/>
      <c r="K3492" s="926"/>
      <c r="L3492" s="926"/>
      <c r="M3492" s="926"/>
      <c r="N3492" s="927"/>
      <c r="O3492" s="362"/>
    </row>
    <row r="3493" spans="1:15" ht="15.75" customHeight="1">
      <c r="A3493" s="395"/>
      <c r="B3493" s="399"/>
      <c r="C3493" s="418"/>
      <c r="D3493" s="39"/>
      <c r="E3493" s="39"/>
      <c r="F3493" s="39"/>
      <c r="G3493" s="39"/>
      <c r="H3493" s="39"/>
      <c r="I3493" s="39"/>
      <c r="J3493" s="39"/>
      <c r="K3493" s="39"/>
      <c r="L3493" s="39"/>
      <c r="M3493" s="39"/>
      <c r="N3493" s="40"/>
      <c r="O3493" s="362"/>
    </row>
    <row r="3494" spans="1:15" ht="15.75" customHeight="1">
      <c r="A3494" s="395"/>
      <c r="B3494" s="399"/>
      <c r="C3494" s="668" t="s">
        <v>965</v>
      </c>
      <c r="D3494" s="1200" t="s">
        <v>17</v>
      </c>
      <c r="E3494" s="1131"/>
      <c r="F3494" s="1131"/>
      <c r="G3494" s="1131"/>
      <c r="H3494" s="1131"/>
      <c r="I3494" s="1131"/>
      <c r="J3494" s="1131"/>
      <c r="K3494" s="1137"/>
      <c r="L3494" s="1201" t="s">
        <v>1192</v>
      </c>
      <c r="M3494" s="1137"/>
      <c r="N3494" s="668" t="s">
        <v>950</v>
      </c>
      <c r="O3494" s="362"/>
    </row>
    <row r="3495" spans="1:15" ht="15.75" customHeight="1">
      <c r="A3495" s="395"/>
      <c r="B3495" s="421"/>
      <c r="C3495" s="669" t="s">
        <v>1100</v>
      </c>
      <c r="D3495" s="1202" t="str">
        <f>IF($C3495&gt;0,(VLOOKUP($C3495,ListaAct,4,FALSE)),"")</f>
        <v xml:space="preserve"> Desmonte de puntos electricos incluye desmonto de cableado, canaletas, Tableros y accesorios de soporte </v>
      </c>
      <c r="E3495" s="979"/>
      <c r="F3495" s="979"/>
      <c r="G3495" s="979"/>
      <c r="H3495" s="979"/>
      <c r="I3495" s="979"/>
      <c r="J3495" s="979"/>
      <c r="K3495" s="980"/>
      <c r="L3495" s="1203" t="str">
        <f>IF($C3495&gt;0,(VLOOKUP($C3495,ListaAct,5,FALSE)),"")</f>
        <v>und</v>
      </c>
      <c r="M3495" s="980"/>
      <c r="N3495" s="423">
        <f>IF($C3495&gt;0,(VLOOKUP($C3495,ListaAct,6,FALSE)),"")</f>
        <v>8</v>
      </c>
      <c r="O3495" s="362"/>
    </row>
    <row r="3496" spans="1:15" ht="15.75" customHeight="1">
      <c r="A3496" s="395"/>
      <c r="B3496" s="399"/>
      <c r="C3496" s="1129" t="s">
        <v>1195</v>
      </c>
      <c r="D3496" s="926"/>
      <c r="E3496" s="926"/>
      <c r="F3496" s="926"/>
      <c r="G3496" s="926"/>
      <c r="H3496" s="926"/>
      <c r="I3496" s="926"/>
      <c r="J3496" s="926"/>
      <c r="K3496" s="926"/>
      <c r="L3496" s="926"/>
      <c r="M3496" s="926"/>
      <c r="N3496" s="927"/>
      <c r="O3496" s="362"/>
    </row>
    <row r="3497" spans="1:15" ht="15.75" customHeight="1">
      <c r="A3497" s="395"/>
      <c r="B3497" s="399"/>
      <c r="C3497" s="920"/>
      <c r="D3497" s="922"/>
      <c r="E3497" s="922"/>
      <c r="F3497" s="922"/>
      <c r="G3497" s="922"/>
      <c r="H3497" s="922"/>
      <c r="I3497" s="922"/>
      <c r="J3497" s="922"/>
      <c r="K3497" s="922"/>
      <c r="L3497" s="922"/>
      <c r="M3497" s="922"/>
      <c r="N3497" s="924"/>
      <c r="O3497" s="362"/>
    </row>
    <row r="3498" spans="1:15" ht="15.75" customHeight="1">
      <c r="A3498" s="395"/>
      <c r="B3498" s="399"/>
      <c r="C3498" s="929"/>
      <c r="D3498" s="936"/>
      <c r="E3498" s="936"/>
      <c r="F3498" s="936"/>
      <c r="G3498" s="936"/>
      <c r="H3498" s="936"/>
      <c r="I3498" s="936"/>
      <c r="J3498" s="936"/>
      <c r="K3498" s="936"/>
      <c r="L3498" s="936"/>
      <c r="M3498" s="936"/>
      <c r="N3498" s="938"/>
      <c r="O3498" s="362"/>
    </row>
    <row r="3499" spans="1:15" ht="15.75" customHeight="1">
      <c r="A3499" s="395"/>
      <c r="B3499" s="399"/>
      <c r="C3499" s="1201" t="s">
        <v>17</v>
      </c>
      <c r="D3499" s="1131"/>
      <c r="E3499" s="1131"/>
      <c r="F3499" s="1000"/>
      <c r="G3499" s="1204" t="s">
        <v>1196</v>
      </c>
      <c r="H3499" s="1000"/>
      <c r="I3499" s="1204" t="s">
        <v>1197</v>
      </c>
      <c r="J3499" s="1000"/>
      <c r="K3499" s="670" t="s">
        <v>1213</v>
      </c>
      <c r="L3499" s="1204" t="s">
        <v>1199</v>
      </c>
      <c r="M3499" s="1000"/>
      <c r="N3499" s="671" t="s">
        <v>1200</v>
      </c>
      <c r="O3499" s="362"/>
    </row>
    <row r="3500" spans="1:15" ht="15.75" customHeight="1">
      <c r="A3500" s="395"/>
      <c r="B3500" s="399"/>
      <c r="C3500" s="1128" t="s">
        <v>1201</v>
      </c>
      <c r="D3500" s="940"/>
      <c r="E3500" s="940"/>
      <c r="F3500" s="941"/>
      <c r="G3500" s="1142"/>
      <c r="H3500" s="941"/>
      <c r="I3500" s="1142"/>
      <c r="J3500" s="941"/>
      <c r="K3500" s="429"/>
      <c r="L3500" s="1143">
        <v>0.05</v>
      </c>
      <c r="M3500" s="941"/>
      <c r="N3500" s="430">
        <f>+L3500*N3539</f>
        <v>2971.1041164449953</v>
      </c>
      <c r="O3500" s="362"/>
    </row>
    <row r="3501" spans="1:15" ht="15.75" customHeight="1">
      <c r="A3501" s="395" t="str">
        <f t="array" ref="A3501">IF(C3501&lt;&gt;0,INDEX(CodEquipos,MATCH(C3501,Equipos,0),),)</f>
        <v>EQ-30</v>
      </c>
      <c r="B3501" s="399"/>
      <c r="C3501" s="1128" t="s">
        <v>2596</v>
      </c>
      <c r="D3501" s="940"/>
      <c r="E3501" s="940"/>
      <c r="F3501" s="941"/>
      <c r="G3501" s="1142"/>
      <c r="H3501" s="941"/>
      <c r="I3501" s="1142"/>
      <c r="J3501" s="941"/>
      <c r="K3501" s="432">
        <f>IF($A3501&gt;0,(VLOOKUP($A3501,TablaEquipos,7,FALSE)),"")</f>
        <v>750</v>
      </c>
      <c r="L3501" s="1146">
        <v>0.52500000000000002</v>
      </c>
      <c r="M3501" s="941"/>
      <c r="N3501" s="430">
        <f>IF(L3501&gt;0,K3501*L3501,"")</f>
        <v>393.75</v>
      </c>
      <c r="O3501" s="362"/>
    </row>
    <row r="3502" spans="1:15" ht="15.75" customHeight="1">
      <c r="A3502" s="395">
        <f t="array" ref="A3502">IF(C3502&lt;&gt;0,INDEX(CodEquipos,MATCH(C3502,Equipos,0),),)</f>
        <v>0</v>
      </c>
      <c r="B3502" s="399"/>
      <c r="C3502" s="1128"/>
      <c r="D3502" s="940"/>
      <c r="E3502" s="940"/>
      <c r="F3502" s="941"/>
      <c r="G3502" s="1142"/>
      <c r="H3502" s="941"/>
      <c r="I3502" s="1142"/>
      <c r="J3502" s="941"/>
      <c r="K3502" s="432" t="str">
        <f>IF($A3502&gt;0,(VLOOKUP($A3502,TablaEquipos,7,FALSE)),"")</f>
        <v/>
      </c>
      <c r="L3502" s="1146"/>
      <c r="M3502" s="941"/>
      <c r="N3502" s="430" t="str">
        <f t="shared" ref="N3502:N3505" si="259">IF(L3502&gt;0,K3502/L3502,"")</f>
        <v/>
      </c>
      <c r="O3502" s="362"/>
    </row>
    <row r="3503" spans="1:15" ht="15.75" customHeight="1">
      <c r="A3503" s="395">
        <f t="array" ref="A3503">IF(C3503&lt;&gt;0,INDEX(CodEquipos,MATCH(C3503,Equipos,0),),)</f>
        <v>0</v>
      </c>
      <c r="B3503" s="399"/>
      <c r="C3503" s="1128"/>
      <c r="D3503" s="940"/>
      <c r="E3503" s="940"/>
      <c r="F3503" s="941"/>
      <c r="G3503" s="1142"/>
      <c r="H3503" s="941"/>
      <c r="I3503" s="1142"/>
      <c r="J3503" s="941"/>
      <c r="K3503" s="432" t="str">
        <f>IF($A3503&gt;0,(VLOOKUP($A3503,TablaEquipos,7,FALSE)),"")</f>
        <v/>
      </c>
      <c r="L3503" s="1146"/>
      <c r="M3503" s="941"/>
      <c r="N3503" s="430" t="str">
        <f t="shared" si="259"/>
        <v/>
      </c>
      <c r="O3503" s="362"/>
    </row>
    <row r="3504" spans="1:15" ht="15.75" customHeight="1">
      <c r="A3504" s="395">
        <f t="array" ref="A3504">IF(C3504&lt;&gt;0,INDEX(CodEquipos,MATCH(C3504,Equipos,0),),)</f>
        <v>0</v>
      </c>
      <c r="B3504" s="399"/>
      <c r="C3504" s="1128"/>
      <c r="D3504" s="940"/>
      <c r="E3504" s="940"/>
      <c r="F3504" s="941"/>
      <c r="G3504" s="1142"/>
      <c r="H3504" s="941"/>
      <c r="I3504" s="1142"/>
      <c r="J3504" s="941"/>
      <c r="K3504" s="432" t="str">
        <f>IF($A3504&gt;0,(VLOOKUP($A3504,TablaEquipos,7,FALSE)),"")</f>
        <v/>
      </c>
      <c r="L3504" s="1141"/>
      <c r="M3504" s="941"/>
      <c r="N3504" s="430" t="str">
        <f t="shared" si="259"/>
        <v/>
      </c>
      <c r="O3504" s="362"/>
    </row>
    <row r="3505" spans="1:15" ht="15.75" customHeight="1">
      <c r="A3505" s="395">
        <f t="array" ref="A3505">IF(C3505&lt;&gt;0,INDEX(CodEquipos,MATCH(C3505,Equipos,0),),)</f>
        <v>0</v>
      </c>
      <c r="B3505" s="399"/>
      <c r="C3505" s="1128"/>
      <c r="D3505" s="940"/>
      <c r="E3505" s="940"/>
      <c r="F3505" s="941"/>
      <c r="G3505" s="1144"/>
      <c r="H3505" s="1145"/>
      <c r="I3505" s="1144"/>
      <c r="J3505" s="1145"/>
      <c r="K3505" s="432" t="str">
        <f>IF($A3505&gt;0,(VLOOKUP($A3505,TablaEquipos,7,FALSE)),"")</f>
        <v/>
      </c>
      <c r="L3505" s="1208"/>
      <c r="M3505" s="1145"/>
      <c r="N3505" s="430" t="str">
        <f t="shared" si="259"/>
        <v/>
      </c>
      <c r="O3505" s="362"/>
    </row>
    <row r="3506" spans="1:15" ht="15.75" customHeight="1">
      <c r="A3506" s="395"/>
      <c r="B3506" s="399"/>
      <c r="C3506" s="1127" t="s">
        <v>1202</v>
      </c>
      <c r="D3506" s="965"/>
      <c r="E3506" s="965"/>
      <c r="F3506" s="965"/>
      <c r="G3506" s="965"/>
      <c r="H3506" s="965"/>
      <c r="I3506" s="965"/>
      <c r="J3506" s="965"/>
      <c r="K3506" s="965"/>
      <c r="L3506" s="965"/>
      <c r="M3506" s="966"/>
      <c r="N3506" s="433">
        <f>+SUM(N3500:N3505)</f>
        <v>3364.8541164449953</v>
      </c>
      <c r="O3506" s="362"/>
    </row>
    <row r="3507" spans="1:15" ht="15.75" customHeight="1">
      <c r="A3507" s="395"/>
      <c r="B3507" s="399"/>
      <c r="C3507" s="1129" t="s">
        <v>1203</v>
      </c>
      <c r="D3507" s="926"/>
      <c r="E3507" s="926"/>
      <c r="F3507" s="926"/>
      <c r="G3507" s="926"/>
      <c r="H3507" s="926"/>
      <c r="I3507" s="926"/>
      <c r="J3507" s="926"/>
      <c r="K3507" s="926"/>
      <c r="L3507" s="926"/>
      <c r="M3507" s="926"/>
      <c r="N3507" s="927"/>
      <c r="O3507" s="362"/>
    </row>
    <row r="3508" spans="1:15" ht="15.75" customHeight="1">
      <c r="A3508" s="395"/>
      <c r="B3508" s="399"/>
      <c r="C3508" s="920"/>
      <c r="D3508" s="922"/>
      <c r="E3508" s="922"/>
      <c r="F3508" s="922"/>
      <c r="G3508" s="922"/>
      <c r="H3508" s="922"/>
      <c r="I3508" s="922"/>
      <c r="J3508" s="922"/>
      <c r="K3508" s="922"/>
      <c r="L3508" s="922"/>
      <c r="M3508" s="922"/>
      <c r="N3508" s="924"/>
      <c r="O3508" s="362"/>
    </row>
    <row r="3509" spans="1:15" ht="15.75" customHeight="1">
      <c r="A3509" s="395"/>
      <c r="B3509" s="399"/>
      <c r="C3509" s="929"/>
      <c r="D3509" s="936"/>
      <c r="E3509" s="936"/>
      <c r="F3509" s="936"/>
      <c r="G3509" s="936"/>
      <c r="H3509" s="936"/>
      <c r="I3509" s="936"/>
      <c r="J3509" s="936"/>
      <c r="K3509" s="936"/>
      <c r="L3509" s="936"/>
      <c r="M3509" s="936"/>
      <c r="N3509" s="938"/>
      <c r="O3509" s="362"/>
    </row>
    <row r="3510" spans="1:15" ht="15.75" customHeight="1">
      <c r="A3510" s="395"/>
      <c r="B3510" s="399"/>
      <c r="C3510" s="1201" t="s">
        <v>17</v>
      </c>
      <c r="D3510" s="1131"/>
      <c r="E3510" s="1131"/>
      <c r="F3510" s="1131"/>
      <c r="G3510" s="1131"/>
      <c r="H3510" s="1131"/>
      <c r="I3510" s="1000"/>
      <c r="J3510" s="672" t="s">
        <v>1192</v>
      </c>
      <c r="K3510" s="670" t="s">
        <v>950</v>
      </c>
      <c r="L3510" s="1204" t="s">
        <v>1204</v>
      </c>
      <c r="M3510" s="1000"/>
      <c r="N3510" s="671" t="s">
        <v>1200</v>
      </c>
      <c r="O3510" s="362"/>
    </row>
    <row r="3511" spans="1:15" ht="15.75" customHeight="1">
      <c r="A3511" s="395">
        <f t="array" ref="A3511">IF(C3511&lt;&gt;0,INDEX(CodMat,MATCH(C3511,Materiales,0),),)</f>
        <v>0</v>
      </c>
      <c r="B3511" s="399"/>
      <c r="C3511" s="1210"/>
      <c r="D3511" s="940"/>
      <c r="E3511" s="940"/>
      <c r="F3511" s="940"/>
      <c r="G3511" s="940"/>
      <c r="H3511" s="940"/>
      <c r="I3511" s="941"/>
      <c r="J3511" s="435" t="str">
        <f t="shared" ref="J3511:J3518" si="260">IF($A3511&gt;0,(VLOOKUP($A3511,TablaInsumos,5,FALSE)),"")</f>
        <v/>
      </c>
      <c r="K3511" s="673"/>
      <c r="L3511" s="1209" t="str">
        <f t="shared" ref="L3511:L3518" si="261">IF($A3511&gt;0,(VLOOKUP($A3511,TablaInsumos,7,FALSE)),"")</f>
        <v/>
      </c>
      <c r="M3511" s="941"/>
      <c r="N3511" s="430" t="str">
        <f t="shared" ref="N3511:N3518" si="262">IF(K3511&gt;0,L3511*K3511,"")</f>
        <v/>
      </c>
      <c r="O3511" s="362"/>
    </row>
    <row r="3512" spans="1:15" ht="15.75" customHeight="1">
      <c r="A3512" s="395">
        <f t="array" ref="A3512">IF(C3512&lt;&gt;0,INDEX(CodMat,MATCH(C3512,Materiales,0),),)</f>
        <v>0</v>
      </c>
      <c r="B3512" s="399"/>
      <c r="C3512" s="1128"/>
      <c r="D3512" s="940"/>
      <c r="E3512" s="940"/>
      <c r="F3512" s="940"/>
      <c r="G3512" s="940"/>
      <c r="H3512" s="940"/>
      <c r="I3512" s="941"/>
      <c r="J3512" s="435" t="str">
        <f t="shared" si="260"/>
        <v/>
      </c>
      <c r="K3512" s="673"/>
      <c r="L3512" s="1134" t="str">
        <f t="shared" si="261"/>
        <v/>
      </c>
      <c r="M3512" s="941"/>
      <c r="N3512" s="430" t="str">
        <f t="shared" si="262"/>
        <v/>
      </c>
      <c r="O3512" s="362"/>
    </row>
    <row r="3513" spans="1:15" ht="15.75" customHeight="1">
      <c r="A3513" s="395">
        <f t="array" ref="A3513">IF(C3513&lt;&gt;0,INDEX(CodMat,MATCH(C3513,Materiales,0),),)</f>
        <v>0</v>
      </c>
      <c r="B3513" s="399"/>
      <c r="C3513" s="1128"/>
      <c r="D3513" s="940"/>
      <c r="E3513" s="940"/>
      <c r="F3513" s="940"/>
      <c r="G3513" s="940"/>
      <c r="H3513" s="940"/>
      <c r="I3513" s="941"/>
      <c r="J3513" s="435" t="str">
        <f t="shared" si="260"/>
        <v/>
      </c>
      <c r="K3513" s="673"/>
      <c r="L3513" s="1134" t="str">
        <f t="shared" si="261"/>
        <v/>
      </c>
      <c r="M3513" s="941"/>
      <c r="N3513" s="430" t="str">
        <f t="shared" si="262"/>
        <v/>
      </c>
      <c r="O3513" s="362"/>
    </row>
    <row r="3514" spans="1:15" ht="15.75" customHeight="1">
      <c r="A3514" s="395">
        <f t="array" ref="A3514">IF(C3514&lt;&gt;0,INDEX(CodMat,MATCH(C3514,Materiales,0),),)</f>
        <v>0</v>
      </c>
      <c r="B3514" s="399"/>
      <c r="C3514" s="1128"/>
      <c r="D3514" s="940"/>
      <c r="E3514" s="940"/>
      <c r="F3514" s="940"/>
      <c r="G3514" s="940"/>
      <c r="H3514" s="940"/>
      <c r="I3514" s="941"/>
      <c r="J3514" s="435" t="str">
        <f t="shared" si="260"/>
        <v/>
      </c>
      <c r="K3514" s="673"/>
      <c r="L3514" s="1134" t="str">
        <f t="shared" si="261"/>
        <v/>
      </c>
      <c r="M3514" s="941"/>
      <c r="N3514" s="430" t="str">
        <f t="shared" si="262"/>
        <v/>
      </c>
      <c r="O3514" s="362"/>
    </row>
    <row r="3515" spans="1:15" ht="15.75" customHeight="1">
      <c r="A3515" s="395">
        <f t="array" ref="A3515">IF(C3515&lt;&gt;0,INDEX(CodMat,MATCH(C3515,Materiales,0),),)</f>
        <v>0</v>
      </c>
      <c r="B3515" s="399"/>
      <c r="C3515" s="1128"/>
      <c r="D3515" s="940"/>
      <c r="E3515" s="940"/>
      <c r="F3515" s="940"/>
      <c r="G3515" s="940"/>
      <c r="H3515" s="940"/>
      <c r="I3515" s="941"/>
      <c r="J3515" s="435" t="str">
        <f t="shared" si="260"/>
        <v/>
      </c>
      <c r="K3515" s="673"/>
      <c r="L3515" s="1134" t="str">
        <f t="shared" si="261"/>
        <v/>
      </c>
      <c r="M3515" s="941"/>
      <c r="N3515" s="430" t="str">
        <f t="shared" si="262"/>
        <v/>
      </c>
      <c r="O3515" s="362"/>
    </row>
    <row r="3516" spans="1:15" ht="15.75" customHeight="1">
      <c r="A3516" s="395">
        <f t="array" ref="A3516">IF(C3516&lt;&gt;0,INDEX(CodMat,MATCH(C3516,Materiales,0),),)</f>
        <v>0</v>
      </c>
      <c r="B3516" s="399"/>
      <c r="C3516" s="1211"/>
      <c r="D3516" s="940"/>
      <c r="E3516" s="940"/>
      <c r="F3516" s="940"/>
      <c r="G3516" s="940"/>
      <c r="H3516" s="940"/>
      <c r="I3516" s="941"/>
      <c r="J3516" s="435" t="str">
        <f t="shared" si="260"/>
        <v/>
      </c>
      <c r="K3516" s="673"/>
      <c r="L3516" s="1134" t="str">
        <f t="shared" si="261"/>
        <v/>
      </c>
      <c r="M3516" s="941"/>
      <c r="N3516" s="430" t="str">
        <f t="shared" si="262"/>
        <v/>
      </c>
      <c r="O3516" s="362"/>
    </row>
    <row r="3517" spans="1:15" ht="15.75" customHeight="1">
      <c r="A3517" s="395">
        <f t="array" ref="A3517">IF(C3517&lt;&gt;0,INDEX(CodMat,MATCH(C3517,Materiales,0),),)</f>
        <v>0</v>
      </c>
      <c r="B3517" s="399"/>
      <c r="C3517" s="1128"/>
      <c r="D3517" s="940"/>
      <c r="E3517" s="940"/>
      <c r="F3517" s="940"/>
      <c r="G3517" s="940"/>
      <c r="H3517" s="940"/>
      <c r="I3517" s="941"/>
      <c r="J3517" s="435" t="str">
        <f t="shared" si="260"/>
        <v/>
      </c>
      <c r="K3517" s="673"/>
      <c r="L3517" s="1134" t="str">
        <f t="shared" si="261"/>
        <v/>
      </c>
      <c r="M3517" s="941"/>
      <c r="N3517" s="430" t="str">
        <f t="shared" si="262"/>
        <v/>
      </c>
      <c r="O3517" s="362"/>
    </row>
    <row r="3518" spans="1:15" ht="15.75" customHeight="1">
      <c r="A3518" s="395">
        <f t="array" ref="A3518">IF(C3518&lt;&gt;0,INDEX(CodMat,MATCH(C3518,Materiales,0),),)</f>
        <v>0</v>
      </c>
      <c r="B3518" s="399"/>
      <c r="C3518" s="1128"/>
      <c r="D3518" s="940"/>
      <c r="E3518" s="940"/>
      <c r="F3518" s="940"/>
      <c r="G3518" s="940"/>
      <c r="H3518" s="940"/>
      <c r="I3518" s="941"/>
      <c r="J3518" s="435" t="str">
        <f t="shared" si="260"/>
        <v/>
      </c>
      <c r="K3518" s="673"/>
      <c r="L3518" s="1205" t="str">
        <f t="shared" si="261"/>
        <v/>
      </c>
      <c r="M3518" s="1145"/>
      <c r="N3518" s="430" t="str">
        <f t="shared" si="262"/>
        <v/>
      </c>
      <c r="O3518" s="362"/>
    </row>
    <row r="3519" spans="1:15" ht="15.75" customHeight="1">
      <c r="A3519" s="395"/>
      <c r="B3519" s="399"/>
      <c r="C3519" s="1127" t="s">
        <v>1202</v>
      </c>
      <c r="D3519" s="965"/>
      <c r="E3519" s="965"/>
      <c r="F3519" s="965"/>
      <c r="G3519" s="965"/>
      <c r="H3519" s="965"/>
      <c r="I3519" s="965"/>
      <c r="J3519" s="965"/>
      <c r="K3519" s="965"/>
      <c r="L3519" s="965"/>
      <c r="M3519" s="966"/>
      <c r="N3519" s="433">
        <f>+SUM(N3511:N3518)</f>
        <v>0</v>
      </c>
      <c r="O3519" s="362"/>
    </row>
    <row r="3520" spans="1:15" ht="15.75" customHeight="1">
      <c r="A3520" s="395"/>
      <c r="B3520" s="399"/>
      <c r="C3520" s="1129" t="s">
        <v>1208</v>
      </c>
      <c r="D3520" s="926"/>
      <c r="E3520" s="926"/>
      <c r="F3520" s="926"/>
      <c r="G3520" s="926"/>
      <c r="H3520" s="926"/>
      <c r="I3520" s="926"/>
      <c r="J3520" s="926"/>
      <c r="K3520" s="926"/>
      <c r="L3520" s="926"/>
      <c r="M3520" s="926"/>
      <c r="N3520" s="927"/>
      <c r="O3520" s="362"/>
    </row>
    <row r="3521" spans="1:15" ht="15.75" customHeight="1">
      <c r="A3521" s="395"/>
      <c r="B3521" s="399"/>
      <c r="C3521" s="920"/>
      <c r="D3521" s="922"/>
      <c r="E3521" s="922"/>
      <c r="F3521" s="922"/>
      <c r="G3521" s="922"/>
      <c r="H3521" s="922"/>
      <c r="I3521" s="922"/>
      <c r="J3521" s="922"/>
      <c r="K3521" s="922"/>
      <c r="L3521" s="922"/>
      <c r="M3521" s="922"/>
      <c r="N3521" s="924"/>
      <c r="O3521" s="362"/>
    </row>
    <row r="3522" spans="1:15" ht="15.75" customHeight="1">
      <c r="A3522" s="395"/>
      <c r="B3522" s="399"/>
      <c r="C3522" s="929"/>
      <c r="D3522" s="936"/>
      <c r="E3522" s="936"/>
      <c r="F3522" s="936"/>
      <c r="G3522" s="936"/>
      <c r="H3522" s="936"/>
      <c r="I3522" s="936"/>
      <c r="J3522" s="936"/>
      <c r="K3522" s="936"/>
      <c r="L3522" s="936"/>
      <c r="M3522" s="936"/>
      <c r="N3522" s="938"/>
      <c r="O3522" s="362"/>
    </row>
    <row r="3523" spans="1:15" ht="15.75" customHeight="1">
      <c r="A3523" s="395"/>
      <c r="B3523" s="399"/>
      <c r="C3523" s="1201" t="s">
        <v>1209</v>
      </c>
      <c r="D3523" s="1131"/>
      <c r="E3523" s="1131"/>
      <c r="F3523" s="1131"/>
      <c r="G3523" s="1131"/>
      <c r="H3523" s="1000"/>
      <c r="I3523" s="670" t="s">
        <v>1210</v>
      </c>
      <c r="J3523" s="674" t="s">
        <v>1211</v>
      </c>
      <c r="K3523" s="675" t="s">
        <v>2318</v>
      </c>
      <c r="L3523" s="1204" t="s">
        <v>1213</v>
      </c>
      <c r="M3523" s="1000"/>
      <c r="N3523" s="671" t="s">
        <v>1200</v>
      </c>
      <c r="O3523" s="362"/>
    </row>
    <row r="3524" spans="1:15" ht="15.75" customHeight="1">
      <c r="A3524" s="395">
        <f t="array" ref="A3524">IF(C3524&lt;&gt;0,INDEX(CodTransporte,MATCH(C3524,Transporte,0),),)</f>
        <v>0</v>
      </c>
      <c r="B3524" s="399"/>
      <c r="C3524" s="1128"/>
      <c r="D3524" s="940"/>
      <c r="E3524" s="940"/>
      <c r="F3524" s="940"/>
      <c r="G3524" s="940"/>
      <c r="H3524" s="940"/>
      <c r="I3524" s="440"/>
      <c r="J3524" s="690"/>
      <c r="K3524" s="442" t="str">
        <f>IF($A3524&gt;0,(VLOOKUP($A3524,TablaTransporte,5,FALSE)),"")</f>
        <v/>
      </c>
      <c r="L3524" s="1134" t="str">
        <f>IF($A3524&gt;0,(VLOOKUP($A3524,TablaTransporte,7,FALSE)),"")</f>
        <v/>
      </c>
      <c r="M3524" s="941"/>
      <c r="N3524" s="430" t="str">
        <f t="shared" ref="N3524:N3528" si="263">IF(I3524&gt;0,J3524*L3524*I3524,"")</f>
        <v/>
      </c>
      <c r="O3524" s="362"/>
    </row>
    <row r="3525" spans="1:15" ht="15.75" customHeight="1">
      <c r="A3525" s="395">
        <f t="array" ref="A3525">IF(C3525&lt;&gt;0,INDEX(CodTransporte,MATCH(C3525,Transporte,0),),)</f>
        <v>0</v>
      </c>
      <c r="B3525" s="399"/>
      <c r="C3525" s="1128"/>
      <c r="D3525" s="940"/>
      <c r="E3525" s="940"/>
      <c r="F3525" s="940"/>
      <c r="G3525" s="940"/>
      <c r="H3525" s="940"/>
      <c r="I3525" s="440"/>
      <c r="J3525" s="690"/>
      <c r="K3525" s="442" t="str">
        <f>IF($A3525&gt;0,(VLOOKUP($A3525,TablaTransporte,5,FALSE)),"")</f>
        <v/>
      </c>
      <c r="L3525" s="1134" t="str">
        <f>IF($A3525&gt;0,(VLOOKUP($A3525,TablaTransporte,7,FALSE)),"")</f>
        <v/>
      </c>
      <c r="M3525" s="941"/>
      <c r="N3525" s="430" t="str">
        <f t="shared" si="263"/>
        <v/>
      </c>
      <c r="O3525" s="362"/>
    </row>
    <row r="3526" spans="1:15" ht="15.75" customHeight="1">
      <c r="A3526" s="395">
        <f t="array" ref="A3526">IF(C3526&lt;&gt;0,INDEX(CodTransporte,MATCH(C3526,Transporte,0),),)</f>
        <v>0</v>
      </c>
      <c r="B3526" s="399"/>
      <c r="C3526" s="1128"/>
      <c r="D3526" s="940"/>
      <c r="E3526" s="940"/>
      <c r="F3526" s="940"/>
      <c r="G3526" s="940"/>
      <c r="H3526" s="940"/>
      <c r="I3526" s="440"/>
      <c r="J3526" s="441" t="str">
        <f>IF($A3526&gt;0,(VLOOKUP($A3526,TablaTransporte,6,FALSE)),"")</f>
        <v/>
      </c>
      <c r="K3526" s="442" t="str">
        <f>IF($A3526&gt;0,(VLOOKUP($A3526,TablaTransporte,5,FALSE)),"")</f>
        <v/>
      </c>
      <c r="L3526" s="1134" t="str">
        <f>IF($A3526&gt;0,(VLOOKUP($A3526,TablaTransporte,7,FALSE)),"")</f>
        <v/>
      </c>
      <c r="M3526" s="941"/>
      <c r="N3526" s="430" t="str">
        <f t="shared" si="263"/>
        <v/>
      </c>
      <c r="O3526" s="362"/>
    </row>
    <row r="3527" spans="1:15" ht="15.75" customHeight="1">
      <c r="A3527" s="395">
        <f t="array" ref="A3527">IF(C3527&lt;&gt;0,INDEX(CodTransporte,MATCH(C3527,Transporte,0),),)</f>
        <v>0</v>
      </c>
      <c r="B3527" s="399"/>
      <c r="C3527" s="1128"/>
      <c r="D3527" s="940"/>
      <c r="E3527" s="940"/>
      <c r="F3527" s="940"/>
      <c r="G3527" s="940"/>
      <c r="H3527" s="940"/>
      <c r="I3527" s="440"/>
      <c r="J3527" s="441" t="str">
        <f>IF($A3527&gt;0,(VLOOKUP($A3527,TablaTransporte,6,FALSE)),"")</f>
        <v/>
      </c>
      <c r="K3527" s="442" t="str">
        <f>IF($A3527&gt;0,(VLOOKUP($A3527,TablaTransporte,5,FALSE)),"")</f>
        <v/>
      </c>
      <c r="L3527" s="1134" t="str">
        <f>IF($A3527&gt;0,(VLOOKUP($A3527,TablaTransporte,7,FALSE)),"")</f>
        <v/>
      </c>
      <c r="M3527" s="941"/>
      <c r="N3527" s="430" t="str">
        <f t="shared" si="263"/>
        <v/>
      </c>
      <c r="O3527" s="362"/>
    </row>
    <row r="3528" spans="1:15" ht="15.75" customHeight="1">
      <c r="A3528" s="395">
        <f t="array" ref="A3528">IF(C3528&lt;&gt;0,INDEX(CodTransporte,MATCH(C3528,Transporte,0),),)</f>
        <v>0</v>
      </c>
      <c r="B3528" s="399"/>
      <c r="C3528" s="1128"/>
      <c r="D3528" s="940"/>
      <c r="E3528" s="940"/>
      <c r="F3528" s="940"/>
      <c r="G3528" s="940"/>
      <c r="H3528" s="940"/>
      <c r="I3528" s="440"/>
      <c r="J3528" s="441" t="str">
        <f>IF($A3528&gt;0,(VLOOKUP($A3528,TablaTransporte,6,FALSE)),"")</f>
        <v/>
      </c>
      <c r="K3528" s="442" t="str">
        <f>IF($A3528&gt;0,(VLOOKUP($A3528,TablaTransporte,5,FALSE)),"")</f>
        <v/>
      </c>
      <c r="L3528" s="1205" t="str">
        <f>IF($A3528&gt;0,(VLOOKUP($A3528,TablaTransporte,7,FALSE)),"")</f>
        <v/>
      </c>
      <c r="M3528" s="1145"/>
      <c r="N3528" s="430" t="str">
        <f t="shared" si="263"/>
        <v/>
      </c>
      <c r="O3528" s="362"/>
    </row>
    <row r="3529" spans="1:15" ht="15.75" customHeight="1">
      <c r="A3529" s="395"/>
      <c r="B3529" s="399"/>
      <c r="C3529" s="1127" t="s">
        <v>1202</v>
      </c>
      <c r="D3529" s="965"/>
      <c r="E3529" s="965"/>
      <c r="F3529" s="965"/>
      <c r="G3529" s="965"/>
      <c r="H3529" s="965"/>
      <c r="I3529" s="965"/>
      <c r="J3529" s="965"/>
      <c r="K3529" s="965"/>
      <c r="L3529" s="965"/>
      <c r="M3529" s="966"/>
      <c r="N3529" s="433">
        <f>+SUM(N3524:N3528)</f>
        <v>0</v>
      </c>
      <c r="O3529" s="362"/>
    </row>
    <row r="3530" spans="1:15" ht="15.75" customHeight="1">
      <c r="A3530" s="395"/>
      <c r="B3530" s="399"/>
      <c r="C3530" s="1129" t="s">
        <v>1214</v>
      </c>
      <c r="D3530" s="926"/>
      <c r="E3530" s="926"/>
      <c r="F3530" s="926"/>
      <c r="G3530" s="926"/>
      <c r="H3530" s="926"/>
      <c r="I3530" s="926"/>
      <c r="J3530" s="926"/>
      <c r="K3530" s="926"/>
      <c r="L3530" s="926"/>
      <c r="M3530" s="926"/>
      <c r="N3530" s="927"/>
      <c r="O3530" s="362"/>
    </row>
    <row r="3531" spans="1:15" ht="15.75" customHeight="1">
      <c r="A3531" s="395"/>
      <c r="B3531" s="399"/>
      <c r="C3531" s="920"/>
      <c r="D3531" s="922"/>
      <c r="E3531" s="922"/>
      <c r="F3531" s="922"/>
      <c r="G3531" s="922"/>
      <c r="H3531" s="922"/>
      <c r="I3531" s="922"/>
      <c r="J3531" s="922"/>
      <c r="K3531" s="922"/>
      <c r="L3531" s="922"/>
      <c r="M3531" s="922"/>
      <c r="N3531" s="924"/>
      <c r="O3531" s="362"/>
    </row>
    <row r="3532" spans="1:15" ht="15.75" customHeight="1">
      <c r="A3532" s="395"/>
      <c r="B3532" s="399"/>
      <c r="C3532" s="929"/>
      <c r="D3532" s="936"/>
      <c r="E3532" s="936"/>
      <c r="F3532" s="936"/>
      <c r="G3532" s="936"/>
      <c r="H3532" s="936"/>
      <c r="I3532" s="936"/>
      <c r="J3532" s="936"/>
      <c r="K3532" s="936"/>
      <c r="L3532" s="936"/>
      <c r="M3532" s="936"/>
      <c r="N3532" s="938"/>
      <c r="O3532" s="362"/>
    </row>
    <row r="3533" spans="1:15" ht="15.75" customHeight="1">
      <c r="A3533" s="395"/>
      <c r="B3533" s="399"/>
      <c r="C3533" s="1201" t="s">
        <v>1215</v>
      </c>
      <c r="D3533" s="1131"/>
      <c r="E3533" s="1131"/>
      <c r="F3533" s="1131"/>
      <c r="G3533" s="1131"/>
      <c r="H3533" s="1000"/>
      <c r="I3533" s="670" t="s">
        <v>1216</v>
      </c>
      <c r="J3533" s="676" t="s">
        <v>1217</v>
      </c>
      <c r="K3533" s="677" t="s">
        <v>1218</v>
      </c>
      <c r="L3533" s="1206" t="s">
        <v>1199</v>
      </c>
      <c r="M3533" s="1000"/>
      <c r="N3533" s="678" t="s">
        <v>1200</v>
      </c>
      <c r="O3533" s="362"/>
    </row>
    <row r="3534" spans="1:15" ht="15.75" customHeight="1">
      <c r="A3534" s="395" t="str">
        <f t="array" ref="A3534">IF(C3534&lt;&gt;0,INDEX(CodMO,MATCH(C3534,MO,0),),)</f>
        <v>M.O-19</v>
      </c>
      <c r="B3534" s="399"/>
      <c r="C3534" s="1128" t="s">
        <v>2597</v>
      </c>
      <c r="D3534" s="940"/>
      <c r="E3534" s="940"/>
      <c r="F3534" s="940"/>
      <c r="G3534" s="940"/>
      <c r="H3534" s="940"/>
      <c r="I3534" s="447">
        <f>IF($A3534&gt;0,(VLOOKUP($A3534,TablaMO,8,FALSE)),"")</f>
        <v>72503.016666666677</v>
      </c>
      <c r="J3534" s="448">
        <f>IF($A3534&gt;0,(VLOOKUP($A3534,TablaMO,10,FALSE)),"")</f>
        <v>0.67071666666666663</v>
      </c>
      <c r="K3534" s="447">
        <f>IF($A3534&gt;0,(VLOOKUP($A3534,TablaMO,11,FALSE)),"")</f>
        <v>121132</v>
      </c>
      <c r="L3534" s="1146">
        <v>2.0385014333482472</v>
      </c>
      <c r="M3534" s="941"/>
      <c r="N3534" s="430">
        <f t="shared" ref="N3534:N3538" si="264">IF(L3534&gt;0,K3534/L3534,"")</f>
        <v>59422.082328899902</v>
      </c>
      <c r="O3534" s="362"/>
    </row>
    <row r="3535" spans="1:15" ht="15.75" customHeight="1">
      <c r="A3535" s="395">
        <f t="array" ref="A3535">IF(C3535&lt;&gt;0,INDEX(CodMO,MATCH(C3535,MO,0),),)</f>
        <v>0</v>
      </c>
      <c r="B3535" s="399"/>
      <c r="C3535" s="1128"/>
      <c r="D3535" s="940"/>
      <c r="E3535" s="940"/>
      <c r="F3535" s="940"/>
      <c r="G3535" s="940"/>
      <c r="H3535" s="940"/>
      <c r="I3535" s="447" t="str">
        <f>IF($A3535&gt;0,(VLOOKUP($A3535,TablaMO,8,FALSE)),"")</f>
        <v/>
      </c>
      <c r="J3535" s="448" t="str">
        <f>IF($A3535&gt;0,(VLOOKUP($A3535,TablaMO,10,FALSE)),"")</f>
        <v/>
      </c>
      <c r="K3535" s="447" t="str">
        <f>IF($A3535&gt;0,(VLOOKUP($A3535,TablaMO,11,FALSE)),"")</f>
        <v/>
      </c>
      <c r="L3535" s="1146"/>
      <c r="M3535" s="941"/>
      <c r="N3535" s="430" t="str">
        <f t="shared" si="264"/>
        <v/>
      </c>
      <c r="O3535" s="362"/>
    </row>
    <row r="3536" spans="1:15" ht="15.75" customHeight="1">
      <c r="A3536" s="395">
        <f t="array" ref="A3536">IF(C3536&lt;&gt;0,INDEX(CodMO,MATCH(C3536,MO,0),),)</f>
        <v>0</v>
      </c>
      <c r="B3536" s="399"/>
      <c r="C3536" s="1128"/>
      <c r="D3536" s="940"/>
      <c r="E3536" s="940"/>
      <c r="F3536" s="940"/>
      <c r="G3536" s="940"/>
      <c r="H3536" s="940"/>
      <c r="I3536" s="447" t="str">
        <f>IF($A3536&gt;0,(VLOOKUP($A3536,TablaMO,8,FALSE)),"")</f>
        <v/>
      </c>
      <c r="J3536" s="448" t="str">
        <f>IF($A3536&gt;0,(VLOOKUP($A3536,TablaMO,10,FALSE)),"")</f>
        <v/>
      </c>
      <c r="K3536" s="447" t="str">
        <f>IF($A3536&gt;0,(VLOOKUP($A3536,TablaMO,11,FALSE)),"")</f>
        <v/>
      </c>
      <c r="L3536" s="1146"/>
      <c r="M3536" s="941"/>
      <c r="N3536" s="430" t="str">
        <f t="shared" si="264"/>
        <v/>
      </c>
      <c r="O3536" s="362"/>
    </row>
    <row r="3537" spans="1:18" ht="15.75" customHeight="1">
      <c r="A3537" s="395">
        <f t="array" ref="A3537">IF(C3537&lt;&gt;0,INDEX(CodMO,MATCH(C3537,MO,0),),)</f>
        <v>0</v>
      </c>
      <c r="B3537" s="399"/>
      <c r="C3537" s="1128"/>
      <c r="D3537" s="940"/>
      <c r="E3537" s="940"/>
      <c r="F3537" s="940"/>
      <c r="G3537" s="940"/>
      <c r="H3537" s="940"/>
      <c r="I3537" s="447" t="str">
        <f>IF($A3537&gt;0,(VLOOKUP($A3537,TablaMO,8,FALSE)),"")</f>
        <v/>
      </c>
      <c r="J3537" s="448" t="str">
        <f>IF($A3537&gt;0,(VLOOKUP($A3537,TablaMO,10,FALSE)),"")</f>
        <v/>
      </c>
      <c r="K3537" s="447" t="str">
        <f>IF($A3537&gt;0,(VLOOKUP($A3537,TablaMO,11,FALSE)),"")</f>
        <v/>
      </c>
      <c r="L3537" s="1146"/>
      <c r="M3537" s="941"/>
      <c r="N3537" s="430" t="str">
        <f t="shared" si="264"/>
        <v/>
      </c>
      <c r="O3537" s="362"/>
    </row>
    <row r="3538" spans="1:18" ht="15.75" customHeight="1">
      <c r="A3538" s="395">
        <f t="array" ref="A3538">IF(C3538&lt;&gt;0,INDEX(CodMO,MATCH(C3538,MO,0),),)</f>
        <v>0</v>
      </c>
      <c r="B3538" s="399"/>
      <c r="C3538" s="1128"/>
      <c r="D3538" s="940"/>
      <c r="E3538" s="940"/>
      <c r="F3538" s="940"/>
      <c r="G3538" s="940"/>
      <c r="H3538" s="940"/>
      <c r="I3538" s="447" t="str">
        <f>IF($A3538&gt;0,(VLOOKUP($A3538,TablaMO,8,FALSE)),"")</f>
        <v/>
      </c>
      <c r="J3538" s="448" t="str">
        <f>IF($A3538&gt;0,(VLOOKUP($A3538,TablaMO,10,FALSE)),"")</f>
        <v/>
      </c>
      <c r="K3538" s="447" t="str">
        <f>IF($A3538&gt;0,(VLOOKUP($A3538,TablaMO,11,FALSE)),"")</f>
        <v/>
      </c>
      <c r="L3538" s="1146"/>
      <c r="M3538" s="941"/>
      <c r="N3538" s="430" t="str">
        <f t="shared" si="264"/>
        <v/>
      </c>
      <c r="O3538" s="362"/>
    </row>
    <row r="3539" spans="1:18" ht="15.75" customHeight="1">
      <c r="A3539" s="395"/>
      <c r="B3539" s="399"/>
      <c r="C3539" s="1127" t="s">
        <v>1202</v>
      </c>
      <c r="D3539" s="965"/>
      <c r="E3539" s="965"/>
      <c r="F3539" s="965"/>
      <c r="G3539" s="965"/>
      <c r="H3539" s="965"/>
      <c r="I3539" s="965"/>
      <c r="J3539" s="965"/>
      <c r="K3539" s="965"/>
      <c r="L3539" s="965"/>
      <c r="M3539" s="966"/>
      <c r="N3539" s="433">
        <f>+SUM(N3534:N3538)</f>
        <v>59422.082328899902</v>
      </c>
      <c r="O3539" s="362"/>
    </row>
    <row r="3540" spans="1:18" ht="15.75" customHeight="1">
      <c r="B3540" s="679"/>
      <c r="O3540" s="362"/>
    </row>
    <row r="3541" spans="1:18" ht="15.75" customHeight="1">
      <c r="B3541" s="679"/>
      <c r="C3541" s="1198" t="s">
        <v>1219</v>
      </c>
      <c r="D3541" s="965"/>
      <c r="E3541" s="965"/>
      <c r="F3541" s="965"/>
      <c r="G3541" s="965"/>
      <c r="H3541" s="965"/>
      <c r="I3541" s="965"/>
      <c r="J3541" s="965"/>
      <c r="K3541" s="965"/>
      <c r="L3541" s="965"/>
      <c r="M3541" s="966"/>
      <c r="N3541" s="680">
        <f>ROUND(SUM(N3539,N3529,N3519,N3506),0)</f>
        <v>62787</v>
      </c>
      <c r="O3541" s="362"/>
      <c r="Q3541" s="681">
        <f>VLOOKUP(C3495,PROPUESTASASERCO,8,FALSE)</f>
        <v>62787</v>
      </c>
      <c r="R3541" s="682">
        <f>Q3541-N3541</f>
        <v>0</v>
      </c>
    </row>
    <row r="3542" spans="1:18" ht="15.75" customHeight="1">
      <c r="B3542" s="679"/>
      <c r="C3542" s="1129" t="s">
        <v>1220</v>
      </c>
      <c r="D3542" s="926"/>
      <c r="E3542" s="926"/>
      <c r="F3542" s="926"/>
      <c r="G3542" s="926"/>
      <c r="H3542" s="926"/>
      <c r="I3542" s="926"/>
      <c r="J3542" s="926"/>
      <c r="K3542" s="926"/>
      <c r="L3542" s="926"/>
      <c r="M3542" s="926"/>
      <c r="N3542" s="927"/>
      <c r="O3542" s="362"/>
    </row>
    <row r="3543" spans="1:18" ht="15.75" customHeight="1">
      <c r="B3543" s="679"/>
      <c r="C3543" s="920"/>
      <c r="D3543" s="922"/>
      <c r="E3543" s="922"/>
      <c r="F3543" s="922"/>
      <c r="G3543" s="922"/>
      <c r="H3543" s="922"/>
      <c r="I3543" s="922"/>
      <c r="J3543" s="922"/>
      <c r="K3543" s="922"/>
      <c r="L3543" s="922"/>
      <c r="M3543" s="922"/>
      <c r="N3543" s="924"/>
      <c r="O3543" s="362"/>
    </row>
    <row r="3544" spans="1:18" ht="15.75" customHeight="1">
      <c r="B3544" s="679"/>
      <c r="C3544" s="929"/>
      <c r="D3544" s="936"/>
      <c r="E3544" s="936"/>
      <c r="F3544" s="936"/>
      <c r="G3544" s="936"/>
      <c r="H3544" s="936"/>
      <c r="I3544" s="936"/>
      <c r="J3544" s="936"/>
      <c r="K3544" s="936"/>
      <c r="L3544" s="936"/>
      <c r="M3544" s="936"/>
      <c r="N3544" s="938"/>
      <c r="O3544" s="362"/>
    </row>
    <row r="3545" spans="1:18" ht="15.75" customHeight="1">
      <c r="B3545" s="679"/>
      <c r="C3545" s="1201" t="s">
        <v>1221</v>
      </c>
      <c r="D3545" s="1131"/>
      <c r="E3545" s="1131"/>
      <c r="F3545" s="1131"/>
      <c r="G3545" s="1131"/>
      <c r="H3545" s="1132"/>
      <c r="I3545" s="674"/>
      <c r="J3545" s="674"/>
      <c r="K3545" s="674"/>
      <c r="L3545" s="1206" t="s">
        <v>1222</v>
      </c>
      <c r="M3545" s="1000"/>
      <c r="N3545" s="678" t="s">
        <v>1223</v>
      </c>
      <c r="O3545" s="362"/>
    </row>
    <row r="3546" spans="1:18" ht="15.75" customHeight="1">
      <c r="B3546" s="679"/>
      <c r="C3546" s="1128" t="s">
        <v>19</v>
      </c>
      <c r="D3546" s="940"/>
      <c r="E3546" s="940"/>
      <c r="F3546" s="940"/>
      <c r="G3546" s="940"/>
      <c r="H3546" s="940"/>
      <c r="I3546" s="452"/>
      <c r="J3546" s="452"/>
      <c r="K3546" s="452"/>
      <c r="L3546" s="1148">
        <f>+Datos!$E$18</f>
        <v>0.25</v>
      </c>
      <c r="M3546" s="941"/>
      <c r="N3546" s="430">
        <f>+L3546*N3541</f>
        <v>15696.75</v>
      </c>
      <c r="O3546" s="362"/>
    </row>
    <row r="3547" spans="1:18" ht="15.75" customHeight="1">
      <c r="B3547" s="679"/>
      <c r="C3547" s="454" t="s">
        <v>20</v>
      </c>
      <c r="D3547" s="455"/>
      <c r="E3547" s="455"/>
      <c r="F3547" s="455"/>
      <c r="G3547" s="455"/>
      <c r="H3547" s="455"/>
      <c r="I3547" s="452"/>
      <c r="J3547" s="452"/>
      <c r="K3547" s="452"/>
      <c r="L3547" s="1148">
        <f>+Datos!$E$19</f>
        <v>0.01</v>
      </c>
      <c r="M3547" s="941"/>
      <c r="N3547" s="430">
        <f>+L3547*N3541</f>
        <v>627.87</v>
      </c>
      <c r="O3547" s="362"/>
    </row>
    <row r="3548" spans="1:18" ht="15.75" customHeight="1">
      <c r="B3548" s="679"/>
      <c r="C3548" s="456" t="s">
        <v>21</v>
      </c>
      <c r="D3548" s="457"/>
      <c r="E3548" s="457"/>
      <c r="F3548" s="457"/>
      <c r="G3548" s="457"/>
      <c r="H3548" s="457"/>
      <c r="I3548" s="458"/>
      <c r="J3548" s="458"/>
      <c r="K3548" s="458"/>
      <c r="L3548" s="1148">
        <f>+Datos!$E$20</f>
        <v>0.05</v>
      </c>
      <c r="M3548" s="941"/>
      <c r="N3548" s="430">
        <f>+L3548*N3541</f>
        <v>3139.3500000000004</v>
      </c>
      <c r="O3548" s="362"/>
    </row>
    <row r="3549" spans="1:18" ht="15.75" customHeight="1">
      <c r="B3549" s="679"/>
      <c r="C3549" s="1127" t="s">
        <v>1202</v>
      </c>
      <c r="D3549" s="965"/>
      <c r="E3549" s="965"/>
      <c r="F3549" s="965"/>
      <c r="G3549" s="965"/>
      <c r="H3549" s="965"/>
      <c r="I3549" s="965"/>
      <c r="J3549" s="965"/>
      <c r="K3549" s="965"/>
      <c r="L3549" s="965"/>
      <c r="M3549" s="966"/>
      <c r="N3549" s="433">
        <f>+SUM(N3546:N3548)</f>
        <v>19463.97</v>
      </c>
      <c r="O3549" s="362"/>
    </row>
    <row r="3550" spans="1:18" ht="15.75" customHeight="1">
      <c r="B3550" s="679"/>
      <c r="C3550" s="418"/>
      <c r="D3550" s="39"/>
      <c r="E3550" s="39"/>
      <c r="F3550" s="39"/>
      <c r="G3550" s="39"/>
      <c r="H3550" s="39"/>
      <c r="I3550" s="39"/>
      <c r="J3550" s="39"/>
      <c r="K3550" s="39"/>
      <c r="L3550" s="39"/>
      <c r="M3550" s="39"/>
      <c r="N3550" s="40"/>
      <c r="O3550" s="362"/>
    </row>
    <row r="3551" spans="1:18" ht="15.75" customHeight="1">
      <c r="B3551" s="679"/>
      <c r="C3551" s="1198" t="s">
        <v>1224</v>
      </c>
      <c r="D3551" s="965"/>
      <c r="E3551" s="965"/>
      <c r="F3551" s="965"/>
      <c r="G3551" s="965"/>
      <c r="H3551" s="965"/>
      <c r="I3551" s="965"/>
      <c r="J3551" s="965"/>
      <c r="K3551" s="965"/>
      <c r="L3551" s="965"/>
      <c r="M3551" s="966"/>
      <c r="N3551" s="683">
        <f>+ROUND(SUM(N3549,N3541),0)</f>
        <v>82251</v>
      </c>
      <c r="O3551" s="362"/>
    </row>
    <row r="3552" spans="1:18" ht="15.75" customHeight="1">
      <c r="B3552" s="679"/>
      <c r="C3552" s="418"/>
      <c r="D3552" s="39" t="s">
        <v>1225</v>
      </c>
      <c r="E3552" s="39"/>
      <c r="F3552" s="39"/>
      <c r="G3552" s="184"/>
      <c r="H3552" s="184"/>
      <c r="I3552" s="184"/>
      <c r="J3552" s="39" t="s">
        <v>1225</v>
      </c>
      <c r="K3552" s="39"/>
      <c r="L3552" s="39"/>
      <c r="M3552" s="39"/>
      <c r="N3552" s="40"/>
      <c r="O3552" s="362"/>
    </row>
    <row r="3553" spans="1:15" ht="15.75" customHeight="1">
      <c r="B3553" s="679"/>
      <c r="C3553" s="418"/>
      <c r="D3553" s="39" t="s">
        <v>1226</v>
      </c>
      <c r="E3553" s="39"/>
      <c r="F3553" s="39"/>
      <c r="G3553" s="184"/>
      <c r="H3553" s="184"/>
      <c r="I3553" s="184"/>
      <c r="J3553" s="39" t="s">
        <v>1227</v>
      </c>
      <c r="K3553" s="39"/>
      <c r="L3553" s="39"/>
      <c r="M3553" s="39"/>
      <c r="N3553" s="40"/>
      <c r="O3553" s="362"/>
    </row>
    <row r="3554" spans="1:15" ht="15.75" customHeight="1">
      <c r="B3554" s="679"/>
      <c r="C3554" s="404"/>
      <c r="D3554" s="39" t="s">
        <v>1228</v>
      </c>
      <c r="E3554" s="42"/>
      <c r="F3554" s="42"/>
      <c r="G3554" s="184"/>
      <c r="H3554" s="184"/>
      <c r="I3554" s="184"/>
      <c r="J3554" s="39" t="s">
        <v>1228</v>
      </c>
      <c r="K3554" s="42"/>
      <c r="L3554" s="42"/>
      <c r="M3554" s="42"/>
      <c r="N3554" s="43"/>
      <c r="O3554" s="362"/>
    </row>
    <row r="3555" spans="1:15" ht="15.75" customHeight="1">
      <c r="B3555" s="679"/>
      <c r="C3555" s="418"/>
      <c r="D3555" s="39"/>
      <c r="E3555" s="39"/>
      <c r="F3555" s="39"/>
      <c r="G3555" s="39" t="s">
        <v>1229</v>
      </c>
      <c r="H3555" s="39"/>
      <c r="I3555" s="39"/>
      <c r="J3555" s="39"/>
      <c r="K3555" s="39"/>
      <c r="L3555" s="39"/>
      <c r="M3555" s="39"/>
      <c r="N3555" s="40"/>
      <c r="O3555" s="362"/>
    </row>
    <row r="3556" spans="1:15" ht="15.75" customHeight="1">
      <c r="B3556" s="679"/>
      <c r="C3556" s="466"/>
      <c r="D3556" s="467"/>
      <c r="E3556" s="467"/>
      <c r="F3556" s="39"/>
      <c r="G3556" s="39"/>
      <c r="H3556" s="39"/>
      <c r="I3556" s="39"/>
      <c r="J3556" s="1149"/>
      <c r="K3556" s="922"/>
      <c r="L3556" s="922"/>
      <c r="M3556" s="922"/>
      <c r="N3556" s="924"/>
      <c r="O3556" s="362"/>
    </row>
    <row r="3557" spans="1:15" ht="15.75" customHeight="1">
      <c r="B3557" s="679"/>
      <c r="C3557" s="1150"/>
      <c r="D3557" s="936"/>
      <c r="E3557" s="936"/>
      <c r="F3557" s="416"/>
      <c r="G3557" s="416"/>
      <c r="H3557" s="416"/>
      <c r="I3557" s="416"/>
      <c r="J3557" s="936"/>
      <c r="K3557" s="936"/>
      <c r="L3557" s="936"/>
      <c r="M3557" s="936"/>
      <c r="N3557" s="938"/>
      <c r="O3557" s="362"/>
    </row>
    <row r="3558" spans="1:15" ht="15.75" customHeight="1">
      <c r="B3558" s="684"/>
      <c r="C3558" s="685"/>
      <c r="D3558" s="685"/>
      <c r="E3558" s="685"/>
      <c r="F3558" s="685"/>
      <c r="G3558" s="685"/>
      <c r="H3558" s="685"/>
      <c r="I3558" s="685"/>
      <c r="J3558" s="685"/>
      <c r="K3558" s="685"/>
      <c r="L3558" s="685"/>
      <c r="M3558" s="685"/>
      <c r="N3558" s="685"/>
      <c r="O3558" s="686"/>
    </row>
    <row r="3559" spans="1:15" ht="15.75" customHeight="1"/>
    <row r="3560" spans="1:15" ht="15.75" customHeight="1"/>
    <row r="3561" spans="1:15" ht="15.75" customHeight="1"/>
    <row r="3562" spans="1:15" ht="15.75" customHeight="1">
      <c r="A3562" s="395" t="s">
        <v>941</v>
      </c>
      <c r="B3562" s="184"/>
      <c r="C3562" s="184"/>
      <c r="D3562" s="184"/>
      <c r="E3562" s="184"/>
      <c r="F3562" s="184"/>
      <c r="G3562" s="184"/>
      <c r="H3562" s="184"/>
      <c r="I3562" s="184"/>
      <c r="J3562" s="184"/>
      <c r="K3562" s="184"/>
      <c r="L3562" s="184"/>
      <c r="M3562" s="184"/>
      <c r="N3562" s="184"/>
    </row>
    <row r="3563" spans="1:15" ht="15.75" customHeight="1">
      <c r="A3563" s="395"/>
      <c r="B3563" s="396"/>
      <c r="C3563" s="397"/>
      <c r="D3563" s="397"/>
      <c r="E3563" s="397"/>
      <c r="F3563" s="397"/>
      <c r="G3563" s="397"/>
      <c r="H3563" s="397"/>
      <c r="I3563" s="397"/>
      <c r="J3563" s="397"/>
      <c r="K3563" s="397"/>
      <c r="L3563" s="397"/>
      <c r="M3563" s="397"/>
      <c r="N3563" s="397"/>
      <c r="O3563" s="667"/>
    </row>
    <row r="3564" spans="1:15" ht="15.75" customHeight="1">
      <c r="A3564" s="395"/>
      <c r="B3564" s="399"/>
      <c r="C3564" s="1124"/>
      <c r="D3564" s="927"/>
      <c r="E3564" s="1207" t="str">
        <f>Datos!$C$9</f>
        <v>CONSEJO SUPERIOR  DE  JUDICATURA– DIRECCIÓN  EJECUTIVA  SECCIONAL  DE ADMINISTRACIÓN JUDICIAL DE BUCARAMANGA</v>
      </c>
      <c r="F3564" s="926"/>
      <c r="G3564" s="926"/>
      <c r="H3564" s="926"/>
      <c r="I3564" s="926"/>
      <c r="J3564" s="926"/>
      <c r="K3564" s="927"/>
      <c r="L3564" s="925" t="s">
        <v>1</v>
      </c>
      <c r="M3564" s="931"/>
      <c r="N3564" s="933">
        <v>1</v>
      </c>
      <c r="O3564" s="362"/>
    </row>
    <row r="3565" spans="1:15" ht="15.75" customHeight="1">
      <c r="A3565" s="395"/>
      <c r="B3565" s="399"/>
      <c r="C3565" s="920"/>
      <c r="D3565" s="924"/>
      <c r="E3565" s="920"/>
      <c r="F3565" s="922"/>
      <c r="G3565" s="922"/>
      <c r="H3565" s="922"/>
      <c r="I3565" s="922"/>
      <c r="J3565" s="922"/>
      <c r="K3565" s="924"/>
      <c r="L3565" s="920"/>
      <c r="M3565" s="932"/>
      <c r="N3565" s="934"/>
      <c r="O3565" s="362"/>
    </row>
    <row r="3566" spans="1:15" ht="15.75" customHeight="1">
      <c r="A3566" s="395"/>
      <c r="B3566" s="399"/>
      <c r="C3566" s="920"/>
      <c r="D3566" s="924"/>
      <c r="E3566" s="919" t="str">
        <f>Datos!$C$13</f>
        <v xml:space="preserve">BGA - 030 - 2026 </v>
      </c>
      <c r="F3566" s="922"/>
      <c r="G3566" s="922"/>
      <c r="H3566" s="922"/>
      <c r="I3566" s="922"/>
      <c r="J3566" s="922"/>
      <c r="K3566" s="922"/>
      <c r="L3566" s="925" t="s">
        <v>29</v>
      </c>
      <c r="M3566" s="926"/>
      <c r="N3566" s="927"/>
      <c r="O3566" s="362"/>
    </row>
    <row r="3567" spans="1:15" ht="15.75" customHeight="1">
      <c r="A3567" s="395"/>
      <c r="B3567" s="399"/>
      <c r="C3567" s="920"/>
      <c r="D3567" s="924"/>
      <c r="E356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567" s="922"/>
      <c r="G3567" s="922"/>
      <c r="H3567" s="922"/>
      <c r="I3567" s="922"/>
      <c r="J3567" s="922"/>
      <c r="K3567" s="924"/>
      <c r="L3567" s="919">
        <v>1</v>
      </c>
      <c r="M3567" s="921" t="s">
        <v>30</v>
      </c>
      <c r="N3567" s="923">
        <v>1</v>
      </c>
      <c r="O3567" s="362"/>
    </row>
    <row r="3568" spans="1:15" ht="15.75" customHeight="1">
      <c r="A3568" s="395"/>
      <c r="B3568" s="399"/>
      <c r="C3568" s="920"/>
      <c r="D3568" s="924"/>
      <c r="E3568" s="920"/>
      <c r="F3568" s="922"/>
      <c r="G3568" s="922"/>
      <c r="H3568" s="922"/>
      <c r="I3568" s="922"/>
      <c r="J3568" s="922"/>
      <c r="K3568" s="924"/>
      <c r="L3568" s="920"/>
      <c r="M3568" s="922"/>
      <c r="N3568" s="924"/>
      <c r="O3568" s="362"/>
    </row>
    <row r="3569" spans="1:15" ht="58.5" customHeight="1">
      <c r="A3569" s="395"/>
      <c r="B3569" s="399"/>
      <c r="C3569" s="920"/>
      <c r="D3569" s="924"/>
      <c r="E3569" s="920"/>
      <c r="F3569" s="922"/>
      <c r="G3569" s="922"/>
      <c r="H3569" s="922"/>
      <c r="I3569" s="922"/>
      <c r="J3569" s="922"/>
      <c r="K3569" s="924"/>
      <c r="L3569" s="925" t="s">
        <v>2</v>
      </c>
      <c r="M3569" s="926"/>
      <c r="N3569" s="927"/>
      <c r="O3569" s="362"/>
    </row>
    <row r="3570" spans="1:15">
      <c r="A3570" s="395"/>
      <c r="B3570" s="399"/>
      <c r="C3570" s="920"/>
      <c r="D3570" s="924"/>
      <c r="E3570" s="407"/>
      <c r="F3570" s="216"/>
      <c r="G3570" s="216"/>
      <c r="H3570" s="216"/>
      <c r="I3570" s="216"/>
      <c r="J3570" s="216"/>
      <c r="K3570" s="216"/>
      <c r="L3570" s="408" t="s">
        <v>3</v>
      </c>
      <c r="M3570" s="409" t="s">
        <v>4</v>
      </c>
      <c r="N3570" s="410" t="s">
        <v>5</v>
      </c>
      <c r="O3570" s="362"/>
    </row>
    <row r="3571" spans="1:15" ht="15.75" customHeight="1">
      <c r="A3571" s="395"/>
      <c r="B3571" s="399"/>
      <c r="C3571" s="920"/>
      <c r="D3571" s="924"/>
      <c r="E3571" s="1125" t="s">
        <v>1186</v>
      </c>
      <c r="F3571" s="945"/>
      <c r="G3571" s="945"/>
      <c r="H3571" s="945"/>
      <c r="I3571" s="945"/>
      <c r="J3571" s="945"/>
      <c r="K3571" s="945"/>
      <c r="L3571" s="928">
        <f>Datos!$C$7</f>
        <v>19</v>
      </c>
      <c r="M3571" s="935">
        <f>Datos!$D$7</f>
        <v>6</v>
      </c>
      <c r="N3571" s="937">
        <f>Datos!$E$7</f>
        <v>2026</v>
      </c>
      <c r="O3571" s="362"/>
    </row>
    <row r="3572" spans="1:15" ht="15.75" customHeight="1">
      <c r="A3572" s="395"/>
      <c r="B3572" s="399"/>
      <c r="C3572" s="929"/>
      <c r="D3572" s="938"/>
      <c r="E3572" s="929"/>
      <c r="F3572" s="936"/>
      <c r="G3572" s="936"/>
      <c r="H3572" s="936"/>
      <c r="I3572" s="936"/>
      <c r="J3572" s="936"/>
      <c r="K3572" s="936"/>
      <c r="L3572" s="929"/>
      <c r="M3572" s="936"/>
      <c r="N3572" s="938"/>
      <c r="O3572" s="362"/>
    </row>
    <row r="3573" spans="1:15" ht="15.75" customHeight="1">
      <c r="A3573" s="395"/>
      <c r="B3573" s="399"/>
      <c r="C3573" s="404"/>
      <c r="D3573" s="38"/>
      <c r="E3573" s="38"/>
      <c r="F3573" s="38"/>
      <c r="G3573" s="38"/>
      <c r="H3573" s="38"/>
      <c r="I3573" s="38"/>
      <c r="J3573" s="38"/>
      <c r="K3573" s="38"/>
      <c r="L3573" s="39"/>
      <c r="M3573" s="39"/>
      <c r="N3573" s="40"/>
      <c r="O3573" s="362"/>
    </row>
    <row r="3574" spans="1:15" ht="15.75" customHeight="1">
      <c r="A3574" s="395"/>
      <c r="B3574" s="399"/>
      <c r="C3574" s="412" t="s">
        <v>1187</v>
      </c>
      <c r="D3574" s="1199" t="str">
        <f>VLOOKUP(C3579,ListaAct,2,0)</f>
        <v>OBRA CIVIL</v>
      </c>
      <c r="E3574" s="922"/>
      <c r="F3574" s="922"/>
      <c r="G3574" s="922"/>
      <c r="H3574" s="922"/>
      <c r="I3574" s="922"/>
      <c r="J3574" s="922"/>
      <c r="K3574" s="922"/>
      <c r="L3574" s="922"/>
      <c r="M3574" s="1"/>
      <c r="N3574" s="413"/>
      <c r="O3574" s="362"/>
    </row>
    <row r="3575" spans="1:15" ht="15.75" customHeight="1">
      <c r="A3575" s="395"/>
      <c r="B3575" s="399"/>
      <c r="C3575" s="412" t="s">
        <v>1189</v>
      </c>
      <c r="D3575" s="1199" t="str">
        <f>VLOOKUP(C3579,ListaAct,3,0)</f>
        <v>ACTIVIDADES ELECTRICAS, DATOS Y DEMAS REQUERIDAS</v>
      </c>
      <c r="E3575" s="922"/>
      <c r="F3575" s="922"/>
      <c r="G3575" s="922"/>
      <c r="H3575" s="922"/>
      <c r="I3575" s="922"/>
      <c r="J3575" s="922"/>
      <c r="K3575" s="922"/>
      <c r="L3575" s="922"/>
      <c r="M3575" s="1"/>
      <c r="N3575" s="413"/>
      <c r="O3575" s="362"/>
    </row>
    <row r="3576" spans="1:15" ht="15.75" customHeight="1">
      <c r="A3576" s="395"/>
      <c r="B3576" s="399"/>
      <c r="C3576" s="925" t="s">
        <v>1191</v>
      </c>
      <c r="D3576" s="926"/>
      <c r="E3576" s="926"/>
      <c r="F3576" s="926"/>
      <c r="G3576" s="926"/>
      <c r="H3576" s="926"/>
      <c r="I3576" s="926"/>
      <c r="J3576" s="926"/>
      <c r="K3576" s="926"/>
      <c r="L3576" s="926"/>
      <c r="M3576" s="926"/>
      <c r="N3576" s="927"/>
      <c r="O3576" s="362"/>
    </row>
    <row r="3577" spans="1:15" ht="15.75" customHeight="1">
      <c r="A3577" s="395"/>
      <c r="B3577" s="399"/>
      <c r="C3577" s="418"/>
      <c r="D3577" s="39"/>
      <c r="E3577" s="39"/>
      <c r="F3577" s="39"/>
      <c r="G3577" s="39"/>
      <c r="H3577" s="39"/>
      <c r="I3577" s="39"/>
      <c r="J3577" s="39"/>
      <c r="K3577" s="39"/>
      <c r="L3577" s="39"/>
      <c r="M3577" s="39"/>
      <c r="N3577" s="40"/>
      <c r="O3577" s="362"/>
    </row>
    <row r="3578" spans="1:15" ht="15.75" customHeight="1">
      <c r="A3578" s="395"/>
      <c r="B3578" s="399"/>
      <c r="C3578" s="668" t="s">
        <v>965</v>
      </c>
      <c r="D3578" s="1200" t="s">
        <v>17</v>
      </c>
      <c r="E3578" s="1131"/>
      <c r="F3578" s="1131"/>
      <c r="G3578" s="1131"/>
      <c r="H3578" s="1131"/>
      <c r="I3578" s="1131"/>
      <c r="J3578" s="1131"/>
      <c r="K3578" s="1137"/>
      <c r="L3578" s="1201" t="s">
        <v>1192</v>
      </c>
      <c r="M3578" s="1137"/>
      <c r="N3578" s="668" t="s">
        <v>950</v>
      </c>
      <c r="O3578" s="362"/>
    </row>
    <row r="3579" spans="1:15" ht="53.25" customHeight="1">
      <c r="A3579" s="395"/>
      <c r="B3579" s="421"/>
      <c r="C3579" s="669" t="s">
        <v>1103</v>
      </c>
      <c r="D3579" s="1202" t="str">
        <f>IF($C3579&gt;0,(VLOOKUP($C3579,ListaAct,4,FALSE)),"")</f>
        <v>Suministro, Transporte E Instalación De Salida Para Iluminación 110 V, Incluye Caja Octogonal, Caja Rectangular, Interruptor Sencillo, Conectores, Cable Cu 3x12 Thwnn Lszh,  Ducto EMT pintado de color segun especificacion Ø 1/2", Clavija Aerea Tipo Hembra 15 A, Clavija Aerea Tipo Macho 15 A, Cable Encauchetado 3x16 Awg Thwn Lszh</v>
      </c>
      <c r="E3579" s="979"/>
      <c r="F3579" s="979"/>
      <c r="G3579" s="979"/>
      <c r="H3579" s="979"/>
      <c r="I3579" s="979"/>
      <c r="J3579" s="979"/>
      <c r="K3579" s="980"/>
      <c r="L3579" s="1203" t="str">
        <f>IF($C3579&gt;0,(VLOOKUP($C3579,ListaAct,5,FALSE)),"")</f>
        <v>und</v>
      </c>
      <c r="M3579" s="980"/>
      <c r="N3579" s="423">
        <f>IF($C3579&gt;0,(VLOOKUP($C3579,ListaAct,6,FALSE)),"")</f>
        <v>14</v>
      </c>
      <c r="O3579" s="362"/>
    </row>
    <row r="3580" spans="1:15" ht="15.75" customHeight="1">
      <c r="A3580" s="395"/>
      <c r="B3580" s="399"/>
      <c r="C3580" s="1129" t="s">
        <v>1195</v>
      </c>
      <c r="D3580" s="926"/>
      <c r="E3580" s="926"/>
      <c r="F3580" s="926"/>
      <c r="G3580" s="926"/>
      <c r="H3580" s="926"/>
      <c r="I3580" s="926"/>
      <c r="J3580" s="926"/>
      <c r="K3580" s="926"/>
      <c r="L3580" s="926"/>
      <c r="M3580" s="926"/>
      <c r="N3580" s="927"/>
      <c r="O3580" s="362"/>
    </row>
    <row r="3581" spans="1:15" ht="15.75" customHeight="1">
      <c r="A3581" s="395"/>
      <c r="B3581" s="399"/>
      <c r="C3581" s="920"/>
      <c r="D3581" s="922"/>
      <c r="E3581" s="922"/>
      <c r="F3581" s="922"/>
      <c r="G3581" s="922"/>
      <c r="H3581" s="922"/>
      <c r="I3581" s="922"/>
      <c r="J3581" s="922"/>
      <c r="K3581" s="922"/>
      <c r="L3581" s="922"/>
      <c r="M3581" s="922"/>
      <c r="N3581" s="924"/>
      <c r="O3581" s="362"/>
    </row>
    <row r="3582" spans="1:15" ht="15.75" customHeight="1">
      <c r="A3582" s="395"/>
      <c r="B3582" s="399"/>
      <c r="C3582" s="929"/>
      <c r="D3582" s="936"/>
      <c r="E3582" s="936"/>
      <c r="F3582" s="936"/>
      <c r="G3582" s="936"/>
      <c r="H3582" s="936"/>
      <c r="I3582" s="936"/>
      <c r="J3582" s="936"/>
      <c r="K3582" s="936"/>
      <c r="L3582" s="936"/>
      <c r="M3582" s="936"/>
      <c r="N3582" s="938"/>
      <c r="O3582" s="362"/>
    </row>
    <row r="3583" spans="1:15" ht="15.75" customHeight="1">
      <c r="A3583" s="395"/>
      <c r="B3583" s="399"/>
      <c r="C3583" s="1201" t="s">
        <v>17</v>
      </c>
      <c r="D3583" s="1131"/>
      <c r="E3583" s="1131"/>
      <c r="F3583" s="1000"/>
      <c r="G3583" s="1204" t="s">
        <v>1196</v>
      </c>
      <c r="H3583" s="1000"/>
      <c r="I3583" s="1204" t="s">
        <v>1197</v>
      </c>
      <c r="J3583" s="1000"/>
      <c r="K3583" s="670" t="s">
        <v>1213</v>
      </c>
      <c r="L3583" s="1204" t="s">
        <v>1199</v>
      </c>
      <c r="M3583" s="1000"/>
      <c r="N3583" s="671" t="s">
        <v>1200</v>
      </c>
      <c r="O3583" s="362"/>
    </row>
    <row r="3584" spans="1:15" ht="15.75" customHeight="1">
      <c r="A3584" s="395"/>
      <c r="B3584" s="399"/>
      <c r="C3584" s="1128" t="s">
        <v>1201</v>
      </c>
      <c r="D3584" s="940"/>
      <c r="E3584" s="940"/>
      <c r="F3584" s="941"/>
      <c r="G3584" s="1142"/>
      <c r="H3584" s="941"/>
      <c r="I3584" s="1142"/>
      <c r="J3584" s="941"/>
      <c r="K3584" s="429"/>
      <c r="L3584" s="1143">
        <v>0.05</v>
      </c>
      <c r="M3584" s="941"/>
      <c r="N3584" s="430">
        <f>+L3584*N3625</f>
        <v>3223.6855668596895</v>
      </c>
      <c r="O3584" s="362"/>
    </row>
    <row r="3585" spans="1:15" ht="15.75" customHeight="1">
      <c r="A3585" s="395" t="str">
        <f t="array" ref="A3585">IF(C3585&lt;&gt;0,INDEX(CodEquipos,MATCH(C3585,Equipos,0),),)</f>
        <v>EQ-30</v>
      </c>
      <c r="B3585" s="399"/>
      <c r="C3585" s="1128" t="s">
        <v>2596</v>
      </c>
      <c r="D3585" s="940"/>
      <c r="E3585" s="940"/>
      <c r="F3585" s="941"/>
      <c r="G3585" s="1142"/>
      <c r="H3585" s="941"/>
      <c r="I3585" s="1142"/>
      <c r="J3585" s="941"/>
      <c r="K3585" s="432">
        <f>IF($A3585&gt;0,(VLOOKUP($A3585,TablaEquipos,7,FALSE)),"")</f>
        <v>750</v>
      </c>
      <c r="L3585" s="1212">
        <v>0.52500000000000002</v>
      </c>
      <c r="M3585" s="1213"/>
      <c r="N3585" s="430">
        <f>IF(L3585&gt;0,K3585*L3585,"")</f>
        <v>393.75</v>
      </c>
      <c r="O3585" s="362"/>
    </row>
    <row r="3586" spans="1:15" ht="15.75" customHeight="1">
      <c r="A3586" s="395">
        <f t="array" ref="A3586">IF(C3586&lt;&gt;0,INDEX(CodEquipos,MATCH(C3586,Equipos,0),),)</f>
        <v>0</v>
      </c>
      <c r="B3586" s="399"/>
      <c r="C3586" s="1128"/>
      <c r="D3586" s="940"/>
      <c r="E3586" s="940"/>
      <c r="F3586" s="941"/>
      <c r="G3586" s="1142"/>
      <c r="H3586" s="941"/>
      <c r="I3586" s="1142"/>
      <c r="J3586" s="941"/>
      <c r="K3586" s="432" t="str">
        <f>IF($A3586&gt;0,(VLOOKUP($A3586,TablaEquipos,7,FALSE)),"")</f>
        <v/>
      </c>
      <c r="L3586" s="1146"/>
      <c r="M3586" s="941"/>
      <c r="N3586" s="430" t="str">
        <f t="shared" ref="N3586:N3589" si="265">IF(L3586&gt;0,K3586/L3586,"")</f>
        <v/>
      </c>
      <c r="O3586" s="362"/>
    </row>
    <row r="3587" spans="1:15" ht="15.75" customHeight="1">
      <c r="A3587" s="395">
        <f t="array" ref="A3587">IF(C3587&lt;&gt;0,INDEX(CodEquipos,MATCH(C3587,Equipos,0),),)</f>
        <v>0</v>
      </c>
      <c r="B3587" s="399"/>
      <c r="C3587" s="1128"/>
      <c r="D3587" s="940"/>
      <c r="E3587" s="940"/>
      <c r="F3587" s="941"/>
      <c r="G3587" s="1142"/>
      <c r="H3587" s="941"/>
      <c r="I3587" s="1142"/>
      <c r="J3587" s="941"/>
      <c r="K3587" s="432" t="str">
        <f>IF($A3587&gt;0,(VLOOKUP($A3587,TablaEquipos,7,FALSE)),"")</f>
        <v/>
      </c>
      <c r="L3587" s="1146"/>
      <c r="M3587" s="941"/>
      <c r="N3587" s="430" t="str">
        <f t="shared" si="265"/>
        <v/>
      </c>
      <c r="O3587" s="362"/>
    </row>
    <row r="3588" spans="1:15" ht="15.75" customHeight="1">
      <c r="A3588" s="395">
        <f t="array" ref="A3588">IF(C3588&lt;&gt;0,INDEX(CodEquipos,MATCH(C3588,Equipos,0),),)</f>
        <v>0</v>
      </c>
      <c r="B3588" s="399"/>
      <c r="C3588" s="1128"/>
      <c r="D3588" s="940"/>
      <c r="E3588" s="940"/>
      <c r="F3588" s="941"/>
      <c r="G3588" s="1142"/>
      <c r="H3588" s="941"/>
      <c r="I3588" s="1142"/>
      <c r="J3588" s="941"/>
      <c r="K3588" s="432" t="str">
        <f>IF($A3588&gt;0,(VLOOKUP($A3588,TablaEquipos,7,FALSE)),"")</f>
        <v/>
      </c>
      <c r="L3588" s="1141"/>
      <c r="M3588" s="941"/>
      <c r="N3588" s="430" t="str">
        <f t="shared" si="265"/>
        <v/>
      </c>
      <c r="O3588" s="362"/>
    </row>
    <row r="3589" spans="1:15" ht="15.75" customHeight="1">
      <c r="A3589" s="395">
        <f t="array" ref="A3589">IF(C3589&lt;&gt;0,INDEX(CodEquipos,MATCH(C3589,Equipos,0),),)</f>
        <v>0</v>
      </c>
      <c r="B3589" s="399"/>
      <c r="C3589" s="1128"/>
      <c r="D3589" s="940"/>
      <c r="E3589" s="940"/>
      <c r="F3589" s="941"/>
      <c r="G3589" s="1144"/>
      <c r="H3589" s="1145"/>
      <c r="I3589" s="1144"/>
      <c r="J3589" s="1145"/>
      <c r="K3589" s="432" t="str">
        <f>IF($A3589&gt;0,(VLOOKUP($A3589,TablaEquipos,7,FALSE)),"")</f>
        <v/>
      </c>
      <c r="L3589" s="1208"/>
      <c r="M3589" s="1145"/>
      <c r="N3589" s="430" t="str">
        <f t="shared" si="265"/>
        <v/>
      </c>
      <c r="O3589" s="362"/>
    </row>
    <row r="3590" spans="1:15" ht="15.75" customHeight="1">
      <c r="A3590" s="395"/>
      <c r="B3590" s="399"/>
      <c r="C3590" s="1127" t="s">
        <v>1202</v>
      </c>
      <c r="D3590" s="965"/>
      <c r="E3590" s="965"/>
      <c r="F3590" s="965"/>
      <c r="G3590" s="965"/>
      <c r="H3590" s="965"/>
      <c r="I3590" s="965"/>
      <c r="J3590" s="965"/>
      <c r="K3590" s="965"/>
      <c r="L3590" s="965"/>
      <c r="M3590" s="966"/>
      <c r="N3590" s="433">
        <f>+SUM(N3584:N3589)</f>
        <v>3617.4355668596895</v>
      </c>
      <c r="O3590" s="362"/>
    </row>
    <row r="3591" spans="1:15" ht="15.75" customHeight="1">
      <c r="A3591" s="395"/>
      <c r="B3591" s="399"/>
      <c r="C3591" s="1129" t="s">
        <v>1203</v>
      </c>
      <c r="D3591" s="926"/>
      <c r="E3591" s="926"/>
      <c r="F3591" s="926"/>
      <c r="G3591" s="926"/>
      <c r="H3591" s="926"/>
      <c r="I3591" s="926"/>
      <c r="J3591" s="926"/>
      <c r="K3591" s="926"/>
      <c r="L3591" s="926"/>
      <c r="M3591" s="926"/>
      <c r="N3591" s="927"/>
      <c r="O3591" s="362"/>
    </row>
    <row r="3592" spans="1:15" ht="15.75" customHeight="1">
      <c r="A3592" s="395"/>
      <c r="B3592" s="399"/>
      <c r="C3592" s="920"/>
      <c r="D3592" s="922"/>
      <c r="E3592" s="922"/>
      <c r="F3592" s="922"/>
      <c r="G3592" s="922"/>
      <c r="H3592" s="922"/>
      <c r="I3592" s="922"/>
      <c r="J3592" s="922"/>
      <c r="K3592" s="922"/>
      <c r="L3592" s="922"/>
      <c r="M3592" s="922"/>
      <c r="N3592" s="924"/>
      <c r="O3592" s="362"/>
    </row>
    <row r="3593" spans="1:15" ht="15.75" customHeight="1">
      <c r="A3593" s="395"/>
      <c r="B3593" s="399"/>
      <c r="C3593" s="929"/>
      <c r="D3593" s="936"/>
      <c r="E3593" s="936"/>
      <c r="F3593" s="936"/>
      <c r="G3593" s="936"/>
      <c r="H3593" s="936"/>
      <c r="I3593" s="936"/>
      <c r="J3593" s="936"/>
      <c r="K3593" s="936"/>
      <c r="L3593" s="936"/>
      <c r="M3593" s="936"/>
      <c r="N3593" s="938"/>
      <c r="O3593" s="362"/>
    </row>
    <row r="3594" spans="1:15" ht="15.75" customHeight="1">
      <c r="A3594" s="395"/>
      <c r="B3594" s="399"/>
      <c r="C3594" s="1201" t="s">
        <v>17</v>
      </c>
      <c r="D3594" s="1131"/>
      <c r="E3594" s="1131"/>
      <c r="F3594" s="1131"/>
      <c r="G3594" s="1131"/>
      <c r="H3594" s="1131"/>
      <c r="I3594" s="1000"/>
      <c r="J3594" s="672" t="s">
        <v>1192</v>
      </c>
      <c r="K3594" s="670" t="s">
        <v>950</v>
      </c>
      <c r="L3594" s="1204" t="s">
        <v>1204</v>
      </c>
      <c r="M3594" s="1000"/>
      <c r="N3594" s="671" t="s">
        <v>1200</v>
      </c>
      <c r="O3594" s="362"/>
    </row>
    <row r="3595" spans="1:15" ht="15.75" customHeight="1">
      <c r="A3595" s="395" t="str">
        <f t="array" ref="A3595">IF(C3595&lt;&gt;0,INDEX(CodMat,MATCH(C3595,Materiales,0),),)</f>
        <v>MAT_ELE-94</v>
      </c>
      <c r="B3595" s="399"/>
      <c r="C3595" s="1210" t="s">
        <v>2598</v>
      </c>
      <c r="D3595" s="940"/>
      <c r="E3595" s="940"/>
      <c r="F3595" s="940"/>
      <c r="G3595" s="940"/>
      <c r="H3595" s="940"/>
      <c r="I3595" s="941"/>
      <c r="J3595" s="435" t="str">
        <f t="shared" ref="J3595:J3604" si="266">IF($A3595&gt;0,(VLOOKUP($A3595,TablaInsumos,5,FALSE)),"")</f>
        <v>UND</v>
      </c>
      <c r="K3595" s="673">
        <v>3</v>
      </c>
      <c r="L3595" s="1209">
        <f t="shared" ref="L3595:L3604" si="267">IF($A3595&gt;0,(VLOOKUP($A3595,TablaInsumos,7,FALSE)),"")</f>
        <v>20800</v>
      </c>
      <c r="M3595" s="941"/>
      <c r="N3595" s="430">
        <f t="shared" ref="N3595:N3603" si="268">IF(K3595&gt;0,L3595*K3595,"")</f>
        <v>62400</v>
      </c>
      <c r="O3595" s="362"/>
    </row>
    <row r="3596" spans="1:15" ht="15.75" customHeight="1">
      <c r="A3596" s="395" t="str">
        <f t="array" ref="A3596">IF(C3596&lt;&gt;0,INDEX(CodMat,MATCH(C3596,Materiales,0),),)</f>
        <v>MAT_ELE-63</v>
      </c>
      <c r="B3596" s="399"/>
      <c r="C3596" s="1128" t="s">
        <v>2599</v>
      </c>
      <c r="D3596" s="940"/>
      <c r="E3596" s="940"/>
      <c r="F3596" s="940"/>
      <c r="G3596" s="940"/>
      <c r="H3596" s="940"/>
      <c r="I3596" s="941"/>
      <c r="J3596" s="435" t="str">
        <f t="shared" si="266"/>
        <v>ML</v>
      </c>
      <c r="K3596" s="673">
        <v>13.5</v>
      </c>
      <c r="L3596" s="1134">
        <f t="shared" si="267"/>
        <v>3789</v>
      </c>
      <c r="M3596" s="941"/>
      <c r="N3596" s="430">
        <f t="shared" si="268"/>
        <v>51151.5</v>
      </c>
      <c r="O3596" s="362"/>
    </row>
    <row r="3597" spans="1:15" ht="15.75" customHeight="1">
      <c r="A3597" s="395" t="str">
        <f t="array" ref="A3597">IF(C3597&lt;&gt;0,INDEX(CodMat,MATCH(C3597,Materiales,0),),)</f>
        <v>MAT_ELE-92</v>
      </c>
      <c r="B3597" s="399"/>
      <c r="C3597" s="1128" t="s">
        <v>2600</v>
      </c>
      <c r="D3597" s="940"/>
      <c r="E3597" s="940"/>
      <c r="F3597" s="940"/>
      <c r="G3597" s="940"/>
      <c r="H3597" s="940"/>
      <c r="I3597" s="941"/>
      <c r="J3597" s="435" t="str">
        <f t="shared" si="266"/>
        <v>UND</v>
      </c>
      <c r="K3597" s="673">
        <v>1.1399999999999999</v>
      </c>
      <c r="L3597" s="1134">
        <f t="shared" si="267"/>
        <v>11900</v>
      </c>
      <c r="M3597" s="941"/>
      <c r="N3597" s="430">
        <f t="shared" si="268"/>
        <v>13565.999999999998</v>
      </c>
      <c r="O3597" s="362"/>
    </row>
    <row r="3598" spans="1:15" ht="15.75" customHeight="1">
      <c r="A3598" s="395" t="str">
        <f t="array" ref="A3598">IF(C3598&lt;&gt;0,INDEX(CodMat,MATCH(C3598,Materiales,0),),)</f>
        <v>MAT_ELE-97</v>
      </c>
      <c r="B3598" s="399"/>
      <c r="C3598" s="1128" t="s">
        <v>2221</v>
      </c>
      <c r="D3598" s="940"/>
      <c r="E3598" s="940"/>
      <c r="F3598" s="940"/>
      <c r="G3598" s="940"/>
      <c r="H3598" s="940"/>
      <c r="I3598" s="941"/>
      <c r="J3598" s="435" t="str">
        <f t="shared" si="266"/>
        <v>UND</v>
      </c>
      <c r="K3598" s="673">
        <v>3</v>
      </c>
      <c r="L3598" s="1134">
        <f t="shared" si="267"/>
        <v>1180</v>
      </c>
      <c r="M3598" s="941"/>
      <c r="N3598" s="430">
        <f t="shared" si="268"/>
        <v>3540</v>
      </c>
      <c r="O3598" s="362"/>
    </row>
    <row r="3599" spans="1:15" ht="15.75" customHeight="1">
      <c r="A3599" s="395" t="str">
        <f t="array" ref="A3599">IF(C3599&lt;&gt;0,INDEX(CodMat,MATCH(C3599,Materiales,0),),)</f>
        <v>MAT_ELE-64</v>
      </c>
      <c r="B3599" s="399"/>
      <c r="C3599" s="1128" t="s">
        <v>2601</v>
      </c>
      <c r="D3599" s="940"/>
      <c r="E3599" s="940"/>
      <c r="F3599" s="940"/>
      <c r="G3599" s="940"/>
      <c r="H3599" s="940"/>
      <c r="I3599" s="941"/>
      <c r="J3599" s="435" t="str">
        <f t="shared" si="266"/>
        <v>UND</v>
      </c>
      <c r="K3599" s="673">
        <v>2</v>
      </c>
      <c r="L3599" s="1134">
        <f t="shared" si="267"/>
        <v>1120</v>
      </c>
      <c r="M3599" s="941"/>
      <c r="N3599" s="430">
        <f t="shared" si="268"/>
        <v>2240</v>
      </c>
      <c r="O3599" s="362"/>
    </row>
    <row r="3600" spans="1:15" ht="15.75" customHeight="1">
      <c r="A3600" s="395" t="str">
        <f t="array" ref="A3600">IF(C3600&lt;&gt;0,INDEX(CodMat,MATCH(C3600,Materiales,0),),)</f>
        <v>MAT_ELE-110</v>
      </c>
      <c r="B3600" s="399"/>
      <c r="C3600" s="1211" t="s">
        <v>2603</v>
      </c>
      <c r="D3600" s="940"/>
      <c r="E3600" s="940"/>
      <c r="F3600" s="940"/>
      <c r="G3600" s="940"/>
      <c r="H3600" s="940"/>
      <c r="I3600" s="941"/>
      <c r="J3600" s="435" t="str">
        <f t="shared" si="266"/>
        <v>Ml</v>
      </c>
      <c r="K3600" s="673">
        <v>4</v>
      </c>
      <c r="L3600" s="1134">
        <f t="shared" si="267"/>
        <v>21900</v>
      </c>
      <c r="M3600" s="941"/>
      <c r="N3600" s="430">
        <f t="shared" si="268"/>
        <v>87600</v>
      </c>
      <c r="O3600" s="362"/>
    </row>
    <row r="3601" spans="1:15" ht="15.75" customHeight="1">
      <c r="A3601" s="395" t="str">
        <f t="array" ref="A3601">IF(C3601&lt;&gt;0,INDEX(CodMat,MATCH(C3601,Materiales,0),),)</f>
        <v>MAT_ELE-50</v>
      </c>
      <c r="B3601" s="399"/>
      <c r="C3601" s="1128" t="s">
        <v>2604</v>
      </c>
      <c r="D3601" s="940"/>
      <c r="E3601" s="940"/>
      <c r="F3601" s="940"/>
      <c r="G3601" s="940"/>
      <c r="H3601" s="940"/>
      <c r="I3601" s="941"/>
      <c r="J3601" s="435" t="str">
        <f t="shared" si="266"/>
        <v>UND</v>
      </c>
      <c r="K3601" s="673">
        <v>1</v>
      </c>
      <c r="L3601" s="1134">
        <f t="shared" si="267"/>
        <v>1050</v>
      </c>
      <c r="M3601" s="941"/>
      <c r="N3601" s="430">
        <f t="shared" si="268"/>
        <v>1050</v>
      </c>
      <c r="O3601" s="362"/>
    </row>
    <row r="3602" spans="1:15" ht="15.75" customHeight="1">
      <c r="A3602" s="395" t="str">
        <f t="array" ref="A3602">IF(C3602&lt;&gt;0,INDEX(CodMat,MATCH(C3602,Materiales,0),),)</f>
        <v>MAT_ELE-76</v>
      </c>
      <c r="B3602" s="399"/>
      <c r="C3602" s="1128" t="s">
        <v>2605</v>
      </c>
      <c r="D3602" s="940"/>
      <c r="E3602" s="940"/>
      <c r="F3602" s="940"/>
      <c r="G3602" s="940"/>
      <c r="H3602" s="940"/>
      <c r="I3602" s="941"/>
      <c r="J3602" s="435" t="str">
        <f t="shared" si="266"/>
        <v>UND</v>
      </c>
      <c r="K3602" s="673">
        <v>0.14000000000000001</v>
      </c>
      <c r="L3602" s="1134">
        <f t="shared" si="267"/>
        <v>5400</v>
      </c>
      <c r="M3602" s="941"/>
      <c r="N3602" s="430">
        <f t="shared" si="268"/>
        <v>756.00000000000011</v>
      </c>
      <c r="O3602" s="362"/>
    </row>
    <row r="3603" spans="1:15" ht="15.75" customHeight="1">
      <c r="A3603" s="395" t="str">
        <f t="array" ref="A3603">IF(C3603&lt;&gt;0,INDEX(CodMat,MATCH(C3603,Materiales,0),),)</f>
        <v>MAT_ELE-96</v>
      </c>
      <c r="B3603" s="399"/>
      <c r="C3603" s="1128" t="s">
        <v>2606</v>
      </c>
      <c r="D3603" s="940"/>
      <c r="E3603" s="940"/>
      <c r="F3603" s="940"/>
      <c r="G3603" s="940"/>
      <c r="H3603" s="940"/>
      <c r="I3603" s="941"/>
      <c r="J3603" s="435" t="str">
        <f t="shared" si="266"/>
        <v>ML</v>
      </c>
      <c r="K3603" s="673">
        <v>0.8</v>
      </c>
      <c r="L3603" s="1134">
        <f t="shared" si="267"/>
        <v>5260</v>
      </c>
      <c r="M3603" s="941"/>
      <c r="N3603" s="430">
        <f t="shared" si="268"/>
        <v>4208</v>
      </c>
      <c r="O3603" s="362"/>
    </row>
    <row r="3604" spans="1:15" ht="15.75" customHeight="1">
      <c r="A3604" s="395">
        <f t="array" ref="A3604">IF(C3604&lt;&gt;0,INDEX(CodMat,MATCH(C3604,Materiales,0),),)</f>
        <v>0</v>
      </c>
      <c r="B3604" s="399"/>
      <c r="C3604" s="1128"/>
      <c r="D3604" s="940"/>
      <c r="E3604" s="940"/>
      <c r="F3604" s="940"/>
      <c r="G3604" s="940"/>
      <c r="H3604" s="940"/>
      <c r="I3604" s="941"/>
      <c r="J3604" s="435" t="str">
        <f t="shared" si="266"/>
        <v/>
      </c>
      <c r="K3604" s="673"/>
      <c r="L3604" s="1134" t="str">
        <f t="shared" si="267"/>
        <v/>
      </c>
      <c r="M3604" s="941"/>
      <c r="N3604" s="430" t="str">
        <f>IF(K3604&gt;0,L3604*K3604,"")</f>
        <v/>
      </c>
      <c r="O3604" s="362"/>
    </row>
    <row r="3605" spans="1:15" ht="15.75" customHeight="1">
      <c r="A3605" s="395"/>
      <c r="B3605" s="399"/>
      <c r="C3605" s="1127" t="s">
        <v>1202</v>
      </c>
      <c r="D3605" s="965"/>
      <c r="E3605" s="965"/>
      <c r="F3605" s="965"/>
      <c r="G3605" s="965"/>
      <c r="H3605" s="965"/>
      <c r="I3605" s="965"/>
      <c r="J3605" s="965"/>
      <c r="K3605" s="965"/>
      <c r="L3605" s="965"/>
      <c r="M3605" s="966"/>
      <c r="N3605" s="433">
        <f>+SUM(N3595:N3604)</f>
        <v>226511.5</v>
      </c>
      <c r="O3605" s="362"/>
    </row>
    <row r="3606" spans="1:15" ht="15.75" customHeight="1">
      <c r="A3606" s="395"/>
      <c r="B3606" s="399"/>
      <c r="C3606" s="1129" t="s">
        <v>1208</v>
      </c>
      <c r="D3606" s="926"/>
      <c r="E3606" s="926"/>
      <c r="F3606" s="926"/>
      <c r="G3606" s="926"/>
      <c r="H3606" s="926"/>
      <c r="I3606" s="926"/>
      <c r="J3606" s="926"/>
      <c r="K3606" s="926"/>
      <c r="L3606" s="926"/>
      <c r="M3606" s="926"/>
      <c r="N3606" s="927"/>
      <c r="O3606" s="362"/>
    </row>
    <row r="3607" spans="1:15" ht="15.75" customHeight="1">
      <c r="A3607" s="395"/>
      <c r="B3607" s="399"/>
      <c r="C3607" s="920"/>
      <c r="D3607" s="922"/>
      <c r="E3607" s="922"/>
      <c r="F3607" s="922"/>
      <c r="G3607" s="922"/>
      <c r="H3607" s="922"/>
      <c r="I3607" s="922"/>
      <c r="J3607" s="922"/>
      <c r="K3607" s="922"/>
      <c r="L3607" s="922"/>
      <c r="M3607" s="922"/>
      <c r="N3607" s="924"/>
      <c r="O3607" s="362"/>
    </row>
    <row r="3608" spans="1:15" ht="15.75" customHeight="1">
      <c r="A3608" s="395"/>
      <c r="B3608" s="399"/>
      <c r="C3608" s="929"/>
      <c r="D3608" s="936"/>
      <c r="E3608" s="936"/>
      <c r="F3608" s="936"/>
      <c r="G3608" s="936"/>
      <c r="H3608" s="936"/>
      <c r="I3608" s="936"/>
      <c r="J3608" s="936"/>
      <c r="K3608" s="936"/>
      <c r="L3608" s="936"/>
      <c r="M3608" s="936"/>
      <c r="N3608" s="938"/>
      <c r="O3608" s="362"/>
    </row>
    <row r="3609" spans="1:15" ht="15.75" customHeight="1">
      <c r="A3609" s="395"/>
      <c r="B3609" s="399"/>
      <c r="C3609" s="1201" t="s">
        <v>1209</v>
      </c>
      <c r="D3609" s="1131"/>
      <c r="E3609" s="1131"/>
      <c r="F3609" s="1131"/>
      <c r="G3609" s="1131"/>
      <c r="H3609" s="1000"/>
      <c r="I3609" s="670" t="s">
        <v>1210</v>
      </c>
      <c r="J3609" s="674" t="s">
        <v>1211</v>
      </c>
      <c r="K3609" s="675" t="s">
        <v>2318</v>
      </c>
      <c r="L3609" s="1204" t="s">
        <v>1213</v>
      </c>
      <c r="M3609" s="1000"/>
      <c r="N3609" s="671" t="s">
        <v>1200</v>
      </c>
      <c r="O3609" s="362"/>
    </row>
    <row r="3610" spans="1:15" ht="15.75" customHeight="1">
      <c r="A3610" s="395">
        <f t="array" ref="A3610">IF(C3610&lt;&gt;0,INDEX(CodTransporte,MATCH(C3610,Transporte,0),),)</f>
        <v>0</v>
      </c>
      <c r="B3610" s="399"/>
      <c r="C3610" s="1128"/>
      <c r="D3610" s="940"/>
      <c r="E3610" s="940"/>
      <c r="F3610" s="940"/>
      <c r="G3610" s="940"/>
      <c r="H3610" s="940"/>
      <c r="I3610" s="440"/>
      <c r="J3610" s="690"/>
      <c r="K3610" s="442" t="str">
        <f>IF($A3610&gt;0,(VLOOKUP($A3610,TablaTransporte,5,FALSE)),"")</f>
        <v/>
      </c>
      <c r="L3610" s="1134" t="str">
        <f>IF($A3610&gt;0,(VLOOKUP($A3610,TablaTransporte,7,FALSE)),"")</f>
        <v/>
      </c>
      <c r="M3610" s="941"/>
      <c r="N3610" s="430" t="str">
        <f t="shared" ref="N3610:N3614" si="269">IF(I3610&gt;0,J3610*L3610*I3610,"")</f>
        <v/>
      </c>
      <c r="O3610" s="362"/>
    </row>
    <row r="3611" spans="1:15" ht="15.75" customHeight="1">
      <c r="A3611" s="395">
        <f t="array" ref="A3611">IF(C3611&lt;&gt;0,INDEX(CodTransporte,MATCH(C3611,Transporte,0),),)</f>
        <v>0</v>
      </c>
      <c r="B3611" s="399"/>
      <c r="C3611" s="1128"/>
      <c r="D3611" s="940"/>
      <c r="E3611" s="940"/>
      <c r="F3611" s="940"/>
      <c r="G3611" s="940"/>
      <c r="H3611" s="940"/>
      <c r="I3611" s="440"/>
      <c r="J3611" s="690"/>
      <c r="K3611" s="442" t="str">
        <f>IF($A3611&gt;0,(VLOOKUP($A3611,TablaTransporte,5,FALSE)),"")</f>
        <v/>
      </c>
      <c r="L3611" s="1134" t="str">
        <f>IF($A3611&gt;0,(VLOOKUP($A3611,TablaTransporte,7,FALSE)),"")</f>
        <v/>
      </c>
      <c r="M3611" s="941"/>
      <c r="N3611" s="430" t="str">
        <f t="shared" si="269"/>
        <v/>
      </c>
      <c r="O3611" s="362"/>
    </row>
    <row r="3612" spans="1:15" ht="15.75" customHeight="1">
      <c r="A3612" s="395">
        <f t="array" ref="A3612">IF(C3612&lt;&gt;0,INDEX(CodTransporte,MATCH(C3612,Transporte,0),),)</f>
        <v>0</v>
      </c>
      <c r="B3612" s="399"/>
      <c r="C3612" s="1128"/>
      <c r="D3612" s="940"/>
      <c r="E3612" s="940"/>
      <c r="F3612" s="940"/>
      <c r="G3612" s="940"/>
      <c r="H3612" s="940"/>
      <c r="I3612" s="440"/>
      <c r="J3612" s="441" t="str">
        <f>IF($A3612&gt;0,(VLOOKUP($A3612,TablaTransporte,6,FALSE)),"")</f>
        <v/>
      </c>
      <c r="K3612" s="442" t="str">
        <f>IF($A3612&gt;0,(VLOOKUP($A3612,TablaTransporte,5,FALSE)),"")</f>
        <v/>
      </c>
      <c r="L3612" s="1134" t="str">
        <f>IF($A3612&gt;0,(VLOOKUP($A3612,TablaTransporte,7,FALSE)),"")</f>
        <v/>
      </c>
      <c r="M3612" s="941"/>
      <c r="N3612" s="430" t="str">
        <f t="shared" si="269"/>
        <v/>
      </c>
      <c r="O3612" s="362"/>
    </row>
    <row r="3613" spans="1:15" ht="15.75" customHeight="1">
      <c r="A3613" s="395">
        <f t="array" ref="A3613">IF(C3613&lt;&gt;0,INDEX(CodTransporte,MATCH(C3613,Transporte,0),),)</f>
        <v>0</v>
      </c>
      <c r="B3613" s="399"/>
      <c r="C3613" s="1128"/>
      <c r="D3613" s="940"/>
      <c r="E3613" s="940"/>
      <c r="F3613" s="940"/>
      <c r="G3613" s="940"/>
      <c r="H3613" s="940"/>
      <c r="I3613" s="440"/>
      <c r="J3613" s="441" t="str">
        <f>IF($A3613&gt;0,(VLOOKUP($A3613,TablaTransporte,6,FALSE)),"")</f>
        <v/>
      </c>
      <c r="K3613" s="442" t="str">
        <f>IF($A3613&gt;0,(VLOOKUP($A3613,TablaTransporte,5,FALSE)),"")</f>
        <v/>
      </c>
      <c r="L3613" s="1134" t="str">
        <f>IF($A3613&gt;0,(VLOOKUP($A3613,TablaTransporte,7,FALSE)),"")</f>
        <v/>
      </c>
      <c r="M3613" s="941"/>
      <c r="N3613" s="430" t="str">
        <f t="shared" si="269"/>
        <v/>
      </c>
      <c r="O3613" s="362"/>
    </row>
    <row r="3614" spans="1:15" ht="15.75" customHeight="1">
      <c r="A3614" s="395">
        <f t="array" ref="A3614">IF(C3614&lt;&gt;0,INDEX(CodTransporte,MATCH(C3614,Transporte,0),),)</f>
        <v>0</v>
      </c>
      <c r="B3614" s="399"/>
      <c r="C3614" s="1128"/>
      <c r="D3614" s="940"/>
      <c r="E3614" s="940"/>
      <c r="F3614" s="940"/>
      <c r="G3614" s="940"/>
      <c r="H3614" s="940"/>
      <c r="I3614" s="440"/>
      <c r="J3614" s="441" t="str">
        <f>IF($A3614&gt;0,(VLOOKUP($A3614,TablaTransporte,6,FALSE)),"")</f>
        <v/>
      </c>
      <c r="K3614" s="442" t="str">
        <f>IF($A3614&gt;0,(VLOOKUP($A3614,TablaTransporte,5,FALSE)),"")</f>
        <v/>
      </c>
      <c r="L3614" s="1205" t="str">
        <f>IF($A3614&gt;0,(VLOOKUP($A3614,TablaTransporte,7,FALSE)),"")</f>
        <v/>
      </c>
      <c r="M3614" s="1145"/>
      <c r="N3614" s="430" t="str">
        <f t="shared" si="269"/>
        <v/>
      </c>
      <c r="O3614" s="362"/>
    </row>
    <row r="3615" spans="1:15" ht="15.75" customHeight="1">
      <c r="A3615" s="395"/>
      <c r="B3615" s="399"/>
      <c r="C3615" s="1127" t="s">
        <v>1202</v>
      </c>
      <c r="D3615" s="965"/>
      <c r="E3615" s="965"/>
      <c r="F3615" s="965"/>
      <c r="G3615" s="965"/>
      <c r="H3615" s="965"/>
      <c r="I3615" s="965"/>
      <c r="J3615" s="965"/>
      <c r="K3615" s="965"/>
      <c r="L3615" s="965"/>
      <c r="M3615" s="966"/>
      <c r="N3615" s="433">
        <f>+SUM(N3610:N3614)</f>
        <v>0</v>
      </c>
      <c r="O3615" s="362"/>
    </row>
    <row r="3616" spans="1:15" ht="15.75" customHeight="1">
      <c r="A3616" s="395"/>
      <c r="B3616" s="399"/>
      <c r="C3616" s="1129" t="s">
        <v>1214</v>
      </c>
      <c r="D3616" s="926"/>
      <c r="E3616" s="926"/>
      <c r="F3616" s="926"/>
      <c r="G3616" s="926"/>
      <c r="H3616" s="926"/>
      <c r="I3616" s="926"/>
      <c r="J3616" s="926"/>
      <c r="K3616" s="926"/>
      <c r="L3616" s="926"/>
      <c r="M3616" s="926"/>
      <c r="N3616" s="927"/>
      <c r="O3616" s="362"/>
    </row>
    <row r="3617" spans="1:18" ht="15.75" customHeight="1">
      <c r="A3617" s="395"/>
      <c r="B3617" s="399"/>
      <c r="C3617" s="920"/>
      <c r="D3617" s="922"/>
      <c r="E3617" s="922"/>
      <c r="F3617" s="922"/>
      <c r="G3617" s="922"/>
      <c r="H3617" s="922"/>
      <c r="I3617" s="922"/>
      <c r="J3617" s="922"/>
      <c r="K3617" s="922"/>
      <c r="L3617" s="922"/>
      <c r="M3617" s="922"/>
      <c r="N3617" s="924"/>
      <c r="O3617" s="362"/>
    </row>
    <row r="3618" spans="1:18" ht="15.75" customHeight="1">
      <c r="A3618" s="395"/>
      <c r="B3618" s="399"/>
      <c r="C3618" s="929"/>
      <c r="D3618" s="936"/>
      <c r="E3618" s="936"/>
      <c r="F3618" s="936"/>
      <c r="G3618" s="936"/>
      <c r="H3618" s="936"/>
      <c r="I3618" s="936"/>
      <c r="J3618" s="936"/>
      <c r="K3618" s="936"/>
      <c r="L3618" s="936"/>
      <c r="M3618" s="936"/>
      <c r="N3618" s="938"/>
      <c r="O3618" s="362"/>
    </row>
    <row r="3619" spans="1:18" ht="15.75" customHeight="1">
      <c r="A3619" s="395"/>
      <c r="B3619" s="399"/>
      <c r="C3619" s="1201" t="s">
        <v>1215</v>
      </c>
      <c r="D3619" s="1131"/>
      <c r="E3619" s="1131"/>
      <c r="F3619" s="1131"/>
      <c r="G3619" s="1131"/>
      <c r="H3619" s="1000"/>
      <c r="I3619" s="670" t="s">
        <v>1216</v>
      </c>
      <c r="J3619" s="676" t="s">
        <v>1217</v>
      </c>
      <c r="K3619" s="677" t="s">
        <v>1218</v>
      </c>
      <c r="L3619" s="1206" t="s">
        <v>1199</v>
      </c>
      <c r="M3619" s="1000"/>
      <c r="N3619" s="678" t="s">
        <v>1200</v>
      </c>
      <c r="O3619" s="362"/>
    </row>
    <row r="3620" spans="1:18" ht="15.75" customHeight="1">
      <c r="A3620" s="395" t="str">
        <f t="array" ref="A3620">IF(C3620&lt;&gt;0,INDEX(CodMO,MATCH(C3620,MO,0),),)</f>
        <v>M.O-15</v>
      </c>
      <c r="B3620" s="399"/>
      <c r="C3620" s="1128" t="s">
        <v>2607</v>
      </c>
      <c r="D3620" s="940"/>
      <c r="E3620" s="940"/>
      <c r="F3620" s="940"/>
      <c r="G3620" s="940"/>
      <c r="H3620" s="940"/>
      <c r="I3620" s="447">
        <f>IF($A3620&gt;0,(VLOOKUP($A3620,TablaMO,8,FALSE)),"")</f>
        <v>366787.33333333331</v>
      </c>
      <c r="J3620" s="448">
        <f>IF($A3620&gt;0,(VLOOKUP($A3620,TablaMO,10,FALSE)),"")</f>
        <v>0.67071666666666663</v>
      </c>
      <c r="K3620" s="447">
        <f>IF($A3620&gt;0,(VLOOKUP($A3620,TablaMO,11,FALSE)),"")</f>
        <v>367679</v>
      </c>
      <c r="L3620" s="1214">
        <v>5.7027739271446629</v>
      </c>
      <c r="M3620" s="941"/>
      <c r="N3620" s="430">
        <f t="shared" ref="N3620:N3624" si="270">IF(L3620&gt;0,K3620/L3620,"")</f>
        <v>64473.711337193788</v>
      </c>
      <c r="O3620" s="362"/>
    </row>
    <row r="3621" spans="1:18" ht="15.75" customHeight="1">
      <c r="A3621" s="395">
        <f t="array" ref="A3621">IF(C3621&lt;&gt;0,INDEX(CodMO,MATCH(C3621,MO,0),),)</f>
        <v>0</v>
      </c>
      <c r="B3621" s="399"/>
      <c r="C3621" s="1128"/>
      <c r="D3621" s="940"/>
      <c r="E3621" s="940"/>
      <c r="F3621" s="940"/>
      <c r="G3621" s="940"/>
      <c r="H3621" s="940"/>
      <c r="I3621" s="447" t="str">
        <f>IF($A3621&gt;0,(VLOOKUP($A3621,TablaMO,8,FALSE)),"")</f>
        <v/>
      </c>
      <c r="J3621" s="448" t="str">
        <f>IF($A3621&gt;0,(VLOOKUP($A3621,TablaMO,10,FALSE)),"")</f>
        <v/>
      </c>
      <c r="K3621" s="447" t="str">
        <f>IF($A3621&gt;0,(VLOOKUP($A3621,TablaMO,11,FALSE)),"")</f>
        <v/>
      </c>
      <c r="L3621" s="1146"/>
      <c r="M3621" s="941"/>
      <c r="N3621" s="430" t="str">
        <f t="shared" si="270"/>
        <v/>
      </c>
      <c r="O3621" s="362"/>
    </row>
    <row r="3622" spans="1:18" ht="15.75" customHeight="1">
      <c r="A3622" s="395">
        <f t="array" ref="A3622">IF(C3622&lt;&gt;0,INDEX(CodMO,MATCH(C3622,MO,0),),)</f>
        <v>0</v>
      </c>
      <c r="B3622" s="399"/>
      <c r="C3622" s="1128"/>
      <c r="D3622" s="940"/>
      <c r="E3622" s="940"/>
      <c r="F3622" s="940"/>
      <c r="G3622" s="940"/>
      <c r="H3622" s="940"/>
      <c r="I3622" s="447" t="str">
        <f>IF($A3622&gt;0,(VLOOKUP($A3622,TablaMO,8,FALSE)),"")</f>
        <v/>
      </c>
      <c r="J3622" s="448" t="str">
        <f>IF($A3622&gt;0,(VLOOKUP($A3622,TablaMO,10,FALSE)),"")</f>
        <v/>
      </c>
      <c r="K3622" s="447" t="str">
        <f>IF($A3622&gt;0,(VLOOKUP($A3622,TablaMO,11,FALSE)),"")</f>
        <v/>
      </c>
      <c r="L3622" s="1146"/>
      <c r="M3622" s="941"/>
      <c r="N3622" s="430" t="str">
        <f t="shared" si="270"/>
        <v/>
      </c>
      <c r="O3622" s="362"/>
    </row>
    <row r="3623" spans="1:18" ht="15.75" customHeight="1">
      <c r="A3623" s="395">
        <f t="array" ref="A3623">IF(C3623&lt;&gt;0,INDEX(CodMO,MATCH(C3623,MO,0),),)</f>
        <v>0</v>
      </c>
      <c r="B3623" s="399"/>
      <c r="C3623" s="1128"/>
      <c r="D3623" s="940"/>
      <c r="E3623" s="940"/>
      <c r="F3623" s="940"/>
      <c r="G3623" s="940"/>
      <c r="H3623" s="940"/>
      <c r="I3623" s="447" t="str">
        <f>IF($A3623&gt;0,(VLOOKUP($A3623,TablaMO,8,FALSE)),"")</f>
        <v/>
      </c>
      <c r="J3623" s="448" t="str">
        <f>IF($A3623&gt;0,(VLOOKUP($A3623,TablaMO,10,FALSE)),"")</f>
        <v/>
      </c>
      <c r="K3623" s="447" t="str">
        <f>IF($A3623&gt;0,(VLOOKUP($A3623,TablaMO,11,FALSE)),"")</f>
        <v/>
      </c>
      <c r="L3623" s="1146"/>
      <c r="M3623" s="941"/>
      <c r="N3623" s="430" t="str">
        <f t="shared" si="270"/>
        <v/>
      </c>
      <c r="O3623" s="362"/>
    </row>
    <row r="3624" spans="1:18" ht="15.75" customHeight="1">
      <c r="A3624" s="395">
        <f t="array" ref="A3624">IF(C3624&lt;&gt;0,INDEX(CodMO,MATCH(C3624,MO,0),),)</f>
        <v>0</v>
      </c>
      <c r="B3624" s="399"/>
      <c r="C3624" s="1128"/>
      <c r="D3624" s="940"/>
      <c r="E3624" s="940"/>
      <c r="F3624" s="940"/>
      <c r="G3624" s="940"/>
      <c r="H3624" s="940"/>
      <c r="I3624" s="447" t="str">
        <f>IF($A3624&gt;0,(VLOOKUP($A3624,TablaMO,8,FALSE)),"")</f>
        <v/>
      </c>
      <c r="J3624" s="448" t="str">
        <f>IF($A3624&gt;0,(VLOOKUP($A3624,TablaMO,10,FALSE)),"")</f>
        <v/>
      </c>
      <c r="K3624" s="447" t="str">
        <f>IF($A3624&gt;0,(VLOOKUP($A3624,TablaMO,11,FALSE)),"")</f>
        <v/>
      </c>
      <c r="L3624" s="1146"/>
      <c r="M3624" s="941"/>
      <c r="N3624" s="430" t="str">
        <f t="shared" si="270"/>
        <v/>
      </c>
      <c r="O3624" s="362"/>
    </row>
    <row r="3625" spans="1:18" ht="15.75" customHeight="1">
      <c r="A3625" s="395"/>
      <c r="B3625" s="399"/>
      <c r="C3625" s="1127" t="s">
        <v>1202</v>
      </c>
      <c r="D3625" s="965"/>
      <c r="E3625" s="965"/>
      <c r="F3625" s="965"/>
      <c r="G3625" s="965"/>
      <c r="H3625" s="965"/>
      <c r="I3625" s="965"/>
      <c r="J3625" s="965"/>
      <c r="K3625" s="965"/>
      <c r="L3625" s="965"/>
      <c r="M3625" s="966"/>
      <c r="N3625" s="433">
        <f>+SUM(N3620:N3624)</f>
        <v>64473.711337193788</v>
      </c>
      <c r="O3625" s="362"/>
    </row>
    <row r="3626" spans="1:18" ht="15.75" customHeight="1">
      <c r="B3626" s="679"/>
      <c r="O3626" s="362"/>
    </row>
    <row r="3627" spans="1:18" ht="15.75" customHeight="1">
      <c r="B3627" s="679"/>
      <c r="C3627" s="1198" t="s">
        <v>1219</v>
      </c>
      <c r="D3627" s="965"/>
      <c r="E3627" s="965"/>
      <c r="F3627" s="965"/>
      <c r="G3627" s="965"/>
      <c r="H3627" s="965"/>
      <c r="I3627" s="965"/>
      <c r="J3627" s="965"/>
      <c r="K3627" s="965"/>
      <c r="L3627" s="965"/>
      <c r="M3627" s="966"/>
      <c r="N3627" s="680">
        <f>ROUND(SUM(N3625,N3615,N3605,N3590),0)</f>
        <v>294603</v>
      </c>
      <c r="O3627" s="362"/>
      <c r="Q3627" s="681">
        <f>VLOOKUP(C3579,PROPUESTASASERCO,8,FALSE)</f>
        <v>294603</v>
      </c>
      <c r="R3627" s="682">
        <f>Q3627-N3627</f>
        <v>0</v>
      </c>
    </row>
    <row r="3628" spans="1:18" ht="15.75" customHeight="1">
      <c r="B3628" s="679"/>
      <c r="C3628" s="1129" t="s">
        <v>1220</v>
      </c>
      <c r="D3628" s="926"/>
      <c r="E3628" s="926"/>
      <c r="F3628" s="926"/>
      <c r="G3628" s="926"/>
      <c r="H3628" s="926"/>
      <c r="I3628" s="926"/>
      <c r="J3628" s="926"/>
      <c r="K3628" s="926"/>
      <c r="L3628" s="926"/>
      <c r="M3628" s="926"/>
      <c r="N3628" s="927"/>
      <c r="O3628" s="362"/>
    </row>
    <row r="3629" spans="1:18" ht="15.75" customHeight="1">
      <c r="B3629" s="679"/>
      <c r="C3629" s="920"/>
      <c r="D3629" s="922"/>
      <c r="E3629" s="922"/>
      <c r="F3629" s="922"/>
      <c r="G3629" s="922"/>
      <c r="H3629" s="922"/>
      <c r="I3629" s="922"/>
      <c r="J3629" s="922"/>
      <c r="K3629" s="922"/>
      <c r="L3629" s="922"/>
      <c r="M3629" s="922"/>
      <c r="N3629" s="924"/>
      <c r="O3629" s="362"/>
    </row>
    <row r="3630" spans="1:18" ht="15.75" customHeight="1">
      <c r="B3630" s="679"/>
      <c r="C3630" s="929"/>
      <c r="D3630" s="936"/>
      <c r="E3630" s="936"/>
      <c r="F3630" s="936"/>
      <c r="G3630" s="936"/>
      <c r="H3630" s="936"/>
      <c r="I3630" s="936"/>
      <c r="J3630" s="936"/>
      <c r="K3630" s="936"/>
      <c r="L3630" s="936"/>
      <c r="M3630" s="936"/>
      <c r="N3630" s="938"/>
      <c r="O3630" s="362"/>
    </row>
    <row r="3631" spans="1:18" ht="15.75" customHeight="1">
      <c r="B3631" s="679"/>
      <c r="C3631" s="1201" t="s">
        <v>1221</v>
      </c>
      <c r="D3631" s="1131"/>
      <c r="E3631" s="1131"/>
      <c r="F3631" s="1131"/>
      <c r="G3631" s="1131"/>
      <c r="H3631" s="1132"/>
      <c r="I3631" s="674"/>
      <c r="J3631" s="674"/>
      <c r="K3631" s="674"/>
      <c r="L3631" s="1206" t="s">
        <v>1222</v>
      </c>
      <c r="M3631" s="1000"/>
      <c r="N3631" s="678" t="s">
        <v>1223</v>
      </c>
      <c r="O3631" s="362"/>
    </row>
    <row r="3632" spans="1:18" ht="15.75" customHeight="1">
      <c r="B3632" s="679"/>
      <c r="C3632" s="1128" t="s">
        <v>19</v>
      </c>
      <c r="D3632" s="940"/>
      <c r="E3632" s="940"/>
      <c r="F3632" s="940"/>
      <c r="G3632" s="940"/>
      <c r="H3632" s="940"/>
      <c r="I3632" s="452"/>
      <c r="J3632" s="452"/>
      <c r="K3632" s="452"/>
      <c r="L3632" s="1148">
        <f>+Datos!$E$18</f>
        <v>0.25</v>
      </c>
      <c r="M3632" s="941"/>
      <c r="N3632" s="430">
        <f>+L3632*N3627</f>
        <v>73650.75</v>
      </c>
      <c r="O3632" s="362"/>
    </row>
    <row r="3633" spans="1:15" ht="15.75" customHeight="1">
      <c r="B3633" s="679"/>
      <c r="C3633" s="454" t="s">
        <v>20</v>
      </c>
      <c r="D3633" s="455"/>
      <c r="E3633" s="455"/>
      <c r="F3633" s="455"/>
      <c r="G3633" s="455"/>
      <c r="H3633" s="455"/>
      <c r="I3633" s="452"/>
      <c r="J3633" s="452"/>
      <c r="K3633" s="452"/>
      <c r="L3633" s="1148">
        <f>+Datos!$E$19</f>
        <v>0.01</v>
      </c>
      <c r="M3633" s="941"/>
      <c r="N3633" s="430">
        <f>+L3633*N3627</f>
        <v>2946.03</v>
      </c>
      <c r="O3633" s="362"/>
    </row>
    <row r="3634" spans="1:15" ht="15.75" customHeight="1">
      <c r="B3634" s="679"/>
      <c r="C3634" s="456" t="s">
        <v>21</v>
      </c>
      <c r="D3634" s="457"/>
      <c r="E3634" s="457"/>
      <c r="F3634" s="457"/>
      <c r="G3634" s="457"/>
      <c r="H3634" s="457"/>
      <c r="I3634" s="458"/>
      <c r="J3634" s="458"/>
      <c r="K3634" s="458"/>
      <c r="L3634" s="1148">
        <f>+Datos!$E$20</f>
        <v>0.05</v>
      </c>
      <c r="M3634" s="941"/>
      <c r="N3634" s="430">
        <f>+L3634*N3627</f>
        <v>14730.150000000001</v>
      </c>
      <c r="O3634" s="362"/>
    </row>
    <row r="3635" spans="1:15" ht="15.75" customHeight="1">
      <c r="B3635" s="679"/>
      <c r="C3635" s="1127" t="s">
        <v>1202</v>
      </c>
      <c r="D3635" s="965"/>
      <c r="E3635" s="965"/>
      <c r="F3635" s="965"/>
      <c r="G3635" s="965"/>
      <c r="H3635" s="965"/>
      <c r="I3635" s="965"/>
      <c r="J3635" s="965"/>
      <c r="K3635" s="965"/>
      <c r="L3635" s="965"/>
      <c r="M3635" s="966"/>
      <c r="N3635" s="433">
        <f>+SUM(N3632:N3634)</f>
        <v>91326.93</v>
      </c>
      <c r="O3635" s="362"/>
    </row>
    <row r="3636" spans="1:15" ht="15.75" customHeight="1">
      <c r="B3636" s="679"/>
      <c r="C3636" s="418"/>
      <c r="D3636" s="39"/>
      <c r="E3636" s="39"/>
      <c r="F3636" s="39"/>
      <c r="G3636" s="39"/>
      <c r="H3636" s="39"/>
      <c r="I3636" s="39"/>
      <c r="J3636" s="39"/>
      <c r="K3636" s="39"/>
      <c r="L3636" s="39"/>
      <c r="M3636" s="39"/>
      <c r="N3636" s="40"/>
      <c r="O3636" s="362"/>
    </row>
    <row r="3637" spans="1:15" ht="15.75" customHeight="1">
      <c r="B3637" s="679"/>
      <c r="C3637" s="1198" t="s">
        <v>1224</v>
      </c>
      <c r="D3637" s="965"/>
      <c r="E3637" s="965"/>
      <c r="F3637" s="965"/>
      <c r="G3637" s="965"/>
      <c r="H3637" s="965"/>
      <c r="I3637" s="965"/>
      <c r="J3637" s="965"/>
      <c r="K3637" s="965"/>
      <c r="L3637" s="965"/>
      <c r="M3637" s="966"/>
      <c r="N3637" s="683">
        <f>+ROUND(SUM(N3635,N3627),0)</f>
        <v>385930</v>
      </c>
      <c r="O3637" s="362"/>
    </row>
    <row r="3638" spans="1:15" ht="15.75" customHeight="1">
      <c r="B3638" s="679"/>
      <c r="C3638" s="418"/>
      <c r="D3638" s="39" t="s">
        <v>1225</v>
      </c>
      <c r="E3638" s="39"/>
      <c r="F3638" s="39"/>
      <c r="G3638" s="184"/>
      <c r="H3638" s="184"/>
      <c r="I3638" s="184"/>
      <c r="J3638" s="39" t="s">
        <v>1225</v>
      </c>
      <c r="K3638" s="39"/>
      <c r="L3638" s="39"/>
      <c r="M3638" s="39"/>
      <c r="N3638" s="40"/>
      <c r="O3638" s="362"/>
    </row>
    <row r="3639" spans="1:15" ht="15.75" customHeight="1">
      <c r="B3639" s="679"/>
      <c r="C3639" s="418"/>
      <c r="D3639" s="39" t="s">
        <v>1226</v>
      </c>
      <c r="E3639" s="39"/>
      <c r="F3639" s="39"/>
      <c r="G3639" s="184"/>
      <c r="H3639" s="184"/>
      <c r="I3639" s="184"/>
      <c r="J3639" s="39" t="s">
        <v>1227</v>
      </c>
      <c r="K3639" s="39"/>
      <c r="L3639" s="39"/>
      <c r="M3639" s="39"/>
      <c r="N3639" s="40"/>
      <c r="O3639" s="362"/>
    </row>
    <row r="3640" spans="1:15" ht="15.75" customHeight="1">
      <c r="B3640" s="679"/>
      <c r="C3640" s="404"/>
      <c r="D3640" s="39" t="s">
        <v>1228</v>
      </c>
      <c r="E3640" s="42"/>
      <c r="F3640" s="42"/>
      <c r="G3640" s="184"/>
      <c r="H3640" s="184"/>
      <c r="I3640" s="184"/>
      <c r="J3640" s="39" t="s">
        <v>1228</v>
      </c>
      <c r="K3640" s="42"/>
      <c r="L3640" s="42"/>
      <c r="M3640" s="42"/>
      <c r="N3640" s="43"/>
      <c r="O3640" s="362"/>
    </row>
    <row r="3641" spans="1:15" ht="15.75" customHeight="1">
      <c r="B3641" s="679"/>
      <c r="C3641" s="418"/>
      <c r="D3641" s="39"/>
      <c r="E3641" s="39"/>
      <c r="F3641" s="39"/>
      <c r="G3641" s="39" t="s">
        <v>1229</v>
      </c>
      <c r="H3641" s="39"/>
      <c r="I3641" s="39"/>
      <c r="J3641" s="39"/>
      <c r="K3641" s="39"/>
      <c r="L3641" s="39"/>
      <c r="M3641" s="39"/>
      <c r="N3641" s="40"/>
      <c r="O3641" s="362"/>
    </row>
    <row r="3642" spans="1:15" ht="15.75" customHeight="1">
      <c r="B3642" s="679"/>
      <c r="C3642" s="466"/>
      <c r="D3642" s="467"/>
      <c r="E3642" s="467"/>
      <c r="F3642" s="39"/>
      <c r="G3642" s="39"/>
      <c r="H3642" s="39"/>
      <c r="I3642" s="39"/>
      <c r="J3642" s="1149"/>
      <c r="K3642" s="922"/>
      <c r="L3642" s="922"/>
      <c r="M3642" s="922"/>
      <c r="N3642" s="924"/>
      <c r="O3642" s="362"/>
    </row>
    <row r="3643" spans="1:15" ht="15.75" customHeight="1">
      <c r="B3643" s="679"/>
      <c r="C3643" s="1150"/>
      <c r="D3643" s="936"/>
      <c r="E3643" s="936"/>
      <c r="F3643" s="416"/>
      <c r="G3643" s="416"/>
      <c r="H3643" s="416"/>
      <c r="I3643" s="416"/>
      <c r="J3643" s="936"/>
      <c r="K3643" s="936"/>
      <c r="L3643" s="936"/>
      <c r="M3643" s="936"/>
      <c r="N3643" s="938"/>
      <c r="O3643" s="362"/>
    </row>
    <row r="3644" spans="1:15" ht="15.75" customHeight="1">
      <c r="B3644" s="684"/>
      <c r="C3644" s="685"/>
      <c r="D3644" s="685"/>
      <c r="E3644" s="685"/>
      <c r="F3644" s="685"/>
      <c r="G3644" s="685"/>
      <c r="H3644" s="685"/>
      <c r="I3644" s="685"/>
      <c r="J3644" s="685"/>
      <c r="K3644" s="685"/>
      <c r="L3644" s="685"/>
      <c r="M3644" s="685"/>
      <c r="N3644" s="685"/>
      <c r="O3644" s="686"/>
    </row>
    <row r="3645" spans="1:15" ht="15.75" customHeight="1"/>
    <row r="3646" spans="1:15" ht="15.75" customHeight="1"/>
    <row r="3647" spans="1:15" ht="15.75" customHeight="1"/>
    <row r="3648" spans="1:15" ht="15.75" customHeight="1">
      <c r="A3648" s="395" t="s">
        <v>941</v>
      </c>
      <c r="B3648" s="184"/>
      <c r="C3648" s="184"/>
      <c r="D3648" s="184"/>
      <c r="E3648" s="184"/>
      <c r="F3648" s="184"/>
      <c r="G3648" s="184"/>
      <c r="H3648" s="184"/>
      <c r="I3648" s="184"/>
      <c r="J3648" s="184"/>
      <c r="K3648" s="184"/>
      <c r="L3648" s="184"/>
      <c r="M3648" s="184"/>
      <c r="N3648" s="184"/>
    </row>
    <row r="3649" spans="1:15" ht="15.75" customHeight="1">
      <c r="A3649" s="395"/>
      <c r="B3649" s="396"/>
      <c r="C3649" s="397"/>
      <c r="D3649" s="397"/>
      <c r="E3649" s="397"/>
      <c r="F3649" s="397"/>
      <c r="G3649" s="397"/>
      <c r="H3649" s="397"/>
      <c r="I3649" s="397"/>
      <c r="J3649" s="397"/>
      <c r="K3649" s="397"/>
      <c r="L3649" s="397"/>
      <c r="M3649" s="397"/>
      <c r="N3649" s="397"/>
      <c r="O3649" s="667"/>
    </row>
    <row r="3650" spans="1:15" ht="15.75" customHeight="1">
      <c r="A3650" s="395"/>
      <c r="B3650" s="399"/>
      <c r="C3650" s="1124"/>
      <c r="D3650" s="927"/>
      <c r="E3650" s="1207" t="str">
        <f>Datos!$C$9</f>
        <v>CONSEJO SUPERIOR  DE  JUDICATURA– DIRECCIÓN  EJECUTIVA  SECCIONAL  DE ADMINISTRACIÓN JUDICIAL DE BUCARAMANGA</v>
      </c>
      <c r="F3650" s="926"/>
      <c r="G3650" s="926"/>
      <c r="H3650" s="926"/>
      <c r="I3650" s="926"/>
      <c r="J3650" s="926"/>
      <c r="K3650" s="927"/>
      <c r="L3650" s="925" t="s">
        <v>1</v>
      </c>
      <c r="M3650" s="931"/>
      <c r="N3650" s="933">
        <v>1</v>
      </c>
      <c r="O3650" s="362"/>
    </row>
    <row r="3651" spans="1:15" ht="15.75" customHeight="1">
      <c r="A3651" s="395"/>
      <c r="B3651" s="399"/>
      <c r="C3651" s="920"/>
      <c r="D3651" s="924"/>
      <c r="E3651" s="920"/>
      <c r="F3651" s="922"/>
      <c r="G3651" s="922"/>
      <c r="H3651" s="922"/>
      <c r="I3651" s="922"/>
      <c r="J3651" s="922"/>
      <c r="K3651" s="924"/>
      <c r="L3651" s="920"/>
      <c r="M3651" s="932"/>
      <c r="N3651" s="934"/>
      <c r="O3651" s="362"/>
    </row>
    <row r="3652" spans="1:15" ht="15.75" customHeight="1">
      <c r="A3652" s="395"/>
      <c r="B3652" s="399"/>
      <c r="C3652" s="920"/>
      <c r="D3652" s="924"/>
      <c r="E3652" s="919" t="str">
        <f>Datos!$C$13</f>
        <v xml:space="preserve">BGA - 030 - 2026 </v>
      </c>
      <c r="F3652" s="922"/>
      <c r="G3652" s="922"/>
      <c r="H3652" s="922"/>
      <c r="I3652" s="922"/>
      <c r="J3652" s="922"/>
      <c r="K3652" s="922"/>
      <c r="L3652" s="925" t="s">
        <v>29</v>
      </c>
      <c r="M3652" s="926"/>
      <c r="N3652" s="927"/>
      <c r="O3652" s="362"/>
    </row>
    <row r="3653" spans="1:15" ht="15.75" customHeight="1">
      <c r="A3653" s="395"/>
      <c r="B3653" s="399"/>
      <c r="C3653" s="920"/>
      <c r="D3653" s="924"/>
      <c r="E3653"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653" s="922"/>
      <c r="G3653" s="922"/>
      <c r="H3653" s="922"/>
      <c r="I3653" s="922"/>
      <c r="J3653" s="922"/>
      <c r="K3653" s="924"/>
      <c r="L3653" s="919">
        <v>1</v>
      </c>
      <c r="M3653" s="921" t="s">
        <v>30</v>
      </c>
      <c r="N3653" s="923">
        <v>1</v>
      </c>
      <c r="O3653" s="362"/>
    </row>
    <row r="3654" spans="1:15" ht="15.75" customHeight="1">
      <c r="A3654" s="395"/>
      <c r="B3654" s="399"/>
      <c r="C3654" s="920"/>
      <c r="D3654" s="924"/>
      <c r="E3654" s="920"/>
      <c r="F3654" s="922"/>
      <c r="G3654" s="922"/>
      <c r="H3654" s="922"/>
      <c r="I3654" s="922"/>
      <c r="J3654" s="922"/>
      <c r="K3654" s="924"/>
      <c r="L3654" s="920"/>
      <c r="M3654" s="922"/>
      <c r="N3654" s="924"/>
      <c r="O3654" s="362"/>
    </row>
    <row r="3655" spans="1:15" ht="15.75" customHeight="1">
      <c r="A3655" s="395"/>
      <c r="B3655" s="399"/>
      <c r="C3655" s="920"/>
      <c r="D3655" s="924"/>
      <c r="E3655" s="920"/>
      <c r="F3655" s="922"/>
      <c r="G3655" s="922"/>
      <c r="H3655" s="922"/>
      <c r="I3655" s="922"/>
      <c r="J3655" s="922"/>
      <c r="K3655" s="924"/>
      <c r="L3655" s="925" t="s">
        <v>2</v>
      </c>
      <c r="M3655" s="926"/>
      <c r="N3655" s="927"/>
      <c r="O3655" s="362"/>
    </row>
    <row r="3656" spans="1:15" ht="15.75" customHeight="1">
      <c r="A3656" s="395"/>
      <c r="B3656" s="399"/>
      <c r="C3656" s="920"/>
      <c r="D3656" s="924"/>
      <c r="E3656" s="407"/>
      <c r="F3656" s="216"/>
      <c r="G3656" s="216"/>
      <c r="H3656" s="216"/>
      <c r="I3656" s="216"/>
      <c r="J3656" s="216"/>
      <c r="K3656" s="216"/>
      <c r="L3656" s="408" t="s">
        <v>3</v>
      </c>
      <c r="M3656" s="409" t="s">
        <v>4</v>
      </c>
      <c r="N3656" s="410" t="s">
        <v>5</v>
      </c>
      <c r="O3656" s="362"/>
    </row>
    <row r="3657" spans="1:15" ht="15.75" customHeight="1">
      <c r="A3657" s="395"/>
      <c r="B3657" s="399"/>
      <c r="C3657" s="920"/>
      <c r="D3657" s="924"/>
      <c r="E3657" s="1125" t="s">
        <v>1186</v>
      </c>
      <c r="F3657" s="945"/>
      <c r="G3657" s="945"/>
      <c r="H3657" s="945"/>
      <c r="I3657" s="945"/>
      <c r="J3657" s="945"/>
      <c r="K3657" s="945"/>
      <c r="L3657" s="928">
        <f>Datos!$C$7</f>
        <v>19</v>
      </c>
      <c r="M3657" s="935">
        <f>Datos!$D$7</f>
        <v>6</v>
      </c>
      <c r="N3657" s="937">
        <f>Datos!$E$7</f>
        <v>2026</v>
      </c>
      <c r="O3657" s="362"/>
    </row>
    <row r="3658" spans="1:15" ht="15.75" customHeight="1">
      <c r="A3658" s="395"/>
      <c r="B3658" s="399"/>
      <c r="C3658" s="929"/>
      <c r="D3658" s="938"/>
      <c r="E3658" s="929"/>
      <c r="F3658" s="936"/>
      <c r="G3658" s="936"/>
      <c r="H3658" s="936"/>
      <c r="I3658" s="936"/>
      <c r="J3658" s="936"/>
      <c r="K3658" s="936"/>
      <c r="L3658" s="929"/>
      <c r="M3658" s="936"/>
      <c r="N3658" s="938"/>
      <c r="O3658" s="362"/>
    </row>
    <row r="3659" spans="1:15" ht="15.75" customHeight="1">
      <c r="A3659" s="395"/>
      <c r="B3659" s="399"/>
      <c r="C3659" s="404"/>
      <c r="D3659" s="38"/>
      <c r="E3659" s="38"/>
      <c r="F3659" s="38"/>
      <c r="G3659" s="38"/>
      <c r="H3659" s="38"/>
      <c r="I3659" s="38"/>
      <c r="J3659" s="38"/>
      <c r="K3659" s="38"/>
      <c r="L3659" s="39"/>
      <c r="M3659" s="39"/>
      <c r="N3659" s="40"/>
      <c r="O3659" s="362"/>
    </row>
    <row r="3660" spans="1:15" ht="15.75" customHeight="1">
      <c r="A3660" s="395"/>
      <c r="B3660" s="399"/>
      <c r="C3660" s="412" t="s">
        <v>1187</v>
      </c>
      <c r="D3660" s="1199" t="str">
        <f>VLOOKUP(C3665,ListaAct,2,0)</f>
        <v>OBRA CIVIL</v>
      </c>
      <c r="E3660" s="922"/>
      <c r="F3660" s="922"/>
      <c r="G3660" s="922"/>
      <c r="H3660" s="922"/>
      <c r="I3660" s="922"/>
      <c r="J3660" s="922"/>
      <c r="K3660" s="922"/>
      <c r="L3660" s="922"/>
      <c r="M3660" s="1"/>
      <c r="N3660" s="413"/>
      <c r="O3660" s="362"/>
    </row>
    <row r="3661" spans="1:15" ht="15.75" customHeight="1">
      <c r="A3661" s="395"/>
      <c r="B3661" s="399"/>
      <c r="C3661" s="412" t="s">
        <v>1189</v>
      </c>
      <c r="D3661" s="1199" t="str">
        <f>VLOOKUP(C3665,ListaAct,3,0)</f>
        <v>ACTIVIDADES ELECTRICAS, DATOS Y DEMAS REQUERIDAS</v>
      </c>
      <c r="E3661" s="922"/>
      <c r="F3661" s="922"/>
      <c r="G3661" s="922"/>
      <c r="H3661" s="922"/>
      <c r="I3661" s="922"/>
      <c r="J3661" s="922"/>
      <c r="K3661" s="922"/>
      <c r="L3661" s="922"/>
      <c r="M3661" s="1"/>
      <c r="N3661" s="413"/>
      <c r="O3661" s="362"/>
    </row>
    <row r="3662" spans="1:15" ht="15.75" customHeight="1">
      <c r="A3662" s="395"/>
      <c r="B3662" s="399"/>
      <c r="C3662" s="925" t="s">
        <v>1191</v>
      </c>
      <c r="D3662" s="926"/>
      <c r="E3662" s="926"/>
      <c r="F3662" s="926"/>
      <c r="G3662" s="926"/>
      <c r="H3662" s="926"/>
      <c r="I3662" s="926"/>
      <c r="J3662" s="926"/>
      <c r="K3662" s="926"/>
      <c r="L3662" s="926"/>
      <c r="M3662" s="926"/>
      <c r="N3662" s="927"/>
      <c r="O3662" s="362"/>
    </row>
    <row r="3663" spans="1:15" ht="15.75" customHeight="1">
      <c r="A3663" s="395"/>
      <c r="B3663" s="399"/>
      <c r="C3663" s="418"/>
      <c r="D3663" s="39"/>
      <c r="E3663" s="39"/>
      <c r="F3663" s="39"/>
      <c r="G3663" s="39"/>
      <c r="H3663" s="39"/>
      <c r="I3663" s="39"/>
      <c r="J3663" s="39"/>
      <c r="K3663" s="39"/>
      <c r="L3663" s="39"/>
      <c r="M3663" s="39"/>
      <c r="N3663" s="40"/>
      <c r="O3663" s="362"/>
    </row>
    <row r="3664" spans="1:15" ht="15.75" customHeight="1">
      <c r="A3664" s="395"/>
      <c r="B3664" s="399"/>
      <c r="C3664" s="668" t="s">
        <v>965</v>
      </c>
      <c r="D3664" s="1200" t="s">
        <v>17</v>
      </c>
      <c r="E3664" s="1131"/>
      <c r="F3664" s="1131"/>
      <c r="G3664" s="1131"/>
      <c r="H3664" s="1131"/>
      <c r="I3664" s="1131"/>
      <c r="J3664" s="1131"/>
      <c r="K3664" s="1137"/>
      <c r="L3664" s="1201" t="s">
        <v>1192</v>
      </c>
      <c r="M3664" s="1137"/>
      <c r="N3664" s="668" t="s">
        <v>950</v>
      </c>
      <c r="O3664" s="362"/>
    </row>
    <row r="3665" spans="1:15" ht="44.25" customHeight="1">
      <c r="A3665" s="395"/>
      <c r="B3665" s="421"/>
      <c r="C3665" s="669" t="s">
        <v>1106</v>
      </c>
      <c r="D3665" s="1202" t="str">
        <f>IF($C3665&gt;0,(VLOOKUP($C3665,ListaAct,4,FALSE)),"")</f>
        <v>Suministro, Transporte E Instalación De Panel Led  120x30 Cm, 45 W, 6500 K, colgante Incluye Marco Soporte, kit de suspension (guayas) Elementos De Sujeción Y Fijación De La Lámpara</v>
      </c>
      <c r="E3665" s="979"/>
      <c r="F3665" s="979"/>
      <c r="G3665" s="979"/>
      <c r="H3665" s="979"/>
      <c r="I3665" s="979"/>
      <c r="J3665" s="979"/>
      <c r="K3665" s="980"/>
      <c r="L3665" s="1203" t="str">
        <f>IF($C3665&gt;0,(VLOOKUP($C3665,ListaAct,5,FALSE)),"")</f>
        <v>und</v>
      </c>
      <c r="M3665" s="980"/>
      <c r="N3665" s="423">
        <f>IF($C3665&gt;0,(VLOOKUP($C3665,ListaAct,6,FALSE)),"")</f>
        <v>8</v>
      </c>
      <c r="O3665" s="362"/>
    </row>
    <row r="3666" spans="1:15" ht="15.75" customHeight="1">
      <c r="A3666" s="395"/>
      <c r="B3666" s="399"/>
      <c r="C3666" s="1129" t="s">
        <v>1195</v>
      </c>
      <c r="D3666" s="926"/>
      <c r="E3666" s="926"/>
      <c r="F3666" s="926"/>
      <c r="G3666" s="926"/>
      <c r="H3666" s="926"/>
      <c r="I3666" s="926"/>
      <c r="J3666" s="926"/>
      <c r="K3666" s="926"/>
      <c r="L3666" s="926"/>
      <c r="M3666" s="926"/>
      <c r="N3666" s="927"/>
      <c r="O3666" s="362"/>
    </row>
    <row r="3667" spans="1:15" ht="15.75" customHeight="1">
      <c r="A3667" s="395"/>
      <c r="B3667" s="399"/>
      <c r="C3667" s="920"/>
      <c r="D3667" s="922"/>
      <c r="E3667" s="922"/>
      <c r="F3667" s="922"/>
      <c r="G3667" s="922"/>
      <c r="H3667" s="922"/>
      <c r="I3667" s="922"/>
      <c r="J3667" s="922"/>
      <c r="K3667" s="922"/>
      <c r="L3667" s="922"/>
      <c r="M3667" s="922"/>
      <c r="N3667" s="924"/>
      <c r="O3667" s="362"/>
    </row>
    <row r="3668" spans="1:15" ht="15.75" customHeight="1">
      <c r="A3668" s="395"/>
      <c r="B3668" s="399"/>
      <c r="C3668" s="929"/>
      <c r="D3668" s="936"/>
      <c r="E3668" s="936"/>
      <c r="F3668" s="936"/>
      <c r="G3668" s="936"/>
      <c r="H3668" s="936"/>
      <c r="I3668" s="936"/>
      <c r="J3668" s="936"/>
      <c r="K3668" s="936"/>
      <c r="L3668" s="936"/>
      <c r="M3668" s="936"/>
      <c r="N3668" s="938"/>
      <c r="O3668" s="362"/>
    </row>
    <row r="3669" spans="1:15" ht="15.75" customHeight="1">
      <c r="A3669" s="395"/>
      <c r="B3669" s="399"/>
      <c r="C3669" s="1201" t="s">
        <v>17</v>
      </c>
      <c r="D3669" s="1131"/>
      <c r="E3669" s="1131"/>
      <c r="F3669" s="1000"/>
      <c r="G3669" s="1204" t="s">
        <v>1196</v>
      </c>
      <c r="H3669" s="1000"/>
      <c r="I3669" s="1204" t="s">
        <v>1197</v>
      </c>
      <c r="J3669" s="1000"/>
      <c r="K3669" s="670" t="s">
        <v>1213</v>
      </c>
      <c r="L3669" s="1204" t="s">
        <v>1199</v>
      </c>
      <c r="M3669" s="1000"/>
      <c r="N3669" s="671" t="s">
        <v>1200</v>
      </c>
      <c r="O3669" s="362"/>
    </row>
    <row r="3670" spans="1:15" ht="15.75" customHeight="1">
      <c r="A3670" s="395"/>
      <c r="B3670" s="399"/>
      <c r="C3670" s="1128" t="s">
        <v>1201</v>
      </c>
      <c r="D3670" s="940"/>
      <c r="E3670" s="940"/>
      <c r="F3670" s="941"/>
      <c r="G3670" s="1142"/>
      <c r="H3670" s="941"/>
      <c r="I3670" s="1142"/>
      <c r="J3670" s="941"/>
      <c r="K3670" s="429"/>
      <c r="L3670" s="1143">
        <v>0.05</v>
      </c>
      <c r="M3670" s="941"/>
      <c r="N3670" s="430">
        <f>+L3670*N3711</f>
        <v>360.80020980586863</v>
      </c>
      <c r="O3670" s="362"/>
    </row>
    <row r="3671" spans="1:15" ht="15.75" customHeight="1">
      <c r="A3671" s="395" t="str">
        <f t="array" ref="A3671">IF(C3671&lt;&gt;0,INDEX(CodEquipos,MATCH(C3671,Equipos,0),),)</f>
        <v>EQ-30</v>
      </c>
      <c r="B3671" s="399"/>
      <c r="C3671" s="1128" t="s">
        <v>2596</v>
      </c>
      <c r="D3671" s="940"/>
      <c r="E3671" s="940"/>
      <c r="F3671" s="941"/>
      <c r="G3671" s="1142"/>
      <c r="H3671" s="941"/>
      <c r="I3671" s="1142"/>
      <c r="J3671" s="941"/>
      <c r="K3671" s="432">
        <f>IF($A3671&gt;0,(VLOOKUP($A3671,TablaEquipos,7,FALSE)),"")</f>
        <v>750</v>
      </c>
      <c r="L3671" s="1212">
        <v>0.52500000000000002</v>
      </c>
      <c r="M3671" s="1213"/>
      <c r="N3671" s="430">
        <f>IF(L3671&gt;0,K3671*L3671,"")</f>
        <v>393.75</v>
      </c>
      <c r="O3671" s="362"/>
    </row>
    <row r="3672" spans="1:15" ht="15.75" customHeight="1">
      <c r="A3672" s="395">
        <f t="array" ref="A3672">IF(C3672&lt;&gt;0,INDEX(CodEquipos,MATCH(C3672,Equipos,0),),)</f>
        <v>0</v>
      </c>
      <c r="B3672" s="399"/>
      <c r="C3672" s="1128"/>
      <c r="D3672" s="940"/>
      <c r="E3672" s="940"/>
      <c r="F3672" s="941"/>
      <c r="G3672" s="1142"/>
      <c r="H3672" s="941"/>
      <c r="I3672" s="1142"/>
      <c r="J3672" s="941"/>
      <c r="K3672" s="432" t="str">
        <f>IF($A3672&gt;0,(VLOOKUP($A3672,TablaEquipos,7,FALSE)),"")</f>
        <v/>
      </c>
      <c r="L3672" s="1146"/>
      <c r="M3672" s="941"/>
      <c r="N3672" s="430" t="str">
        <f t="shared" ref="N3672:N3675" si="271">IF(L3672&gt;0,K3672/L3672,"")</f>
        <v/>
      </c>
      <c r="O3672" s="362"/>
    </row>
    <row r="3673" spans="1:15" ht="15.75" customHeight="1">
      <c r="A3673" s="395">
        <f t="array" ref="A3673">IF(C3673&lt;&gt;0,INDEX(CodEquipos,MATCH(C3673,Equipos,0),),)</f>
        <v>0</v>
      </c>
      <c r="B3673" s="399"/>
      <c r="C3673" s="1128"/>
      <c r="D3673" s="940"/>
      <c r="E3673" s="940"/>
      <c r="F3673" s="941"/>
      <c r="G3673" s="1142"/>
      <c r="H3673" s="941"/>
      <c r="I3673" s="1142"/>
      <c r="J3673" s="941"/>
      <c r="K3673" s="432" t="str">
        <f>IF($A3673&gt;0,(VLOOKUP($A3673,TablaEquipos,7,FALSE)),"")</f>
        <v/>
      </c>
      <c r="L3673" s="1146"/>
      <c r="M3673" s="941"/>
      <c r="N3673" s="430" t="str">
        <f t="shared" si="271"/>
        <v/>
      </c>
      <c r="O3673" s="362"/>
    </row>
    <row r="3674" spans="1:15" ht="15.75" customHeight="1">
      <c r="A3674" s="395">
        <f t="array" ref="A3674">IF(C3674&lt;&gt;0,INDEX(CodEquipos,MATCH(C3674,Equipos,0),),)</f>
        <v>0</v>
      </c>
      <c r="B3674" s="399"/>
      <c r="C3674" s="1128"/>
      <c r="D3674" s="940"/>
      <c r="E3674" s="940"/>
      <c r="F3674" s="941"/>
      <c r="G3674" s="1142"/>
      <c r="H3674" s="941"/>
      <c r="I3674" s="1142"/>
      <c r="J3674" s="941"/>
      <c r="K3674" s="432" t="str">
        <f>IF($A3674&gt;0,(VLOOKUP($A3674,TablaEquipos,7,FALSE)),"")</f>
        <v/>
      </c>
      <c r="L3674" s="1141"/>
      <c r="M3674" s="941"/>
      <c r="N3674" s="430" t="str">
        <f t="shared" si="271"/>
        <v/>
      </c>
      <c r="O3674" s="362"/>
    </row>
    <row r="3675" spans="1:15" ht="15.75" customHeight="1">
      <c r="A3675" s="395">
        <f t="array" ref="A3675">IF(C3675&lt;&gt;0,INDEX(CodEquipos,MATCH(C3675,Equipos,0),),)</f>
        <v>0</v>
      </c>
      <c r="B3675" s="399"/>
      <c r="C3675" s="1128"/>
      <c r="D3675" s="940"/>
      <c r="E3675" s="940"/>
      <c r="F3675" s="941"/>
      <c r="G3675" s="1144"/>
      <c r="H3675" s="1145"/>
      <c r="I3675" s="1144"/>
      <c r="J3675" s="1145"/>
      <c r="K3675" s="432" t="str">
        <f>IF($A3675&gt;0,(VLOOKUP($A3675,TablaEquipos,7,FALSE)),"")</f>
        <v/>
      </c>
      <c r="L3675" s="1208"/>
      <c r="M3675" s="1145"/>
      <c r="N3675" s="430" t="str">
        <f t="shared" si="271"/>
        <v/>
      </c>
      <c r="O3675" s="362"/>
    </row>
    <row r="3676" spans="1:15" ht="15.75" customHeight="1">
      <c r="A3676" s="395"/>
      <c r="B3676" s="399"/>
      <c r="C3676" s="1127" t="s">
        <v>1202</v>
      </c>
      <c r="D3676" s="965"/>
      <c r="E3676" s="965"/>
      <c r="F3676" s="965"/>
      <c r="G3676" s="965"/>
      <c r="H3676" s="965"/>
      <c r="I3676" s="965"/>
      <c r="J3676" s="965"/>
      <c r="K3676" s="965"/>
      <c r="L3676" s="965"/>
      <c r="M3676" s="966"/>
      <c r="N3676" s="433">
        <f>+SUM(N3670:N3675)</f>
        <v>754.55020980586869</v>
      </c>
      <c r="O3676" s="362"/>
    </row>
    <row r="3677" spans="1:15" ht="15.75" customHeight="1">
      <c r="A3677" s="395"/>
      <c r="B3677" s="399"/>
      <c r="C3677" s="1129" t="s">
        <v>1203</v>
      </c>
      <c r="D3677" s="926"/>
      <c r="E3677" s="926"/>
      <c r="F3677" s="926"/>
      <c r="G3677" s="926"/>
      <c r="H3677" s="926"/>
      <c r="I3677" s="926"/>
      <c r="J3677" s="926"/>
      <c r="K3677" s="926"/>
      <c r="L3677" s="926"/>
      <c r="M3677" s="926"/>
      <c r="N3677" s="927"/>
      <c r="O3677" s="362"/>
    </row>
    <row r="3678" spans="1:15" ht="15.75" customHeight="1">
      <c r="A3678" s="395"/>
      <c r="B3678" s="399"/>
      <c r="C3678" s="920"/>
      <c r="D3678" s="922"/>
      <c r="E3678" s="922"/>
      <c r="F3678" s="922"/>
      <c r="G3678" s="922"/>
      <c r="H3678" s="922"/>
      <c r="I3678" s="922"/>
      <c r="J3678" s="922"/>
      <c r="K3678" s="922"/>
      <c r="L3678" s="922"/>
      <c r="M3678" s="922"/>
      <c r="N3678" s="924"/>
      <c r="O3678" s="362"/>
    </row>
    <row r="3679" spans="1:15" ht="15.75" customHeight="1">
      <c r="A3679" s="395"/>
      <c r="B3679" s="399"/>
      <c r="C3679" s="929"/>
      <c r="D3679" s="936"/>
      <c r="E3679" s="936"/>
      <c r="F3679" s="936"/>
      <c r="G3679" s="936"/>
      <c r="H3679" s="936"/>
      <c r="I3679" s="936"/>
      <c r="J3679" s="936"/>
      <c r="K3679" s="936"/>
      <c r="L3679" s="936"/>
      <c r="M3679" s="936"/>
      <c r="N3679" s="938"/>
      <c r="O3679" s="362"/>
    </row>
    <row r="3680" spans="1:15" ht="15.75" customHeight="1">
      <c r="A3680" s="395"/>
      <c r="B3680" s="399"/>
      <c r="C3680" s="1201" t="s">
        <v>17</v>
      </c>
      <c r="D3680" s="1131"/>
      <c r="E3680" s="1131"/>
      <c r="F3680" s="1131"/>
      <c r="G3680" s="1131"/>
      <c r="H3680" s="1131"/>
      <c r="I3680" s="1000"/>
      <c r="J3680" s="672" t="s">
        <v>1192</v>
      </c>
      <c r="K3680" s="670" t="s">
        <v>950</v>
      </c>
      <c r="L3680" s="1204" t="s">
        <v>1204</v>
      </c>
      <c r="M3680" s="1000"/>
      <c r="N3680" s="671" t="s">
        <v>1200</v>
      </c>
      <c r="O3680" s="362"/>
    </row>
    <row r="3681" spans="1:15" ht="15.75" customHeight="1">
      <c r="A3681" s="395" t="str">
        <f t="array" ref="A3681">IF(C3681&lt;&gt;0,INDEX(CodMat,MATCH(C3681,Materiales,0),),)</f>
        <v>MAT_ELE-111</v>
      </c>
      <c r="B3681" s="399"/>
      <c r="C3681" s="1210" t="s">
        <v>2610</v>
      </c>
      <c r="D3681" s="940"/>
      <c r="E3681" s="940"/>
      <c r="F3681" s="940"/>
      <c r="G3681" s="940"/>
      <c r="H3681" s="940"/>
      <c r="I3681" s="941"/>
      <c r="J3681" s="435" t="str">
        <f t="shared" ref="J3681:J3690" si="272">IF($A3681&gt;0,(VLOOKUP($A3681,TablaInsumos,5,FALSE)),"")</f>
        <v>UND</v>
      </c>
      <c r="K3681" s="673">
        <v>1</v>
      </c>
      <c r="L3681" s="1209">
        <f t="shared" ref="L3681:L3690" si="273">IF($A3681&gt;0,(VLOOKUP($A3681,TablaInsumos,7,FALSE)),"")</f>
        <v>113500</v>
      </c>
      <c r="M3681" s="941"/>
      <c r="N3681" s="430">
        <f t="shared" ref="N3681:N3687" si="274">IF(K3681&gt;0,L3681*K3681,"")</f>
        <v>113500</v>
      </c>
      <c r="O3681" s="362"/>
    </row>
    <row r="3682" spans="1:15" ht="15.75" customHeight="1">
      <c r="A3682" s="395" t="str">
        <f t="array" ref="A3682">IF(C3682&lt;&gt;0,INDEX(CodMat,MATCH(C3682,Materiales,0),),)</f>
        <v>MAT_ELE-112</v>
      </c>
      <c r="B3682" s="399"/>
      <c r="C3682" s="1128" t="s">
        <v>2611</v>
      </c>
      <c r="D3682" s="940"/>
      <c r="E3682" s="940"/>
      <c r="F3682" s="940"/>
      <c r="G3682" s="940"/>
      <c r="H3682" s="940"/>
      <c r="I3682" s="941"/>
      <c r="J3682" s="435" t="str">
        <f t="shared" si="272"/>
        <v>UND</v>
      </c>
      <c r="K3682" s="673">
        <v>2</v>
      </c>
      <c r="L3682" s="1134">
        <f t="shared" si="273"/>
        <v>1050</v>
      </c>
      <c r="M3682" s="941"/>
      <c r="N3682" s="430">
        <f t="shared" si="274"/>
        <v>2100</v>
      </c>
      <c r="O3682" s="362"/>
    </row>
    <row r="3683" spans="1:15" ht="15.75" customHeight="1">
      <c r="A3683" s="395">
        <f t="array" ref="A3683">IF(C3683&lt;&gt;0,INDEX(CodMat,MATCH(C3683,Materiales,0),),)</f>
        <v>0</v>
      </c>
      <c r="B3683" s="399"/>
      <c r="C3683" s="1128"/>
      <c r="D3683" s="940"/>
      <c r="E3683" s="940"/>
      <c r="F3683" s="940"/>
      <c r="G3683" s="940"/>
      <c r="H3683" s="940"/>
      <c r="I3683" s="941"/>
      <c r="J3683" s="435" t="str">
        <f t="shared" si="272"/>
        <v/>
      </c>
      <c r="K3683" s="673"/>
      <c r="L3683" s="1134" t="str">
        <f t="shared" si="273"/>
        <v/>
      </c>
      <c r="M3683" s="941"/>
      <c r="N3683" s="430" t="str">
        <f t="shared" si="274"/>
        <v/>
      </c>
      <c r="O3683" s="362"/>
    </row>
    <row r="3684" spans="1:15" ht="15.75" customHeight="1">
      <c r="A3684" s="395">
        <f t="array" ref="A3684">IF(C3684&lt;&gt;0,INDEX(CodMat,MATCH(C3684,Materiales,0),),)</f>
        <v>0</v>
      </c>
      <c r="B3684" s="399"/>
      <c r="C3684" s="1128"/>
      <c r="D3684" s="940"/>
      <c r="E3684" s="940"/>
      <c r="F3684" s="940"/>
      <c r="G3684" s="940"/>
      <c r="H3684" s="940"/>
      <c r="I3684" s="941"/>
      <c r="J3684" s="435" t="str">
        <f t="shared" si="272"/>
        <v/>
      </c>
      <c r="K3684" s="673"/>
      <c r="L3684" s="1134" t="str">
        <f t="shared" si="273"/>
        <v/>
      </c>
      <c r="M3684" s="941"/>
      <c r="N3684" s="430" t="str">
        <f t="shared" si="274"/>
        <v/>
      </c>
      <c r="O3684" s="362"/>
    </row>
    <row r="3685" spans="1:15" ht="15.75" customHeight="1">
      <c r="A3685" s="395">
        <f t="array" ref="A3685">IF(C3685&lt;&gt;0,INDEX(CodMat,MATCH(C3685,Materiales,0),),)</f>
        <v>0</v>
      </c>
      <c r="B3685" s="399"/>
      <c r="C3685" s="1128"/>
      <c r="D3685" s="940"/>
      <c r="E3685" s="940"/>
      <c r="F3685" s="940"/>
      <c r="G3685" s="940"/>
      <c r="H3685" s="940"/>
      <c r="I3685" s="941"/>
      <c r="J3685" s="435" t="str">
        <f t="shared" si="272"/>
        <v/>
      </c>
      <c r="K3685" s="673"/>
      <c r="L3685" s="1134" t="str">
        <f t="shared" si="273"/>
        <v/>
      </c>
      <c r="M3685" s="941"/>
      <c r="N3685" s="430" t="str">
        <f t="shared" si="274"/>
        <v/>
      </c>
      <c r="O3685" s="362"/>
    </row>
    <row r="3686" spans="1:15" ht="15.75" customHeight="1">
      <c r="A3686" s="395">
        <f t="array" ref="A3686">IF(C3686&lt;&gt;0,INDEX(CodMat,MATCH(C3686,Materiales,0),),)</f>
        <v>0</v>
      </c>
      <c r="B3686" s="399"/>
      <c r="C3686" s="1211"/>
      <c r="D3686" s="940"/>
      <c r="E3686" s="940"/>
      <c r="F3686" s="940"/>
      <c r="G3686" s="940"/>
      <c r="H3686" s="940"/>
      <c r="I3686" s="941"/>
      <c r="J3686" s="435" t="str">
        <f t="shared" si="272"/>
        <v/>
      </c>
      <c r="K3686" s="673"/>
      <c r="L3686" s="1134" t="str">
        <f t="shared" si="273"/>
        <v/>
      </c>
      <c r="M3686" s="941"/>
      <c r="N3686" s="430" t="str">
        <f t="shared" si="274"/>
        <v/>
      </c>
      <c r="O3686" s="362"/>
    </row>
    <row r="3687" spans="1:15" ht="15.75" customHeight="1">
      <c r="A3687" s="395">
        <f t="array" ref="A3687">IF(C3687&lt;&gt;0,INDEX(CodMat,MATCH(C3687,Materiales,0),),)</f>
        <v>0</v>
      </c>
      <c r="B3687" s="399"/>
      <c r="C3687" s="1128"/>
      <c r="D3687" s="940"/>
      <c r="E3687" s="940"/>
      <c r="F3687" s="940"/>
      <c r="G3687" s="940"/>
      <c r="H3687" s="940"/>
      <c r="I3687" s="941"/>
      <c r="J3687" s="435" t="str">
        <f t="shared" si="272"/>
        <v/>
      </c>
      <c r="K3687" s="673"/>
      <c r="L3687" s="1134" t="str">
        <f t="shared" si="273"/>
        <v/>
      </c>
      <c r="M3687" s="941"/>
      <c r="N3687" s="430" t="str">
        <f t="shared" si="274"/>
        <v/>
      </c>
      <c r="O3687" s="362"/>
    </row>
    <row r="3688" spans="1:15" ht="15.75" customHeight="1">
      <c r="A3688" s="395"/>
      <c r="B3688" s="399"/>
      <c r="C3688" s="1128"/>
      <c r="D3688" s="940"/>
      <c r="E3688" s="940"/>
      <c r="F3688" s="940"/>
      <c r="G3688" s="940"/>
      <c r="H3688" s="940"/>
      <c r="I3688" s="941"/>
      <c r="J3688" s="435" t="str">
        <f t="shared" si="272"/>
        <v/>
      </c>
      <c r="K3688" s="673"/>
      <c r="L3688" s="1134" t="str">
        <f t="shared" si="273"/>
        <v/>
      </c>
      <c r="M3688" s="941"/>
      <c r="N3688" s="430"/>
      <c r="O3688" s="362"/>
    </row>
    <row r="3689" spans="1:15" ht="15.75" customHeight="1">
      <c r="A3689" s="395"/>
      <c r="B3689" s="399"/>
      <c r="C3689" s="1128"/>
      <c r="D3689" s="940"/>
      <c r="E3689" s="940"/>
      <c r="F3689" s="940"/>
      <c r="G3689" s="940"/>
      <c r="H3689" s="940"/>
      <c r="I3689" s="941"/>
      <c r="J3689" s="435" t="str">
        <f t="shared" si="272"/>
        <v/>
      </c>
      <c r="K3689" s="673"/>
      <c r="L3689" s="1134" t="str">
        <f t="shared" si="273"/>
        <v/>
      </c>
      <c r="M3689" s="941"/>
      <c r="N3689" s="430"/>
      <c r="O3689" s="362"/>
    </row>
    <row r="3690" spans="1:15" ht="15.75" customHeight="1">
      <c r="A3690" s="395">
        <f t="array" ref="A3690">IF(C3690&lt;&gt;0,INDEX(CodMat,MATCH(C3690,Materiales,0),),)</f>
        <v>0</v>
      </c>
      <c r="B3690" s="399"/>
      <c r="C3690" s="1128"/>
      <c r="D3690" s="940"/>
      <c r="E3690" s="940"/>
      <c r="F3690" s="940"/>
      <c r="G3690" s="940"/>
      <c r="H3690" s="940"/>
      <c r="I3690" s="941"/>
      <c r="J3690" s="435" t="str">
        <f t="shared" si="272"/>
        <v/>
      </c>
      <c r="K3690" s="673"/>
      <c r="L3690" s="1134" t="str">
        <f t="shared" si="273"/>
        <v/>
      </c>
      <c r="M3690" s="941"/>
      <c r="N3690" s="430" t="str">
        <f>IF(K3690&gt;0,L3690*K3690,"")</f>
        <v/>
      </c>
      <c r="O3690" s="362"/>
    </row>
    <row r="3691" spans="1:15" ht="15.75" customHeight="1">
      <c r="A3691" s="395"/>
      <c r="B3691" s="399"/>
      <c r="C3691" s="1127" t="s">
        <v>1202</v>
      </c>
      <c r="D3691" s="965"/>
      <c r="E3691" s="965"/>
      <c r="F3691" s="965"/>
      <c r="G3691" s="965"/>
      <c r="H3691" s="965"/>
      <c r="I3691" s="965"/>
      <c r="J3691" s="965"/>
      <c r="K3691" s="965"/>
      <c r="L3691" s="965"/>
      <c r="M3691" s="966"/>
      <c r="N3691" s="433">
        <f>+SUM(N3681:N3690)</f>
        <v>115600</v>
      </c>
      <c r="O3691" s="362"/>
    </row>
    <row r="3692" spans="1:15" ht="15.75" customHeight="1">
      <c r="A3692" s="395"/>
      <c r="B3692" s="399"/>
      <c r="C3692" s="1129" t="s">
        <v>1208</v>
      </c>
      <c r="D3692" s="926"/>
      <c r="E3692" s="926"/>
      <c r="F3692" s="926"/>
      <c r="G3692" s="926"/>
      <c r="H3692" s="926"/>
      <c r="I3692" s="926"/>
      <c r="J3692" s="926"/>
      <c r="K3692" s="926"/>
      <c r="L3692" s="926"/>
      <c r="M3692" s="926"/>
      <c r="N3692" s="927"/>
      <c r="O3692" s="362"/>
    </row>
    <row r="3693" spans="1:15" ht="15.75" customHeight="1">
      <c r="A3693" s="395"/>
      <c r="B3693" s="399"/>
      <c r="C3693" s="920"/>
      <c r="D3693" s="922"/>
      <c r="E3693" s="922"/>
      <c r="F3693" s="922"/>
      <c r="G3693" s="922"/>
      <c r="H3693" s="922"/>
      <c r="I3693" s="922"/>
      <c r="J3693" s="922"/>
      <c r="K3693" s="922"/>
      <c r="L3693" s="922"/>
      <c r="M3693" s="922"/>
      <c r="N3693" s="924"/>
      <c r="O3693" s="362"/>
    </row>
    <row r="3694" spans="1:15" ht="15.75" customHeight="1">
      <c r="A3694" s="395"/>
      <c r="B3694" s="399"/>
      <c r="C3694" s="929"/>
      <c r="D3694" s="936"/>
      <c r="E3694" s="936"/>
      <c r="F3694" s="936"/>
      <c r="G3694" s="936"/>
      <c r="H3694" s="936"/>
      <c r="I3694" s="936"/>
      <c r="J3694" s="936"/>
      <c r="K3694" s="936"/>
      <c r="L3694" s="936"/>
      <c r="M3694" s="936"/>
      <c r="N3694" s="938"/>
      <c r="O3694" s="362"/>
    </row>
    <row r="3695" spans="1:15" ht="15.75" customHeight="1">
      <c r="A3695" s="395"/>
      <c r="B3695" s="399"/>
      <c r="C3695" s="1201" t="s">
        <v>1209</v>
      </c>
      <c r="D3695" s="1131"/>
      <c r="E3695" s="1131"/>
      <c r="F3695" s="1131"/>
      <c r="G3695" s="1131"/>
      <c r="H3695" s="1000"/>
      <c r="I3695" s="670" t="s">
        <v>1210</v>
      </c>
      <c r="J3695" s="674" t="s">
        <v>1211</v>
      </c>
      <c r="K3695" s="675" t="s">
        <v>2318</v>
      </c>
      <c r="L3695" s="1204" t="s">
        <v>1213</v>
      </c>
      <c r="M3695" s="1000"/>
      <c r="N3695" s="671" t="s">
        <v>1200</v>
      </c>
      <c r="O3695" s="362"/>
    </row>
    <row r="3696" spans="1:15" ht="15.75" customHeight="1">
      <c r="A3696" s="395">
        <f t="array" ref="A3696">IF(C3696&lt;&gt;0,INDEX(CodTransporte,MATCH(C3696,Transporte,0),),)</f>
        <v>0</v>
      </c>
      <c r="B3696" s="399"/>
      <c r="C3696" s="1128"/>
      <c r="D3696" s="940"/>
      <c r="E3696" s="940"/>
      <c r="F3696" s="940"/>
      <c r="G3696" s="940"/>
      <c r="H3696" s="940"/>
      <c r="I3696" s="440"/>
      <c r="J3696" s="690"/>
      <c r="K3696" s="442" t="str">
        <f>IF($A3696&gt;0,(VLOOKUP($A3696,TablaTransporte,5,FALSE)),"")</f>
        <v/>
      </c>
      <c r="L3696" s="1134" t="str">
        <f>IF($A3696&gt;0,(VLOOKUP($A3696,TablaTransporte,7,FALSE)),"")</f>
        <v/>
      </c>
      <c r="M3696" s="941"/>
      <c r="N3696" s="430" t="str">
        <f t="shared" ref="N3696:N3700" si="275">IF(I3696&gt;0,J3696*L3696*I3696,"")</f>
        <v/>
      </c>
      <c r="O3696" s="362"/>
    </row>
    <row r="3697" spans="1:15" ht="15.75" customHeight="1">
      <c r="A3697" s="395">
        <f t="array" ref="A3697">IF(C3697&lt;&gt;0,INDEX(CodTransporte,MATCH(C3697,Transporte,0),),)</f>
        <v>0</v>
      </c>
      <c r="B3697" s="399"/>
      <c r="C3697" s="1128"/>
      <c r="D3697" s="940"/>
      <c r="E3697" s="940"/>
      <c r="F3697" s="940"/>
      <c r="G3697" s="940"/>
      <c r="H3697" s="940"/>
      <c r="I3697" s="440"/>
      <c r="J3697" s="690"/>
      <c r="K3697" s="442" t="str">
        <f>IF($A3697&gt;0,(VLOOKUP($A3697,TablaTransporte,5,FALSE)),"")</f>
        <v/>
      </c>
      <c r="L3697" s="1134" t="str">
        <f>IF($A3697&gt;0,(VLOOKUP($A3697,TablaTransporte,7,FALSE)),"")</f>
        <v/>
      </c>
      <c r="M3697" s="941"/>
      <c r="N3697" s="430" t="str">
        <f t="shared" si="275"/>
        <v/>
      </c>
      <c r="O3697" s="362"/>
    </row>
    <row r="3698" spans="1:15" ht="15.75" customHeight="1">
      <c r="A3698" s="395">
        <f t="array" ref="A3698">IF(C3698&lt;&gt;0,INDEX(CodTransporte,MATCH(C3698,Transporte,0),),)</f>
        <v>0</v>
      </c>
      <c r="B3698" s="399"/>
      <c r="C3698" s="1128"/>
      <c r="D3698" s="940"/>
      <c r="E3698" s="940"/>
      <c r="F3698" s="940"/>
      <c r="G3698" s="940"/>
      <c r="H3698" s="940"/>
      <c r="I3698" s="440"/>
      <c r="J3698" s="441" t="str">
        <f>IF($A3698&gt;0,(VLOOKUP($A3698,TablaTransporte,6,FALSE)),"")</f>
        <v/>
      </c>
      <c r="K3698" s="442" t="str">
        <f>IF($A3698&gt;0,(VLOOKUP($A3698,TablaTransporte,5,FALSE)),"")</f>
        <v/>
      </c>
      <c r="L3698" s="1134" t="str">
        <f>IF($A3698&gt;0,(VLOOKUP($A3698,TablaTransporte,7,FALSE)),"")</f>
        <v/>
      </c>
      <c r="M3698" s="941"/>
      <c r="N3698" s="430" t="str">
        <f t="shared" si="275"/>
        <v/>
      </c>
      <c r="O3698" s="362"/>
    </row>
    <row r="3699" spans="1:15" ht="15.75" customHeight="1">
      <c r="A3699" s="395">
        <f t="array" ref="A3699">IF(C3699&lt;&gt;0,INDEX(CodTransporte,MATCH(C3699,Transporte,0),),)</f>
        <v>0</v>
      </c>
      <c r="B3699" s="399"/>
      <c r="C3699" s="1128"/>
      <c r="D3699" s="940"/>
      <c r="E3699" s="940"/>
      <c r="F3699" s="940"/>
      <c r="G3699" s="940"/>
      <c r="H3699" s="940"/>
      <c r="I3699" s="440"/>
      <c r="J3699" s="441" t="str">
        <f>IF($A3699&gt;0,(VLOOKUP($A3699,TablaTransporte,6,FALSE)),"")</f>
        <v/>
      </c>
      <c r="K3699" s="442" t="str">
        <f>IF($A3699&gt;0,(VLOOKUP($A3699,TablaTransporte,5,FALSE)),"")</f>
        <v/>
      </c>
      <c r="L3699" s="1134" t="str">
        <f>IF($A3699&gt;0,(VLOOKUP($A3699,TablaTransporte,7,FALSE)),"")</f>
        <v/>
      </c>
      <c r="M3699" s="941"/>
      <c r="N3699" s="430" t="str">
        <f t="shared" si="275"/>
        <v/>
      </c>
      <c r="O3699" s="362"/>
    </row>
    <row r="3700" spans="1:15" ht="15.75" customHeight="1">
      <c r="A3700" s="395">
        <f t="array" ref="A3700">IF(C3700&lt;&gt;0,INDEX(CodTransporte,MATCH(C3700,Transporte,0),),)</f>
        <v>0</v>
      </c>
      <c r="B3700" s="399"/>
      <c r="C3700" s="1128"/>
      <c r="D3700" s="940"/>
      <c r="E3700" s="940"/>
      <c r="F3700" s="940"/>
      <c r="G3700" s="940"/>
      <c r="H3700" s="940"/>
      <c r="I3700" s="440"/>
      <c r="J3700" s="441" t="str">
        <f>IF($A3700&gt;0,(VLOOKUP($A3700,TablaTransporte,6,FALSE)),"")</f>
        <v/>
      </c>
      <c r="K3700" s="442" t="str">
        <f>IF($A3700&gt;0,(VLOOKUP($A3700,TablaTransporte,5,FALSE)),"")</f>
        <v/>
      </c>
      <c r="L3700" s="1205" t="str">
        <f>IF($A3700&gt;0,(VLOOKUP($A3700,TablaTransporte,7,FALSE)),"")</f>
        <v/>
      </c>
      <c r="M3700" s="1145"/>
      <c r="N3700" s="430" t="str">
        <f t="shared" si="275"/>
        <v/>
      </c>
      <c r="O3700" s="362"/>
    </row>
    <row r="3701" spans="1:15" ht="15.75" customHeight="1">
      <c r="A3701" s="395"/>
      <c r="B3701" s="399"/>
      <c r="C3701" s="1127" t="s">
        <v>1202</v>
      </c>
      <c r="D3701" s="965"/>
      <c r="E3701" s="965"/>
      <c r="F3701" s="965"/>
      <c r="G3701" s="965"/>
      <c r="H3701" s="965"/>
      <c r="I3701" s="965"/>
      <c r="J3701" s="965"/>
      <c r="K3701" s="965"/>
      <c r="L3701" s="965"/>
      <c r="M3701" s="966"/>
      <c r="N3701" s="433">
        <f>+SUM(N3696:N3700)</f>
        <v>0</v>
      </c>
      <c r="O3701" s="362"/>
    </row>
    <row r="3702" spans="1:15" ht="15.75" customHeight="1">
      <c r="A3702" s="395"/>
      <c r="B3702" s="399"/>
      <c r="C3702" s="1129" t="s">
        <v>1214</v>
      </c>
      <c r="D3702" s="926"/>
      <c r="E3702" s="926"/>
      <c r="F3702" s="926"/>
      <c r="G3702" s="926"/>
      <c r="H3702" s="926"/>
      <c r="I3702" s="926"/>
      <c r="J3702" s="926"/>
      <c r="K3702" s="926"/>
      <c r="L3702" s="926"/>
      <c r="M3702" s="926"/>
      <c r="N3702" s="927"/>
      <c r="O3702" s="362"/>
    </row>
    <row r="3703" spans="1:15" ht="15.75" customHeight="1">
      <c r="A3703" s="395"/>
      <c r="B3703" s="399"/>
      <c r="C3703" s="920"/>
      <c r="D3703" s="922"/>
      <c r="E3703" s="922"/>
      <c r="F3703" s="922"/>
      <c r="G3703" s="922"/>
      <c r="H3703" s="922"/>
      <c r="I3703" s="922"/>
      <c r="J3703" s="922"/>
      <c r="K3703" s="922"/>
      <c r="L3703" s="922"/>
      <c r="M3703" s="922"/>
      <c r="N3703" s="924"/>
      <c r="O3703" s="362"/>
    </row>
    <row r="3704" spans="1:15" ht="15.75" customHeight="1">
      <c r="A3704" s="395"/>
      <c r="B3704" s="399"/>
      <c r="C3704" s="929"/>
      <c r="D3704" s="936"/>
      <c r="E3704" s="936"/>
      <c r="F3704" s="936"/>
      <c r="G3704" s="936"/>
      <c r="H3704" s="936"/>
      <c r="I3704" s="936"/>
      <c r="J3704" s="936"/>
      <c r="K3704" s="936"/>
      <c r="L3704" s="936"/>
      <c r="M3704" s="936"/>
      <c r="N3704" s="938"/>
      <c r="O3704" s="362"/>
    </row>
    <row r="3705" spans="1:15" ht="15.75" customHeight="1">
      <c r="A3705" s="395"/>
      <c r="B3705" s="399"/>
      <c r="C3705" s="1201" t="s">
        <v>1215</v>
      </c>
      <c r="D3705" s="1131"/>
      <c r="E3705" s="1131"/>
      <c r="F3705" s="1131"/>
      <c r="G3705" s="1131"/>
      <c r="H3705" s="1000"/>
      <c r="I3705" s="670" t="s">
        <v>1216</v>
      </c>
      <c r="J3705" s="676" t="s">
        <v>1217</v>
      </c>
      <c r="K3705" s="677" t="s">
        <v>1218</v>
      </c>
      <c r="L3705" s="1206" t="s">
        <v>1199</v>
      </c>
      <c r="M3705" s="1000"/>
      <c r="N3705" s="678" t="s">
        <v>1200</v>
      </c>
      <c r="O3705" s="362"/>
    </row>
    <row r="3706" spans="1:15" ht="15.75" customHeight="1">
      <c r="A3706" s="395" t="str">
        <f t="array" ref="A3706">IF(C3706&lt;&gt;0,INDEX(CodMO,MATCH(C3706,MO,0),),)</f>
        <v>M.O-15</v>
      </c>
      <c r="B3706" s="399"/>
      <c r="C3706" s="1128" t="s">
        <v>2607</v>
      </c>
      <c r="D3706" s="940"/>
      <c r="E3706" s="940"/>
      <c r="F3706" s="940"/>
      <c r="G3706" s="940"/>
      <c r="H3706" s="940"/>
      <c r="I3706" s="447">
        <f>IF($A3706&gt;0,(VLOOKUP($A3706,TablaMO,8,FALSE)),"")</f>
        <v>366787.33333333331</v>
      </c>
      <c r="J3706" s="448">
        <f>IF($A3706&gt;0,(VLOOKUP($A3706,TablaMO,10,FALSE)),"")</f>
        <v>0.67071666666666663</v>
      </c>
      <c r="K3706" s="447">
        <f>IF($A3706&gt;0,(VLOOKUP($A3706,TablaMO,11,FALSE)),"")</f>
        <v>367679</v>
      </c>
      <c r="L3706" s="1146">
        <v>50.953268596743968</v>
      </c>
      <c r="M3706" s="941"/>
      <c r="N3706" s="430">
        <f t="shared" ref="N3706:N3710" si="276">IF(L3706&gt;0,K3706/L3706,"")</f>
        <v>7216.004196117372</v>
      </c>
      <c r="O3706" s="362"/>
    </row>
    <row r="3707" spans="1:15" ht="15.75" customHeight="1">
      <c r="A3707" s="395">
        <f t="array" ref="A3707">IF(C3707&lt;&gt;0,INDEX(CodMO,MATCH(C3707,MO,0),),)</f>
        <v>0</v>
      </c>
      <c r="B3707" s="399"/>
      <c r="C3707" s="1128"/>
      <c r="D3707" s="940"/>
      <c r="E3707" s="940"/>
      <c r="F3707" s="940"/>
      <c r="G3707" s="940"/>
      <c r="H3707" s="940"/>
      <c r="I3707" s="447" t="str">
        <f>IF($A3707&gt;0,(VLOOKUP($A3707,TablaMO,8,FALSE)),"")</f>
        <v/>
      </c>
      <c r="J3707" s="448" t="str">
        <f>IF($A3707&gt;0,(VLOOKUP($A3707,TablaMO,10,FALSE)),"")</f>
        <v/>
      </c>
      <c r="K3707" s="447" t="str">
        <f>IF($A3707&gt;0,(VLOOKUP($A3707,TablaMO,11,FALSE)),"")</f>
        <v/>
      </c>
      <c r="L3707" s="1146"/>
      <c r="M3707" s="941"/>
      <c r="N3707" s="430" t="str">
        <f t="shared" si="276"/>
        <v/>
      </c>
      <c r="O3707" s="362"/>
    </row>
    <row r="3708" spans="1:15" ht="15.75" customHeight="1">
      <c r="A3708" s="395">
        <f t="array" ref="A3708">IF(C3708&lt;&gt;0,INDEX(CodMO,MATCH(C3708,MO,0),),)</f>
        <v>0</v>
      </c>
      <c r="B3708" s="399"/>
      <c r="C3708" s="1128"/>
      <c r="D3708" s="940"/>
      <c r="E3708" s="940"/>
      <c r="F3708" s="940"/>
      <c r="G3708" s="940"/>
      <c r="H3708" s="940"/>
      <c r="I3708" s="447" t="str">
        <f>IF($A3708&gt;0,(VLOOKUP($A3708,TablaMO,8,FALSE)),"")</f>
        <v/>
      </c>
      <c r="J3708" s="448" t="str">
        <f>IF($A3708&gt;0,(VLOOKUP($A3708,TablaMO,10,FALSE)),"")</f>
        <v/>
      </c>
      <c r="K3708" s="447" t="str">
        <f>IF($A3708&gt;0,(VLOOKUP($A3708,TablaMO,11,FALSE)),"")</f>
        <v/>
      </c>
      <c r="L3708" s="1146"/>
      <c r="M3708" s="941"/>
      <c r="N3708" s="430" t="str">
        <f t="shared" si="276"/>
        <v/>
      </c>
      <c r="O3708" s="362"/>
    </row>
    <row r="3709" spans="1:15" ht="15.75" customHeight="1">
      <c r="A3709" s="395">
        <f t="array" ref="A3709">IF(C3709&lt;&gt;0,INDEX(CodMO,MATCH(C3709,MO,0),),)</f>
        <v>0</v>
      </c>
      <c r="B3709" s="399"/>
      <c r="C3709" s="1128"/>
      <c r="D3709" s="940"/>
      <c r="E3709" s="940"/>
      <c r="F3709" s="940"/>
      <c r="G3709" s="940"/>
      <c r="H3709" s="940"/>
      <c r="I3709" s="447" t="str">
        <f>IF($A3709&gt;0,(VLOOKUP($A3709,TablaMO,8,FALSE)),"")</f>
        <v/>
      </c>
      <c r="J3709" s="448" t="str">
        <f>IF($A3709&gt;0,(VLOOKUP($A3709,TablaMO,10,FALSE)),"")</f>
        <v/>
      </c>
      <c r="K3709" s="447" t="str">
        <f>IF($A3709&gt;0,(VLOOKUP($A3709,TablaMO,11,FALSE)),"")</f>
        <v/>
      </c>
      <c r="L3709" s="1146"/>
      <c r="M3709" s="941"/>
      <c r="N3709" s="430" t="str">
        <f t="shared" si="276"/>
        <v/>
      </c>
      <c r="O3709" s="362"/>
    </row>
    <row r="3710" spans="1:15" ht="15.75" customHeight="1">
      <c r="A3710" s="395">
        <f t="array" ref="A3710">IF(C3710&lt;&gt;0,INDEX(CodMO,MATCH(C3710,MO,0),),)</f>
        <v>0</v>
      </c>
      <c r="B3710" s="399"/>
      <c r="C3710" s="1128"/>
      <c r="D3710" s="940"/>
      <c r="E3710" s="940"/>
      <c r="F3710" s="940"/>
      <c r="G3710" s="940"/>
      <c r="H3710" s="940"/>
      <c r="I3710" s="447" t="str">
        <f>IF($A3710&gt;0,(VLOOKUP($A3710,TablaMO,8,FALSE)),"")</f>
        <v/>
      </c>
      <c r="J3710" s="448" t="str">
        <f>IF($A3710&gt;0,(VLOOKUP($A3710,TablaMO,10,FALSE)),"")</f>
        <v/>
      </c>
      <c r="K3710" s="447" t="str">
        <f>IF($A3710&gt;0,(VLOOKUP($A3710,TablaMO,11,FALSE)),"")</f>
        <v/>
      </c>
      <c r="L3710" s="1146"/>
      <c r="M3710" s="941"/>
      <c r="N3710" s="430" t="str">
        <f t="shared" si="276"/>
        <v/>
      </c>
      <c r="O3710" s="362"/>
    </row>
    <row r="3711" spans="1:15" ht="15.75" customHeight="1">
      <c r="A3711" s="395"/>
      <c r="B3711" s="399"/>
      <c r="C3711" s="1127" t="s">
        <v>1202</v>
      </c>
      <c r="D3711" s="965"/>
      <c r="E3711" s="965"/>
      <c r="F3711" s="965"/>
      <c r="G3711" s="965"/>
      <c r="H3711" s="965"/>
      <c r="I3711" s="965"/>
      <c r="J3711" s="965"/>
      <c r="K3711" s="965"/>
      <c r="L3711" s="965"/>
      <c r="M3711" s="966"/>
      <c r="N3711" s="433">
        <f>+SUM(N3706:N3710)</f>
        <v>7216.004196117372</v>
      </c>
      <c r="O3711" s="362"/>
    </row>
    <row r="3712" spans="1:15" ht="15.75" customHeight="1">
      <c r="B3712" s="679"/>
      <c r="O3712" s="362"/>
    </row>
    <row r="3713" spans="2:18" ht="15.75" customHeight="1">
      <c r="B3713" s="679"/>
      <c r="C3713" s="1198" t="s">
        <v>1219</v>
      </c>
      <c r="D3713" s="965"/>
      <c r="E3713" s="965"/>
      <c r="F3713" s="965"/>
      <c r="G3713" s="965"/>
      <c r="H3713" s="965"/>
      <c r="I3713" s="965"/>
      <c r="J3713" s="965"/>
      <c r="K3713" s="965"/>
      <c r="L3713" s="965"/>
      <c r="M3713" s="966"/>
      <c r="N3713" s="680">
        <f>ROUND(SUM(N3711,N3701,N3691,N3676),0)</f>
        <v>123571</v>
      </c>
      <c r="O3713" s="362"/>
      <c r="Q3713" s="681">
        <f>VLOOKUP(C3665,PROPUESTASASERCO,8,FALSE)</f>
        <v>123571</v>
      </c>
      <c r="R3713" s="682">
        <f>Q3713-N3713</f>
        <v>0</v>
      </c>
    </row>
    <row r="3714" spans="2:18" ht="15.75" customHeight="1">
      <c r="B3714" s="679"/>
      <c r="C3714" s="1129" t="s">
        <v>1220</v>
      </c>
      <c r="D3714" s="926"/>
      <c r="E3714" s="926"/>
      <c r="F3714" s="926"/>
      <c r="G3714" s="926"/>
      <c r="H3714" s="926"/>
      <c r="I3714" s="926"/>
      <c r="J3714" s="926"/>
      <c r="K3714" s="926"/>
      <c r="L3714" s="926"/>
      <c r="M3714" s="926"/>
      <c r="N3714" s="927"/>
      <c r="O3714" s="362"/>
    </row>
    <row r="3715" spans="2:18" ht="15.75" customHeight="1">
      <c r="B3715" s="679"/>
      <c r="C3715" s="920"/>
      <c r="D3715" s="922"/>
      <c r="E3715" s="922"/>
      <c r="F3715" s="922"/>
      <c r="G3715" s="922"/>
      <c r="H3715" s="922"/>
      <c r="I3715" s="922"/>
      <c r="J3715" s="922"/>
      <c r="K3715" s="922"/>
      <c r="L3715" s="922"/>
      <c r="M3715" s="922"/>
      <c r="N3715" s="924"/>
      <c r="O3715" s="362"/>
    </row>
    <row r="3716" spans="2:18" ht="15.75" customHeight="1">
      <c r="B3716" s="679"/>
      <c r="C3716" s="929"/>
      <c r="D3716" s="936"/>
      <c r="E3716" s="936"/>
      <c r="F3716" s="936"/>
      <c r="G3716" s="936"/>
      <c r="H3716" s="936"/>
      <c r="I3716" s="936"/>
      <c r="J3716" s="936"/>
      <c r="K3716" s="936"/>
      <c r="L3716" s="936"/>
      <c r="M3716" s="936"/>
      <c r="N3716" s="938"/>
      <c r="O3716" s="362"/>
    </row>
    <row r="3717" spans="2:18" ht="15.75" customHeight="1">
      <c r="B3717" s="679"/>
      <c r="C3717" s="1201" t="s">
        <v>1221</v>
      </c>
      <c r="D3717" s="1131"/>
      <c r="E3717" s="1131"/>
      <c r="F3717" s="1131"/>
      <c r="G3717" s="1131"/>
      <c r="H3717" s="1132"/>
      <c r="I3717" s="674"/>
      <c r="J3717" s="674"/>
      <c r="K3717" s="674"/>
      <c r="L3717" s="1206" t="s">
        <v>1222</v>
      </c>
      <c r="M3717" s="1000"/>
      <c r="N3717" s="678" t="s">
        <v>1223</v>
      </c>
      <c r="O3717" s="362"/>
    </row>
    <row r="3718" spans="2:18" ht="15.75" customHeight="1">
      <c r="B3718" s="679"/>
      <c r="C3718" s="1128" t="s">
        <v>19</v>
      </c>
      <c r="D3718" s="940"/>
      <c r="E3718" s="940"/>
      <c r="F3718" s="940"/>
      <c r="G3718" s="940"/>
      <c r="H3718" s="940"/>
      <c r="I3718" s="452"/>
      <c r="J3718" s="452"/>
      <c r="K3718" s="452"/>
      <c r="L3718" s="1148">
        <f>+Datos!$E$18</f>
        <v>0.25</v>
      </c>
      <c r="M3718" s="941"/>
      <c r="N3718" s="430">
        <f>+L3718*N3713</f>
        <v>30892.75</v>
      </c>
      <c r="O3718" s="362"/>
    </row>
    <row r="3719" spans="2:18" ht="15.75" customHeight="1">
      <c r="B3719" s="679"/>
      <c r="C3719" s="454" t="s">
        <v>20</v>
      </c>
      <c r="D3719" s="455"/>
      <c r="E3719" s="455"/>
      <c r="F3719" s="455"/>
      <c r="G3719" s="455"/>
      <c r="H3719" s="455"/>
      <c r="I3719" s="452"/>
      <c r="J3719" s="452"/>
      <c r="K3719" s="452"/>
      <c r="L3719" s="1148">
        <f>+Datos!$E$19</f>
        <v>0.01</v>
      </c>
      <c r="M3719" s="941"/>
      <c r="N3719" s="430">
        <f>+L3719*N3713</f>
        <v>1235.71</v>
      </c>
      <c r="O3719" s="362"/>
    </row>
    <row r="3720" spans="2:18" ht="15.75" customHeight="1">
      <c r="B3720" s="679"/>
      <c r="C3720" s="456" t="s">
        <v>21</v>
      </c>
      <c r="D3720" s="457"/>
      <c r="E3720" s="457"/>
      <c r="F3720" s="457"/>
      <c r="G3720" s="457"/>
      <c r="H3720" s="457"/>
      <c r="I3720" s="458"/>
      <c r="J3720" s="458"/>
      <c r="K3720" s="458"/>
      <c r="L3720" s="1148">
        <f>+Datos!$E$20</f>
        <v>0.05</v>
      </c>
      <c r="M3720" s="941"/>
      <c r="N3720" s="430">
        <f>+L3720*N3713</f>
        <v>6178.55</v>
      </c>
      <c r="O3720" s="362"/>
    </row>
    <row r="3721" spans="2:18" ht="15.75" customHeight="1">
      <c r="B3721" s="679"/>
      <c r="C3721" s="1127" t="s">
        <v>1202</v>
      </c>
      <c r="D3721" s="965"/>
      <c r="E3721" s="965"/>
      <c r="F3721" s="965"/>
      <c r="G3721" s="965"/>
      <c r="H3721" s="965"/>
      <c r="I3721" s="965"/>
      <c r="J3721" s="965"/>
      <c r="K3721" s="965"/>
      <c r="L3721" s="965"/>
      <c r="M3721" s="966"/>
      <c r="N3721" s="433">
        <f>+SUM(N3718:N3720)</f>
        <v>38307.01</v>
      </c>
      <c r="O3721" s="362"/>
    </row>
    <row r="3722" spans="2:18" ht="15.75" customHeight="1">
      <c r="B3722" s="679"/>
      <c r="C3722" s="418"/>
      <c r="D3722" s="39"/>
      <c r="E3722" s="39"/>
      <c r="F3722" s="39"/>
      <c r="G3722" s="39"/>
      <c r="H3722" s="39"/>
      <c r="I3722" s="39"/>
      <c r="J3722" s="39"/>
      <c r="K3722" s="39"/>
      <c r="L3722" s="39"/>
      <c r="M3722" s="39"/>
      <c r="N3722" s="40"/>
      <c r="O3722" s="362"/>
    </row>
    <row r="3723" spans="2:18" ht="15.75" customHeight="1">
      <c r="B3723" s="679"/>
      <c r="C3723" s="1198" t="s">
        <v>1224</v>
      </c>
      <c r="D3723" s="965"/>
      <c r="E3723" s="965"/>
      <c r="F3723" s="965"/>
      <c r="G3723" s="965"/>
      <c r="H3723" s="965"/>
      <c r="I3723" s="965"/>
      <c r="J3723" s="965"/>
      <c r="K3723" s="965"/>
      <c r="L3723" s="965"/>
      <c r="M3723" s="966"/>
      <c r="N3723" s="683">
        <f>+ROUND(SUM(N3721,N3713),0)</f>
        <v>161878</v>
      </c>
      <c r="O3723" s="362"/>
    </row>
    <row r="3724" spans="2:18" ht="15.75" customHeight="1">
      <c r="B3724" s="679"/>
      <c r="C3724" s="418"/>
      <c r="D3724" s="39" t="s">
        <v>1225</v>
      </c>
      <c r="E3724" s="39"/>
      <c r="F3724" s="39"/>
      <c r="G3724" s="184"/>
      <c r="H3724" s="184"/>
      <c r="I3724" s="184"/>
      <c r="J3724" s="39" t="s">
        <v>1225</v>
      </c>
      <c r="K3724" s="39"/>
      <c r="L3724" s="39"/>
      <c r="M3724" s="39"/>
      <c r="N3724" s="40"/>
      <c r="O3724" s="362"/>
    </row>
    <row r="3725" spans="2:18" ht="15.75" customHeight="1">
      <c r="B3725" s="679"/>
      <c r="C3725" s="418"/>
      <c r="D3725" s="39" t="s">
        <v>1226</v>
      </c>
      <c r="E3725" s="39"/>
      <c r="F3725" s="39"/>
      <c r="G3725" s="184"/>
      <c r="H3725" s="184"/>
      <c r="I3725" s="184"/>
      <c r="J3725" s="39" t="s">
        <v>1227</v>
      </c>
      <c r="K3725" s="39"/>
      <c r="L3725" s="39"/>
      <c r="M3725" s="39"/>
      <c r="N3725" s="40"/>
      <c r="O3725" s="362"/>
    </row>
    <row r="3726" spans="2:18" ht="15.75" customHeight="1">
      <c r="B3726" s="679"/>
      <c r="C3726" s="404"/>
      <c r="D3726" s="39" t="s">
        <v>1228</v>
      </c>
      <c r="E3726" s="42"/>
      <c r="F3726" s="42"/>
      <c r="G3726" s="184"/>
      <c r="H3726" s="184"/>
      <c r="I3726" s="184"/>
      <c r="J3726" s="39" t="s">
        <v>1228</v>
      </c>
      <c r="K3726" s="42"/>
      <c r="L3726" s="42"/>
      <c r="M3726" s="42"/>
      <c r="N3726" s="43"/>
      <c r="O3726" s="362"/>
    </row>
    <row r="3727" spans="2:18" ht="15.75" customHeight="1">
      <c r="B3727" s="679"/>
      <c r="C3727" s="418"/>
      <c r="D3727" s="39"/>
      <c r="E3727" s="39"/>
      <c r="F3727" s="39"/>
      <c r="G3727" s="39" t="s">
        <v>1229</v>
      </c>
      <c r="H3727" s="39"/>
      <c r="I3727" s="39"/>
      <c r="J3727" s="39"/>
      <c r="K3727" s="39"/>
      <c r="L3727" s="39"/>
      <c r="M3727" s="39"/>
      <c r="N3727" s="40"/>
      <c r="O3727" s="362"/>
    </row>
    <row r="3728" spans="2:18" ht="15.75" customHeight="1">
      <c r="B3728" s="679"/>
      <c r="C3728" s="466"/>
      <c r="D3728" s="467"/>
      <c r="E3728" s="467"/>
      <c r="F3728" s="39"/>
      <c r="G3728" s="39"/>
      <c r="H3728" s="39"/>
      <c r="I3728" s="39"/>
      <c r="J3728" s="1149"/>
      <c r="K3728" s="922"/>
      <c r="L3728" s="922"/>
      <c r="M3728" s="922"/>
      <c r="N3728" s="924"/>
      <c r="O3728" s="362"/>
    </row>
    <row r="3729" spans="1:15" ht="15.75" customHeight="1">
      <c r="B3729" s="679"/>
      <c r="C3729" s="1150"/>
      <c r="D3729" s="936"/>
      <c r="E3729" s="936"/>
      <c r="F3729" s="416"/>
      <c r="G3729" s="416"/>
      <c r="H3729" s="416"/>
      <c r="I3729" s="416"/>
      <c r="J3729" s="936"/>
      <c r="K3729" s="936"/>
      <c r="L3729" s="936"/>
      <c r="M3729" s="936"/>
      <c r="N3729" s="938"/>
      <c r="O3729" s="362"/>
    </row>
    <row r="3730" spans="1:15" ht="15.75" customHeight="1">
      <c r="B3730" s="684"/>
      <c r="C3730" s="685"/>
      <c r="D3730" s="685"/>
      <c r="E3730" s="685"/>
      <c r="F3730" s="685"/>
      <c r="G3730" s="685"/>
      <c r="H3730" s="685"/>
      <c r="I3730" s="685"/>
      <c r="J3730" s="685"/>
      <c r="K3730" s="685"/>
      <c r="L3730" s="685"/>
      <c r="M3730" s="685"/>
      <c r="N3730" s="685"/>
      <c r="O3730" s="686"/>
    </row>
    <row r="3731" spans="1:15" ht="15.75" customHeight="1"/>
    <row r="3732" spans="1:15" ht="15.75" customHeight="1"/>
    <row r="3733" spans="1:15" ht="15.75" customHeight="1"/>
    <row r="3734" spans="1:15" ht="15.75" customHeight="1"/>
    <row r="3735" spans="1:15" ht="15.75" customHeight="1">
      <c r="A3735" s="395" t="s">
        <v>941</v>
      </c>
      <c r="B3735" s="184"/>
      <c r="C3735" s="184"/>
      <c r="D3735" s="184"/>
      <c r="E3735" s="184"/>
      <c r="F3735" s="184"/>
      <c r="G3735" s="184"/>
      <c r="H3735" s="184"/>
      <c r="I3735" s="184"/>
      <c r="J3735" s="184"/>
      <c r="K3735" s="184"/>
      <c r="L3735" s="184"/>
      <c r="M3735" s="184"/>
      <c r="N3735" s="184"/>
    </row>
    <row r="3736" spans="1:15" ht="15.75" customHeight="1">
      <c r="A3736" s="395"/>
      <c r="B3736" s="396"/>
      <c r="C3736" s="397"/>
      <c r="D3736" s="397"/>
      <c r="E3736" s="397"/>
      <c r="F3736" s="397"/>
      <c r="G3736" s="397"/>
      <c r="H3736" s="397"/>
      <c r="I3736" s="397"/>
      <c r="J3736" s="397"/>
      <c r="K3736" s="397"/>
      <c r="L3736" s="397"/>
      <c r="M3736" s="397"/>
      <c r="N3736" s="397"/>
      <c r="O3736" s="667"/>
    </row>
    <row r="3737" spans="1:15" ht="15.75" customHeight="1">
      <c r="A3737" s="395"/>
      <c r="B3737" s="399"/>
      <c r="C3737" s="1124"/>
      <c r="D3737" s="927"/>
      <c r="E3737" s="1207" t="str">
        <f>Datos!$C$9</f>
        <v>CONSEJO SUPERIOR  DE  JUDICATURA– DIRECCIÓN  EJECUTIVA  SECCIONAL  DE ADMINISTRACIÓN JUDICIAL DE BUCARAMANGA</v>
      </c>
      <c r="F3737" s="926"/>
      <c r="G3737" s="926"/>
      <c r="H3737" s="926"/>
      <c r="I3737" s="926"/>
      <c r="J3737" s="926"/>
      <c r="K3737" s="927"/>
      <c r="L3737" s="925" t="s">
        <v>1</v>
      </c>
      <c r="M3737" s="931"/>
      <c r="N3737" s="933">
        <v>1</v>
      </c>
      <c r="O3737" s="362"/>
    </row>
    <row r="3738" spans="1:15" ht="15.75" customHeight="1">
      <c r="A3738" s="395"/>
      <c r="B3738" s="399"/>
      <c r="C3738" s="920"/>
      <c r="D3738" s="924"/>
      <c r="E3738" s="920"/>
      <c r="F3738" s="922"/>
      <c r="G3738" s="922"/>
      <c r="H3738" s="922"/>
      <c r="I3738" s="922"/>
      <c r="J3738" s="922"/>
      <c r="K3738" s="924"/>
      <c r="L3738" s="920"/>
      <c r="M3738" s="932"/>
      <c r="N3738" s="934"/>
      <c r="O3738" s="362"/>
    </row>
    <row r="3739" spans="1:15" ht="15.75" customHeight="1">
      <c r="A3739" s="395"/>
      <c r="B3739" s="399"/>
      <c r="C3739" s="920"/>
      <c r="D3739" s="924"/>
      <c r="E3739" s="919" t="str">
        <f>Datos!$C$13</f>
        <v xml:space="preserve">BGA - 030 - 2026 </v>
      </c>
      <c r="F3739" s="922"/>
      <c r="G3739" s="922"/>
      <c r="H3739" s="922"/>
      <c r="I3739" s="922"/>
      <c r="J3739" s="922"/>
      <c r="K3739" s="922"/>
      <c r="L3739" s="925" t="s">
        <v>29</v>
      </c>
      <c r="M3739" s="926"/>
      <c r="N3739" s="927"/>
      <c r="O3739" s="362"/>
    </row>
    <row r="3740" spans="1:15" ht="15.75" customHeight="1">
      <c r="A3740" s="395"/>
      <c r="B3740" s="399"/>
      <c r="C3740" s="920"/>
      <c r="D3740" s="924"/>
      <c r="E3740"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740" s="922"/>
      <c r="G3740" s="922"/>
      <c r="H3740" s="922"/>
      <c r="I3740" s="922"/>
      <c r="J3740" s="922"/>
      <c r="K3740" s="924"/>
      <c r="L3740" s="919">
        <v>1</v>
      </c>
      <c r="M3740" s="921" t="s">
        <v>30</v>
      </c>
      <c r="N3740" s="923">
        <v>1</v>
      </c>
      <c r="O3740" s="362"/>
    </row>
    <row r="3741" spans="1:15" ht="15.75" customHeight="1">
      <c r="A3741" s="395"/>
      <c r="B3741" s="399"/>
      <c r="C3741" s="920"/>
      <c r="D3741" s="924"/>
      <c r="E3741" s="920"/>
      <c r="F3741" s="922"/>
      <c r="G3741" s="922"/>
      <c r="H3741" s="922"/>
      <c r="I3741" s="922"/>
      <c r="J3741" s="922"/>
      <c r="K3741" s="924"/>
      <c r="L3741" s="920"/>
      <c r="M3741" s="922"/>
      <c r="N3741" s="924"/>
      <c r="O3741" s="362"/>
    </row>
    <row r="3742" spans="1:15" ht="15.75" customHeight="1">
      <c r="A3742" s="395"/>
      <c r="B3742" s="399"/>
      <c r="C3742" s="920"/>
      <c r="D3742" s="924"/>
      <c r="E3742" s="920"/>
      <c r="F3742" s="922"/>
      <c r="G3742" s="922"/>
      <c r="H3742" s="922"/>
      <c r="I3742" s="922"/>
      <c r="J3742" s="922"/>
      <c r="K3742" s="924"/>
      <c r="L3742" s="925" t="s">
        <v>2</v>
      </c>
      <c r="M3742" s="926"/>
      <c r="N3742" s="927"/>
      <c r="O3742" s="362"/>
    </row>
    <row r="3743" spans="1:15" ht="15.75" customHeight="1">
      <c r="A3743" s="395"/>
      <c r="B3743" s="399"/>
      <c r="C3743" s="920"/>
      <c r="D3743" s="924"/>
      <c r="E3743" s="407"/>
      <c r="F3743" s="216"/>
      <c r="G3743" s="216"/>
      <c r="H3743" s="216"/>
      <c r="I3743" s="216"/>
      <c r="J3743" s="216"/>
      <c r="K3743" s="216"/>
      <c r="L3743" s="408" t="s">
        <v>3</v>
      </c>
      <c r="M3743" s="409" t="s">
        <v>4</v>
      </c>
      <c r="N3743" s="410" t="s">
        <v>5</v>
      </c>
      <c r="O3743" s="362"/>
    </row>
    <row r="3744" spans="1:15" ht="15.75" customHeight="1">
      <c r="A3744" s="395"/>
      <c r="B3744" s="399"/>
      <c r="C3744" s="920"/>
      <c r="D3744" s="924"/>
      <c r="E3744" s="1125" t="s">
        <v>1186</v>
      </c>
      <c r="F3744" s="945"/>
      <c r="G3744" s="945"/>
      <c r="H3744" s="945"/>
      <c r="I3744" s="945"/>
      <c r="J3744" s="945"/>
      <c r="K3744" s="945"/>
      <c r="L3744" s="928">
        <f>Datos!$C$7</f>
        <v>19</v>
      </c>
      <c r="M3744" s="935">
        <f>Datos!$D$7</f>
        <v>6</v>
      </c>
      <c r="N3744" s="937">
        <f>Datos!$E$7</f>
        <v>2026</v>
      </c>
      <c r="O3744" s="362"/>
    </row>
    <row r="3745" spans="1:15" ht="15.75" customHeight="1">
      <c r="A3745" s="395"/>
      <c r="B3745" s="399"/>
      <c r="C3745" s="929"/>
      <c r="D3745" s="938"/>
      <c r="E3745" s="929"/>
      <c r="F3745" s="936"/>
      <c r="G3745" s="936"/>
      <c r="H3745" s="936"/>
      <c r="I3745" s="936"/>
      <c r="J3745" s="936"/>
      <c r="K3745" s="936"/>
      <c r="L3745" s="929"/>
      <c r="M3745" s="936"/>
      <c r="N3745" s="938"/>
      <c r="O3745" s="362"/>
    </row>
    <row r="3746" spans="1:15" ht="15.75" customHeight="1">
      <c r="A3746" s="395"/>
      <c r="B3746" s="399"/>
      <c r="C3746" s="404"/>
      <c r="D3746" s="38"/>
      <c r="E3746" s="38"/>
      <c r="F3746" s="38"/>
      <c r="G3746" s="38"/>
      <c r="H3746" s="38"/>
      <c r="I3746" s="38"/>
      <c r="J3746" s="38"/>
      <c r="K3746" s="38"/>
      <c r="L3746" s="39"/>
      <c r="M3746" s="39"/>
      <c r="N3746" s="40"/>
      <c r="O3746" s="362"/>
    </row>
    <row r="3747" spans="1:15" ht="15.75" customHeight="1">
      <c r="A3747" s="395"/>
      <c r="B3747" s="399"/>
      <c r="C3747" s="412" t="s">
        <v>1187</v>
      </c>
      <c r="D3747" s="1199" t="str">
        <f>VLOOKUP(C3752,ListaAct,2,0)</f>
        <v>OBRA CIVIL</v>
      </c>
      <c r="E3747" s="922"/>
      <c r="F3747" s="922"/>
      <c r="G3747" s="922"/>
      <c r="H3747" s="922"/>
      <c r="I3747" s="922"/>
      <c r="J3747" s="922"/>
      <c r="K3747" s="922"/>
      <c r="L3747" s="922"/>
      <c r="M3747" s="1"/>
      <c r="N3747" s="413"/>
      <c r="O3747" s="362"/>
    </row>
    <row r="3748" spans="1:15" ht="15.75" customHeight="1">
      <c r="A3748" s="395"/>
      <c r="B3748" s="399"/>
      <c r="C3748" s="412" t="s">
        <v>1189</v>
      </c>
      <c r="D3748" s="1199" t="str">
        <f>VLOOKUP(C3752,ListaAct,3,0)</f>
        <v>ACTIVIDADES ELECTRICAS, DATOS Y DEMAS REQUERIDAS</v>
      </c>
      <c r="E3748" s="922"/>
      <c r="F3748" s="922"/>
      <c r="G3748" s="922"/>
      <c r="H3748" s="922"/>
      <c r="I3748" s="922"/>
      <c r="J3748" s="922"/>
      <c r="K3748" s="922"/>
      <c r="L3748" s="922"/>
      <c r="M3748" s="1"/>
      <c r="N3748" s="413"/>
      <c r="O3748" s="362"/>
    </row>
    <row r="3749" spans="1:15" ht="15.75" customHeight="1">
      <c r="A3749" s="395"/>
      <c r="B3749" s="399"/>
      <c r="C3749" s="925" t="s">
        <v>1191</v>
      </c>
      <c r="D3749" s="926"/>
      <c r="E3749" s="926"/>
      <c r="F3749" s="926"/>
      <c r="G3749" s="926"/>
      <c r="H3749" s="926"/>
      <c r="I3749" s="926"/>
      <c r="J3749" s="926"/>
      <c r="K3749" s="926"/>
      <c r="L3749" s="926"/>
      <c r="M3749" s="926"/>
      <c r="N3749" s="927"/>
      <c r="O3749" s="362"/>
    </row>
    <row r="3750" spans="1:15" ht="15.75" customHeight="1">
      <c r="A3750" s="395"/>
      <c r="B3750" s="399"/>
      <c r="C3750" s="418"/>
      <c r="D3750" s="39"/>
      <c r="E3750" s="39"/>
      <c r="F3750" s="39"/>
      <c r="G3750" s="39"/>
      <c r="H3750" s="39"/>
      <c r="I3750" s="39"/>
      <c r="J3750" s="39"/>
      <c r="K3750" s="39"/>
      <c r="L3750" s="39"/>
      <c r="M3750" s="39"/>
      <c r="N3750" s="40"/>
      <c r="O3750" s="362"/>
    </row>
    <row r="3751" spans="1:15" ht="15.75" customHeight="1">
      <c r="A3751" s="395"/>
      <c r="B3751" s="399"/>
      <c r="C3751" s="668" t="s">
        <v>965</v>
      </c>
      <c r="D3751" s="1200" t="s">
        <v>17</v>
      </c>
      <c r="E3751" s="1131"/>
      <c r="F3751" s="1131"/>
      <c r="G3751" s="1131"/>
      <c r="H3751" s="1131"/>
      <c r="I3751" s="1131"/>
      <c r="J3751" s="1131"/>
      <c r="K3751" s="1137"/>
      <c r="L3751" s="1201" t="s">
        <v>1192</v>
      </c>
      <c r="M3751" s="1137"/>
      <c r="N3751" s="668" t="s">
        <v>950</v>
      </c>
      <c r="O3751" s="362"/>
    </row>
    <row r="3752" spans="1:15" ht="34.15" customHeight="1">
      <c r="A3752" s="395"/>
      <c r="B3752" s="421"/>
      <c r="C3752" s="669" t="s">
        <v>1109</v>
      </c>
      <c r="D3752" s="1202" t="str">
        <f>IF($C3752&gt;0,(VLOOKUP($C3752,ListaAct,4,FALSE)),"")</f>
        <v>Suministro, Transporte E Instalación De Panel Led Cuadrada 60x60 Cm, 48 W, 6500 K,colgante Incluye Marco Soporte, kit de suspension (guayas), Elementos De Sujeción Y Fijación De La Lámpara</v>
      </c>
      <c r="E3752" s="979"/>
      <c r="F3752" s="979"/>
      <c r="G3752" s="979"/>
      <c r="H3752" s="979"/>
      <c r="I3752" s="979"/>
      <c r="J3752" s="979"/>
      <c r="K3752" s="980"/>
      <c r="L3752" s="1203" t="str">
        <f>IF($C3752&gt;0,(VLOOKUP($C3752,ListaAct,5,FALSE)),"")</f>
        <v>und</v>
      </c>
      <c r="M3752" s="980"/>
      <c r="N3752" s="423">
        <f>IF($C3752&gt;0,(VLOOKUP($C3752,ListaAct,6,FALSE)),"")</f>
        <v>2</v>
      </c>
      <c r="O3752" s="362"/>
    </row>
    <row r="3753" spans="1:15" ht="15.75" customHeight="1">
      <c r="A3753" s="395"/>
      <c r="B3753" s="399"/>
      <c r="C3753" s="1129" t="s">
        <v>1195</v>
      </c>
      <c r="D3753" s="926"/>
      <c r="E3753" s="926"/>
      <c r="F3753" s="926"/>
      <c r="G3753" s="926"/>
      <c r="H3753" s="926"/>
      <c r="I3753" s="926"/>
      <c r="J3753" s="926"/>
      <c r="K3753" s="926"/>
      <c r="L3753" s="926"/>
      <c r="M3753" s="926"/>
      <c r="N3753" s="927"/>
      <c r="O3753" s="362"/>
    </row>
    <row r="3754" spans="1:15" ht="15.75" customHeight="1">
      <c r="A3754" s="395"/>
      <c r="B3754" s="399"/>
      <c r="C3754" s="920"/>
      <c r="D3754" s="922"/>
      <c r="E3754" s="922"/>
      <c r="F3754" s="922"/>
      <c r="G3754" s="922"/>
      <c r="H3754" s="922"/>
      <c r="I3754" s="922"/>
      <c r="J3754" s="922"/>
      <c r="K3754" s="922"/>
      <c r="L3754" s="922"/>
      <c r="M3754" s="922"/>
      <c r="N3754" s="924"/>
      <c r="O3754" s="362"/>
    </row>
    <row r="3755" spans="1:15" ht="15.75" customHeight="1">
      <c r="A3755" s="395"/>
      <c r="B3755" s="399"/>
      <c r="C3755" s="929"/>
      <c r="D3755" s="936"/>
      <c r="E3755" s="936"/>
      <c r="F3755" s="936"/>
      <c r="G3755" s="936"/>
      <c r="H3755" s="936"/>
      <c r="I3755" s="936"/>
      <c r="J3755" s="936"/>
      <c r="K3755" s="936"/>
      <c r="L3755" s="936"/>
      <c r="M3755" s="936"/>
      <c r="N3755" s="938"/>
      <c r="O3755" s="362"/>
    </row>
    <row r="3756" spans="1:15" ht="15.75" customHeight="1">
      <c r="A3756" s="395"/>
      <c r="B3756" s="399"/>
      <c r="C3756" s="1201" t="s">
        <v>17</v>
      </c>
      <c r="D3756" s="1131"/>
      <c r="E3756" s="1131"/>
      <c r="F3756" s="1000"/>
      <c r="G3756" s="1204" t="s">
        <v>1196</v>
      </c>
      <c r="H3756" s="1000"/>
      <c r="I3756" s="1204" t="s">
        <v>1197</v>
      </c>
      <c r="J3756" s="1000"/>
      <c r="K3756" s="670" t="s">
        <v>1213</v>
      </c>
      <c r="L3756" s="1204" t="s">
        <v>1199</v>
      </c>
      <c r="M3756" s="1000"/>
      <c r="N3756" s="671" t="s">
        <v>1200</v>
      </c>
      <c r="O3756" s="362"/>
    </row>
    <row r="3757" spans="1:15" ht="15.75" customHeight="1">
      <c r="A3757" s="395"/>
      <c r="B3757" s="399"/>
      <c r="C3757" s="1128" t="s">
        <v>1201</v>
      </c>
      <c r="D3757" s="940"/>
      <c r="E3757" s="940"/>
      <c r="F3757" s="941"/>
      <c r="G3757" s="1142"/>
      <c r="H3757" s="941"/>
      <c r="I3757" s="1142"/>
      <c r="J3757" s="941"/>
      <c r="K3757" s="429"/>
      <c r="L3757" s="1143">
        <v>0.05</v>
      </c>
      <c r="M3757" s="941"/>
      <c r="N3757" s="430">
        <f>+L3757*N3796</f>
        <v>195.99862567743097</v>
      </c>
      <c r="O3757" s="362"/>
    </row>
    <row r="3758" spans="1:15" ht="15.75" customHeight="1">
      <c r="A3758" s="395" t="str">
        <f t="array" ref="A3758">IF(C3758&lt;&gt;0,INDEX(CodEquipos,MATCH(C3758,Equipos,0),),)</f>
        <v>EQ-30</v>
      </c>
      <c r="B3758" s="399"/>
      <c r="C3758" s="1128" t="s">
        <v>2596</v>
      </c>
      <c r="D3758" s="940"/>
      <c r="E3758" s="940"/>
      <c r="F3758" s="941"/>
      <c r="G3758" s="1142"/>
      <c r="H3758" s="941"/>
      <c r="I3758" s="1142"/>
      <c r="J3758" s="941"/>
      <c r="K3758" s="432">
        <f>IF($A3758&gt;0,(VLOOKUP($A3758,TablaEquipos,7,FALSE)),"")</f>
        <v>750</v>
      </c>
      <c r="L3758" s="1146">
        <v>0.52500000000000002</v>
      </c>
      <c r="M3758" s="941"/>
      <c r="N3758" s="430">
        <f>IF(L3758&gt;0,K3758*L3758,"")</f>
        <v>393.75</v>
      </c>
      <c r="O3758" s="362"/>
    </row>
    <row r="3759" spans="1:15" ht="15.75" customHeight="1">
      <c r="A3759" s="395">
        <f t="array" ref="A3759">IF(C3759&lt;&gt;0,INDEX(CodEquipos,MATCH(C3759,Equipos,0),),)</f>
        <v>0</v>
      </c>
      <c r="B3759" s="399"/>
      <c r="C3759" s="1128"/>
      <c r="D3759" s="940"/>
      <c r="E3759" s="940"/>
      <c r="F3759" s="941"/>
      <c r="G3759" s="1142"/>
      <c r="H3759" s="941"/>
      <c r="I3759" s="1142"/>
      <c r="J3759" s="941"/>
      <c r="K3759" s="432" t="str">
        <f>IF($A3759&gt;0,(VLOOKUP($A3759,TablaEquipos,7,FALSE)),"")</f>
        <v/>
      </c>
      <c r="L3759" s="1146"/>
      <c r="M3759" s="941"/>
      <c r="N3759" s="430" t="str">
        <f t="shared" ref="N3759:N3762" si="277">IF(L3759&gt;0,K3759/L3759,"")</f>
        <v/>
      </c>
      <c r="O3759" s="362"/>
    </row>
    <row r="3760" spans="1:15" ht="15.75" customHeight="1">
      <c r="A3760" s="395">
        <f t="array" ref="A3760">IF(C3760&lt;&gt;0,INDEX(CodEquipos,MATCH(C3760,Equipos,0),),)</f>
        <v>0</v>
      </c>
      <c r="B3760" s="399"/>
      <c r="C3760" s="1128"/>
      <c r="D3760" s="940"/>
      <c r="E3760" s="940"/>
      <c r="F3760" s="941"/>
      <c r="G3760" s="1142"/>
      <c r="H3760" s="941"/>
      <c r="I3760" s="1142"/>
      <c r="J3760" s="941"/>
      <c r="K3760" s="432" t="str">
        <f>IF($A3760&gt;0,(VLOOKUP($A3760,TablaEquipos,7,FALSE)),"")</f>
        <v/>
      </c>
      <c r="L3760" s="1146"/>
      <c r="M3760" s="941"/>
      <c r="N3760" s="430" t="str">
        <f t="shared" si="277"/>
        <v/>
      </c>
      <c r="O3760" s="362"/>
    </row>
    <row r="3761" spans="1:15" ht="15.75" customHeight="1">
      <c r="A3761" s="395">
        <f t="array" ref="A3761">IF(C3761&lt;&gt;0,INDEX(CodEquipos,MATCH(C3761,Equipos,0),),)</f>
        <v>0</v>
      </c>
      <c r="B3761" s="399"/>
      <c r="C3761" s="1128"/>
      <c r="D3761" s="940"/>
      <c r="E3761" s="940"/>
      <c r="F3761" s="941"/>
      <c r="G3761" s="1142"/>
      <c r="H3761" s="941"/>
      <c r="I3761" s="1142"/>
      <c r="J3761" s="941"/>
      <c r="K3761" s="432" t="str">
        <f>IF($A3761&gt;0,(VLOOKUP($A3761,TablaEquipos,7,FALSE)),"")</f>
        <v/>
      </c>
      <c r="L3761" s="1141"/>
      <c r="M3761" s="941"/>
      <c r="N3761" s="430" t="str">
        <f t="shared" si="277"/>
        <v/>
      </c>
      <c r="O3761" s="362"/>
    </row>
    <row r="3762" spans="1:15" ht="15.75" customHeight="1">
      <c r="A3762" s="395">
        <f t="array" ref="A3762">IF(C3762&lt;&gt;0,INDEX(CodEquipos,MATCH(C3762,Equipos,0),),)</f>
        <v>0</v>
      </c>
      <c r="B3762" s="399"/>
      <c r="C3762" s="1128"/>
      <c r="D3762" s="940"/>
      <c r="E3762" s="940"/>
      <c r="F3762" s="941"/>
      <c r="G3762" s="1144"/>
      <c r="H3762" s="1145"/>
      <c r="I3762" s="1144"/>
      <c r="J3762" s="1145"/>
      <c r="K3762" s="432" t="str">
        <f>IF($A3762&gt;0,(VLOOKUP($A3762,TablaEquipos,7,FALSE)),"")</f>
        <v/>
      </c>
      <c r="L3762" s="1208"/>
      <c r="M3762" s="1145"/>
      <c r="N3762" s="430" t="str">
        <f t="shared" si="277"/>
        <v/>
      </c>
      <c r="O3762" s="362"/>
    </row>
    <row r="3763" spans="1:15" ht="15.75" customHeight="1">
      <c r="A3763" s="395"/>
      <c r="B3763" s="399"/>
      <c r="C3763" s="1127" t="s">
        <v>1202</v>
      </c>
      <c r="D3763" s="965"/>
      <c r="E3763" s="965"/>
      <c r="F3763" s="965"/>
      <c r="G3763" s="965"/>
      <c r="H3763" s="965"/>
      <c r="I3763" s="965"/>
      <c r="J3763" s="965"/>
      <c r="K3763" s="965"/>
      <c r="L3763" s="965"/>
      <c r="M3763" s="966"/>
      <c r="N3763" s="433">
        <f>+SUM(N3757:N3762)</f>
        <v>589.74862567743094</v>
      </c>
      <c r="O3763" s="362"/>
    </row>
    <row r="3764" spans="1:15" ht="15.75" customHeight="1">
      <c r="A3764" s="395"/>
      <c r="B3764" s="399"/>
      <c r="C3764" s="1129" t="s">
        <v>1203</v>
      </c>
      <c r="D3764" s="926"/>
      <c r="E3764" s="926"/>
      <c r="F3764" s="926"/>
      <c r="G3764" s="926"/>
      <c r="H3764" s="926"/>
      <c r="I3764" s="926"/>
      <c r="J3764" s="926"/>
      <c r="K3764" s="926"/>
      <c r="L3764" s="926"/>
      <c r="M3764" s="926"/>
      <c r="N3764" s="927"/>
      <c r="O3764" s="362"/>
    </row>
    <row r="3765" spans="1:15" ht="15.75" customHeight="1">
      <c r="A3765" s="395"/>
      <c r="B3765" s="399"/>
      <c r="C3765" s="920"/>
      <c r="D3765" s="922"/>
      <c r="E3765" s="922"/>
      <c r="F3765" s="922"/>
      <c r="G3765" s="922"/>
      <c r="H3765" s="922"/>
      <c r="I3765" s="922"/>
      <c r="J3765" s="922"/>
      <c r="K3765" s="922"/>
      <c r="L3765" s="922"/>
      <c r="M3765" s="922"/>
      <c r="N3765" s="924"/>
      <c r="O3765" s="362"/>
    </row>
    <row r="3766" spans="1:15" ht="15.75" customHeight="1">
      <c r="A3766" s="395"/>
      <c r="B3766" s="399"/>
      <c r="C3766" s="929"/>
      <c r="D3766" s="936"/>
      <c r="E3766" s="936"/>
      <c r="F3766" s="936"/>
      <c r="G3766" s="936"/>
      <c r="H3766" s="936"/>
      <c r="I3766" s="936"/>
      <c r="J3766" s="936"/>
      <c r="K3766" s="936"/>
      <c r="L3766" s="936"/>
      <c r="M3766" s="936"/>
      <c r="N3766" s="938"/>
      <c r="O3766" s="362"/>
    </row>
    <row r="3767" spans="1:15" ht="15.75" customHeight="1">
      <c r="A3767" s="395"/>
      <c r="B3767" s="399"/>
      <c r="C3767" s="1201" t="s">
        <v>17</v>
      </c>
      <c r="D3767" s="1131"/>
      <c r="E3767" s="1131"/>
      <c r="F3767" s="1131"/>
      <c r="G3767" s="1131"/>
      <c r="H3767" s="1131"/>
      <c r="I3767" s="1000"/>
      <c r="J3767" s="672" t="s">
        <v>1192</v>
      </c>
      <c r="K3767" s="670" t="s">
        <v>950</v>
      </c>
      <c r="L3767" s="1204" t="s">
        <v>1204</v>
      </c>
      <c r="M3767" s="1000"/>
      <c r="N3767" s="671" t="s">
        <v>1200</v>
      </c>
      <c r="O3767" s="362"/>
    </row>
    <row r="3768" spans="1:15" ht="15.75" customHeight="1">
      <c r="A3768" s="395" t="str">
        <f t="array" ref="A3768">IF(C3768&lt;&gt;0,INDEX(CodMat,MATCH(C3768,Materiales,0),),)</f>
        <v>MAT_ELE-70</v>
      </c>
      <c r="B3768" s="399"/>
      <c r="C3768" s="1128" t="s">
        <v>2612</v>
      </c>
      <c r="D3768" s="940"/>
      <c r="E3768" s="940"/>
      <c r="F3768" s="940"/>
      <c r="G3768" s="940"/>
      <c r="H3768" s="940"/>
      <c r="I3768" s="941"/>
      <c r="J3768" s="435" t="str">
        <f t="shared" ref="J3768:J3775" si="278">IF($A3768&gt;0,(VLOOKUP($A3768,TablaInsumos,5,FALSE)),"")</f>
        <v>UND</v>
      </c>
      <c r="K3768" s="673">
        <v>1</v>
      </c>
      <c r="L3768" s="1134">
        <f t="shared" ref="L3768:L3775" si="279">IF($A3768&gt;0,(VLOOKUP($A3768,TablaInsumos,7,FALSE)),"")</f>
        <v>109890</v>
      </c>
      <c r="M3768" s="941"/>
      <c r="N3768" s="430">
        <f t="shared" ref="N3768:N3775" si="280">IF(K3768&gt;0,L3768*K3768,"")</f>
        <v>109890</v>
      </c>
      <c r="O3768" s="362"/>
    </row>
    <row r="3769" spans="1:15" ht="15.75" customHeight="1">
      <c r="A3769" s="395" t="str">
        <f t="array" ref="A3769">IF(C3769&lt;&gt;0,INDEX(CodMat,MATCH(C3769,Materiales,0),),)</f>
        <v>MAT_ELE-112</v>
      </c>
      <c r="B3769" s="399"/>
      <c r="C3769" s="1128" t="s">
        <v>2611</v>
      </c>
      <c r="D3769" s="940"/>
      <c r="E3769" s="940"/>
      <c r="F3769" s="940"/>
      <c r="G3769" s="940"/>
      <c r="H3769" s="940"/>
      <c r="I3769" s="941"/>
      <c r="J3769" s="435" t="str">
        <f t="shared" si="278"/>
        <v>UND</v>
      </c>
      <c r="K3769" s="673">
        <v>2</v>
      </c>
      <c r="L3769" s="1134">
        <f t="shared" si="279"/>
        <v>1050</v>
      </c>
      <c r="M3769" s="941"/>
      <c r="N3769" s="430">
        <f t="shared" si="280"/>
        <v>2100</v>
      </c>
      <c r="O3769" s="362"/>
    </row>
    <row r="3770" spans="1:15" ht="15.75" customHeight="1">
      <c r="A3770" s="395">
        <f t="array" ref="A3770">IF(C3770&lt;&gt;0,INDEX(CodMat,MATCH(C3770,Materiales,0),),)</f>
        <v>0</v>
      </c>
      <c r="B3770" s="399"/>
      <c r="C3770" s="1128"/>
      <c r="D3770" s="940"/>
      <c r="E3770" s="940"/>
      <c r="F3770" s="940"/>
      <c r="G3770" s="940"/>
      <c r="H3770" s="940"/>
      <c r="I3770" s="941"/>
      <c r="J3770" s="435" t="str">
        <f t="shared" si="278"/>
        <v/>
      </c>
      <c r="K3770" s="673"/>
      <c r="L3770" s="1134" t="str">
        <f t="shared" si="279"/>
        <v/>
      </c>
      <c r="M3770" s="941"/>
      <c r="N3770" s="430" t="str">
        <f t="shared" si="280"/>
        <v/>
      </c>
      <c r="O3770" s="362"/>
    </row>
    <row r="3771" spans="1:15" ht="15.75" customHeight="1">
      <c r="A3771" s="395">
        <f t="array" ref="A3771">IF(C3771&lt;&gt;0,INDEX(CodMat,MATCH(C3771,Materiales,0),),)</f>
        <v>0</v>
      </c>
      <c r="B3771" s="399"/>
      <c r="C3771" s="1128"/>
      <c r="D3771" s="940"/>
      <c r="E3771" s="940"/>
      <c r="F3771" s="940"/>
      <c r="G3771" s="940"/>
      <c r="H3771" s="940"/>
      <c r="I3771" s="941"/>
      <c r="J3771" s="435" t="str">
        <f t="shared" si="278"/>
        <v/>
      </c>
      <c r="K3771" s="673"/>
      <c r="L3771" s="1134" t="str">
        <f t="shared" si="279"/>
        <v/>
      </c>
      <c r="M3771" s="941"/>
      <c r="N3771" s="430" t="str">
        <f t="shared" si="280"/>
        <v/>
      </c>
      <c r="O3771" s="362"/>
    </row>
    <row r="3772" spans="1:15" ht="15.75" customHeight="1">
      <c r="A3772" s="395">
        <f t="array" ref="A3772">IF(C3772&lt;&gt;0,INDEX(CodMat,MATCH(C3772,Materiales,0),),)</f>
        <v>0</v>
      </c>
      <c r="B3772" s="399"/>
      <c r="C3772" s="1128"/>
      <c r="D3772" s="940"/>
      <c r="E3772" s="940"/>
      <c r="F3772" s="940"/>
      <c r="G3772" s="940"/>
      <c r="H3772" s="940"/>
      <c r="I3772" s="941"/>
      <c r="J3772" s="435" t="str">
        <f t="shared" si="278"/>
        <v/>
      </c>
      <c r="K3772" s="436"/>
      <c r="L3772" s="1134" t="str">
        <f t="shared" si="279"/>
        <v/>
      </c>
      <c r="M3772" s="941"/>
      <c r="N3772" s="430" t="str">
        <f t="shared" si="280"/>
        <v/>
      </c>
      <c r="O3772" s="362"/>
    </row>
    <row r="3773" spans="1:15" ht="15.75" customHeight="1">
      <c r="A3773" s="395">
        <f t="array" ref="A3773">IF(C3773&lt;&gt;0,INDEX(CodMat,MATCH(C3773,Materiales,0),),)</f>
        <v>0</v>
      </c>
      <c r="B3773" s="399"/>
      <c r="C3773" s="1128"/>
      <c r="D3773" s="940"/>
      <c r="E3773" s="940"/>
      <c r="F3773" s="940"/>
      <c r="G3773" s="940"/>
      <c r="H3773" s="940"/>
      <c r="I3773" s="941"/>
      <c r="J3773" s="435" t="str">
        <f t="shared" si="278"/>
        <v/>
      </c>
      <c r="K3773" s="436"/>
      <c r="L3773" s="1134" t="str">
        <f t="shared" si="279"/>
        <v/>
      </c>
      <c r="M3773" s="941"/>
      <c r="N3773" s="430" t="str">
        <f t="shared" si="280"/>
        <v/>
      </c>
      <c r="O3773" s="362"/>
    </row>
    <row r="3774" spans="1:15" ht="15.75" customHeight="1">
      <c r="A3774" s="395">
        <f t="array" ref="A3774">IF(C3774&lt;&gt;0,INDEX(CodMat,MATCH(C3774,Materiales,0),),)</f>
        <v>0</v>
      </c>
      <c r="B3774" s="399"/>
      <c r="C3774" s="1128"/>
      <c r="D3774" s="940"/>
      <c r="E3774" s="940"/>
      <c r="F3774" s="940"/>
      <c r="G3774" s="940"/>
      <c r="H3774" s="940"/>
      <c r="I3774" s="941"/>
      <c r="J3774" s="435" t="str">
        <f t="shared" si="278"/>
        <v/>
      </c>
      <c r="K3774" s="436"/>
      <c r="L3774" s="1134" t="str">
        <f t="shared" si="279"/>
        <v/>
      </c>
      <c r="M3774" s="941"/>
      <c r="N3774" s="430" t="str">
        <f t="shared" si="280"/>
        <v/>
      </c>
      <c r="O3774" s="362"/>
    </row>
    <row r="3775" spans="1:15" ht="15.75" customHeight="1">
      <c r="A3775" s="395">
        <f t="array" ref="A3775">IF(C3775&lt;&gt;0,INDEX(CodMat,MATCH(C3775,Materiales,0),),)</f>
        <v>0</v>
      </c>
      <c r="B3775" s="399"/>
      <c r="C3775" s="1128"/>
      <c r="D3775" s="940"/>
      <c r="E3775" s="940"/>
      <c r="F3775" s="940"/>
      <c r="G3775" s="940"/>
      <c r="H3775" s="940"/>
      <c r="I3775" s="941"/>
      <c r="J3775" s="435" t="str">
        <f t="shared" si="278"/>
        <v/>
      </c>
      <c r="K3775" s="436"/>
      <c r="L3775" s="1205" t="str">
        <f t="shared" si="279"/>
        <v/>
      </c>
      <c r="M3775" s="1145"/>
      <c r="N3775" s="430" t="str">
        <f t="shared" si="280"/>
        <v/>
      </c>
      <c r="O3775" s="362"/>
    </row>
    <row r="3776" spans="1:15" ht="15.75" customHeight="1">
      <c r="A3776" s="395"/>
      <c r="B3776" s="399"/>
      <c r="C3776" s="1127" t="s">
        <v>1202</v>
      </c>
      <c r="D3776" s="965"/>
      <c r="E3776" s="965"/>
      <c r="F3776" s="965"/>
      <c r="G3776" s="965"/>
      <c r="H3776" s="965"/>
      <c r="I3776" s="965"/>
      <c r="J3776" s="965"/>
      <c r="K3776" s="965"/>
      <c r="L3776" s="965"/>
      <c r="M3776" s="966"/>
      <c r="N3776" s="433">
        <f>+SUM(N3768:N3775)</f>
        <v>111990</v>
      </c>
      <c r="O3776" s="362"/>
    </row>
    <row r="3777" spans="1:15" ht="15.75" customHeight="1">
      <c r="A3777" s="395"/>
      <c r="B3777" s="399"/>
      <c r="C3777" s="1129" t="s">
        <v>1208</v>
      </c>
      <c r="D3777" s="926"/>
      <c r="E3777" s="926"/>
      <c r="F3777" s="926"/>
      <c r="G3777" s="926"/>
      <c r="H3777" s="926"/>
      <c r="I3777" s="926"/>
      <c r="J3777" s="926"/>
      <c r="K3777" s="926"/>
      <c r="L3777" s="926"/>
      <c r="M3777" s="926"/>
      <c r="N3777" s="927"/>
      <c r="O3777" s="362"/>
    </row>
    <row r="3778" spans="1:15" ht="15.75" customHeight="1">
      <c r="A3778" s="395"/>
      <c r="B3778" s="399"/>
      <c r="C3778" s="920"/>
      <c r="D3778" s="922"/>
      <c r="E3778" s="922"/>
      <c r="F3778" s="922"/>
      <c r="G3778" s="922"/>
      <c r="H3778" s="922"/>
      <c r="I3778" s="922"/>
      <c r="J3778" s="922"/>
      <c r="K3778" s="922"/>
      <c r="L3778" s="922"/>
      <c r="M3778" s="922"/>
      <c r="N3778" s="924"/>
      <c r="O3778" s="362"/>
    </row>
    <row r="3779" spans="1:15" ht="15.75" customHeight="1">
      <c r="A3779" s="395"/>
      <c r="B3779" s="399"/>
      <c r="C3779" s="929"/>
      <c r="D3779" s="936"/>
      <c r="E3779" s="936"/>
      <c r="F3779" s="936"/>
      <c r="G3779" s="936"/>
      <c r="H3779" s="936"/>
      <c r="I3779" s="936"/>
      <c r="J3779" s="936"/>
      <c r="K3779" s="936"/>
      <c r="L3779" s="936"/>
      <c r="M3779" s="936"/>
      <c r="N3779" s="938"/>
      <c r="O3779" s="362"/>
    </row>
    <row r="3780" spans="1:15" ht="15.75" customHeight="1">
      <c r="A3780" s="395"/>
      <c r="B3780" s="399"/>
      <c r="C3780" s="1201" t="s">
        <v>1209</v>
      </c>
      <c r="D3780" s="1131"/>
      <c r="E3780" s="1131"/>
      <c r="F3780" s="1131"/>
      <c r="G3780" s="1131"/>
      <c r="H3780" s="1000"/>
      <c r="I3780" s="670" t="s">
        <v>1210</v>
      </c>
      <c r="J3780" s="674" t="s">
        <v>1211</v>
      </c>
      <c r="K3780" s="675" t="s">
        <v>2318</v>
      </c>
      <c r="L3780" s="1204" t="s">
        <v>1213</v>
      </c>
      <c r="M3780" s="1000"/>
      <c r="N3780" s="671" t="s">
        <v>1200</v>
      </c>
      <c r="O3780" s="362"/>
    </row>
    <row r="3781" spans="1:15" ht="15.75" customHeight="1">
      <c r="A3781" s="395">
        <f t="array" ref="A3781">IF(C3781&lt;&gt;0,INDEX(CodTransporte,MATCH(C3781,Transporte,0),),)</f>
        <v>0</v>
      </c>
      <c r="B3781" s="399"/>
      <c r="C3781" s="1128"/>
      <c r="D3781" s="940"/>
      <c r="E3781" s="940"/>
      <c r="F3781" s="940"/>
      <c r="G3781" s="940"/>
      <c r="H3781" s="940"/>
      <c r="I3781" s="440"/>
      <c r="J3781" s="441" t="str">
        <f>IF($A3781&gt;0,(VLOOKUP($A3781,TablaTransporte,6,FALSE)),"")</f>
        <v/>
      </c>
      <c r="K3781" s="442" t="str">
        <f>IF($A3781&gt;0,(VLOOKUP($A3781,TablaTransporte,5,FALSE)),"")</f>
        <v/>
      </c>
      <c r="L3781" s="1134" t="str">
        <f>IF($A3781&gt;0,(VLOOKUP($A3781,TablaTransporte,7,FALSE)),"")</f>
        <v/>
      </c>
      <c r="M3781" s="941"/>
      <c r="N3781" s="430" t="str">
        <f t="shared" ref="N3781:N3785" si="281">IF(I3781&gt;0,J3781*L3781*I3781,"")</f>
        <v/>
      </c>
      <c r="O3781" s="362"/>
    </row>
    <row r="3782" spans="1:15" ht="15.75" customHeight="1">
      <c r="A3782" s="395">
        <f t="array" ref="A3782">IF(C3782&lt;&gt;0,INDEX(CodTransporte,MATCH(C3782,Transporte,0),),)</f>
        <v>0</v>
      </c>
      <c r="B3782" s="399"/>
      <c r="C3782" s="1128"/>
      <c r="D3782" s="940"/>
      <c r="E3782" s="940"/>
      <c r="F3782" s="940"/>
      <c r="G3782" s="940"/>
      <c r="H3782" s="940"/>
      <c r="I3782" s="440"/>
      <c r="J3782" s="441" t="str">
        <f>IF($A3782&gt;0,(VLOOKUP($A3782,TablaTransporte,6,FALSE)),"")</f>
        <v/>
      </c>
      <c r="K3782" s="442" t="str">
        <f>IF($A3782&gt;0,(VLOOKUP($A3782,TablaTransporte,5,FALSE)),"")</f>
        <v/>
      </c>
      <c r="L3782" s="1134" t="str">
        <f>IF($A3782&gt;0,(VLOOKUP($A3782,TablaTransporte,7,FALSE)),"")</f>
        <v/>
      </c>
      <c r="M3782" s="941"/>
      <c r="N3782" s="430" t="str">
        <f t="shared" si="281"/>
        <v/>
      </c>
      <c r="O3782" s="362"/>
    </row>
    <row r="3783" spans="1:15" ht="15.75" customHeight="1">
      <c r="A3783" s="395">
        <f t="array" ref="A3783">IF(C3783&lt;&gt;0,INDEX(CodTransporte,MATCH(C3783,Transporte,0),),)</f>
        <v>0</v>
      </c>
      <c r="B3783" s="399"/>
      <c r="C3783" s="1128"/>
      <c r="D3783" s="940"/>
      <c r="E3783" s="940"/>
      <c r="F3783" s="940"/>
      <c r="G3783" s="940"/>
      <c r="H3783" s="940"/>
      <c r="I3783" s="440"/>
      <c r="J3783" s="441" t="str">
        <f>IF($A3783&gt;0,(VLOOKUP($A3783,TablaTransporte,6,FALSE)),"")</f>
        <v/>
      </c>
      <c r="K3783" s="442" t="str">
        <f>IF($A3783&gt;0,(VLOOKUP($A3783,TablaTransporte,5,FALSE)),"")</f>
        <v/>
      </c>
      <c r="L3783" s="1134" t="str">
        <f>IF($A3783&gt;0,(VLOOKUP($A3783,TablaTransporte,7,FALSE)),"")</f>
        <v/>
      </c>
      <c r="M3783" s="941"/>
      <c r="N3783" s="430" t="str">
        <f t="shared" si="281"/>
        <v/>
      </c>
      <c r="O3783" s="362"/>
    </row>
    <row r="3784" spans="1:15" ht="15.75" customHeight="1">
      <c r="A3784" s="395">
        <f t="array" ref="A3784">IF(C3784&lt;&gt;0,INDEX(CodTransporte,MATCH(C3784,Transporte,0),),)</f>
        <v>0</v>
      </c>
      <c r="B3784" s="399"/>
      <c r="C3784" s="1128"/>
      <c r="D3784" s="940"/>
      <c r="E3784" s="940"/>
      <c r="F3784" s="940"/>
      <c r="G3784" s="940"/>
      <c r="H3784" s="940"/>
      <c r="I3784" s="440"/>
      <c r="J3784" s="441" t="str">
        <f>IF($A3784&gt;0,(VLOOKUP($A3784,TablaTransporte,6,FALSE)),"")</f>
        <v/>
      </c>
      <c r="K3784" s="442" t="str">
        <f>IF($A3784&gt;0,(VLOOKUP($A3784,TablaTransporte,5,FALSE)),"")</f>
        <v/>
      </c>
      <c r="L3784" s="1134" t="str">
        <f>IF($A3784&gt;0,(VLOOKUP($A3784,TablaTransporte,7,FALSE)),"")</f>
        <v/>
      </c>
      <c r="M3784" s="941"/>
      <c r="N3784" s="430" t="str">
        <f t="shared" si="281"/>
        <v/>
      </c>
      <c r="O3784" s="362"/>
    </row>
    <row r="3785" spans="1:15" ht="15.75" customHeight="1">
      <c r="A3785" s="395">
        <f t="array" ref="A3785">IF(C3785&lt;&gt;0,INDEX(CodTransporte,MATCH(C3785,Transporte,0),),)</f>
        <v>0</v>
      </c>
      <c r="B3785" s="399"/>
      <c r="C3785" s="1128"/>
      <c r="D3785" s="940"/>
      <c r="E3785" s="940"/>
      <c r="F3785" s="940"/>
      <c r="G3785" s="940"/>
      <c r="H3785" s="940"/>
      <c r="I3785" s="440"/>
      <c r="J3785" s="441" t="str">
        <f>IF($A3785&gt;0,(VLOOKUP($A3785,TablaTransporte,6,FALSE)),"")</f>
        <v/>
      </c>
      <c r="K3785" s="442" t="str">
        <f>IF($A3785&gt;0,(VLOOKUP($A3785,TablaTransporte,5,FALSE)),"")</f>
        <v/>
      </c>
      <c r="L3785" s="1205" t="str">
        <f>IF($A3785&gt;0,(VLOOKUP($A3785,TablaTransporte,7,FALSE)),"")</f>
        <v/>
      </c>
      <c r="M3785" s="1145"/>
      <c r="N3785" s="430" t="str">
        <f t="shared" si="281"/>
        <v/>
      </c>
      <c r="O3785" s="362"/>
    </row>
    <row r="3786" spans="1:15" ht="15.75" customHeight="1">
      <c r="A3786" s="395"/>
      <c r="B3786" s="399"/>
      <c r="C3786" s="1127" t="s">
        <v>1202</v>
      </c>
      <c r="D3786" s="965"/>
      <c r="E3786" s="965"/>
      <c r="F3786" s="965"/>
      <c r="G3786" s="965"/>
      <c r="H3786" s="965"/>
      <c r="I3786" s="965"/>
      <c r="J3786" s="965"/>
      <c r="K3786" s="965"/>
      <c r="L3786" s="965"/>
      <c r="M3786" s="966"/>
      <c r="N3786" s="433">
        <f>+SUM(N3781:N3785)</f>
        <v>0</v>
      </c>
      <c r="O3786" s="362"/>
    </row>
    <row r="3787" spans="1:15" ht="15.75" customHeight="1">
      <c r="A3787" s="395"/>
      <c r="B3787" s="399"/>
      <c r="C3787" s="1129" t="s">
        <v>1214</v>
      </c>
      <c r="D3787" s="926"/>
      <c r="E3787" s="926"/>
      <c r="F3787" s="926"/>
      <c r="G3787" s="926"/>
      <c r="H3787" s="926"/>
      <c r="I3787" s="926"/>
      <c r="J3787" s="926"/>
      <c r="K3787" s="926"/>
      <c r="L3787" s="926"/>
      <c r="M3787" s="926"/>
      <c r="N3787" s="927"/>
      <c r="O3787" s="362"/>
    </row>
    <row r="3788" spans="1:15" ht="15.75" customHeight="1">
      <c r="A3788" s="395"/>
      <c r="B3788" s="399"/>
      <c r="C3788" s="920"/>
      <c r="D3788" s="922"/>
      <c r="E3788" s="922"/>
      <c r="F3788" s="922"/>
      <c r="G3788" s="922"/>
      <c r="H3788" s="922"/>
      <c r="I3788" s="922"/>
      <c r="J3788" s="922"/>
      <c r="K3788" s="922"/>
      <c r="L3788" s="922"/>
      <c r="M3788" s="922"/>
      <c r="N3788" s="924"/>
      <c r="O3788" s="362"/>
    </row>
    <row r="3789" spans="1:15" ht="15.75" customHeight="1">
      <c r="A3789" s="395"/>
      <c r="B3789" s="399"/>
      <c r="C3789" s="929"/>
      <c r="D3789" s="936"/>
      <c r="E3789" s="936"/>
      <c r="F3789" s="936"/>
      <c r="G3789" s="936"/>
      <c r="H3789" s="936"/>
      <c r="I3789" s="936"/>
      <c r="J3789" s="936"/>
      <c r="K3789" s="936"/>
      <c r="L3789" s="936"/>
      <c r="M3789" s="936"/>
      <c r="N3789" s="938"/>
      <c r="O3789" s="362"/>
    </row>
    <row r="3790" spans="1:15" ht="15.75" customHeight="1">
      <c r="A3790" s="395"/>
      <c r="B3790" s="399"/>
      <c r="C3790" s="1201" t="s">
        <v>1215</v>
      </c>
      <c r="D3790" s="1131"/>
      <c r="E3790" s="1131"/>
      <c r="F3790" s="1131"/>
      <c r="G3790" s="1131"/>
      <c r="H3790" s="1000"/>
      <c r="I3790" s="670" t="s">
        <v>1216</v>
      </c>
      <c r="J3790" s="676" t="s">
        <v>1217</v>
      </c>
      <c r="K3790" s="677" t="s">
        <v>1218</v>
      </c>
      <c r="L3790" s="1206" t="s">
        <v>1199</v>
      </c>
      <c r="M3790" s="1000"/>
      <c r="N3790" s="678" t="s">
        <v>1200</v>
      </c>
      <c r="O3790" s="362"/>
    </row>
    <row r="3791" spans="1:15" ht="15.75" customHeight="1">
      <c r="A3791" s="395" t="str">
        <f t="array" ref="A3791">IF(C3791&lt;&gt;0,INDEX(CodMO,MATCH(C3791,MO,0),),)</f>
        <v>M.O-15</v>
      </c>
      <c r="B3791" s="399"/>
      <c r="C3791" s="1128" t="s">
        <v>2607</v>
      </c>
      <c r="D3791" s="940"/>
      <c r="E3791" s="940"/>
      <c r="F3791" s="940"/>
      <c r="G3791" s="940"/>
      <c r="H3791" s="940"/>
      <c r="I3791" s="447">
        <f>IF($A3791&gt;0,(VLOOKUP($A3791,TablaMO,8,FALSE)),"")</f>
        <v>366787.33333333331</v>
      </c>
      <c r="J3791" s="448">
        <f>IF($A3791&gt;0,(VLOOKUP($A3791,TablaMO,10,FALSE)),"")</f>
        <v>0.67071666666666663</v>
      </c>
      <c r="K3791" s="447">
        <f>IF($A3791&gt;0,(VLOOKUP($A3791,TablaMO,11,FALSE)),"")</f>
        <v>367679</v>
      </c>
      <c r="L3791" s="1146">
        <v>93.79632095102437</v>
      </c>
      <c r="M3791" s="941"/>
      <c r="N3791" s="430">
        <f t="shared" ref="N3791:N3795" si="282">IF(L3791&gt;0,K3791/L3791,"")</f>
        <v>3919.9725135486192</v>
      </c>
      <c r="O3791" s="362"/>
    </row>
    <row r="3792" spans="1:15" ht="15.75" customHeight="1">
      <c r="A3792" s="395">
        <f t="array" ref="A3792">IF(C3792&lt;&gt;0,INDEX(CodMO,MATCH(C3792,MO,0),),)</f>
        <v>0</v>
      </c>
      <c r="B3792" s="399"/>
      <c r="C3792" s="1128"/>
      <c r="D3792" s="940"/>
      <c r="E3792" s="940"/>
      <c r="F3792" s="940"/>
      <c r="G3792" s="940"/>
      <c r="H3792" s="940"/>
      <c r="I3792" s="447" t="str">
        <f>IF($A3792&gt;0,(VLOOKUP($A3792,TablaMO,8,FALSE)),"")</f>
        <v/>
      </c>
      <c r="J3792" s="448" t="str">
        <f>IF($A3792&gt;0,(VLOOKUP($A3792,TablaMO,10,FALSE)),"")</f>
        <v/>
      </c>
      <c r="K3792" s="447" t="str">
        <f>IF($A3792&gt;0,(VLOOKUP($A3792,TablaMO,11,FALSE)),"")</f>
        <v/>
      </c>
      <c r="L3792" s="1146"/>
      <c r="M3792" s="941"/>
      <c r="N3792" s="430" t="str">
        <f t="shared" si="282"/>
        <v/>
      </c>
      <c r="O3792" s="362"/>
    </row>
    <row r="3793" spans="1:18" ht="15.75" customHeight="1">
      <c r="A3793" s="395">
        <f t="array" ref="A3793">IF(C3793&lt;&gt;0,INDEX(CodMO,MATCH(C3793,MO,0),),)</f>
        <v>0</v>
      </c>
      <c r="B3793" s="399"/>
      <c r="C3793" s="1128"/>
      <c r="D3793" s="940"/>
      <c r="E3793" s="940"/>
      <c r="F3793" s="940"/>
      <c r="G3793" s="940"/>
      <c r="H3793" s="940"/>
      <c r="I3793" s="447" t="str">
        <f>IF($A3793&gt;0,(VLOOKUP($A3793,TablaMO,8,FALSE)),"")</f>
        <v/>
      </c>
      <c r="J3793" s="448" t="str">
        <f>IF($A3793&gt;0,(VLOOKUP($A3793,TablaMO,10,FALSE)),"")</f>
        <v/>
      </c>
      <c r="K3793" s="447" t="str">
        <f>IF($A3793&gt;0,(VLOOKUP($A3793,TablaMO,11,FALSE)),"")</f>
        <v/>
      </c>
      <c r="L3793" s="1146"/>
      <c r="M3793" s="941"/>
      <c r="N3793" s="430" t="str">
        <f t="shared" si="282"/>
        <v/>
      </c>
      <c r="O3793" s="362"/>
    </row>
    <row r="3794" spans="1:18" ht="15.75" customHeight="1">
      <c r="A3794" s="395">
        <f t="array" ref="A3794">IF(C3794&lt;&gt;0,INDEX(CodMO,MATCH(C3794,MO,0),),)</f>
        <v>0</v>
      </c>
      <c r="B3794" s="399"/>
      <c r="C3794" s="1128"/>
      <c r="D3794" s="940"/>
      <c r="E3794" s="940"/>
      <c r="F3794" s="940"/>
      <c r="G3794" s="940"/>
      <c r="H3794" s="940"/>
      <c r="I3794" s="447" t="str">
        <f>IF($A3794&gt;0,(VLOOKUP($A3794,TablaMO,8,FALSE)),"")</f>
        <v/>
      </c>
      <c r="J3794" s="448" t="str">
        <f>IF($A3794&gt;0,(VLOOKUP($A3794,TablaMO,10,FALSE)),"")</f>
        <v/>
      </c>
      <c r="K3794" s="447" t="str">
        <f>IF($A3794&gt;0,(VLOOKUP($A3794,TablaMO,11,FALSE)),"")</f>
        <v/>
      </c>
      <c r="L3794" s="1146"/>
      <c r="M3794" s="941"/>
      <c r="N3794" s="430" t="str">
        <f t="shared" si="282"/>
        <v/>
      </c>
      <c r="O3794" s="362"/>
    </row>
    <row r="3795" spans="1:18" ht="15.75" customHeight="1">
      <c r="A3795" s="395">
        <f t="array" ref="A3795">IF(C3795&lt;&gt;0,INDEX(CodMO,MATCH(C3795,MO,0),),)</f>
        <v>0</v>
      </c>
      <c r="B3795" s="399"/>
      <c r="C3795" s="1128"/>
      <c r="D3795" s="940"/>
      <c r="E3795" s="940"/>
      <c r="F3795" s="940"/>
      <c r="G3795" s="940"/>
      <c r="H3795" s="940"/>
      <c r="I3795" s="447" t="str">
        <f>IF($A3795&gt;0,(VLOOKUP($A3795,TablaMO,8,FALSE)),"")</f>
        <v/>
      </c>
      <c r="J3795" s="448" t="str">
        <f>IF($A3795&gt;0,(VLOOKUP($A3795,TablaMO,10,FALSE)),"")</f>
        <v/>
      </c>
      <c r="K3795" s="447" t="str">
        <f>IF($A3795&gt;0,(VLOOKUP($A3795,TablaMO,11,FALSE)),"")</f>
        <v/>
      </c>
      <c r="L3795" s="1146"/>
      <c r="M3795" s="941"/>
      <c r="N3795" s="430" t="str">
        <f t="shared" si="282"/>
        <v/>
      </c>
      <c r="O3795" s="362"/>
    </row>
    <row r="3796" spans="1:18" ht="15.75" customHeight="1">
      <c r="A3796" s="395"/>
      <c r="B3796" s="399"/>
      <c r="C3796" s="1127" t="s">
        <v>1202</v>
      </c>
      <c r="D3796" s="965"/>
      <c r="E3796" s="965"/>
      <c r="F3796" s="965"/>
      <c r="G3796" s="965"/>
      <c r="H3796" s="965"/>
      <c r="I3796" s="965"/>
      <c r="J3796" s="965"/>
      <c r="K3796" s="965"/>
      <c r="L3796" s="965"/>
      <c r="M3796" s="966"/>
      <c r="N3796" s="433">
        <f>+SUM(N3791:N3795)</f>
        <v>3919.9725135486192</v>
      </c>
      <c r="O3796" s="362"/>
    </row>
    <row r="3797" spans="1:18" ht="15.75" customHeight="1">
      <c r="B3797" s="679"/>
      <c r="O3797" s="362"/>
    </row>
    <row r="3798" spans="1:18" ht="15.75" customHeight="1">
      <c r="B3798" s="679"/>
      <c r="C3798" s="1198" t="s">
        <v>1219</v>
      </c>
      <c r="D3798" s="965"/>
      <c r="E3798" s="965"/>
      <c r="F3798" s="965"/>
      <c r="G3798" s="965"/>
      <c r="H3798" s="965"/>
      <c r="I3798" s="965"/>
      <c r="J3798" s="965"/>
      <c r="K3798" s="965"/>
      <c r="L3798" s="965"/>
      <c r="M3798" s="966"/>
      <c r="N3798" s="680">
        <f>ROUND(SUM(N3796,N3786,N3776,N3763),0)</f>
        <v>116500</v>
      </c>
      <c r="O3798" s="362"/>
      <c r="Q3798" s="681">
        <f>VLOOKUP(C3752,PROPUESTASASERCO,8,FALSE)</f>
        <v>116500</v>
      </c>
      <c r="R3798" s="682">
        <f>Q3798-N3798</f>
        <v>0</v>
      </c>
    </row>
    <row r="3799" spans="1:18" ht="15.75" customHeight="1">
      <c r="B3799" s="679"/>
      <c r="C3799" s="1129" t="s">
        <v>1220</v>
      </c>
      <c r="D3799" s="926"/>
      <c r="E3799" s="926"/>
      <c r="F3799" s="926"/>
      <c r="G3799" s="926"/>
      <c r="H3799" s="926"/>
      <c r="I3799" s="926"/>
      <c r="J3799" s="926"/>
      <c r="K3799" s="926"/>
      <c r="L3799" s="926"/>
      <c r="M3799" s="926"/>
      <c r="N3799" s="927"/>
      <c r="O3799" s="362"/>
    </row>
    <row r="3800" spans="1:18" ht="15.75" customHeight="1">
      <c r="B3800" s="679"/>
      <c r="C3800" s="920"/>
      <c r="D3800" s="922"/>
      <c r="E3800" s="922"/>
      <c r="F3800" s="922"/>
      <c r="G3800" s="922"/>
      <c r="H3800" s="922"/>
      <c r="I3800" s="922"/>
      <c r="J3800" s="922"/>
      <c r="K3800" s="922"/>
      <c r="L3800" s="922"/>
      <c r="M3800" s="922"/>
      <c r="N3800" s="924"/>
      <c r="O3800" s="362"/>
    </row>
    <row r="3801" spans="1:18" ht="15.75" customHeight="1">
      <c r="B3801" s="679"/>
      <c r="C3801" s="929"/>
      <c r="D3801" s="936"/>
      <c r="E3801" s="936"/>
      <c r="F3801" s="936"/>
      <c r="G3801" s="936"/>
      <c r="H3801" s="936"/>
      <c r="I3801" s="936"/>
      <c r="J3801" s="936"/>
      <c r="K3801" s="936"/>
      <c r="L3801" s="936"/>
      <c r="M3801" s="936"/>
      <c r="N3801" s="938"/>
      <c r="O3801" s="362"/>
    </row>
    <row r="3802" spans="1:18" ht="15.75" customHeight="1">
      <c r="B3802" s="679"/>
      <c r="C3802" s="1201" t="s">
        <v>1221</v>
      </c>
      <c r="D3802" s="1131"/>
      <c r="E3802" s="1131"/>
      <c r="F3802" s="1131"/>
      <c r="G3802" s="1131"/>
      <c r="H3802" s="1132"/>
      <c r="I3802" s="674"/>
      <c r="J3802" s="674"/>
      <c r="K3802" s="674"/>
      <c r="L3802" s="1206" t="s">
        <v>1222</v>
      </c>
      <c r="M3802" s="1000"/>
      <c r="N3802" s="678" t="s">
        <v>1223</v>
      </c>
      <c r="O3802" s="362"/>
    </row>
    <row r="3803" spans="1:18" ht="15.75" customHeight="1">
      <c r="B3803" s="679"/>
      <c r="C3803" s="1128" t="s">
        <v>19</v>
      </c>
      <c r="D3803" s="940"/>
      <c r="E3803" s="940"/>
      <c r="F3803" s="940"/>
      <c r="G3803" s="940"/>
      <c r="H3803" s="940"/>
      <c r="I3803" s="452"/>
      <c r="J3803" s="452"/>
      <c r="K3803" s="452"/>
      <c r="L3803" s="1148">
        <f>+Datos!$E$18</f>
        <v>0.25</v>
      </c>
      <c r="M3803" s="941"/>
      <c r="N3803" s="430">
        <f>+L3803*N3798</f>
        <v>29125</v>
      </c>
      <c r="O3803" s="362"/>
    </row>
    <row r="3804" spans="1:18" ht="15.75" customHeight="1">
      <c r="B3804" s="679"/>
      <c r="C3804" s="454" t="s">
        <v>20</v>
      </c>
      <c r="D3804" s="455"/>
      <c r="E3804" s="455"/>
      <c r="F3804" s="455"/>
      <c r="G3804" s="455"/>
      <c r="H3804" s="455"/>
      <c r="I3804" s="452"/>
      <c r="J3804" s="452"/>
      <c r="K3804" s="452"/>
      <c r="L3804" s="1148">
        <f>+Datos!$E$19</f>
        <v>0.01</v>
      </c>
      <c r="M3804" s="941"/>
      <c r="N3804" s="430">
        <f>+L3804*N3798</f>
        <v>1165</v>
      </c>
      <c r="O3804" s="362"/>
    </row>
    <row r="3805" spans="1:18" ht="15.75" customHeight="1">
      <c r="B3805" s="679"/>
      <c r="C3805" s="456" t="s">
        <v>21</v>
      </c>
      <c r="D3805" s="457"/>
      <c r="E3805" s="457"/>
      <c r="F3805" s="457"/>
      <c r="G3805" s="457"/>
      <c r="H3805" s="457"/>
      <c r="I3805" s="458"/>
      <c r="J3805" s="458"/>
      <c r="K3805" s="458"/>
      <c r="L3805" s="1148">
        <f>+Datos!$E$20</f>
        <v>0.05</v>
      </c>
      <c r="M3805" s="941"/>
      <c r="N3805" s="430">
        <f>+L3805*N3798</f>
        <v>5825</v>
      </c>
      <c r="O3805" s="362"/>
    </row>
    <row r="3806" spans="1:18" ht="15.75" customHeight="1">
      <c r="B3806" s="679"/>
      <c r="C3806" s="1127" t="s">
        <v>1202</v>
      </c>
      <c r="D3806" s="965"/>
      <c r="E3806" s="965"/>
      <c r="F3806" s="965"/>
      <c r="G3806" s="965"/>
      <c r="H3806" s="965"/>
      <c r="I3806" s="965"/>
      <c r="J3806" s="965"/>
      <c r="K3806" s="965"/>
      <c r="L3806" s="965"/>
      <c r="M3806" s="966"/>
      <c r="N3806" s="433">
        <f>+SUM(N3803:N3805)</f>
        <v>36115</v>
      </c>
      <c r="O3806" s="362"/>
    </row>
    <row r="3807" spans="1:18" ht="15.75" customHeight="1">
      <c r="B3807" s="679"/>
      <c r="C3807" s="418"/>
      <c r="D3807" s="39"/>
      <c r="E3807" s="39"/>
      <c r="F3807" s="39"/>
      <c r="G3807" s="39"/>
      <c r="H3807" s="39"/>
      <c r="I3807" s="39"/>
      <c r="J3807" s="39"/>
      <c r="K3807" s="39"/>
      <c r="L3807" s="39"/>
      <c r="M3807" s="39"/>
      <c r="N3807" s="40"/>
      <c r="O3807" s="362"/>
    </row>
    <row r="3808" spans="1:18" ht="15.75" customHeight="1">
      <c r="B3808" s="679"/>
      <c r="C3808" s="1198" t="s">
        <v>1224</v>
      </c>
      <c r="D3808" s="965"/>
      <c r="E3808" s="965"/>
      <c r="F3808" s="965"/>
      <c r="G3808" s="965"/>
      <c r="H3808" s="965"/>
      <c r="I3808" s="965"/>
      <c r="J3808" s="965"/>
      <c r="K3808" s="965"/>
      <c r="L3808" s="965"/>
      <c r="M3808" s="966"/>
      <c r="N3808" s="683">
        <f>+ROUND(SUM(N3806,N3798),0)</f>
        <v>152615</v>
      </c>
      <c r="O3808" s="362"/>
    </row>
    <row r="3809" spans="1:15" ht="15.75" customHeight="1">
      <c r="B3809" s="679"/>
      <c r="C3809" s="418"/>
      <c r="D3809" s="39" t="s">
        <v>1225</v>
      </c>
      <c r="E3809" s="39"/>
      <c r="F3809" s="39"/>
      <c r="G3809" s="184"/>
      <c r="H3809" s="184"/>
      <c r="I3809" s="184"/>
      <c r="J3809" s="39" t="s">
        <v>1225</v>
      </c>
      <c r="K3809" s="39"/>
      <c r="L3809" s="39"/>
      <c r="M3809" s="39"/>
      <c r="N3809" s="40"/>
      <c r="O3809" s="362"/>
    </row>
    <row r="3810" spans="1:15" ht="15.75" customHeight="1">
      <c r="B3810" s="679"/>
      <c r="C3810" s="418"/>
      <c r="D3810" s="39" t="s">
        <v>1226</v>
      </c>
      <c r="E3810" s="39"/>
      <c r="F3810" s="39"/>
      <c r="G3810" s="184"/>
      <c r="H3810" s="184"/>
      <c r="I3810" s="184"/>
      <c r="J3810" s="39" t="s">
        <v>1227</v>
      </c>
      <c r="K3810" s="39"/>
      <c r="L3810" s="39"/>
      <c r="M3810" s="39"/>
      <c r="N3810" s="40"/>
      <c r="O3810" s="362"/>
    </row>
    <row r="3811" spans="1:15" ht="15.75" customHeight="1">
      <c r="B3811" s="679"/>
      <c r="C3811" s="404"/>
      <c r="D3811" s="39" t="s">
        <v>1228</v>
      </c>
      <c r="E3811" s="42"/>
      <c r="F3811" s="42"/>
      <c r="G3811" s="184"/>
      <c r="H3811" s="184"/>
      <c r="I3811" s="184"/>
      <c r="J3811" s="39" t="s">
        <v>1228</v>
      </c>
      <c r="K3811" s="42"/>
      <c r="L3811" s="42"/>
      <c r="M3811" s="42"/>
      <c r="N3811" s="43"/>
      <c r="O3811" s="362"/>
    </row>
    <row r="3812" spans="1:15" ht="15.75" customHeight="1">
      <c r="B3812" s="679"/>
      <c r="C3812" s="418"/>
      <c r="D3812" s="39"/>
      <c r="E3812" s="39"/>
      <c r="F3812" s="39"/>
      <c r="G3812" s="39" t="s">
        <v>1229</v>
      </c>
      <c r="H3812" s="39"/>
      <c r="I3812" s="39"/>
      <c r="J3812" s="39"/>
      <c r="K3812" s="39"/>
      <c r="L3812" s="39"/>
      <c r="M3812" s="39"/>
      <c r="N3812" s="40"/>
      <c r="O3812" s="362"/>
    </row>
    <row r="3813" spans="1:15" ht="15.75" customHeight="1">
      <c r="B3813" s="679"/>
      <c r="C3813" s="466"/>
      <c r="D3813" s="467"/>
      <c r="E3813" s="467"/>
      <c r="F3813" s="39"/>
      <c r="G3813" s="39"/>
      <c r="H3813" s="39"/>
      <c r="I3813" s="39"/>
      <c r="J3813" s="1149"/>
      <c r="K3813" s="922"/>
      <c r="L3813" s="922"/>
      <c r="M3813" s="922"/>
      <c r="N3813" s="924"/>
      <c r="O3813" s="362"/>
    </row>
    <row r="3814" spans="1:15" ht="15.75" customHeight="1">
      <c r="B3814" s="679"/>
      <c r="C3814" s="1150"/>
      <c r="D3814" s="936"/>
      <c r="E3814" s="936"/>
      <c r="F3814" s="416"/>
      <c r="G3814" s="416"/>
      <c r="H3814" s="416"/>
      <c r="I3814" s="416"/>
      <c r="J3814" s="936"/>
      <c r="K3814" s="936"/>
      <c r="L3814" s="936"/>
      <c r="M3814" s="936"/>
      <c r="N3814" s="938"/>
      <c r="O3814" s="362"/>
    </row>
    <row r="3815" spans="1:15" ht="15.75" customHeight="1">
      <c r="B3815" s="684"/>
      <c r="C3815" s="685"/>
      <c r="D3815" s="685"/>
      <c r="E3815" s="685"/>
      <c r="F3815" s="685"/>
      <c r="G3815" s="685"/>
      <c r="H3815" s="685"/>
      <c r="I3815" s="685"/>
      <c r="J3815" s="685"/>
      <c r="K3815" s="685"/>
      <c r="L3815" s="685"/>
      <c r="M3815" s="685"/>
      <c r="N3815" s="685"/>
      <c r="O3815" s="686"/>
    </row>
    <row r="3816" spans="1:15" ht="15.75" customHeight="1"/>
    <row r="3817" spans="1:15" ht="15.75" customHeight="1"/>
    <row r="3818" spans="1:15" ht="15.75" customHeight="1"/>
    <row r="3819" spans="1:15" ht="15.75" customHeight="1"/>
    <row r="3820" spans="1:15" ht="15.75" customHeight="1">
      <c r="A3820" s="395" t="s">
        <v>941</v>
      </c>
      <c r="B3820" s="184"/>
      <c r="C3820" s="184"/>
      <c r="D3820" s="184"/>
      <c r="E3820" s="184"/>
      <c r="F3820" s="184"/>
      <c r="G3820" s="184"/>
      <c r="H3820" s="184"/>
      <c r="I3820" s="184"/>
      <c r="J3820" s="184"/>
      <c r="K3820" s="184"/>
      <c r="L3820" s="184"/>
      <c r="M3820" s="184"/>
      <c r="N3820" s="184"/>
    </row>
    <row r="3821" spans="1:15" ht="15.75" customHeight="1">
      <c r="A3821" s="395"/>
      <c r="B3821" s="396"/>
      <c r="C3821" s="397"/>
      <c r="D3821" s="397"/>
      <c r="E3821" s="397"/>
      <c r="F3821" s="397"/>
      <c r="G3821" s="397"/>
      <c r="H3821" s="397"/>
      <c r="I3821" s="397"/>
      <c r="J3821" s="397"/>
      <c r="K3821" s="397"/>
      <c r="L3821" s="397"/>
      <c r="M3821" s="397"/>
      <c r="N3821" s="397"/>
      <c r="O3821" s="667"/>
    </row>
    <row r="3822" spans="1:15" ht="15.75" customHeight="1">
      <c r="A3822" s="395"/>
      <c r="B3822" s="399"/>
      <c r="C3822" s="1124"/>
      <c r="D3822" s="927"/>
      <c r="E3822" s="1207" t="str">
        <f>Datos!$C$9</f>
        <v>CONSEJO SUPERIOR  DE  JUDICATURA– DIRECCIÓN  EJECUTIVA  SECCIONAL  DE ADMINISTRACIÓN JUDICIAL DE BUCARAMANGA</v>
      </c>
      <c r="F3822" s="926"/>
      <c r="G3822" s="926"/>
      <c r="H3822" s="926"/>
      <c r="I3822" s="926"/>
      <c r="J3822" s="926"/>
      <c r="K3822" s="927"/>
      <c r="L3822" s="925" t="s">
        <v>1</v>
      </c>
      <c r="M3822" s="931"/>
      <c r="N3822" s="933">
        <v>1</v>
      </c>
      <c r="O3822" s="362"/>
    </row>
    <row r="3823" spans="1:15" ht="15.75" customHeight="1">
      <c r="A3823" s="395"/>
      <c r="B3823" s="399"/>
      <c r="C3823" s="920"/>
      <c r="D3823" s="924"/>
      <c r="E3823" s="920"/>
      <c r="F3823" s="922"/>
      <c r="G3823" s="922"/>
      <c r="H3823" s="922"/>
      <c r="I3823" s="922"/>
      <c r="J3823" s="922"/>
      <c r="K3823" s="924"/>
      <c r="L3823" s="920"/>
      <c r="M3823" s="932"/>
      <c r="N3823" s="934"/>
      <c r="O3823" s="362"/>
    </row>
    <row r="3824" spans="1:15" ht="15.75" customHeight="1">
      <c r="A3824" s="395"/>
      <c r="B3824" s="399"/>
      <c r="C3824" s="920"/>
      <c r="D3824" s="924"/>
      <c r="E3824" s="919" t="str">
        <f>Datos!$C$13</f>
        <v xml:space="preserve">BGA - 030 - 2026 </v>
      </c>
      <c r="F3824" s="922"/>
      <c r="G3824" s="922"/>
      <c r="H3824" s="922"/>
      <c r="I3824" s="922"/>
      <c r="J3824" s="922"/>
      <c r="K3824" s="922"/>
      <c r="L3824" s="925" t="s">
        <v>29</v>
      </c>
      <c r="M3824" s="926"/>
      <c r="N3824" s="927"/>
      <c r="O3824" s="362"/>
    </row>
    <row r="3825" spans="1:15" ht="15.75" customHeight="1">
      <c r="A3825" s="395"/>
      <c r="B3825" s="399"/>
      <c r="C3825" s="920"/>
      <c r="D3825" s="924"/>
      <c r="E3825"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825" s="922"/>
      <c r="G3825" s="922"/>
      <c r="H3825" s="922"/>
      <c r="I3825" s="922"/>
      <c r="J3825" s="922"/>
      <c r="K3825" s="924"/>
      <c r="L3825" s="919">
        <v>1</v>
      </c>
      <c r="M3825" s="921" t="s">
        <v>30</v>
      </c>
      <c r="N3825" s="923">
        <v>1</v>
      </c>
      <c r="O3825" s="362"/>
    </row>
    <row r="3826" spans="1:15" ht="15.75" customHeight="1">
      <c r="A3826" s="395"/>
      <c r="B3826" s="399"/>
      <c r="C3826" s="920"/>
      <c r="D3826" s="924"/>
      <c r="E3826" s="920"/>
      <c r="F3826" s="922"/>
      <c r="G3826" s="922"/>
      <c r="H3826" s="922"/>
      <c r="I3826" s="922"/>
      <c r="J3826" s="922"/>
      <c r="K3826" s="924"/>
      <c r="L3826" s="920"/>
      <c r="M3826" s="922"/>
      <c r="N3826" s="924"/>
      <c r="O3826" s="362"/>
    </row>
    <row r="3827" spans="1:15" ht="15.75" customHeight="1">
      <c r="A3827" s="395"/>
      <c r="B3827" s="399"/>
      <c r="C3827" s="920"/>
      <c r="D3827" s="924"/>
      <c r="E3827" s="920"/>
      <c r="F3827" s="922"/>
      <c r="G3827" s="922"/>
      <c r="H3827" s="922"/>
      <c r="I3827" s="922"/>
      <c r="J3827" s="922"/>
      <c r="K3827" s="924"/>
      <c r="L3827" s="925" t="s">
        <v>2</v>
      </c>
      <c r="M3827" s="926"/>
      <c r="N3827" s="927"/>
      <c r="O3827" s="362"/>
    </row>
    <row r="3828" spans="1:15" ht="15.75" customHeight="1">
      <c r="A3828" s="395"/>
      <c r="B3828" s="399"/>
      <c r="C3828" s="920"/>
      <c r="D3828" s="924"/>
      <c r="E3828" s="407"/>
      <c r="F3828" s="216"/>
      <c r="G3828" s="216"/>
      <c r="H3828" s="216"/>
      <c r="I3828" s="216"/>
      <c r="J3828" s="216"/>
      <c r="K3828" s="216"/>
      <c r="L3828" s="408" t="s">
        <v>3</v>
      </c>
      <c r="M3828" s="409" t="s">
        <v>4</v>
      </c>
      <c r="N3828" s="410" t="s">
        <v>5</v>
      </c>
      <c r="O3828" s="362"/>
    </row>
    <row r="3829" spans="1:15" ht="15.75" customHeight="1">
      <c r="A3829" s="395"/>
      <c r="B3829" s="399"/>
      <c r="C3829" s="920"/>
      <c r="D3829" s="924"/>
      <c r="E3829" s="1125" t="s">
        <v>1186</v>
      </c>
      <c r="F3829" s="945"/>
      <c r="G3829" s="945"/>
      <c r="H3829" s="945"/>
      <c r="I3829" s="945"/>
      <c r="J3829" s="945"/>
      <c r="K3829" s="945"/>
      <c r="L3829" s="928">
        <f>Datos!$C$7</f>
        <v>19</v>
      </c>
      <c r="M3829" s="935">
        <f>Datos!$D$7</f>
        <v>6</v>
      </c>
      <c r="N3829" s="937">
        <f>Datos!$E$7</f>
        <v>2026</v>
      </c>
      <c r="O3829" s="362"/>
    </row>
    <row r="3830" spans="1:15" ht="15.75" customHeight="1">
      <c r="A3830" s="395"/>
      <c r="B3830" s="399"/>
      <c r="C3830" s="929"/>
      <c r="D3830" s="938"/>
      <c r="E3830" s="929"/>
      <c r="F3830" s="936"/>
      <c r="G3830" s="936"/>
      <c r="H3830" s="936"/>
      <c r="I3830" s="936"/>
      <c r="J3830" s="936"/>
      <c r="K3830" s="936"/>
      <c r="L3830" s="929"/>
      <c r="M3830" s="936"/>
      <c r="N3830" s="938"/>
      <c r="O3830" s="362"/>
    </row>
    <row r="3831" spans="1:15" ht="15.75" customHeight="1">
      <c r="A3831" s="395"/>
      <c r="B3831" s="399"/>
      <c r="C3831" s="404"/>
      <c r="D3831" s="38"/>
      <c r="E3831" s="38"/>
      <c r="F3831" s="38"/>
      <c r="G3831" s="38"/>
      <c r="H3831" s="38"/>
      <c r="I3831" s="38"/>
      <c r="J3831" s="38"/>
      <c r="K3831" s="38"/>
      <c r="L3831" s="39"/>
      <c r="M3831" s="39"/>
      <c r="N3831" s="40"/>
      <c r="O3831" s="362"/>
    </row>
    <row r="3832" spans="1:15" ht="15.75" customHeight="1">
      <c r="A3832" s="395"/>
      <c r="B3832" s="399"/>
      <c r="C3832" s="412" t="s">
        <v>1187</v>
      </c>
      <c r="D3832" s="1199" t="str">
        <f>VLOOKUP(C3837,ListaAct,2,0)</f>
        <v>OBRA CIVIL</v>
      </c>
      <c r="E3832" s="922"/>
      <c r="F3832" s="922"/>
      <c r="G3832" s="922"/>
      <c r="H3832" s="922"/>
      <c r="I3832" s="922"/>
      <c r="J3832" s="922"/>
      <c r="K3832" s="922"/>
      <c r="L3832" s="922"/>
      <c r="M3832" s="1"/>
      <c r="N3832" s="413"/>
      <c r="O3832" s="362"/>
    </row>
    <row r="3833" spans="1:15" ht="15.75" customHeight="1">
      <c r="A3833" s="395"/>
      <c r="B3833" s="399"/>
      <c r="C3833" s="412" t="s">
        <v>1189</v>
      </c>
      <c r="D3833" s="1199" t="str">
        <f>VLOOKUP(C3837,ListaAct,3,0)</f>
        <v>ACTIVIDADES ELECTRICAS, DATOS Y DEMAS REQUERIDAS</v>
      </c>
      <c r="E3833" s="922"/>
      <c r="F3833" s="922"/>
      <c r="G3833" s="922"/>
      <c r="H3833" s="922"/>
      <c r="I3833" s="922"/>
      <c r="J3833" s="922"/>
      <c r="K3833" s="922"/>
      <c r="L3833" s="922"/>
      <c r="M3833" s="1"/>
      <c r="N3833" s="413"/>
      <c r="O3833" s="362"/>
    </row>
    <row r="3834" spans="1:15" ht="15.75" customHeight="1">
      <c r="A3834" s="395"/>
      <c r="B3834" s="399"/>
      <c r="C3834" s="925" t="s">
        <v>1191</v>
      </c>
      <c r="D3834" s="926"/>
      <c r="E3834" s="926"/>
      <c r="F3834" s="926"/>
      <c r="G3834" s="926"/>
      <c r="H3834" s="926"/>
      <c r="I3834" s="926"/>
      <c r="J3834" s="926"/>
      <c r="K3834" s="926"/>
      <c r="L3834" s="926"/>
      <c r="M3834" s="926"/>
      <c r="N3834" s="927"/>
      <c r="O3834" s="362"/>
    </row>
    <row r="3835" spans="1:15" ht="15.75" customHeight="1">
      <c r="A3835" s="395"/>
      <c r="B3835" s="399"/>
      <c r="C3835" s="418"/>
      <c r="D3835" s="39"/>
      <c r="E3835" s="39"/>
      <c r="F3835" s="39"/>
      <c r="G3835" s="39"/>
      <c r="H3835" s="39"/>
      <c r="I3835" s="39"/>
      <c r="J3835" s="39"/>
      <c r="K3835" s="39"/>
      <c r="L3835" s="39"/>
      <c r="M3835" s="39"/>
      <c r="N3835" s="40"/>
      <c r="O3835" s="362"/>
    </row>
    <row r="3836" spans="1:15" ht="15.75" customHeight="1">
      <c r="A3836" s="395"/>
      <c r="B3836" s="399"/>
      <c r="C3836" s="668" t="s">
        <v>965</v>
      </c>
      <c r="D3836" s="1200" t="s">
        <v>17</v>
      </c>
      <c r="E3836" s="1131"/>
      <c r="F3836" s="1131"/>
      <c r="G3836" s="1131"/>
      <c r="H3836" s="1131"/>
      <c r="I3836" s="1131"/>
      <c r="J3836" s="1131"/>
      <c r="K3836" s="1137"/>
      <c r="L3836" s="1201" t="s">
        <v>1192</v>
      </c>
      <c r="M3836" s="1137"/>
      <c r="N3836" s="668" t="s">
        <v>950</v>
      </c>
      <c r="O3836" s="362"/>
    </row>
    <row r="3837" spans="1:15" ht="15.75" customHeight="1">
      <c r="A3837" s="395"/>
      <c r="B3837" s="421"/>
      <c r="C3837" s="669" t="s">
        <v>1112</v>
      </c>
      <c r="D3837" s="1202" t="str">
        <f>IF($C3837&gt;0,(VLOOKUP($C3837,ListaAct,4,FALSE)),"")</f>
        <v>Suministro, Transporte E Instalación De Bombillo Led (20-40w), Incluye roseta, Elementos De Sujeción Y Fijación De La Lámpara</v>
      </c>
      <c r="E3837" s="979"/>
      <c r="F3837" s="979"/>
      <c r="G3837" s="979"/>
      <c r="H3837" s="979"/>
      <c r="I3837" s="979"/>
      <c r="J3837" s="979"/>
      <c r="K3837" s="980"/>
      <c r="L3837" s="1203" t="str">
        <f>IF($C3837&gt;0,(VLOOKUP($C3837,ListaAct,5,FALSE)),"")</f>
        <v>und</v>
      </c>
      <c r="M3837" s="980"/>
      <c r="N3837" s="423">
        <f>IF($C3837&gt;0,(VLOOKUP($C3837,ListaAct,6,FALSE)),"")</f>
        <v>4</v>
      </c>
      <c r="O3837" s="362"/>
    </row>
    <row r="3838" spans="1:15" ht="15.75" customHeight="1">
      <c r="A3838" s="395"/>
      <c r="B3838" s="399"/>
      <c r="C3838" s="1129" t="s">
        <v>1195</v>
      </c>
      <c r="D3838" s="926"/>
      <c r="E3838" s="926"/>
      <c r="F3838" s="926"/>
      <c r="G3838" s="926"/>
      <c r="H3838" s="926"/>
      <c r="I3838" s="926"/>
      <c r="J3838" s="926"/>
      <c r="K3838" s="926"/>
      <c r="L3838" s="926"/>
      <c r="M3838" s="926"/>
      <c r="N3838" s="927"/>
      <c r="O3838" s="362"/>
    </row>
    <row r="3839" spans="1:15" ht="15.75" customHeight="1">
      <c r="A3839" s="395"/>
      <c r="B3839" s="399"/>
      <c r="C3839" s="920"/>
      <c r="D3839" s="922"/>
      <c r="E3839" s="922"/>
      <c r="F3839" s="922"/>
      <c r="G3839" s="922"/>
      <c r="H3839" s="922"/>
      <c r="I3839" s="922"/>
      <c r="J3839" s="922"/>
      <c r="K3839" s="922"/>
      <c r="L3839" s="922"/>
      <c r="M3839" s="922"/>
      <c r="N3839" s="924"/>
      <c r="O3839" s="362"/>
    </row>
    <row r="3840" spans="1:15" ht="15.75" customHeight="1">
      <c r="A3840" s="395"/>
      <c r="B3840" s="399"/>
      <c r="C3840" s="929"/>
      <c r="D3840" s="936"/>
      <c r="E3840" s="936"/>
      <c r="F3840" s="936"/>
      <c r="G3840" s="936"/>
      <c r="H3840" s="936"/>
      <c r="I3840" s="936"/>
      <c r="J3840" s="936"/>
      <c r="K3840" s="936"/>
      <c r="L3840" s="936"/>
      <c r="M3840" s="936"/>
      <c r="N3840" s="938"/>
      <c r="O3840" s="362"/>
    </row>
    <row r="3841" spans="1:15" ht="15.75" customHeight="1">
      <c r="A3841" s="395"/>
      <c r="B3841" s="399"/>
      <c r="C3841" s="1201" t="s">
        <v>17</v>
      </c>
      <c r="D3841" s="1131"/>
      <c r="E3841" s="1131"/>
      <c r="F3841" s="1000"/>
      <c r="G3841" s="1204" t="s">
        <v>1196</v>
      </c>
      <c r="H3841" s="1000"/>
      <c r="I3841" s="1204" t="s">
        <v>1197</v>
      </c>
      <c r="J3841" s="1000"/>
      <c r="K3841" s="670" t="s">
        <v>1213</v>
      </c>
      <c r="L3841" s="1204" t="s">
        <v>1199</v>
      </c>
      <c r="M3841" s="1000"/>
      <c r="N3841" s="671" t="s">
        <v>1200</v>
      </c>
      <c r="O3841" s="362"/>
    </row>
    <row r="3842" spans="1:15" ht="15.75" customHeight="1">
      <c r="A3842" s="395"/>
      <c r="B3842" s="399"/>
      <c r="C3842" s="1128" t="s">
        <v>1201</v>
      </c>
      <c r="D3842" s="940"/>
      <c r="E3842" s="940"/>
      <c r="F3842" s="941"/>
      <c r="G3842" s="1142"/>
      <c r="H3842" s="941"/>
      <c r="I3842" s="1142"/>
      <c r="J3842" s="941"/>
      <c r="K3842" s="429"/>
      <c r="L3842" s="1143">
        <v>0.05</v>
      </c>
      <c r="M3842" s="941"/>
      <c r="N3842" s="430">
        <f>+L3842*N3881</f>
        <v>341.46724720166151</v>
      </c>
      <c r="O3842" s="362"/>
    </row>
    <row r="3843" spans="1:15" ht="15.75" customHeight="1">
      <c r="A3843" s="395">
        <f t="array" ref="A3843">IF(C3843&lt;&gt;0,INDEX(CodEquipos,MATCH(C3843,Equipos,0),),)</f>
        <v>0</v>
      </c>
      <c r="B3843" s="399"/>
      <c r="C3843" s="1128"/>
      <c r="D3843" s="940"/>
      <c r="E3843" s="940"/>
      <c r="F3843" s="941"/>
      <c r="G3843" s="1142"/>
      <c r="H3843" s="941"/>
      <c r="I3843" s="1142"/>
      <c r="J3843" s="941"/>
      <c r="K3843" s="432" t="str">
        <f>IF($A3843&gt;0,(VLOOKUP($A3843,TablaEquipos,7,FALSE)),"")</f>
        <v/>
      </c>
      <c r="L3843" s="1146"/>
      <c r="M3843" s="941"/>
      <c r="N3843" s="430" t="str">
        <f t="shared" ref="N3843:N3847" si="283">IF(L3843&gt;0,K3843/L3843,"")</f>
        <v/>
      </c>
      <c r="O3843" s="362"/>
    </row>
    <row r="3844" spans="1:15" ht="15.75" customHeight="1">
      <c r="A3844" s="395">
        <f t="array" ref="A3844">IF(C3844&lt;&gt;0,INDEX(CodEquipos,MATCH(C3844,Equipos,0),),)</f>
        <v>0</v>
      </c>
      <c r="B3844" s="399"/>
      <c r="C3844" s="1128"/>
      <c r="D3844" s="940"/>
      <c r="E3844" s="940"/>
      <c r="F3844" s="941"/>
      <c r="G3844" s="1142"/>
      <c r="H3844" s="941"/>
      <c r="I3844" s="1142"/>
      <c r="J3844" s="941"/>
      <c r="K3844" s="432" t="str">
        <f>IF($A3844&gt;0,(VLOOKUP($A3844,TablaEquipos,7,FALSE)),"")</f>
        <v/>
      </c>
      <c r="L3844" s="1146"/>
      <c r="M3844" s="941"/>
      <c r="N3844" s="430" t="str">
        <f t="shared" si="283"/>
        <v/>
      </c>
      <c r="O3844" s="362"/>
    </row>
    <row r="3845" spans="1:15" ht="15.75" customHeight="1">
      <c r="A3845" s="395">
        <f t="array" ref="A3845">IF(C3845&lt;&gt;0,INDEX(CodEquipos,MATCH(C3845,Equipos,0),),)</f>
        <v>0</v>
      </c>
      <c r="B3845" s="399"/>
      <c r="C3845" s="1128"/>
      <c r="D3845" s="940"/>
      <c r="E3845" s="940"/>
      <c r="F3845" s="941"/>
      <c r="G3845" s="1142"/>
      <c r="H3845" s="941"/>
      <c r="I3845" s="1142"/>
      <c r="J3845" s="941"/>
      <c r="K3845" s="432" t="str">
        <f>IF($A3845&gt;0,(VLOOKUP($A3845,TablaEquipos,7,FALSE)),"")</f>
        <v/>
      </c>
      <c r="L3845" s="1146"/>
      <c r="M3845" s="941"/>
      <c r="N3845" s="430" t="str">
        <f t="shared" si="283"/>
        <v/>
      </c>
      <c r="O3845" s="362"/>
    </row>
    <row r="3846" spans="1:15" ht="15.75" customHeight="1">
      <c r="A3846" s="395">
        <f t="array" ref="A3846">IF(C3846&lt;&gt;0,INDEX(CodEquipos,MATCH(C3846,Equipos,0),),)</f>
        <v>0</v>
      </c>
      <c r="B3846" s="399"/>
      <c r="C3846" s="1128"/>
      <c r="D3846" s="940"/>
      <c r="E3846" s="940"/>
      <c r="F3846" s="941"/>
      <c r="G3846" s="1142"/>
      <c r="H3846" s="941"/>
      <c r="I3846" s="1142"/>
      <c r="J3846" s="941"/>
      <c r="K3846" s="432" t="str">
        <f>IF($A3846&gt;0,(VLOOKUP($A3846,TablaEquipos,7,FALSE)),"")</f>
        <v/>
      </c>
      <c r="L3846" s="1141"/>
      <c r="M3846" s="941"/>
      <c r="N3846" s="430" t="str">
        <f t="shared" si="283"/>
        <v/>
      </c>
      <c r="O3846" s="362"/>
    </row>
    <row r="3847" spans="1:15" ht="15.75" customHeight="1">
      <c r="A3847" s="395">
        <f t="array" ref="A3847">IF(C3847&lt;&gt;0,INDEX(CodEquipos,MATCH(C3847,Equipos,0),),)</f>
        <v>0</v>
      </c>
      <c r="B3847" s="399"/>
      <c r="C3847" s="1128"/>
      <c r="D3847" s="940"/>
      <c r="E3847" s="940"/>
      <c r="F3847" s="941"/>
      <c r="G3847" s="1144"/>
      <c r="H3847" s="1145"/>
      <c r="I3847" s="1144"/>
      <c r="J3847" s="1145"/>
      <c r="K3847" s="432" t="str">
        <f>IF($A3847&gt;0,(VLOOKUP($A3847,TablaEquipos,7,FALSE)),"")</f>
        <v/>
      </c>
      <c r="L3847" s="1208"/>
      <c r="M3847" s="1145"/>
      <c r="N3847" s="430" t="str">
        <f t="shared" si="283"/>
        <v/>
      </c>
      <c r="O3847" s="362"/>
    </row>
    <row r="3848" spans="1:15" ht="15.75" customHeight="1">
      <c r="A3848" s="395"/>
      <c r="B3848" s="399"/>
      <c r="C3848" s="1127" t="s">
        <v>1202</v>
      </c>
      <c r="D3848" s="965"/>
      <c r="E3848" s="965"/>
      <c r="F3848" s="965"/>
      <c r="G3848" s="965"/>
      <c r="H3848" s="965"/>
      <c r="I3848" s="965"/>
      <c r="J3848" s="965"/>
      <c r="K3848" s="965"/>
      <c r="L3848" s="965"/>
      <c r="M3848" s="966"/>
      <c r="N3848" s="433">
        <f>+SUM(N3842:N3847)</f>
        <v>341.46724720166151</v>
      </c>
      <c r="O3848" s="362"/>
    </row>
    <row r="3849" spans="1:15" ht="15.75" customHeight="1">
      <c r="A3849" s="395"/>
      <c r="B3849" s="399"/>
      <c r="C3849" s="1129" t="s">
        <v>1203</v>
      </c>
      <c r="D3849" s="926"/>
      <c r="E3849" s="926"/>
      <c r="F3849" s="926"/>
      <c r="G3849" s="926"/>
      <c r="H3849" s="926"/>
      <c r="I3849" s="926"/>
      <c r="J3849" s="926"/>
      <c r="K3849" s="926"/>
      <c r="L3849" s="926"/>
      <c r="M3849" s="926"/>
      <c r="N3849" s="927"/>
      <c r="O3849" s="362"/>
    </row>
    <row r="3850" spans="1:15" ht="15.75" customHeight="1">
      <c r="A3850" s="395"/>
      <c r="B3850" s="399"/>
      <c r="C3850" s="920"/>
      <c r="D3850" s="922"/>
      <c r="E3850" s="922"/>
      <c r="F3850" s="922"/>
      <c r="G3850" s="922"/>
      <c r="H3850" s="922"/>
      <c r="I3850" s="922"/>
      <c r="J3850" s="922"/>
      <c r="K3850" s="922"/>
      <c r="L3850" s="922"/>
      <c r="M3850" s="922"/>
      <c r="N3850" s="924"/>
      <c r="O3850" s="362"/>
    </row>
    <row r="3851" spans="1:15" ht="15.75" customHeight="1">
      <c r="A3851" s="395"/>
      <c r="B3851" s="399"/>
      <c r="C3851" s="929"/>
      <c r="D3851" s="936"/>
      <c r="E3851" s="936"/>
      <c r="F3851" s="936"/>
      <c r="G3851" s="936"/>
      <c r="H3851" s="936"/>
      <c r="I3851" s="936"/>
      <c r="J3851" s="936"/>
      <c r="K3851" s="936"/>
      <c r="L3851" s="936"/>
      <c r="M3851" s="936"/>
      <c r="N3851" s="938"/>
      <c r="O3851" s="362"/>
    </row>
    <row r="3852" spans="1:15" ht="15.75" customHeight="1">
      <c r="A3852" s="395"/>
      <c r="B3852" s="399"/>
      <c r="C3852" s="1201" t="s">
        <v>17</v>
      </c>
      <c r="D3852" s="1131"/>
      <c r="E3852" s="1131"/>
      <c r="F3852" s="1131"/>
      <c r="G3852" s="1131"/>
      <c r="H3852" s="1131"/>
      <c r="I3852" s="1000"/>
      <c r="J3852" s="672" t="s">
        <v>1192</v>
      </c>
      <c r="K3852" s="670" t="s">
        <v>950</v>
      </c>
      <c r="L3852" s="1204" t="s">
        <v>1204</v>
      </c>
      <c r="M3852" s="1000"/>
      <c r="N3852" s="671" t="s">
        <v>1200</v>
      </c>
      <c r="O3852" s="362"/>
    </row>
    <row r="3853" spans="1:15" ht="15.75" customHeight="1">
      <c r="A3853" s="395" t="str">
        <f t="array" ref="A3853">IF(C3853&lt;&gt;0,INDEX(CodMat,MATCH(C3853,Materiales,0),),)</f>
        <v>MAT_ELE-99</v>
      </c>
      <c r="B3853" s="399"/>
      <c r="C3853" s="1128" t="s">
        <v>2613</v>
      </c>
      <c r="D3853" s="940"/>
      <c r="E3853" s="940"/>
      <c r="F3853" s="940"/>
      <c r="G3853" s="940"/>
      <c r="H3853" s="940"/>
      <c r="I3853" s="941"/>
      <c r="J3853" s="435" t="str">
        <f t="shared" ref="J3853:J3860" si="284">IF($A3853&gt;0,(VLOOKUP($A3853,TablaInsumos,5,FALSE)),"")</f>
        <v>UND</v>
      </c>
      <c r="K3853" s="673">
        <v>1</v>
      </c>
      <c r="L3853" s="1134">
        <f t="shared" ref="L3853:L3860" si="285">IF($A3853&gt;0,(VLOOKUP($A3853,TablaInsumos,7,FALSE)),"")</f>
        <v>15900</v>
      </c>
      <c r="M3853" s="941"/>
      <c r="N3853" s="430">
        <f t="shared" ref="N3853:N3860" si="286">IF(K3853&gt;0,L3853*K3853,"")</f>
        <v>15900</v>
      </c>
      <c r="O3853" s="362"/>
    </row>
    <row r="3854" spans="1:15" ht="15.75" customHeight="1">
      <c r="A3854" s="395" t="str">
        <f t="array" ref="A3854">IF(C3854&lt;&gt;0,INDEX(CodMat,MATCH(C3854,Materiales,0),),)</f>
        <v>MAT_ELE-98</v>
      </c>
      <c r="B3854" s="399"/>
      <c r="C3854" s="1128" t="s">
        <v>2614</v>
      </c>
      <c r="D3854" s="940"/>
      <c r="E3854" s="940"/>
      <c r="F3854" s="940"/>
      <c r="G3854" s="940"/>
      <c r="H3854" s="940"/>
      <c r="I3854" s="941"/>
      <c r="J3854" s="435" t="str">
        <f t="shared" si="284"/>
        <v>UND</v>
      </c>
      <c r="K3854" s="673">
        <v>1</v>
      </c>
      <c r="L3854" s="1134">
        <f t="shared" si="285"/>
        <v>5900</v>
      </c>
      <c r="M3854" s="941"/>
      <c r="N3854" s="430">
        <f t="shared" si="286"/>
        <v>5900</v>
      </c>
      <c r="O3854" s="362"/>
    </row>
    <row r="3855" spans="1:15" ht="15.75" customHeight="1">
      <c r="A3855" s="395">
        <f t="array" ref="A3855">IF(C3855&lt;&gt;0,INDEX(CodMat,MATCH(C3855,Materiales,0),),)</f>
        <v>0</v>
      </c>
      <c r="B3855" s="399"/>
      <c r="C3855" s="1128"/>
      <c r="D3855" s="940"/>
      <c r="E3855" s="940"/>
      <c r="F3855" s="940"/>
      <c r="G3855" s="940"/>
      <c r="H3855" s="940"/>
      <c r="I3855" s="941"/>
      <c r="J3855" s="435" t="str">
        <f t="shared" si="284"/>
        <v/>
      </c>
      <c r="K3855" s="673"/>
      <c r="L3855" s="1134" t="str">
        <f t="shared" si="285"/>
        <v/>
      </c>
      <c r="M3855" s="941"/>
      <c r="N3855" s="430" t="str">
        <f t="shared" si="286"/>
        <v/>
      </c>
      <c r="O3855" s="362"/>
    </row>
    <row r="3856" spans="1:15" ht="15.75" customHeight="1">
      <c r="A3856" s="395">
        <f t="array" ref="A3856">IF(C3856&lt;&gt;0,INDEX(CodMat,MATCH(C3856,Materiales,0),),)</f>
        <v>0</v>
      </c>
      <c r="B3856" s="399"/>
      <c r="C3856" s="1128"/>
      <c r="D3856" s="940"/>
      <c r="E3856" s="940"/>
      <c r="F3856" s="940"/>
      <c r="G3856" s="940"/>
      <c r="H3856" s="940"/>
      <c r="I3856" s="941"/>
      <c r="J3856" s="435" t="str">
        <f t="shared" si="284"/>
        <v/>
      </c>
      <c r="K3856" s="673"/>
      <c r="L3856" s="1134" t="str">
        <f t="shared" si="285"/>
        <v/>
      </c>
      <c r="M3856" s="941"/>
      <c r="N3856" s="430" t="str">
        <f t="shared" si="286"/>
        <v/>
      </c>
      <c r="O3856" s="362"/>
    </row>
    <row r="3857" spans="1:15" ht="15.75" customHeight="1">
      <c r="A3857" s="395">
        <f t="array" ref="A3857">IF(C3857&lt;&gt;0,INDEX(CodMat,MATCH(C3857,Materiales,0),),)</f>
        <v>0</v>
      </c>
      <c r="B3857" s="399"/>
      <c r="C3857" s="1128"/>
      <c r="D3857" s="940"/>
      <c r="E3857" s="940"/>
      <c r="F3857" s="940"/>
      <c r="G3857" s="940"/>
      <c r="H3857" s="940"/>
      <c r="I3857" s="941"/>
      <c r="J3857" s="435" t="str">
        <f t="shared" si="284"/>
        <v/>
      </c>
      <c r="K3857" s="436"/>
      <c r="L3857" s="1134" t="str">
        <f t="shared" si="285"/>
        <v/>
      </c>
      <c r="M3857" s="941"/>
      <c r="N3857" s="430" t="str">
        <f t="shared" si="286"/>
        <v/>
      </c>
      <c r="O3857" s="362"/>
    </row>
    <row r="3858" spans="1:15" ht="15.75" customHeight="1">
      <c r="A3858" s="395">
        <f t="array" ref="A3858">IF(C3858&lt;&gt;0,INDEX(CodMat,MATCH(C3858,Materiales,0),),)</f>
        <v>0</v>
      </c>
      <c r="B3858" s="399"/>
      <c r="C3858" s="1128"/>
      <c r="D3858" s="940"/>
      <c r="E3858" s="940"/>
      <c r="F3858" s="940"/>
      <c r="G3858" s="940"/>
      <c r="H3858" s="940"/>
      <c r="I3858" s="941"/>
      <c r="J3858" s="435" t="str">
        <f t="shared" si="284"/>
        <v/>
      </c>
      <c r="K3858" s="436"/>
      <c r="L3858" s="1134" t="str">
        <f t="shared" si="285"/>
        <v/>
      </c>
      <c r="M3858" s="941"/>
      <c r="N3858" s="430" t="str">
        <f t="shared" si="286"/>
        <v/>
      </c>
      <c r="O3858" s="362"/>
    </row>
    <row r="3859" spans="1:15" ht="15.75" customHeight="1">
      <c r="A3859" s="395">
        <f t="array" ref="A3859">IF(C3859&lt;&gt;0,INDEX(CodMat,MATCH(C3859,Materiales,0),),)</f>
        <v>0</v>
      </c>
      <c r="B3859" s="399"/>
      <c r="C3859" s="1128"/>
      <c r="D3859" s="940"/>
      <c r="E3859" s="940"/>
      <c r="F3859" s="940"/>
      <c r="G3859" s="940"/>
      <c r="H3859" s="940"/>
      <c r="I3859" s="941"/>
      <c r="J3859" s="435" t="str">
        <f t="shared" si="284"/>
        <v/>
      </c>
      <c r="K3859" s="436"/>
      <c r="L3859" s="1134" t="str">
        <f t="shared" si="285"/>
        <v/>
      </c>
      <c r="M3859" s="941"/>
      <c r="N3859" s="430" t="str">
        <f t="shared" si="286"/>
        <v/>
      </c>
      <c r="O3859" s="362"/>
    </row>
    <row r="3860" spans="1:15" ht="15.75" customHeight="1">
      <c r="A3860" s="395">
        <f t="array" ref="A3860">IF(C3860&lt;&gt;0,INDEX(CodMat,MATCH(C3860,Materiales,0),),)</f>
        <v>0</v>
      </c>
      <c r="B3860" s="399"/>
      <c r="C3860" s="1128"/>
      <c r="D3860" s="940"/>
      <c r="E3860" s="940"/>
      <c r="F3860" s="940"/>
      <c r="G3860" s="940"/>
      <c r="H3860" s="940"/>
      <c r="I3860" s="941"/>
      <c r="J3860" s="435" t="str">
        <f t="shared" si="284"/>
        <v/>
      </c>
      <c r="K3860" s="436"/>
      <c r="L3860" s="1205" t="str">
        <f t="shared" si="285"/>
        <v/>
      </c>
      <c r="M3860" s="1145"/>
      <c r="N3860" s="430" t="str">
        <f t="shared" si="286"/>
        <v/>
      </c>
      <c r="O3860" s="362"/>
    </row>
    <row r="3861" spans="1:15" ht="15.75" customHeight="1">
      <c r="A3861" s="395"/>
      <c r="B3861" s="399"/>
      <c r="C3861" s="1127" t="s">
        <v>1202</v>
      </c>
      <c r="D3861" s="965"/>
      <c r="E3861" s="965"/>
      <c r="F3861" s="965"/>
      <c r="G3861" s="965"/>
      <c r="H3861" s="965"/>
      <c r="I3861" s="965"/>
      <c r="J3861" s="965"/>
      <c r="K3861" s="965"/>
      <c r="L3861" s="965"/>
      <c r="M3861" s="966"/>
      <c r="N3861" s="433">
        <f>+SUM(N3853:N3860)</f>
        <v>21800</v>
      </c>
      <c r="O3861" s="362"/>
    </row>
    <row r="3862" spans="1:15" ht="15.75" customHeight="1">
      <c r="A3862" s="395"/>
      <c r="B3862" s="399"/>
      <c r="C3862" s="1129" t="s">
        <v>1208</v>
      </c>
      <c r="D3862" s="926"/>
      <c r="E3862" s="926"/>
      <c r="F3862" s="926"/>
      <c r="G3862" s="926"/>
      <c r="H3862" s="926"/>
      <c r="I3862" s="926"/>
      <c r="J3862" s="926"/>
      <c r="K3862" s="926"/>
      <c r="L3862" s="926"/>
      <c r="M3862" s="926"/>
      <c r="N3862" s="927"/>
      <c r="O3862" s="362"/>
    </row>
    <row r="3863" spans="1:15" ht="15.75" customHeight="1">
      <c r="A3863" s="395"/>
      <c r="B3863" s="399"/>
      <c r="C3863" s="920"/>
      <c r="D3863" s="922"/>
      <c r="E3863" s="922"/>
      <c r="F3863" s="922"/>
      <c r="G3863" s="922"/>
      <c r="H3863" s="922"/>
      <c r="I3863" s="922"/>
      <c r="J3863" s="922"/>
      <c r="K3863" s="922"/>
      <c r="L3863" s="922"/>
      <c r="M3863" s="922"/>
      <c r="N3863" s="924"/>
      <c r="O3863" s="362"/>
    </row>
    <row r="3864" spans="1:15" ht="15.75" customHeight="1">
      <c r="A3864" s="395"/>
      <c r="B3864" s="399"/>
      <c r="C3864" s="929"/>
      <c r="D3864" s="936"/>
      <c r="E3864" s="936"/>
      <c r="F3864" s="936"/>
      <c r="G3864" s="936"/>
      <c r="H3864" s="936"/>
      <c r="I3864" s="936"/>
      <c r="J3864" s="936"/>
      <c r="K3864" s="936"/>
      <c r="L3864" s="936"/>
      <c r="M3864" s="936"/>
      <c r="N3864" s="938"/>
      <c r="O3864" s="362"/>
    </row>
    <row r="3865" spans="1:15" ht="15.75" customHeight="1">
      <c r="A3865" s="395"/>
      <c r="B3865" s="399"/>
      <c r="C3865" s="1201" t="s">
        <v>1209</v>
      </c>
      <c r="D3865" s="1131"/>
      <c r="E3865" s="1131"/>
      <c r="F3865" s="1131"/>
      <c r="G3865" s="1131"/>
      <c r="H3865" s="1000"/>
      <c r="I3865" s="670" t="s">
        <v>1210</v>
      </c>
      <c r="J3865" s="674" t="s">
        <v>1211</v>
      </c>
      <c r="K3865" s="675" t="s">
        <v>2318</v>
      </c>
      <c r="L3865" s="1204" t="s">
        <v>1213</v>
      </c>
      <c r="M3865" s="1000"/>
      <c r="N3865" s="671" t="s">
        <v>1200</v>
      </c>
      <c r="O3865" s="362"/>
    </row>
    <row r="3866" spans="1:15" ht="15.75" customHeight="1">
      <c r="A3866" s="395">
        <f t="array" ref="A3866">IF(C3866&lt;&gt;0,INDEX(CodTransporte,MATCH(C3866,Transporte,0),),)</f>
        <v>0</v>
      </c>
      <c r="B3866" s="399"/>
      <c r="C3866" s="1128"/>
      <c r="D3866" s="940"/>
      <c r="E3866" s="940"/>
      <c r="F3866" s="940"/>
      <c r="G3866" s="940"/>
      <c r="H3866" s="940"/>
      <c r="I3866" s="440"/>
      <c r="J3866" s="441" t="str">
        <f>IF($A3866&gt;0,(VLOOKUP($A3866,TablaTransporte,6,FALSE)),"")</f>
        <v/>
      </c>
      <c r="K3866" s="442" t="str">
        <f>IF($A3866&gt;0,(VLOOKUP($A3866,TablaTransporte,5,FALSE)),"")</f>
        <v/>
      </c>
      <c r="L3866" s="1134" t="str">
        <f>IF($A3866&gt;0,(VLOOKUP($A3866,TablaTransporte,7,FALSE)),"")</f>
        <v/>
      </c>
      <c r="M3866" s="941"/>
      <c r="N3866" s="430" t="str">
        <f t="shared" ref="N3866:N3870" si="287">IF(I3866&gt;0,J3866*L3866*I3866,"")</f>
        <v/>
      </c>
      <c r="O3866" s="362"/>
    </row>
    <row r="3867" spans="1:15" ht="15.75" customHeight="1">
      <c r="A3867" s="395">
        <f t="array" ref="A3867">IF(C3867&lt;&gt;0,INDEX(CodTransporte,MATCH(C3867,Transporte,0),),)</f>
        <v>0</v>
      </c>
      <c r="B3867" s="399"/>
      <c r="C3867" s="1128"/>
      <c r="D3867" s="940"/>
      <c r="E3867" s="940"/>
      <c r="F3867" s="940"/>
      <c r="G3867" s="940"/>
      <c r="H3867" s="940"/>
      <c r="I3867" s="440"/>
      <c r="J3867" s="441" t="str">
        <f>IF($A3867&gt;0,(VLOOKUP($A3867,TablaTransporte,6,FALSE)),"")</f>
        <v/>
      </c>
      <c r="K3867" s="442" t="str">
        <f>IF($A3867&gt;0,(VLOOKUP($A3867,TablaTransporte,5,FALSE)),"")</f>
        <v/>
      </c>
      <c r="L3867" s="1134" t="str">
        <f>IF($A3867&gt;0,(VLOOKUP($A3867,TablaTransporte,7,FALSE)),"")</f>
        <v/>
      </c>
      <c r="M3867" s="941"/>
      <c r="N3867" s="430" t="str">
        <f t="shared" si="287"/>
        <v/>
      </c>
      <c r="O3867" s="362"/>
    </row>
    <row r="3868" spans="1:15" ht="15.75" customHeight="1">
      <c r="A3868" s="395">
        <f t="array" ref="A3868">IF(C3868&lt;&gt;0,INDEX(CodTransporte,MATCH(C3868,Transporte,0),),)</f>
        <v>0</v>
      </c>
      <c r="B3868" s="399"/>
      <c r="C3868" s="1128"/>
      <c r="D3868" s="940"/>
      <c r="E3868" s="940"/>
      <c r="F3868" s="940"/>
      <c r="G3868" s="940"/>
      <c r="H3868" s="940"/>
      <c r="I3868" s="440"/>
      <c r="J3868" s="441" t="str">
        <f>IF($A3868&gt;0,(VLOOKUP($A3868,TablaTransporte,6,FALSE)),"")</f>
        <v/>
      </c>
      <c r="K3868" s="442" t="str">
        <f>IF($A3868&gt;0,(VLOOKUP($A3868,TablaTransporte,5,FALSE)),"")</f>
        <v/>
      </c>
      <c r="L3868" s="1134" t="str">
        <f>IF($A3868&gt;0,(VLOOKUP($A3868,TablaTransporte,7,FALSE)),"")</f>
        <v/>
      </c>
      <c r="M3868" s="941"/>
      <c r="N3868" s="430" t="str">
        <f t="shared" si="287"/>
        <v/>
      </c>
      <c r="O3868" s="362"/>
    </row>
    <row r="3869" spans="1:15" ht="15.75" customHeight="1">
      <c r="A3869" s="395">
        <f t="array" ref="A3869">IF(C3869&lt;&gt;0,INDEX(CodTransporte,MATCH(C3869,Transporte,0),),)</f>
        <v>0</v>
      </c>
      <c r="B3869" s="399"/>
      <c r="C3869" s="1128"/>
      <c r="D3869" s="940"/>
      <c r="E3869" s="940"/>
      <c r="F3869" s="940"/>
      <c r="G3869" s="940"/>
      <c r="H3869" s="940"/>
      <c r="I3869" s="440"/>
      <c r="J3869" s="441" t="str">
        <f>IF($A3869&gt;0,(VLOOKUP($A3869,TablaTransporte,6,FALSE)),"")</f>
        <v/>
      </c>
      <c r="K3869" s="442" t="str">
        <f>IF($A3869&gt;0,(VLOOKUP($A3869,TablaTransporte,5,FALSE)),"")</f>
        <v/>
      </c>
      <c r="L3869" s="1134" t="str">
        <f>IF($A3869&gt;0,(VLOOKUP($A3869,TablaTransporte,7,FALSE)),"")</f>
        <v/>
      </c>
      <c r="M3869" s="941"/>
      <c r="N3869" s="430" t="str">
        <f t="shared" si="287"/>
        <v/>
      </c>
      <c r="O3869" s="362"/>
    </row>
    <row r="3870" spans="1:15" ht="15.75" customHeight="1">
      <c r="A3870" s="395">
        <f t="array" ref="A3870">IF(C3870&lt;&gt;0,INDEX(CodTransporte,MATCH(C3870,Transporte,0),),)</f>
        <v>0</v>
      </c>
      <c r="B3870" s="399"/>
      <c r="C3870" s="1128"/>
      <c r="D3870" s="940"/>
      <c r="E3870" s="940"/>
      <c r="F3870" s="940"/>
      <c r="G3870" s="940"/>
      <c r="H3870" s="940"/>
      <c r="I3870" s="440"/>
      <c r="J3870" s="441" t="str">
        <f>IF($A3870&gt;0,(VLOOKUP($A3870,TablaTransporte,6,FALSE)),"")</f>
        <v/>
      </c>
      <c r="K3870" s="442" t="str">
        <f>IF($A3870&gt;0,(VLOOKUP($A3870,TablaTransporte,5,FALSE)),"")</f>
        <v/>
      </c>
      <c r="L3870" s="1205" t="str">
        <f>IF($A3870&gt;0,(VLOOKUP($A3870,TablaTransporte,7,FALSE)),"")</f>
        <v/>
      </c>
      <c r="M3870" s="1145"/>
      <c r="N3870" s="430" t="str">
        <f t="shared" si="287"/>
        <v/>
      </c>
      <c r="O3870" s="362"/>
    </row>
    <row r="3871" spans="1:15" ht="15.75" customHeight="1">
      <c r="A3871" s="395"/>
      <c r="B3871" s="399"/>
      <c r="C3871" s="1127" t="s">
        <v>1202</v>
      </c>
      <c r="D3871" s="965"/>
      <c r="E3871" s="965"/>
      <c r="F3871" s="965"/>
      <c r="G3871" s="965"/>
      <c r="H3871" s="965"/>
      <c r="I3871" s="965"/>
      <c r="J3871" s="965"/>
      <c r="K3871" s="965"/>
      <c r="L3871" s="965"/>
      <c r="M3871" s="966"/>
      <c r="N3871" s="433">
        <f>+SUM(N3866:N3870)</f>
        <v>0</v>
      </c>
      <c r="O3871" s="362"/>
    </row>
    <row r="3872" spans="1:15" ht="15.75" customHeight="1">
      <c r="A3872" s="395"/>
      <c r="B3872" s="399"/>
      <c r="C3872" s="1129" t="s">
        <v>1214</v>
      </c>
      <c r="D3872" s="926"/>
      <c r="E3872" s="926"/>
      <c r="F3872" s="926"/>
      <c r="G3872" s="926"/>
      <c r="H3872" s="926"/>
      <c r="I3872" s="926"/>
      <c r="J3872" s="926"/>
      <c r="K3872" s="926"/>
      <c r="L3872" s="926"/>
      <c r="M3872" s="926"/>
      <c r="N3872" s="927"/>
      <c r="O3872" s="362"/>
    </row>
    <row r="3873" spans="1:18" ht="15.75" customHeight="1">
      <c r="A3873" s="395"/>
      <c r="B3873" s="399"/>
      <c r="C3873" s="920"/>
      <c r="D3873" s="922"/>
      <c r="E3873" s="922"/>
      <c r="F3873" s="922"/>
      <c r="G3873" s="922"/>
      <c r="H3873" s="922"/>
      <c r="I3873" s="922"/>
      <c r="J3873" s="922"/>
      <c r="K3873" s="922"/>
      <c r="L3873" s="922"/>
      <c r="M3873" s="922"/>
      <c r="N3873" s="924"/>
      <c r="O3873" s="362"/>
    </row>
    <row r="3874" spans="1:18" ht="15.75" customHeight="1">
      <c r="A3874" s="395"/>
      <c r="B3874" s="399"/>
      <c r="C3874" s="929"/>
      <c r="D3874" s="936"/>
      <c r="E3874" s="936"/>
      <c r="F3874" s="936"/>
      <c r="G3874" s="936"/>
      <c r="H3874" s="936"/>
      <c r="I3874" s="936"/>
      <c r="J3874" s="936"/>
      <c r="K3874" s="936"/>
      <c r="L3874" s="936"/>
      <c r="M3874" s="936"/>
      <c r="N3874" s="938"/>
      <c r="O3874" s="362"/>
    </row>
    <row r="3875" spans="1:18" ht="15.75" customHeight="1">
      <c r="A3875" s="395"/>
      <c r="B3875" s="399"/>
      <c r="C3875" s="1201" t="s">
        <v>1215</v>
      </c>
      <c r="D3875" s="1131"/>
      <c r="E3875" s="1131"/>
      <c r="F3875" s="1131"/>
      <c r="G3875" s="1131"/>
      <c r="H3875" s="1000"/>
      <c r="I3875" s="670" t="s">
        <v>1216</v>
      </c>
      <c r="J3875" s="676" t="s">
        <v>1217</v>
      </c>
      <c r="K3875" s="677" t="s">
        <v>1218</v>
      </c>
      <c r="L3875" s="1206" t="s">
        <v>1199</v>
      </c>
      <c r="M3875" s="1000"/>
      <c r="N3875" s="678" t="s">
        <v>1200</v>
      </c>
      <c r="O3875" s="362"/>
    </row>
    <row r="3876" spans="1:18" ht="15.75" customHeight="1">
      <c r="A3876" s="395" t="str">
        <f t="array" ref="A3876">IF(C3876&lt;&gt;0,INDEX(CodMO,MATCH(C3876,MO,0),),)</f>
        <v>M.O-15</v>
      </c>
      <c r="B3876" s="399"/>
      <c r="C3876" s="1128" t="s">
        <v>2607</v>
      </c>
      <c r="D3876" s="940"/>
      <c r="E3876" s="940"/>
      <c r="F3876" s="940"/>
      <c r="G3876" s="940"/>
      <c r="H3876" s="940"/>
      <c r="I3876" s="447">
        <f>IF($A3876&gt;0,(VLOOKUP($A3876,TablaMO,8,FALSE)),"")</f>
        <v>366787.33333333331</v>
      </c>
      <c r="J3876" s="448">
        <f>IF($A3876&gt;0,(VLOOKUP($A3876,TablaMO,10,FALSE)),"")</f>
        <v>0.67071666666666663</v>
      </c>
      <c r="K3876" s="447">
        <f>IF($A3876&gt;0,(VLOOKUP($A3876,TablaMO,11,FALSE)),"")</f>
        <v>367679</v>
      </c>
      <c r="L3876" s="1146">
        <v>53.838106438193549</v>
      </c>
      <c r="M3876" s="941"/>
      <c r="N3876" s="430">
        <f t="shared" ref="N3876:N3880" si="288">IF(L3876&gt;0,K3876/L3876,"")</f>
        <v>6829.3449440332297</v>
      </c>
      <c r="O3876" s="362"/>
    </row>
    <row r="3877" spans="1:18" ht="15.75" customHeight="1">
      <c r="A3877" s="395">
        <f t="array" ref="A3877">IF(C3877&lt;&gt;0,INDEX(CodMO,MATCH(C3877,MO,0),),)</f>
        <v>0</v>
      </c>
      <c r="B3877" s="399"/>
      <c r="C3877" s="1128"/>
      <c r="D3877" s="940"/>
      <c r="E3877" s="940"/>
      <c r="F3877" s="940"/>
      <c r="G3877" s="940"/>
      <c r="H3877" s="940"/>
      <c r="I3877" s="447" t="str">
        <f>IF($A3877&gt;0,(VLOOKUP($A3877,TablaMO,8,FALSE)),"")</f>
        <v/>
      </c>
      <c r="J3877" s="448" t="str">
        <f>IF($A3877&gt;0,(VLOOKUP($A3877,TablaMO,10,FALSE)),"")</f>
        <v/>
      </c>
      <c r="K3877" s="447" t="str">
        <f>IF($A3877&gt;0,(VLOOKUP($A3877,TablaMO,11,FALSE)),"")</f>
        <v/>
      </c>
      <c r="L3877" s="1146"/>
      <c r="M3877" s="941"/>
      <c r="N3877" s="430" t="str">
        <f t="shared" si="288"/>
        <v/>
      </c>
      <c r="O3877" s="362"/>
    </row>
    <row r="3878" spans="1:18" ht="15.75" customHeight="1">
      <c r="A3878" s="395">
        <f t="array" ref="A3878">IF(C3878&lt;&gt;0,INDEX(CodMO,MATCH(C3878,MO,0),),)</f>
        <v>0</v>
      </c>
      <c r="B3878" s="399"/>
      <c r="C3878" s="1128"/>
      <c r="D3878" s="940"/>
      <c r="E3878" s="940"/>
      <c r="F3878" s="940"/>
      <c r="G3878" s="940"/>
      <c r="H3878" s="940"/>
      <c r="I3878" s="447" t="str">
        <f>IF($A3878&gt;0,(VLOOKUP($A3878,TablaMO,8,FALSE)),"")</f>
        <v/>
      </c>
      <c r="J3878" s="448" t="str">
        <f>IF($A3878&gt;0,(VLOOKUP($A3878,TablaMO,10,FALSE)),"")</f>
        <v/>
      </c>
      <c r="K3878" s="447" t="str">
        <f>IF($A3878&gt;0,(VLOOKUP($A3878,TablaMO,11,FALSE)),"")</f>
        <v/>
      </c>
      <c r="L3878" s="1146"/>
      <c r="M3878" s="941"/>
      <c r="N3878" s="430" t="str">
        <f t="shared" si="288"/>
        <v/>
      </c>
      <c r="O3878" s="362"/>
    </row>
    <row r="3879" spans="1:18" ht="15.75" customHeight="1">
      <c r="A3879" s="395">
        <f t="array" ref="A3879">IF(C3879&lt;&gt;0,INDEX(CodMO,MATCH(C3879,MO,0),),)</f>
        <v>0</v>
      </c>
      <c r="B3879" s="399"/>
      <c r="C3879" s="1128"/>
      <c r="D3879" s="940"/>
      <c r="E3879" s="940"/>
      <c r="F3879" s="940"/>
      <c r="G3879" s="940"/>
      <c r="H3879" s="940"/>
      <c r="I3879" s="447" t="str">
        <f>IF($A3879&gt;0,(VLOOKUP($A3879,TablaMO,8,FALSE)),"")</f>
        <v/>
      </c>
      <c r="J3879" s="448" t="str">
        <f>IF($A3879&gt;0,(VLOOKUP($A3879,TablaMO,10,FALSE)),"")</f>
        <v/>
      </c>
      <c r="K3879" s="447" t="str">
        <f>IF($A3879&gt;0,(VLOOKUP($A3879,TablaMO,11,FALSE)),"")</f>
        <v/>
      </c>
      <c r="L3879" s="1146"/>
      <c r="M3879" s="941"/>
      <c r="N3879" s="430" t="str">
        <f t="shared" si="288"/>
        <v/>
      </c>
      <c r="O3879" s="362"/>
    </row>
    <row r="3880" spans="1:18" ht="15.75" customHeight="1">
      <c r="A3880" s="395">
        <f t="array" ref="A3880">IF(C3880&lt;&gt;0,INDEX(CodMO,MATCH(C3880,MO,0),),)</f>
        <v>0</v>
      </c>
      <c r="B3880" s="399"/>
      <c r="C3880" s="1128"/>
      <c r="D3880" s="940"/>
      <c r="E3880" s="940"/>
      <c r="F3880" s="940"/>
      <c r="G3880" s="940"/>
      <c r="H3880" s="940"/>
      <c r="I3880" s="447" t="str">
        <f>IF($A3880&gt;0,(VLOOKUP($A3880,TablaMO,8,FALSE)),"")</f>
        <v/>
      </c>
      <c r="J3880" s="448" t="str">
        <f>IF($A3880&gt;0,(VLOOKUP($A3880,TablaMO,10,FALSE)),"")</f>
        <v/>
      </c>
      <c r="K3880" s="447" t="str">
        <f>IF($A3880&gt;0,(VLOOKUP($A3880,TablaMO,11,FALSE)),"")</f>
        <v/>
      </c>
      <c r="L3880" s="1146"/>
      <c r="M3880" s="941"/>
      <c r="N3880" s="430" t="str">
        <f t="shared" si="288"/>
        <v/>
      </c>
      <c r="O3880" s="362"/>
    </row>
    <row r="3881" spans="1:18" ht="15.75" customHeight="1">
      <c r="A3881" s="395"/>
      <c r="B3881" s="399"/>
      <c r="C3881" s="1127" t="s">
        <v>1202</v>
      </c>
      <c r="D3881" s="965"/>
      <c r="E3881" s="965"/>
      <c r="F3881" s="965"/>
      <c r="G3881" s="965"/>
      <c r="H3881" s="965"/>
      <c r="I3881" s="965"/>
      <c r="J3881" s="965"/>
      <c r="K3881" s="965"/>
      <c r="L3881" s="965"/>
      <c r="M3881" s="966"/>
      <c r="N3881" s="433">
        <f>+SUM(N3876:N3880)</f>
        <v>6829.3449440332297</v>
      </c>
      <c r="O3881" s="362"/>
    </row>
    <row r="3882" spans="1:18" ht="15.75" customHeight="1">
      <c r="B3882" s="679"/>
      <c r="O3882" s="362"/>
    </row>
    <row r="3883" spans="1:18" ht="15.75" customHeight="1">
      <c r="B3883" s="679"/>
      <c r="C3883" s="1198" t="s">
        <v>1219</v>
      </c>
      <c r="D3883" s="965"/>
      <c r="E3883" s="965"/>
      <c r="F3883" s="965"/>
      <c r="G3883" s="965"/>
      <c r="H3883" s="965"/>
      <c r="I3883" s="965"/>
      <c r="J3883" s="965"/>
      <c r="K3883" s="965"/>
      <c r="L3883" s="965"/>
      <c r="M3883" s="966"/>
      <c r="N3883" s="680">
        <f>ROUND(SUM(N3881,N3871,N3861,N3848),0)</f>
        <v>28971</v>
      </c>
      <c r="O3883" s="362"/>
      <c r="Q3883" s="681">
        <f>VLOOKUP(C3837,PROPUESTASASERCO,8,FALSE)</f>
        <v>28971</v>
      </c>
      <c r="R3883" s="682">
        <f>Q3883-N3883</f>
        <v>0</v>
      </c>
    </row>
    <row r="3884" spans="1:18" ht="15.75" customHeight="1">
      <c r="B3884" s="679"/>
      <c r="C3884" s="1129" t="s">
        <v>1220</v>
      </c>
      <c r="D3884" s="926"/>
      <c r="E3884" s="926"/>
      <c r="F3884" s="926"/>
      <c r="G3884" s="926"/>
      <c r="H3884" s="926"/>
      <c r="I3884" s="926"/>
      <c r="J3884" s="926"/>
      <c r="K3884" s="926"/>
      <c r="L3884" s="926"/>
      <c r="M3884" s="926"/>
      <c r="N3884" s="927"/>
      <c r="O3884" s="362"/>
    </row>
    <row r="3885" spans="1:18" ht="15.75" customHeight="1">
      <c r="B3885" s="679"/>
      <c r="C3885" s="920"/>
      <c r="D3885" s="922"/>
      <c r="E3885" s="922"/>
      <c r="F3885" s="922"/>
      <c r="G3885" s="922"/>
      <c r="H3885" s="922"/>
      <c r="I3885" s="922"/>
      <c r="J3885" s="922"/>
      <c r="K3885" s="922"/>
      <c r="L3885" s="922"/>
      <c r="M3885" s="922"/>
      <c r="N3885" s="924"/>
      <c r="O3885" s="362"/>
    </row>
    <row r="3886" spans="1:18" ht="15.75" customHeight="1">
      <c r="B3886" s="679"/>
      <c r="C3886" s="929"/>
      <c r="D3886" s="936"/>
      <c r="E3886" s="936"/>
      <c r="F3886" s="936"/>
      <c r="G3886" s="936"/>
      <c r="H3886" s="936"/>
      <c r="I3886" s="936"/>
      <c r="J3886" s="936"/>
      <c r="K3886" s="936"/>
      <c r="L3886" s="936"/>
      <c r="M3886" s="936"/>
      <c r="N3886" s="938"/>
      <c r="O3886" s="362"/>
    </row>
    <row r="3887" spans="1:18" ht="15.75" customHeight="1">
      <c r="B3887" s="679"/>
      <c r="C3887" s="1201" t="s">
        <v>1221</v>
      </c>
      <c r="D3887" s="1131"/>
      <c r="E3887" s="1131"/>
      <c r="F3887" s="1131"/>
      <c r="G3887" s="1131"/>
      <c r="H3887" s="1132"/>
      <c r="I3887" s="674"/>
      <c r="J3887" s="674"/>
      <c r="K3887" s="674"/>
      <c r="L3887" s="1206" t="s">
        <v>1222</v>
      </c>
      <c r="M3887" s="1000"/>
      <c r="N3887" s="678" t="s">
        <v>1223</v>
      </c>
      <c r="O3887" s="362"/>
    </row>
    <row r="3888" spans="1:18" ht="15.75" customHeight="1">
      <c r="B3888" s="679"/>
      <c r="C3888" s="1128" t="s">
        <v>19</v>
      </c>
      <c r="D3888" s="940"/>
      <c r="E3888" s="940"/>
      <c r="F3888" s="940"/>
      <c r="G3888" s="940"/>
      <c r="H3888" s="940"/>
      <c r="I3888" s="452"/>
      <c r="J3888" s="452"/>
      <c r="K3888" s="452"/>
      <c r="L3888" s="1148">
        <f>+Datos!$E$18</f>
        <v>0.25</v>
      </c>
      <c r="M3888" s="941"/>
      <c r="N3888" s="430">
        <f>+L3888*N3883</f>
        <v>7242.75</v>
      </c>
      <c r="O3888" s="362"/>
    </row>
    <row r="3889" spans="2:15" ht="15.75" customHeight="1">
      <c r="B3889" s="679"/>
      <c r="C3889" s="454" t="s">
        <v>20</v>
      </c>
      <c r="D3889" s="455"/>
      <c r="E3889" s="455"/>
      <c r="F3889" s="455"/>
      <c r="G3889" s="455"/>
      <c r="H3889" s="455"/>
      <c r="I3889" s="452"/>
      <c r="J3889" s="452"/>
      <c r="K3889" s="452"/>
      <c r="L3889" s="1148">
        <f>+Datos!$E$19</f>
        <v>0.01</v>
      </c>
      <c r="M3889" s="941"/>
      <c r="N3889" s="430">
        <f>+L3889*N3883</f>
        <v>289.70999999999998</v>
      </c>
      <c r="O3889" s="362"/>
    </row>
    <row r="3890" spans="2:15" ht="15.75" customHeight="1">
      <c r="B3890" s="679"/>
      <c r="C3890" s="456" t="s">
        <v>21</v>
      </c>
      <c r="D3890" s="457"/>
      <c r="E3890" s="457"/>
      <c r="F3890" s="457"/>
      <c r="G3890" s="457"/>
      <c r="H3890" s="457"/>
      <c r="I3890" s="458"/>
      <c r="J3890" s="458"/>
      <c r="K3890" s="458"/>
      <c r="L3890" s="1148">
        <f>+Datos!$E$20</f>
        <v>0.05</v>
      </c>
      <c r="M3890" s="941"/>
      <c r="N3890" s="430">
        <f>+L3890*N3883</f>
        <v>1448.5500000000002</v>
      </c>
      <c r="O3890" s="362"/>
    </row>
    <row r="3891" spans="2:15" ht="15.75" customHeight="1">
      <c r="B3891" s="679"/>
      <c r="C3891" s="1127" t="s">
        <v>1202</v>
      </c>
      <c r="D3891" s="965"/>
      <c r="E3891" s="965"/>
      <c r="F3891" s="965"/>
      <c r="G3891" s="965"/>
      <c r="H3891" s="965"/>
      <c r="I3891" s="965"/>
      <c r="J3891" s="965"/>
      <c r="K3891" s="965"/>
      <c r="L3891" s="965"/>
      <c r="M3891" s="966"/>
      <c r="N3891" s="433">
        <f>+SUM(N3888:N3890)</f>
        <v>8981.01</v>
      </c>
      <c r="O3891" s="362"/>
    </row>
    <row r="3892" spans="2:15" ht="15.75" customHeight="1">
      <c r="B3892" s="679"/>
      <c r="C3892" s="418"/>
      <c r="D3892" s="39"/>
      <c r="E3892" s="39"/>
      <c r="F3892" s="39"/>
      <c r="G3892" s="39"/>
      <c r="H3892" s="39"/>
      <c r="I3892" s="39"/>
      <c r="J3892" s="39"/>
      <c r="K3892" s="39"/>
      <c r="L3892" s="39"/>
      <c r="M3892" s="39"/>
      <c r="N3892" s="40"/>
      <c r="O3892" s="362"/>
    </row>
    <row r="3893" spans="2:15" ht="15.75" customHeight="1">
      <c r="B3893" s="679"/>
      <c r="C3893" s="1198" t="s">
        <v>1224</v>
      </c>
      <c r="D3893" s="965"/>
      <c r="E3893" s="965"/>
      <c r="F3893" s="965"/>
      <c r="G3893" s="965"/>
      <c r="H3893" s="965"/>
      <c r="I3893" s="965"/>
      <c r="J3893" s="965"/>
      <c r="K3893" s="965"/>
      <c r="L3893" s="965"/>
      <c r="M3893" s="966"/>
      <c r="N3893" s="683">
        <f>+ROUND(SUM(N3891,N3883),0)</f>
        <v>37952</v>
      </c>
      <c r="O3893" s="362"/>
    </row>
    <row r="3894" spans="2:15" ht="15.75" customHeight="1">
      <c r="B3894" s="679"/>
      <c r="C3894" s="418"/>
      <c r="D3894" s="39" t="s">
        <v>1225</v>
      </c>
      <c r="E3894" s="39"/>
      <c r="F3894" s="39"/>
      <c r="G3894" s="184"/>
      <c r="H3894" s="184"/>
      <c r="I3894" s="184"/>
      <c r="J3894" s="39" t="s">
        <v>1225</v>
      </c>
      <c r="K3894" s="39"/>
      <c r="L3894" s="39"/>
      <c r="M3894" s="39"/>
      <c r="N3894" s="40"/>
      <c r="O3894" s="362"/>
    </row>
    <row r="3895" spans="2:15" ht="15.75" customHeight="1">
      <c r="B3895" s="679"/>
      <c r="C3895" s="418"/>
      <c r="D3895" s="39" t="s">
        <v>1226</v>
      </c>
      <c r="E3895" s="39"/>
      <c r="F3895" s="39"/>
      <c r="G3895" s="184"/>
      <c r="H3895" s="184"/>
      <c r="I3895" s="184"/>
      <c r="J3895" s="39" t="s">
        <v>1227</v>
      </c>
      <c r="K3895" s="39"/>
      <c r="L3895" s="39"/>
      <c r="M3895" s="39"/>
      <c r="N3895" s="40"/>
      <c r="O3895" s="362"/>
    </row>
    <row r="3896" spans="2:15" ht="15.75" customHeight="1">
      <c r="B3896" s="679"/>
      <c r="C3896" s="404"/>
      <c r="D3896" s="39" t="s">
        <v>1228</v>
      </c>
      <c r="E3896" s="42"/>
      <c r="F3896" s="42"/>
      <c r="G3896" s="184"/>
      <c r="H3896" s="184"/>
      <c r="I3896" s="184"/>
      <c r="J3896" s="39" t="s">
        <v>1228</v>
      </c>
      <c r="K3896" s="42"/>
      <c r="L3896" s="42"/>
      <c r="M3896" s="42"/>
      <c r="N3896" s="43"/>
      <c r="O3896" s="362"/>
    </row>
    <row r="3897" spans="2:15" ht="15.75" customHeight="1">
      <c r="B3897" s="679"/>
      <c r="C3897" s="418"/>
      <c r="D3897" s="39"/>
      <c r="E3897" s="39"/>
      <c r="F3897" s="39"/>
      <c r="G3897" s="39" t="s">
        <v>1229</v>
      </c>
      <c r="H3897" s="39"/>
      <c r="I3897" s="39"/>
      <c r="J3897" s="39"/>
      <c r="K3897" s="39"/>
      <c r="L3897" s="39"/>
      <c r="M3897" s="39"/>
      <c r="N3897" s="40"/>
      <c r="O3897" s="362"/>
    </row>
    <row r="3898" spans="2:15" ht="15.75" customHeight="1">
      <c r="B3898" s="679"/>
      <c r="C3898" s="466"/>
      <c r="D3898" s="467"/>
      <c r="E3898" s="467"/>
      <c r="F3898" s="39"/>
      <c r="G3898" s="39"/>
      <c r="H3898" s="39"/>
      <c r="I3898" s="39"/>
      <c r="J3898" s="1149"/>
      <c r="K3898" s="922"/>
      <c r="L3898" s="922"/>
      <c r="M3898" s="922"/>
      <c r="N3898" s="924"/>
      <c r="O3898" s="362"/>
    </row>
    <row r="3899" spans="2:15" ht="15.75" customHeight="1">
      <c r="B3899" s="679"/>
      <c r="C3899" s="1150"/>
      <c r="D3899" s="936"/>
      <c r="E3899" s="936"/>
      <c r="F3899" s="416"/>
      <c r="G3899" s="416"/>
      <c r="H3899" s="416"/>
      <c r="I3899" s="416"/>
      <c r="J3899" s="936"/>
      <c r="K3899" s="936"/>
      <c r="L3899" s="936"/>
      <c r="M3899" s="936"/>
      <c r="N3899" s="938"/>
      <c r="O3899" s="362"/>
    </row>
    <row r="3900" spans="2:15" ht="15.75" customHeight="1">
      <c r="B3900" s="684"/>
      <c r="C3900" s="685"/>
      <c r="D3900" s="685"/>
      <c r="E3900" s="685"/>
      <c r="F3900" s="685"/>
      <c r="G3900" s="685"/>
      <c r="H3900" s="685"/>
      <c r="I3900" s="685"/>
      <c r="J3900" s="685"/>
      <c r="K3900" s="685"/>
      <c r="L3900" s="685"/>
      <c r="M3900" s="685"/>
      <c r="N3900" s="685"/>
      <c r="O3900" s="686"/>
    </row>
    <row r="3901" spans="2:15" ht="15.75" customHeight="1"/>
    <row r="3902" spans="2:15" ht="15.75" customHeight="1"/>
    <row r="3903" spans="2:15" ht="15.75" customHeight="1"/>
    <row r="3904" spans="2:15" ht="15.75" customHeight="1"/>
    <row r="3905" spans="1:15" ht="15.75" customHeight="1"/>
    <row r="3906" spans="1:15" ht="15.75" customHeight="1">
      <c r="A3906" s="395" t="s">
        <v>941</v>
      </c>
      <c r="B3906" s="184"/>
      <c r="C3906" s="184"/>
      <c r="D3906" s="184"/>
      <c r="E3906" s="184"/>
      <c r="F3906" s="184"/>
      <c r="G3906" s="184"/>
      <c r="H3906" s="184"/>
      <c r="I3906" s="184"/>
      <c r="J3906" s="184"/>
      <c r="K3906" s="184"/>
      <c r="L3906" s="184"/>
      <c r="M3906" s="184"/>
      <c r="N3906" s="184"/>
    </row>
    <row r="3907" spans="1:15" ht="15.75" customHeight="1">
      <c r="A3907" s="395"/>
      <c r="B3907" s="396"/>
      <c r="C3907" s="397"/>
      <c r="D3907" s="397"/>
      <c r="E3907" s="397"/>
      <c r="F3907" s="397"/>
      <c r="G3907" s="397"/>
      <c r="H3907" s="397"/>
      <c r="I3907" s="397"/>
      <c r="J3907" s="397"/>
      <c r="K3907" s="397"/>
      <c r="L3907" s="397"/>
      <c r="M3907" s="397"/>
      <c r="N3907" s="397"/>
      <c r="O3907" s="667"/>
    </row>
    <row r="3908" spans="1:15" ht="15.75" customHeight="1">
      <c r="A3908" s="395"/>
      <c r="B3908" s="399"/>
      <c r="C3908" s="1124"/>
      <c r="D3908" s="927"/>
      <c r="E3908" s="1207" t="str">
        <f>Datos!$C$9</f>
        <v>CONSEJO SUPERIOR  DE  JUDICATURA– DIRECCIÓN  EJECUTIVA  SECCIONAL  DE ADMINISTRACIÓN JUDICIAL DE BUCARAMANGA</v>
      </c>
      <c r="F3908" s="926"/>
      <c r="G3908" s="926"/>
      <c r="H3908" s="926"/>
      <c r="I3908" s="926"/>
      <c r="J3908" s="926"/>
      <c r="K3908" s="927"/>
      <c r="L3908" s="925" t="s">
        <v>1</v>
      </c>
      <c r="M3908" s="931"/>
      <c r="N3908" s="933">
        <v>1</v>
      </c>
      <c r="O3908" s="362"/>
    </row>
    <row r="3909" spans="1:15" ht="15.75" customHeight="1">
      <c r="A3909" s="395"/>
      <c r="B3909" s="399"/>
      <c r="C3909" s="920"/>
      <c r="D3909" s="924"/>
      <c r="E3909" s="920"/>
      <c r="F3909" s="922"/>
      <c r="G3909" s="922"/>
      <c r="H3909" s="922"/>
      <c r="I3909" s="922"/>
      <c r="J3909" s="922"/>
      <c r="K3909" s="924"/>
      <c r="L3909" s="920"/>
      <c r="M3909" s="932"/>
      <c r="N3909" s="934"/>
      <c r="O3909" s="362"/>
    </row>
    <row r="3910" spans="1:15" ht="15.75" customHeight="1">
      <c r="A3910" s="395"/>
      <c r="B3910" s="399"/>
      <c r="C3910" s="920"/>
      <c r="D3910" s="924"/>
      <c r="E3910" s="919" t="str">
        <f>Datos!$C$13</f>
        <v xml:space="preserve">BGA - 030 - 2026 </v>
      </c>
      <c r="F3910" s="922"/>
      <c r="G3910" s="922"/>
      <c r="H3910" s="922"/>
      <c r="I3910" s="922"/>
      <c r="J3910" s="922"/>
      <c r="K3910" s="922"/>
      <c r="L3910" s="925" t="s">
        <v>29</v>
      </c>
      <c r="M3910" s="926"/>
      <c r="N3910" s="927"/>
      <c r="O3910" s="362"/>
    </row>
    <row r="3911" spans="1:15" ht="15.75" customHeight="1">
      <c r="A3911" s="395"/>
      <c r="B3911" s="399"/>
      <c r="C3911" s="920"/>
      <c r="D3911" s="924"/>
      <c r="E3911" s="1215"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911" s="1216"/>
      <c r="G3911" s="1216"/>
      <c r="H3911" s="1216"/>
      <c r="I3911" s="1216"/>
      <c r="J3911" s="1216"/>
      <c r="K3911" s="1217"/>
      <c r="L3911" s="919">
        <v>1</v>
      </c>
      <c r="M3911" s="921" t="s">
        <v>30</v>
      </c>
      <c r="N3911" s="923">
        <v>1</v>
      </c>
      <c r="O3911" s="362"/>
    </row>
    <row r="3912" spans="1:15" ht="15.75" customHeight="1">
      <c r="A3912" s="395"/>
      <c r="B3912" s="399"/>
      <c r="C3912" s="920"/>
      <c r="D3912" s="924"/>
      <c r="E3912" s="1218"/>
      <c r="F3912" s="1216"/>
      <c r="G3912" s="1216"/>
      <c r="H3912" s="1216"/>
      <c r="I3912" s="1216"/>
      <c r="J3912" s="1216"/>
      <c r="K3912" s="1217"/>
      <c r="L3912" s="920"/>
      <c r="M3912" s="922"/>
      <c r="N3912" s="924"/>
      <c r="O3912" s="362"/>
    </row>
    <row r="3913" spans="1:15" ht="35.65" customHeight="1">
      <c r="A3913" s="395"/>
      <c r="B3913" s="399"/>
      <c r="C3913" s="920"/>
      <c r="D3913" s="924"/>
      <c r="E3913" s="1218"/>
      <c r="F3913" s="1216"/>
      <c r="G3913" s="1216"/>
      <c r="H3913" s="1216"/>
      <c r="I3913" s="1216"/>
      <c r="J3913" s="1216"/>
      <c r="K3913" s="1217"/>
      <c r="L3913" s="925" t="s">
        <v>2</v>
      </c>
      <c r="M3913" s="926"/>
      <c r="N3913" s="927"/>
      <c r="O3913" s="362"/>
    </row>
    <row r="3914" spans="1:15" ht="15.75" customHeight="1">
      <c r="A3914" s="395"/>
      <c r="B3914" s="399"/>
      <c r="C3914" s="920"/>
      <c r="D3914" s="924"/>
      <c r="E3914" s="407"/>
      <c r="F3914" s="216"/>
      <c r="G3914" s="216"/>
      <c r="H3914" s="216"/>
      <c r="I3914" s="216"/>
      <c r="J3914" s="216"/>
      <c r="K3914" s="216"/>
      <c r="L3914" s="408" t="s">
        <v>3</v>
      </c>
      <c r="M3914" s="409" t="s">
        <v>4</v>
      </c>
      <c r="N3914" s="410" t="s">
        <v>5</v>
      </c>
      <c r="O3914" s="362"/>
    </row>
    <row r="3915" spans="1:15" ht="15.75" customHeight="1">
      <c r="A3915" s="395"/>
      <c r="B3915" s="399"/>
      <c r="C3915" s="920"/>
      <c r="D3915" s="924"/>
      <c r="E3915" s="1125" t="s">
        <v>1186</v>
      </c>
      <c r="F3915" s="945"/>
      <c r="G3915" s="945"/>
      <c r="H3915" s="945"/>
      <c r="I3915" s="945"/>
      <c r="J3915" s="945"/>
      <c r="K3915" s="945"/>
      <c r="L3915" s="928">
        <f>Datos!$C$7</f>
        <v>19</v>
      </c>
      <c r="M3915" s="935">
        <f>Datos!$D$7</f>
        <v>6</v>
      </c>
      <c r="N3915" s="937">
        <f>Datos!$E$7</f>
        <v>2026</v>
      </c>
      <c r="O3915" s="362"/>
    </row>
    <row r="3916" spans="1:15" ht="15.75" customHeight="1">
      <c r="A3916" s="395"/>
      <c r="B3916" s="399"/>
      <c r="C3916" s="929"/>
      <c r="D3916" s="938"/>
      <c r="E3916" s="929"/>
      <c r="F3916" s="936"/>
      <c r="G3916" s="936"/>
      <c r="H3916" s="936"/>
      <c r="I3916" s="936"/>
      <c r="J3916" s="936"/>
      <c r="K3916" s="936"/>
      <c r="L3916" s="929"/>
      <c r="M3916" s="936"/>
      <c r="N3916" s="938"/>
      <c r="O3916" s="362"/>
    </row>
    <row r="3917" spans="1:15" ht="15.75" customHeight="1">
      <c r="A3917" s="395"/>
      <c r="B3917" s="399"/>
      <c r="C3917" s="404"/>
      <c r="D3917" s="38"/>
      <c r="E3917" s="38"/>
      <c r="F3917" s="38"/>
      <c r="G3917" s="38"/>
      <c r="H3917" s="38"/>
      <c r="I3917" s="38"/>
      <c r="J3917" s="38"/>
      <c r="K3917" s="38"/>
      <c r="L3917" s="39"/>
      <c r="M3917" s="39"/>
      <c r="N3917" s="40"/>
      <c r="O3917" s="362"/>
    </row>
    <row r="3918" spans="1:15" ht="15.75" customHeight="1">
      <c r="A3918" s="395"/>
      <c r="B3918" s="399"/>
      <c r="C3918" s="412" t="s">
        <v>1187</v>
      </c>
      <c r="D3918" s="1199" t="str">
        <f>VLOOKUP(C3923,ListaAct,2,0)</f>
        <v>OBRA CIVIL</v>
      </c>
      <c r="E3918" s="922"/>
      <c r="F3918" s="922"/>
      <c r="G3918" s="922"/>
      <c r="H3918" s="922"/>
      <c r="I3918" s="922"/>
      <c r="J3918" s="922"/>
      <c r="K3918" s="922"/>
      <c r="L3918" s="922"/>
      <c r="M3918" s="1"/>
      <c r="N3918" s="413"/>
      <c r="O3918" s="362"/>
    </row>
    <row r="3919" spans="1:15" ht="15.75" customHeight="1">
      <c r="A3919" s="395"/>
      <c r="B3919" s="399"/>
      <c r="C3919" s="412" t="s">
        <v>1189</v>
      </c>
      <c r="D3919" s="1199" t="str">
        <f>VLOOKUP(C3923,ListaAct,3,0)</f>
        <v>ACTIVIDADES ELECTRICAS, DATOS Y DEMAS REQUERIDAS</v>
      </c>
      <c r="E3919" s="922"/>
      <c r="F3919" s="922"/>
      <c r="G3919" s="922"/>
      <c r="H3919" s="922"/>
      <c r="I3919" s="922"/>
      <c r="J3919" s="922"/>
      <c r="K3919" s="922"/>
      <c r="L3919" s="922"/>
      <c r="M3919" s="1"/>
      <c r="N3919" s="413"/>
      <c r="O3919" s="362"/>
    </row>
    <row r="3920" spans="1:15" ht="15.75" customHeight="1">
      <c r="A3920" s="395"/>
      <c r="B3920" s="399"/>
      <c r="C3920" s="925" t="s">
        <v>1191</v>
      </c>
      <c r="D3920" s="926"/>
      <c r="E3920" s="926"/>
      <c r="F3920" s="926"/>
      <c r="G3920" s="926"/>
      <c r="H3920" s="926"/>
      <c r="I3920" s="926"/>
      <c r="J3920" s="926"/>
      <c r="K3920" s="926"/>
      <c r="L3920" s="926"/>
      <c r="M3920" s="926"/>
      <c r="N3920" s="927"/>
      <c r="O3920" s="362"/>
    </row>
    <row r="3921" spans="1:15" ht="15.75" customHeight="1">
      <c r="A3921" s="395"/>
      <c r="B3921" s="399"/>
      <c r="C3921" s="418"/>
      <c r="D3921" s="39"/>
      <c r="E3921" s="39"/>
      <c r="F3921" s="39"/>
      <c r="G3921" s="39"/>
      <c r="H3921" s="39"/>
      <c r="I3921" s="39"/>
      <c r="J3921" s="39"/>
      <c r="K3921" s="39"/>
      <c r="L3921" s="39"/>
      <c r="M3921" s="39"/>
      <c r="N3921" s="40"/>
      <c r="O3921" s="362"/>
    </row>
    <row r="3922" spans="1:15" ht="15.75" customHeight="1">
      <c r="A3922" s="395"/>
      <c r="B3922" s="399"/>
      <c r="C3922" s="668" t="s">
        <v>965</v>
      </c>
      <c r="D3922" s="1200" t="s">
        <v>17</v>
      </c>
      <c r="E3922" s="1131"/>
      <c r="F3922" s="1131"/>
      <c r="G3922" s="1131"/>
      <c r="H3922" s="1131"/>
      <c r="I3922" s="1131"/>
      <c r="J3922" s="1131"/>
      <c r="K3922" s="1137"/>
      <c r="L3922" s="1201" t="s">
        <v>1192</v>
      </c>
      <c r="M3922" s="1137"/>
      <c r="N3922" s="668" t="s">
        <v>950</v>
      </c>
      <c r="O3922" s="362"/>
    </row>
    <row r="3923" spans="1:15" ht="15.75" customHeight="1">
      <c r="A3923" s="395"/>
      <c r="B3923" s="421"/>
      <c r="C3923" s="669" t="s">
        <v>1115</v>
      </c>
      <c r="D3923" s="1202" t="str">
        <f>IF($C3923&gt;0,(VLOOKUP($C3923,ListaAct,4,FALSE)),"")</f>
        <v>Desmonte y reubicacion de tablero de circuitos.</v>
      </c>
      <c r="E3923" s="979"/>
      <c r="F3923" s="979"/>
      <c r="G3923" s="979"/>
      <c r="H3923" s="979"/>
      <c r="I3923" s="979"/>
      <c r="J3923" s="979"/>
      <c r="K3923" s="980"/>
      <c r="L3923" s="1203" t="str">
        <f>IF($C3923&gt;0,(VLOOKUP($C3923,ListaAct,5,FALSE)),"")</f>
        <v>und</v>
      </c>
      <c r="M3923" s="980"/>
      <c r="N3923" s="423">
        <f>IF($C3923&gt;0,(VLOOKUP($C3923,ListaAct,6,FALSE)),"")</f>
        <v>2</v>
      </c>
      <c r="O3923" s="362"/>
    </row>
    <row r="3924" spans="1:15" ht="15.75" customHeight="1">
      <c r="A3924" s="395"/>
      <c r="B3924" s="399"/>
      <c r="C3924" s="1129" t="s">
        <v>1195</v>
      </c>
      <c r="D3924" s="926"/>
      <c r="E3924" s="926"/>
      <c r="F3924" s="926"/>
      <c r="G3924" s="926"/>
      <c r="H3924" s="926"/>
      <c r="I3924" s="926"/>
      <c r="J3924" s="926"/>
      <c r="K3924" s="926"/>
      <c r="L3924" s="926"/>
      <c r="M3924" s="926"/>
      <c r="N3924" s="927"/>
      <c r="O3924" s="362"/>
    </row>
    <row r="3925" spans="1:15" ht="15.75" customHeight="1">
      <c r="A3925" s="395"/>
      <c r="B3925" s="399"/>
      <c r="C3925" s="920"/>
      <c r="D3925" s="922"/>
      <c r="E3925" s="922"/>
      <c r="F3925" s="922"/>
      <c r="G3925" s="922"/>
      <c r="H3925" s="922"/>
      <c r="I3925" s="922"/>
      <c r="J3925" s="922"/>
      <c r="K3925" s="922"/>
      <c r="L3925" s="922"/>
      <c r="M3925" s="922"/>
      <c r="N3925" s="924"/>
      <c r="O3925" s="362"/>
    </row>
    <row r="3926" spans="1:15" ht="15.75" customHeight="1">
      <c r="A3926" s="395"/>
      <c r="B3926" s="399"/>
      <c r="C3926" s="929"/>
      <c r="D3926" s="936"/>
      <c r="E3926" s="936"/>
      <c r="F3926" s="936"/>
      <c r="G3926" s="936"/>
      <c r="H3926" s="936"/>
      <c r="I3926" s="936"/>
      <c r="J3926" s="936"/>
      <c r="K3926" s="936"/>
      <c r="L3926" s="936"/>
      <c r="M3926" s="936"/>
      <c r="N3926" s="938"/>
      <c r="O3926" s="362"/>
    </row>
    <row r="3927" spans="1:15" ht="15.75" customHeight="1">
      <c r="A3927" s="395"/>
      <c r="B3927" s="399"/>
      <c r="C3927" s="1201" t="s">
        <v>17</v>
      </c>
      <c r="D3927" s="1131"/>
      <c r="E3927" s="1131"/>
      <c r="F3927" s="1000"/>
      <c r="G3927" s="1204" t="s">
        <v>1196</v>
      </c>
      <c r="H3927" s="1000"/>
      <c r="I3927" s="1204" t="s">
        <v>1197</v>
      </c>
      <c r="J3927" s="1000"/>
      <c r="K3927" s="670" t="s">
        <v>1213</v>
      </c>
      <c r="L3927" s="1204" t="s">
        <v>1199</v>
      </c>
      <c r="M3927" s="1000"/>
      <c r="N3927" s="671" t="s">
        <v>1200</v>
      </c>
      <c r="O3927" s="362"/>
    </row>
    <row r="3928" spans="1:15" ht="15.75" customHeight="1">
      <c r="A3928" s="395"/>
      <c r="B3928" s="399"/>
      <c r="C3928" s="1128" t="s">
        <v>1201</v>
      </c>
      <c r="D3928" s="940"/>
      <c r="E3928" s="940"/>
      <c r="F3928" s="941"/>
      <c r="G3928" s="1142"/>
      <c r="H3928" s="941"/>
      <c r="I3928" s="1142"/>
      <c r="J3928" s="941"/>
      <c r="K3928" s="429"/>
      <c r="L3928" s="1143">
        <v>0.05</v>
      </c>
      <c r="M3928" s="941"/>
      <c r="N3928" s="430">
        <f>+L3928*N3967</f>
        <v>6468.1484164997273</v>
      </c>
      <c r="O3928" s="362"/>
    </row>
    <row r="3929" spans="1:15" ht="15.75" customHeight="1">
      <c r="A3929" s="395">
        <f t="array" ref="A3929">IF(C3929&lt;&gt;0,INDEX(CodEquipos,MATCH(C3929,Equipos,0),),)</f>
        <v>0</v>
      </c>
      <c r="B3929" s="399"/>
      <c r="C3929" s="1128"/>
      <c r="D3929" s="940"/>
      <c r="E3929" s="940"/>
      <c r="F3929" s="941"/>
      <c r="G3929" s="1142"/>
      <c r="H3929" s="941"/>
      <c r="I3929" s="1142"/>
      <c r="J3929" s="941"/>
      <c r="K3929" s="432" t="str">
        <f>IF($A3929&gt;0,(VLOOKUP($A3929,TablaEquipos,7,FALSE)),"")</f>
        <v/>
      </c>
      <c r="L3929" s="1146"/>
      <c r="M3929" s="941"/>
      <c r="N3929" s="430" t="str">
        <f t="shared" ref="N3929:N3933" si="289">IF(L3929&gt;0,K3929/L3929,"")</f>
        <v/>
      </c>
      <c r="O3929" s="362"/>
    </row>
    <row r="3930" spans="1:15" ht="15.75" customHeight="1">
      <c r="A3930" s="395">
        <f t="array" ref="A3930">IF(C3930&lt;&gt;0,INDEX(CodEquipos,MATCH(C3930,Equipos,0),),)</f>
        <v>0</v>
      </c>
      <c r="B3930" s="399"/>
      <c r="C3930" s="1128"/>
      <c r="D3930" s="940"/>
      <c r="E3930" s="940"/>
      <c r="F3930" s="941"/>
      <c r="G3930" s="1142"/>
      <c r="H3930" s="941"/>
      <c r="I3930" s="1142"/>
      <c r="J3930" s="941"/>
      <c r="K3930" s="432" t="str">
        <f>IF($A3930&gt;0,(VLOOKUP($A3930,TablaEquipos,7,FALSE)),"")</f>
        <v/>
      </c>
      <c r="L3930" s="1146"/>
      <c r="M3930" s="941"/>
      <c r="N3930" s="430" t="str">
        <f t="shared" si="289"/>
        <v/>
      </c>
      <c r="O3930" s="362"/>
    </row>
    <row r="3931" spans="1:15" ht="15.75" customHeight="1">
      <c r="A3931" s="395">
        <f t="array" ref="A3931">IF(C3931&lt;&gt;0,INDEX(CodEquipos,MATCH(C3931,Equipos,0),),)</f>
        <v>0</v>
      </c>
      <c r="B3931" s="399"/>
      <c r="C3931" s="1128"/>
      <c r="D3931" s="940"/>
      <c r="E3931" s="940"/>
      <c r="F3931" s="941"/>
      <c r="G3931" s="1142"/>
      <c r="H3931" s="941"/>
      <c r="I3931" s="1142"/>
      <c r="J3931" s="941"/>
      <c r="K3931" s="432" t="str">
        <f>IF($A3931&gt;0,(VLOOKUP($A3931,TablaEquipos,7,FALSE)),"")</f>
        <v/>
      </c>
      <c r="L3931" s="1146"/>
      <c r="M3931" s="941"/>
      <c r="N3931" s="430" t="str">
        <f t="shared" si="289"/>
        <v/>
      </c>
      <c r="O3931" s="362"/>
    </row>
    <row r="3932" spans="1:15" ht="15.75" customHeight="1">
      <c r="A3932" s="395">
        <f t="array" ref="A3932">IF(C3932&lt;&gt;0,INDEX(CodEquipos,MATCH(C3932,Equipos,0),),)</f>
        <v>0</v>
      </c>
      <c r="B3932" s="399"/>
      <c r="C3932" s="1128"/>
      <c r="D3932" s="940"/>
      <c r="E3932" s="940"/>
      <c r="F3932" s="941"/>
      <c r="G3932" s="1142"/>
      <c r="H3932" s="941"/>
      <c r="I3932" s="1142"/>
      <c r="J3932" s="941"/>
      <c r="K3932" s="432" t="str">
        <f>IF($A3932&gt;0,(VLOOKUP($A3932,TablaEquipos,7,FALSE)),"")</f>
        <v/>
      </c>
      <c r="L3932" s="1141"/>
      <c r="M3932" s="941"/>
      <c r="N3932" s="430" t="str">
        <f t="shared" si="289"/>
        <v/>
      </c>
      <c r="O3932" s="362"/>
    </row>
    <row r="3933" spans="1:15" ht="15.75" customHeight="1">
      <c r="A3933" s="395">
        <f t="array" ref="A3933">IF(C3933&lt;&gt;0,INDEX(CodEquipos,MATCH(C3933,Equipos,0),),)</f>
        <v>0</v>
      </c>
      <c r="B3933" s="399"/>
      <c r="C3933" s="1128"/>
      <c r="D3933" s="940"/>
      <c r="E3933" s="940"/>
      <c r="F3933" s="941"/>
      <c r="G3933" s="1144"/>
      <c r="H3933" s="1145"/>
      <c r="I3933" s="1144"/>
      <c r="J3933" s="1145"/>
      <c r="K3933" s="432" t="str">
        <f>IF($A3933&gt;0,(VLOOKUP($A3933,TablaEquipos,7,FALSE)),"")</f>
        <v/>
      </c>
      <c r="L3933" s="1208"/>
      <c r="M3933" s="1145"/>
      <c r="N3933" s="430" t="str">
        <f t="shared" si="289"/>
        <v/>
      </c>
      <c r="O3933" s="362"/>
    </row>
    <row r="3934" spans="1:15" ht="15.75" customHeight="1">
      <c r="A3934" s="395"/>
      <c r="B3934" s="399"/>
      <c r="C3934" s="1127" t="s">
        <v>1202</v>
      </c>
      <c r="D3934" s="965"/>
      <c r="E3934" s="965"/>
      <c r="F3934" s="965"/>
      <c r="G3934" s="965"/>
      <c r="H3934" s="965"/>
      <c r="I3934" s="965"/>
      <c r="J3934" s="965"/>
      <c r="K3934" s="965"/>
      <c r="L3934" s="965"/>
      <c r="M3934" s="966"/>
      <c r="N3934" s="433">
        <f>+SUM(N3928:N3933)</f>
        <v>6468.1484164997273</v>
      </c>
      <c r="O3934" s="362"/>
    </row>
    <row r="3935" spans="1:15" ht="15.75" customHeight="1">
      <c r="A3935" s="395"/>
      <c r="B3935" s="399"/>
      <c r="C3935" s="1129" t="s">
        <v>1203</v>
      </c>
      <c r="D3935" s="926"/>
      <c r="E3935" s="926"/>
      <c r="F3935" s="926"/>
      <c r="G3935" s="926"/>
      <c r="H3935" s="926"/>
      <c r="I3935" s="926"/>
      <c r="J3935" s="926"/>
      <c r="K3935" s="926"/>
      <c r="L3935" s="926"/>
      <c r="M3935" s="926"/>
      <c r="N3935" s="927"/>
      <c r="O3935" s="362"/>
    </row>
    <row r="3936" spans="1:15" ht="15.75" customHeight="1">
      <c r="A3936" s="395"/>
      <c r="B3936" s="399"/>
      <c r="C3936" s="920"/>
      <c r="D3936" s="922"/>
      <c r="E3936" s="922"/>
      <c r="F3936" s="922"/>
      <c r="G3936" s="922"/>
      <c r="H3936" s="922"/>
      <c r="I3936" s="922"/>
      <c r="J3936" s="922"/>
      <c r="K3936" s="922"/>
      <c r="L3936" s="922"/>
      <c r="M3936" s="922"/>
      <c r="N3936" s="924"/>
      <c r="O3936" s="362"/>
    </row>
    <row r="3937" spans="1:15" ht="15.75" customHeight="1">
      <c r="A3937" s="395"/>
      <c r="B3937" s="399"/>
      <c r="C3937" s="929"/>
      <c r="D3937" s="936"/>
      <c r="E3937" s="936"/>
      <c r="F3937" s="936"/>
      <c r="G3937" s="936"/>
      <c r="H3937" s="936"/>
      <c r="I3937" s="936"/>
      <c r="J3937" s="936"/>
      <c r="K3937" s="936"/>
      <c r="L3937" s="936"/>
      <c r="M3937" s="936"/>
      <c r="N3937" s="938"/>
      <c r="O3937" s="362"/>
    </row>
    <row r="3938" spans="1:15" ht="15.75" customHeight="1">
      <c r="A3938" s="395"/>
      <c r="B3938" s="399"/>
      <c r="C3938" s="1201" t="s">
        <v>17</v>
      </c>
      <c r="D3938" s="1131"/>
      <c r="E3938" s="1131"/>
      <c r="F3938" s="1131"/>
      <c r="G3938" s="1131"/>
      <c r="H3938" s="1131"/>
      <c r="I3938" s="1000"/>
      <c r="J3938" s="672" t="s">
        <v>1192</v>
      </c>
      <c r="K3938" s="670" t="s">
        <v>950</v>
      </c>
      <c r="L3938" s="1204" t="s">
        <v>1204</v>
      </c>
      <c r="M3938" s="1000"/>
      <c r="N3938" s="671" t="s">
        <v>1200</v>
      </c>
      <c r="O3938" s="362"/>
    </row>
    <row r="3939" spans="1:15" ht="15.75" customHeight="1">
      <c r="A3939" s="395" t="str">
        <f t="array" ref="A3939">IF(C3939&lt;&gt;0,INDEX(CodMat,MATCH(C3939,Materiales,0),),)</f>
        <v>MAT_ELE-02</v>
      </c>
      <c r="B3939" s="399"/>
      <c r="C3939" s="1128" t="s">
        <v>2615</v>
      </c>
      <c r="D3939" s="940"/>
      <c r="E3939" s="940"/>
      <c r="F3939" s="940"/>
      <c r="G3939" s="940"/>
      <c r="H3939" s="940"/>
      <c r="I3939" s="941"/>
      <c r="J3939" s="435" t="str">
        <f t="shared" ref="J3939:J3946" si="290">IF($A3939&gt;0,(VLOOKUP($A3939,TablaInsumos,5,FALSE)),"")</f>
        <v>UND</v>
      </c>
      <c r="K3939" s="673">
        <v>0.1</v>
      </c>
      <c r="L3939" s="1134">
        <f t="shared" ref="L3939:L3946" si="291">IF($A3939&gt;0,(VLOOKUP($A3939,TablaInsumos,7,FALSE)),"")</f>
        <v>4200</v>
      </c>
      <c r="M3939" s="941"/>
      <c r="N3939" s="430">
        <f t="shared" ref="N3939:N3946" si="292">IF(K3939&gt;0,L3939*K3939,"")</f>
        <v>420</v>
      </c>
      <c r="O3939" s="362"/>
    </row>
    <row r="3940" spans="1:15" ht="15.75" customHeight="1">
      <c r="A3940" s="395" t="str">
        <f t="array" ref="A3940">IF(C3940&lt;&gt;0,INDEX(CodMat,MATCH(C3940,Materiales,0),),)</f>
        <v>MAT_ELE-97</v>
      </c>
      <c r="B3940" s="399"/>
      <c r="C3940" s="1128" t="s">
        <v>2221</v>
      </c>
      <c r="D3940" s="940"/>
      <c r="E3940" s="940"/>
      <c r="F3940" s="940"/>
      <c r="G3940" s="940"/>
      <c r="H3940" s="940"/>
      <c r="I3940" s="941"/>
      <c r="J3940" s="435" t="str">
        <f t="shared" si="290"/>
        <v>UND</v>
      </c>
      <c r="K3940" s="673">
        <v>4</v>
      </c>
      <c r="L3940" s="1134">
        <f t="shared" si="291"/>
        <v>1180</v>
      </c>
      <c r="M3940" s="941"/>
      <c r="N3940" s="430">
        <f t="shared" si="292"/>
        <v>4720</v>
      </c>
      <c r="O3940" s="362"/>
    </row>
    <row r="3941" spans="1:15" ht="15.75" customHeight="1">
      <c r="A3941" s="395" t="str">
        <f t="array" ref="A3941">IF(C3941&lt;&gt;0,INDEX(CodMat,MATCH(C3941,Materiales,0),),)</f>
        <v>MAT_ELE-55</v>
      </c>
      <c r="B3941" s="399"/>
      <c r="C3941" s="1128" t="s">
        <v>2616</v>
      </c>
      <c r="D3941" s="940"/>
      <c r="E3941" s="940"/>
      <c r="F3941" s="940"/>
      <c r="G3941" s="940"/>
      <c r="H3941" s="940"/>
      <c r="I3941" s="941"/>
      <c r="J3941" s="435" t="str">
        <f t="shared" si="290"/>
        <v>UND</v>
      </c>
      <c r="K3941" s="673">
        <v>4</v>
      </c>
      <c r="L3941" s="1134">
        <f t="shared" si="291"/>
        <v>17105</v>
      </c>
      <c r="M3941" s="941"/>
      <c r="N3941" s="430">
        <f t="shared" si="292"/>
        <v>68420</v>
      </c>
      <c r="O3941" s="362"/>
    </row>
    <row r="3942" spans="1:15" ht="15.75" customHeight="1">
      <c r="A3942" s="395" t="str">
        <f t="array" ref="A3942">IF(C3942&lt;&gt;0,INDEX(CodMat,MATCH(C3942,Materiales,0),),)</f>
        <v>MAT_ELE-43</v>
      </c>
      <c r="B3942" s="399"/>
      <c r="C3942" s="1128" t="s">
        <v>2617</v>
      </c>
      <c r="D3942" s="940"/>
      <c r="E3942" s="940"/>
      <c r="F3942" s="940"/>
      <c r="G3942" s="940"/>
      <c r="H3942" s="940"/>
      <c r="I3942" s="941"/>
      <c r="J3942" s="435" t="str">
        <f t="shared" si="290"/>
        <v>UND</v>
      </c>
      <c r="K3942" s="673">
        <v>8</v>
      </c>
      <c r="L3942" s="1134">
        <f t="shared" si="291"/>
        <v>1073</v>
      </c>
      <c r="M3942" s="941"/>
      <c r="N3942" s="430">
        <f t="shared" si="292"/>
        <v>8584</v>
      </c>
      <c r="O3942" s="362"/>
    </row>
    <row r="3943" spans="1:15" ht="15.75" customHeight="1">
      <c r="A3943" s="395" t="str">
        <f t="array" ref="A3943">IF(C3943&lt;&gt;0,INDEX(CodMat,MATCH(C3943,Materiales,0),),)</f>
        <v>MAT_ELE-110</v>
      </c>
      <c r="B3943" s="399"/>
      <c r="C3943" s="1128" t="s">
        <v>2603</v>
      </c>
      <c r="D3943" s="940"/>
      <c r="E3943" s="940"/>
      <c r="F3943" s="940"/>
      <c r="G3943" s="940"/>
      <c r="H3943" s="940"/>
      <c r="I3943" s="941"/>
      <c r="J3943" s="435" t="str">
        <f t="shared" si="290"/>
        <v>Ml</v>
      </c>
      <c r="K3943" s="436">
        <v>1.5</v>
      </c>
      <c r="L3943" s="1134">
        <f t="shared" si="291"/>
        <v>21900</v>
      </c>
      <c r="M3943" s="941"/>
      <c r="N3943" s="430">
        <f t="shared" si="292"/>
        <v>32850</v>
      </c>
      <c r="O3943" s="362"/>
    </row>
    <row r="3944" spans="1:15" ht="15.75" customHeight="1">
      <c r="A3944" s="395" t="str">
        <f t="array" ref="A3944">IF(C3944&lt;&gt;0,INDEX(CodMat,MATCH(C3944,Materiales,0),),)</f>
        <v>MAT_P-11</v>
      </c>
      <c r="B3944" s="399"/>
      <c r="C3944" s="1128" t="s">
        <v>2618</v>
      </c>
      <c r="D3944" s="940"/>
      <c r="E3944" s="940"/>
      <c r="F3944" s="940"/>
      <c r="G3944" s="940"/>
      <c r="H3944" s="940"/>
      <c r="I3944" s="941"/>
      <c r="J3944" s="435" t="str">
        <f t="shared" si="290"/>
        <v>GLN</v>
      </c>
      <c r="K3944" s="436">
        <v>7.0000000000000007E-2</v>
      </c>
      <c r="L3944" s="1134">
        <f t="shared" si="291"/>
        <v>139900</v>
      </c>
      <c r="M3944" s="941"/>
      <c r="N3944" s="430">
        <f t="shared" si="292"/>
        <v>9793.0000000000018</v>
      </c>
      <c r="O3944" s="362"/>
    </row>
    <row r="3945" spans="1:15" ht="15.75" customHeight="1">
      <c r="A3945" s="395">
        <f t="array" ref="A3945">IF(C3945&lt;&gt;0,INDEX(CodMat,MATCH(C3945,Materiales,0),),)</f>
        <v>0</v>
      </c>
      <c r="B3945" s="399"/>
      <c r="C3945" s="1128"/>
      <c r="D3945" s="940"/>
      <c r="E3945" s="940"/>
      <c r="F3945" s="940"/>
      <c r="G3945" s="940"/>
      <c r="H3945" s="940"/>
      <c r="I3945" s="941"/>
      <c r="J3945" s="435" t="str">
        <f t="shared" si="290"/>
        <v/>
      </c>
      <c r="K3945" s="436"/>
      <c r="L3945" s="1134" t="str">
        <f t="shared" si="291"/>
        <v/>
      </c>
      <c r="M3945" s="941"/>
      <c r="N3945" s="430" t="str">
        <f t="shared" si="292"/>
        <v/>
      </c>
      <c r="O3945" s="362"/>
    </row>
    <row r="3946" spans="1:15" ht="15.75" customHeight="1">
      <c r="A3946" s="395">
        <f t="array" ref="A3946">IF(C3946&lt;&gt;0,INDEX(CodMat,MATCH(C3946,Materiales,0),),)</f>
        <v>0</v>
      </c>
      <c r="B3946" s="399"/>
      <c r="C3946" s="1128"/>
      <c r="D3946" s="940"/>
      <c r="E3946" s="940"/>
      <c r="F3946" s="940"/>
      <c r="G3946" s="940"/>
      <c r="H3946" s="940"/>
      <c r="I3946" s="941"/>
      <c r="J3946" s="435" t="str">
        <f t="shared" si="290"/>
        <v/>
      </c>
      <c r="K3946" s="436"/>
      <c r="L3946" s="1205" t="str">
        <f t="shared" si="291"/>
        <v/>
      </c>
      <c r="M3946" s="1145"/>
      <c r="N3946" s="430" t="str">
        <f t="shared" si="292"/>
        <v/>
      </c>
      <c r="O3946" s="362"/>
    </row>
    <row r="3947" spans="1:15" ht="15.75" customHeight="1">
      <c r="A3947" s="395"/>
      <c r="B3947" s="399"/>
      <c r="C3947" s="1127" t="s">
        <v>1202</v>
      </c>
      <c r="D3947" s="965"/>
      <c r="E3947" s="965"/>
      <c r="F3947" s="965"/>
      <c r="G3947" s="965"/>
      <c r="H3947" s="965"/>
      <c r="I3947" s="965"/>
      <c r="J3947" s="965"/>
      <c r="K3947" s="965"/>
      <c r="L3947" s="965"/>
      <c r="M3947" s="966"/>
      <c r="N3947" s="433">
        <f>+SUM(N3939:N3946)</f>
        <v>124787</v>
      </c>
      <c r="O3947" s="362"/>
    </row>
    <row r="3948" spans="1:15" ht="15.75" customHeight="1">
      <c r="A3948" s="395"/>
      <c r="B3948" s="399"/>
      <c r="C3948" s="1129" t="s">
        <v>1208</v>
      </c>
      <c r="D3948" s="926"/>
      <c r="E3948" s="926"/>
      <c r="F3948" s="926"/>
      <c r="G3948" s="926"/>
      <c r="H3948" s="926"/>
      <c r="I3948" s="926"/>
      <c r="J3948" s="926"/>
      <c r="K3948" s="926"/>
      <c r="L3948" s="926"/>
      <c r="M3948" s="926"/>
      <c r="N3948" s="927"/>
      <c r="O3948" s="362"/>
    </row>
    <row r="3949" spans="1:15" ht="15.75" customHeight="1">
      <c r="A3949" s="395"/>
      <c r="B3949" s="399"/>
      <c r="C3949" s="920"/>
      <c r="D3949" s="922"/>
      <c r="E3949" s="922"/>
      <c r="F3949" s="922"/>
      <c r="G3949" s="922"/>
      <c r="H3949" s="922"/>
      <c r="I3949" s="922"/>
      <c r="J3949" s="922"/>
      <c r="K3949" s="922"/>
      <c r="L3949" s="922"/>
      <c r="M3949" s="922"/>
      <c r="N3949" s="924"/>
      <c r="O3949" s="362"/>
    </row>
    <row r="3950" spans="1:15" ht="15.75" customHeight="1">
      <c r="A3950" s="395"/>
      <c r="B3950" s="399"/>
      <c r="C3950" s="929"/>
      <c r="D3950" s="936"/>
      <c r="E3950" s="936"/>
      <c r="F3950" s="936"/>
      <c r="G3950" s="936"/>
      <c r="H3950" s="936"/>
      <c r="I3950" s="936"/>
      <c r="J3950" s="936"/>
      <c r="K3950" s="936"/>
      <c r="L3950" s="936"/>
      <c r="M3950" s="936"/>
      <c r="N3950" s="938"/>
      <c r="O3950" s="362"/>
    </row>
    <row r="3951" spans="1:15" ht="15.75" customHeight="1">
      <c r="A3951" s="395"/>
      <c r="B3951" s="399"/>
      <c r="C3951" s="1201" t="s">
        <v>1209</v>
      </c>
      <c r="D3951" s="1131"/>
      <c r="E3951" s="1131"/>
      <c r="F3951" s="1131"/>
      <c r="G3951" s="1131"/>
      <c r="H3951" s="1000"/>
      <c r="I3951" s="670" t="s">
        <v>1210</v>
      </c>
      <c r="J3951" s="674" t="s">
        <v>1211</v>
      </c>
      <c r="K3951" s="675" t="s">
        <v>2318</v>
      </c>
      <c r="L3951" s="1204" t="s">
        <v>1213</v>
      </c>
      <c r="M3951" s="1000"/>
      <c r="N3951" s="671" t="s">
        <v>1200</v>
      </c>
      <c r="O3951" s="362"/>
    </row>
    <row r="3952" spans="1:15" ht="15.75" customHeight="1">
      <c r="A3952" s="395">
        <f t="array" ref="A3952">IF(C3952&lt;&gt;0,INDEX(CodTransporte,MATCH(C3952,Transporte,0),),)</f>
        <v>0</v>
      </c>
      <c r="B3952" s="399"/>
      <c r="C3952" s="1128"/>
      <c r="D3952" s="940"/>
      <c r="E3952" s="940"/>
      <c r="F3952" s="940"/>
      <c r="G3952" s="940"/>
      <c r="H3952" s="940"/>
      <c r="I3952" s="440"/>
      <c r="J3952" s="441" t="str">
        <f>IF($A3952&gt;0,(VLOOKUP($A3952,TablaTransporte,6,FALSE)),"")</f>
        <v/>
      </c>
      <c r="K3952" s="442" t="str">
        <f>IF($A3952&gt;0,(VLOOKUP($A3952,TablaTransporte,5,FALSE)),"")</f>
        <v/>
      </c>
      <c r="L3952" s="1134" t="str">
        <f>IF($A3952&gt;0,(VLOOKUP($A3952,TablaTransporte,7,FALSE)),"")</f>
        <v/>
      </c>
      <c r="M3952" s="941"/>
      <c r="N3952" s="430" t="str">
        <f t="shared" ref="N3952:N3956" si="293">IF(I3952&gt;0,J3952*L3952*I3952,"")</f>
        <v/>
      </c>
      <c r="O3952" s="362"/>
    </row>
    <row r="3953" spans="1:15" ht="15.75" customHeight="1">
      <c r="A3953" s="395">
        <f t="array" ref="A3953">IF(C3953&lt;&gt;0,INDEX(CodTransporte,MATCH(C3953,Transporte,0),),)</f>
        <v>0</v>
      </c>
      <c r="B3953" s="399"/>
      <c r="C3953" s="1128"/>
      <c r="D3953" s="940"/>
      <c r="E3953" s="940"/>
      <c r="F3953" s="940"/>
      <c r="G3953" s="940"/>
      <c r="H3953" s="940"/>
      <c r="I3953" s="440"/>
      <c r="J3953" s="441" t="str">
        <f>IF($A3953&gt;0,(VLOOKUP($A3953,TablaTransporte,6,FALSE)),"")</f>
        <v/>
      </c>
      <c r="K3953" s="442" t="str">
        <f>IF($A3953&gt;0,(VLOOKUP($A3953,TablaTransporte,5,FALSE)),"")</f>
        <v/>
      </c>
      <c r="L3953" s="1134" t="str">
        <f>IF($A3953&gt;0,(VLOOKUP($A3953,TablaTransporte,7,FALSE)),"")</f>
        <v/>
      </c>
      <c r="M3953" s="941"/>
      <c r="N3953" s="430" t="str">
        <f t="shared" si="293"/>
        <v/>
      </c>
      <c r="O3953" s="362"/>
    </row>
    <row r="3954" spans="1:15" ht="15.75" customHeight="1">
      <c r="A3954" s="395">
        <f t="array" ref="A3954">IF(C3954&lt;&gt;0,INDEX(CodTransporte,MATCH(C3954,Transporte,0),),)</f>
        <v>0</v>
      </c>
      <c r="B3954" s="399"/>
      <c r="C3954" s="1128"/>
      <c r="D3954" s="940"/>
      <c r="E3954" s="940"/>
      <c r="F3954" s="940"/>
      <c r="G3954" s="940"/>
      <c r="H3954" s="940"/>
      <c r="I3954" s="440"/>
      <c r="J3954" s="441" t="str">
        <f>IF($A3954&gt;0,(VLOOKUP($A3954,TablaTransporte,6,FALSE)),"")</f>
        <v/>
      </c>
      <c r="K3954" s="442" t="str">
        <f>IF($A3954&gt;0,(VLOOKUP($A3954,TablaTransporte,5,FALSE)),"")</f>
        <v/>
      </c>
      <c r="L3954" s="1134" t="str">
        <f>IF($A3954&gt;0,(VLOOKUP($A3954,TablaTransporte,7,FALSE)),"")</f>
        <v/>
      </c>
      <c r="M3954" s="941"/>
      <c r="N3954" s="430" t="str">
        <f t="shared" si="293"/>
        <v/>
      </c>
      <c r="O3954" s="362"/>
    </row>
    <row r="3955" spans="1:15" ht="15.75" customHeight="1">
      <c r="A3955" s="395">
        <f t="array" ref="A3955">IF(C3955&lt;&gt;0,INDEX(CodTransporte,MATCH(C3955,Transporte,0),),)</f>
        <v>0</v>
      </c>
      <c r="B3955" s="399"/>
      <c r="C3955" s="1128"/>
      <c r="D3955" s="940"/>
      <c r="E3955" s="940"/>
      <c r="F3955" s="940"/>
      <c r="G3955" s="940"/>
      <c r="H3955" s="940"/>
      <c r="I3955" s="440"/>
      <c r="J3955" s="441" t="str">
        <f>IF($A3955&gt;0,(VLOOKUP($A3955,TablaTransporte,6,FALSE)),"")</f>
        <v/>
      </c>
      <c r="K3955" s="442" t="str">
        <f>IF($A3955&gt;0,(VLOOKUP($A3955,TablaTransporte,5,FALSE)),"")</f>
        <v/>
      </c>
      <c r="L3955" s="1134" t="str">
        <f>IF($A3955&gt;0,(VLOOKUP($A3955,TablaTransporte,7,FALSE)),"")</f>
        <v/>
      </c>
      <c r="M3955" s="941"/>
      <c r="N3955" s="430" t="str">
        <f t="shared" si="293"/>
        <v/>
      </c>
      <c r="O3955" s="362"/>
    </row>
    <row r="3956" spans="1:15" ht="15.75" customHeight="1">
      <c r="A3956" s="395">
        <f t="array" ref="A3956">IF(C3956&lt;&gt;0,INDEX(CodTransporte,MATCH(C3956,Transporte,0),),)</f>
        <v>0</v>
      </c>
      <c r="B3956" s="399"/>
      <c r="C3956" s="1128"/>
      <c r="D3956" s="940"/>
      <c r="E3956" s="940"/>
      <c r="F3956" s="940"/>
      <c r="G3956" s="940"/>
      <c r="H3956" s="940"/>
      <c r="I3956" s="440"/>
      <c r="J3956" s="441" t="str">
        <f>IF($A3956&gt;0,(VLOOKUP($A3956,TablaTransporte,6,FALSE)),"")</f>
        <v/>
      </c>
      <c r="K3956" s="442" t="str">
        <f>IF($A3956&gt;0,(VLOOKUP($A3956,TablaTransporte,5,FALSE)),"")</f>
        <v/>
      </c>
      <c r="L3956" s="1205" t="str">
        <f>IF($A3956&gt;0,(VLOOKUP($A3956,TablaTransporte,7,FALSE)),"")</f>
        <v/>
      </c>
      <c r="M3956" s="1145"/>
      <c r="N3956" s="430" t="str">
        <f t="shared" si="293"/>
        <v/>
      </c>
      <c r="O3956" s="362"/>
    </row>
    <row r="3957" spans="1:15" ht="15.75" customHeight="1">
      <c r="A3957" s="395"/>
      <c r="B3957" s="399"/>
      <c r="C3957" s="1127" t="s">
        <v>1202</v>
      </c>
      <c r="D3957" s="965"/>
      <c r="E3957" s="965"/>
      <c r="F3957" s="965"/>
      <c r="G3957" s="965"/>
      <c r="H3957" s="965"/>
      <c r="I3957" s="965"/>
      <c r="J3957" s="965"/>
      <c r="K3957" s="965"/>
      <c r="L3957" s="965"/>
      <c r="M3957" s="966"/>
      <c r="N3957" s="433">
        <f>+SUM(N3952:N3956)</f>
        <v>0</v>
      </c>
      <c r="O3957" s="362"/>
    </row>
    <row r="3958" spans="1:15" ht="15.75" customHeight="1">
      <c r="A3958" s="395"/>
      <c r="B3958" s="399"/>
      <c r="C3958" s="1129" t="s">
        <v>1214</v>
      </c>
      <c r="D3958" s="926"/>
      <c r="E3958" s="926"/>
      <c r="F3958" s="926"/>
      <c r="G3958" s="926"/>
      <c r="H3958" s="926"/>
      <c r="I3958" s="926"/>
      <c r="J3958" s="926"/>
      <c r="K3958" s="926"/>
      <c r="L3958" s="926"/>
      <c r="M3958" s="926"/>
      <c r="N3958" s="927"/>
      <c r="O3958" s="362"/>
    </row>
    <row r="3959" spans="1:15" ht="15.75" customHeight="1">
      <c r="A3959" s="395"/>
      <c r="B3959" s="399"/>
      <c r="C3959" s="920"/>
      <c r="D3959" s="922"/>
      <c r="E3959" s="922"/>
      <c r="F3959" s="922"/>
      <c r="G3959" s="922"/>
      <c r="H3959" s="922"/>
      <c r="I3959" s="922"/>
      <c r="J3959" s="922"/>
      <c r="K3959" s="922"/>
      <c r="L3959" s="922"/>
      <c r="M3959" s="922"/>
      <c r="N3959" s="924"/>
      <c r="O3959" s="362"/>
    </row>
    <row r="3960" spans="1:15" ht="15.75" customHeight="1">
      <c r="A3960" s="395"/>
      <c r="B3960" s="399"/>
      <c r="C3960" s="929"/>
      <c r="D3960" s="936"/>
      <c r="E3960" s="936"/>
      <c r="F3960" s="936"/>
      <c r="G3960" s="936"/>
      <c r="H3960" s="936"/>
      <c r="I3960" s="936"/>
      <c r="J3960" s="936"/>
      <c r="K3960" s="936"/>
      <c r="L3960" s="936"/>
      <c r="M3960" s="936"/>
      <c r="N3960" s="938"/>
      <c r="O3960" s="362"/>
    </row>
    <row r="3961" spans="1:15" ht="15.75" customHeight="1">
      <c r="A3961" s="395"/>
      <c r="B3961" s="399"/>
      <c r="C3961" s="1201" t="s">
        <v>1215</v>
      </c>
      <c r="D3961" s="1131"/>
      <c r="E3961" s="1131"/>
      <c r="F3961" s="1131"/>
      <c r="G3961" s="1131"/>
      <c r="H3961" s="1000"/>
      <c r="I3961" s="670" t="s">
        <v>1216</v>
      </c>
      <c r="J3961" s="676" t="s">
        <v>1217</v>
      </c>
      <c r="K3961" s="677" t="s">
        <v>1218</v>
      </c>
      <c r="L3961" s="1206" t="s">
        <v>1199</v>
      </c>
      <c r="M3961" s="1000"/>
      <c r="N3961" s="678" t="s">
        <v>1200</v>
      </c>
      <c r="O3961" s="362"/>
    </row>
    <row r="3962" spans="1:15" ht="15.75" customHeight="1">
      <c r="A3962" s="395" t="str">
        <f t="array" ref="A3962">IF(C3962&lt;&gt;0,INDEX(CodMO,MATCH(C3962,MO,0),),)</f>
        <v>M.O-16</v>
      </c>
      <c r="B3962" s="399"/>
      <c r="C3962" s="1128" t="s">
        <v>244</v>
      </c>
      <c r="D3962" s="940"/>
      <c r="E3962" s="940"/>
      <c r="F3962" s="940"/>
      <c r="G3962" s="940"/>
      <c r="H3962" s="940"/>
      <c r="I3962" s="447">
        <f>IF($A3962&gt;0,(VLOOKUP($A3962,TablaMO,8,FALSE)),"")</f>
        <v>125030.16666666667</v>
      </c>
      <c r="J3962" s="448">
        <f>IF($A3962&gt;0,(VLOOKUP($A3962,TablaMO,10,FALSE)),"")</f>
        <v>0.67071666666666663</v>
      </c>
      <c r="K3962" s="447">
        <f>IF($A3962&gt;0,(VLOOKUP($A3962,TablaMO,11,FALSE)),"")</f>
        <v>208890</v>
      </c>
      <c r="L3962" s="1146">
        <v>4.4569864733562605</v>
      </c>
      <c r="M3962" s="941"/>
      <c r="N3962" s="430">
        <f t="shared" ref="N3962:N3966" si="294">IF(L3962&gt;0,K3962/L3962,"")</f>
        <v>46867.990569129732</v>
      </c>
      <c r="O3962" s="362"/>
    </row>
    <row r="3963" spans="1:15" ht="15.75" customHeight="1">
      <c r="A3963" s="395" t="str">
        <f t="array" ref="A3963">IF(C3963&lt;&gt;0,INDEX(CodMO,MATCH(C3963,MO,0),),)</f>
        <v>M.O-15</v>
      </c>
      <c r="B3963" s="399"/>
      <c r="C3963" s="1128" t="s">
        <v>2607</v>
      </c>
      <c r="D3963" s="940"/>
      <c r="E3963" s="940"/>
      <c r="F3963" s="940"/>
      <c r="G3963" s="940"/>
      <c r="H3963" s="940"/>
      <c r="I3963" s="447">
        <f>IF($A3963&gt;0,(VLOOKUP($A3963,TablaMO,8,FALSE)),"")</f>
        <v>366787.33333333331</v>
      </c>
      <c r="J3963" s="448">
        <f>IF($A3963&gt;0,(VLOOKUP($A3963,TablaMO,10,FALSE)),"")</f>
        <v>0.67071666666666663</v>
      </c>
      <c r="K3963" s="447">
        <f>IF($A3963&gt;0,(VLOOKUP($A3963,TablaMO,11,FALSE)),"")</f>
        <v>367679</v>
      </c>
      <c r="L3963" s="1146">
        <f>L3962</f>
        <v>4.4569864733562605</v>
      </c>
      <c r="M3963" s="941"/>
      <c r="N3963" s="430">
        <f t="shared" si="294"/>
        <v>82494.977760864815</v>
      </c>
      <c r="O3963" s="362"/>
    </row>
    <row r="3964" spans="1:15" ht="15.75" customHeight="1">
      <c r="A3964" s="395">
        <f t="array" ref="A3964">IF(C3964&lt;&gt;0,INDEX(CodMO,MATCH(C3964,MO,0),),)</f>
        <v>0</v>
      </c>
      <c r="B3964" s="399"/>
      <c r="C3964" s="1128"/>
      <c r="D3964" s="940"/>
      <c r="E3964" s="940"/>
      <c r="F3964" s="940"/>
      <c r="G3964" s="940"/>
      <c r="H3964" s="940"/>
      <c r="I3964" s="447" t="str">
        <f>IF($A3964&gt;0,(VLOOKUP($A3964,TablaMO,8,FALSE)),"")</f>
        <v/>
      </c>
      <c r="J3964" s="448" t="str">
        <f>IF($A3964&gt;0,(VLOOKUP($A3964,TablaMO,10,FALSE)),"")</f>
        <v/>
      </c>
      <c r="K3964" s="447" t="str">
        <f>IF($A3964&gt;0,(VLOOKUP($A3964,TablaMO,11,FALSE)),"")</f>
        <v/>
      </c>
      <c r="L3964" s="1146"/>
      <c r="M3964" s="941"/>
      <c r="N3964" s="430" t="str">
        <f t="shared" si="294"/>
        <v/>
      </c>
      <c r="O3964" s="362"/>
    </row>
    <row r="3965" spans="1:15" ht="15.75" customHeight="1">
      <c r="A3965" s="395">
        <f t="array" ref="A3965">IF(C3965&lt;&gt;0,INDEX(CodMO,MATCH(C3965,MO,0),),)</f>
        <v>0</v>
      </c>
      <c r="B3965" s="399"/>
      <c r="C3965" s="1128"/>
      <c r="D3965" s="940"/>
      <c r="E3965" s="940"/>
      <c r="F3965" s="940"/>
      <c r="G3965" s="940"/>
      <c r="H3965" s="940"/>
      <c r="I3965" s="447" t="str">
        <f>IF($A3965&gt;0,(VLOOKUP($A3965,TablaMO,8,FALSE)),"")</f>
        <v/>
      </c>
      <c r="J3965" s="448" t="str">
        <f>IF($A3965&gt;0,(VLOOKUP($A3965,TablaMO,10,FALSE)),"")</f>
        <v/>
      </c>
      <c r="K3965" s="447" t="str">
        <f>IF($A3965&gt;0,(VLOOKUP($A3965,TablaMO,11,FALSE)),"")</f>
        <v/>
      </c>
      <c r="L3965" s="1146"/>
      <c r="M3965" s="941"/>
      <c r="N3965" s="430" t="str">
        <f t="shared" si="294"/>
        <v/>
      </c>
      <c r="O3965" s="362"/>
    </row>
    <row r="3966" spans="1:15" ht="15.75" customHeight="1">
      <c r="A3966" s="395">
        <f t="array" ref="A3966">IF(C3966&lt;&gt;0,INDEX(CodMO,MATCH(C3966,MO,0),),)</f>
        <v>0</v>
      </c>
      <c r="B3966" s="399"/>
      <c r="C3966" s="1128"/>
      <c r="D3966" s="940"/>
      <c r="E3966" s="940"/>
      <c r="F3966" s="940"/>
      <c r="G3966" s="940"/>
      <c r="H3966" s="940"/>
      <c r="I3966" s="447" t="str">
        <f>IF($A3966&gt;0,(VLOOKUP($A3966,TablaMO,8,FALSE)),"")</f>
        <v/>
      </c>
      <c r="J3966" s="448" t="str">
        <f>IF($A3966&gt;0,(VLOOKUP($A3966,TablaMO,10,FALSE)),"")</f>
        <v/>
      </c>
      <c r="K3966" s="447" t="str">
        <f>IF($A3966&gt;0,(VLOOKUP($A3966,TablaMO,11,FALSE)),"")</f>
        <v/>
      </c>
      <c r="L3966" s="1146"/>
      <c r="M3966" s="941"/>
      <c r="N3966" s="430" t="str">
        <f t="shared" si="294"/>
        <v/>
      </c>
      <c r="O3966" s="362"/>
    </row>
    <row r="3967" spans="1:15" ht="15.75" customHeight="1">
      <c r="A3967" s="395"/>
      <c r="B3967" s="399"/>
      <c r="C3967" s="1127" t="s">
        <v>1202</v>
      </c>
      <c r="D3967" s="965"/>
      <c r="E3967" s="965"/>
      <c r="F3967" s="965"/>
      <c r="G3967" s="965"/>
      <c r="H3967" s="965"/>
      <c r="I3967" s="965"/>
      <c r="J3967" s="965"/>
      <c r="K3967" s="965"/>
      <c r="L3967" s="965"/>
      <c r="M3967" s="966"/>
      <c r="N3967" s="433">
        <f>+SUM(N3962:N3966)</f>
        <v>129362.96832999455</v>
      </c>
      <c r="O3967" s="362"/>
    </row>
    <row r="3968" spans="1:15" ht="15.75" customHeight="1">
      <c r="B3968" s="679"/>
      <c r="O3968" s="362"/>
    </row>
    <row r="3969" spans="2:18" ht="15.75" customHeight="1">
      <c r="B3969" s="679"/>
      <c r="C3969" s="1198" t="s">
        <v>1219</v>
      </c>
      <c r="D3969" s="965"/>
      <c r="E3969" s="965"/>
      <c r="F3969" s="965"/>
      <c r="G3969" s="965"/>
      <c r="H3969" s="965"/>
      <c r="I3969" s="965"/>
      <c r="J3969" s="965"/>
      <c r="K3969" s="965"/>
      <c r="L3969" s="965"/>
      <c r="M3969" s="966"/>
      <c r="N3969" s="680">
        <f>ROUND(SUM(N3967,N3957,N3947,N3934),0)</f>
        <v>260618</v>
      </c>
      <c r="O3969" s="362"/>
      <c r="Q3969" s="681">
        <f>VLOOKUP(C3923,PROPUESTASASERCO,8,FALSE)</f>
        <v>260618</v>
      </c>
      <c r="R3969" s="682">
        <f>Q3969-N3969</f>
        <v>0</v>
      </c>
    </row>
    <row r="3970" spans="2:18" ht="15.75" customHeight="1">
      <c r="B3970" s="679"/>
      <c r="C3970" s="1129" t="s">
        <v>1220</v>
      </c>
      <c r="D3970" s="926"/>
      <c r="E3970" s="926"/>
      <c r="F3970" s="926"/>
      <c r="G3970" s="926"/>
      <c r="H3970" s="926"/>
      <c r="I3970" s="926"/>
      <c r="J3970" s="926"/>
      <c r="K3970" s="926"/>
      <c r="L3970" s="926"/>
      <c r="M3970" s="926"/>
      <c r="N3970" s="927"/>
      <c r="O3970" s="362"/>
    </row>
    <row r="3971" spans="2:18" ht="15.75" customHeight="1">
      <c r="B3971" s="679"/>
      <c r="C3971" s="920"/>
      <c r="D3971" s="922"/>
      <c r="E3971" s="922"/>
      <c r="F3971" s="922"/>
      <c r="G3971" s="922"/>
      <c r="H3971" s="922"/>
      <c r="I3971" s="922"/>
      <c r="J3971" s="922"/>
      <c r="K3971" s="922"/>
      <c r="L3971" s="922"/>
      <c r="M3971" s="922"/>
      <c r="N3971" s="924"/>
      <c r="O3971" s="362"/>
    </row>
    <row r="3972" spans="2:18" ht="15.75" customHeight="1">
      <c r="B3972" s="679"/>
      <c r="C3972" s="929"/>
      <c r="D3972" s="936"/>
      <c r="E3972" s="936"/>
      <c r="F3972" s="936"/>
      <c r="G3972" s="936"/>
      <c r="H3972" s="936"/>
      <c r="I3972" s="936"/>
      <c r="J3972" s="936"/>
      <c r="K3972" s="936"/>
      <c r="L3972" s="936"/>
      <c r="M3972" s="936"/>
      <c r="N3972" s="938"/>
      <c r="O3972" s="362"/>
    </row>
    <row r="3973" spans="2:18" ht="15.75" customHeight="1">
      <c r="B3973" s="679"/>
      <c r="C3973" s="1201" t="s">
        <v>1221</v>
      </c>
      <c r="D3973" s="1131"/>
      <c r="E3973" s="1131"/>
      <c r="F3973" s="1131"/>
      <c r="G3973" s="1131"/>
      <c r="H3973" s="1132"/>
      <c r="I3973" s="674"/>
      <c r="J3973" s="674"/>
      <c r="K3973" s="674"/>
      <c r="L3973" s="1206" t="s">
        <v>1222</v>
      </c>
      <c r="M3973" s="1000"/>
      <c r="N3973" s="678" t="s">
        <v>1223</v>
      </c>
      <c r="O3973" s="362"/>
    </row>
    <row r="3974" spans="2:18" ht="15.75" customHeight="1">
      <c r="B3974" s="679"/>
      <c r="C3974" s="1128" t="s">
        <v>19</v>
      </c>
      <c r="D3974" s="940"/>
      <c r="E3974" s="940"/>
      <c r="F3974" s="940"/>
      <c r="G3974" s="940"/>
      <c r="H3974" s="940"/>
      <c r="I3974" s="452"/>
      <c r="J3974" s="452"/>
      <c r="K3974" s="452"/>
      <c r="L3974" s="1148">
        <f>+Datos!$E$18</f>
        <v>0.25</v>
      </c>
      <c r="M3974" s="941"/>
      <c r="N3974" s="430">
        <f>+L3974*N3969</f>
        <v>65154.5</v>
      </c>
      <c r="O3974" s="362"/>
    </row>
    <row r="3975" spans="2:18" ht="15.75" customHeight="1">
      <c r="B3975" s="679"/>
      <c r="C3975" s="454" t="s">
        <v>20</v>
      </c>
      <c r="D3975" s="455"/>
      <c r="E3975" s="455"/>
      <c r="F3975" s="455"/>
      <c r="G3975" s="455"/>
      <c r="H3975" s="455"/>
      <c r="I3975" s="452"/>
      <c r="J3975" s="452"/>
      <c r="K3975" s="452"/>
      <c r="L3975" s="1148">
        <f>+Datos!$E$19</f>
        <v>0.01</v>
      </c>
      <c r="M3975" s="941"/>
      <c r="N3975" s="430">
        <f>+L3975*N3969</f>
        <v>2606.1799999999998</v>
      </c>
      <c r="O3975" s="362"/>
    </row>
    <row r="3976" spans="2:18" ht="15.75" customHeight="1">
      <c r="B3976" s="679"/>
      <c r="C3976" s="456" t="s">
        <v>21</v>
      </c>
      <c r="D3976" s="457"/>
      <c r="E3976" s="457"/>
      <c r="F3976" s="457"/>
      <c r="G3976" s="457"/>
      <c r="H3976" s="457"/>
      <c r="I3976" s="458"/>
      <c r="J3976" s="458"/>
      <c r="K3976" s="458"/>
      <c r="L3976" s="1148">
        <f>+Datos!$E$20</f>
        <v>0.05</v>
      </c>
      <c r="M3976" s="941"/>
      <c r="N3976" s="430">
        <f>+L3976*N3969</f>
        <v>13030.900000000001</v>
      </c>
      <c r="O3976" s="362"/>
    </row>
    <row r="3977" spans="2:18" ht="15.75" customHeight="1">
      <c r="B3977" s="679"/>
      <c r="C3977" s="1127" t="s">
        <v>1202</v>
      </c>
      <c r="D3977" s="965"/>
      <c r="E3977" s="965"/>
      <c r="F3977" s="965"/>
      <c r="G3977" s="965"/>
      <c r="H3977" s="965"/>
      <c r="I3977" s="965"/>
      <c r="J3977" s="965"/>
      <c r="K3977" s="965"/>
      <c r="L3977" s="965"/>
      <c r="M3977" s="966"/>
      <c r="N3977" s="433">
        <f>+SUM(N3974:N3976)</f>
        <v>80791.579999999987</v>
      </c>
      <c r="O3977" s="362"/>
    </row>
    <row r="3978" spans="2:18" ht="15.75" customHeight="1">
      <c r="B3978" s="679"/>
      <c r="C3978" s="418"/>
      <c r="D3978" s="39"/>
      <c r="E3978" s="39"/>
      <c r="F3978" s="39"/>
      <c r="G3978" s="39"/>
      <c r="H3978" s="39"/>
      <c r="I3978" s="39"/>
      <c r="J3978" s="39"/>
      <c r="K3978" s="39"/>
      <c r="L3978" s="39"/>
      <c r="M3978" s="39"/>
      <c r="N3978" s="40"/>
      <c r="O3978" s="362"/>
    </row>
    <row r="3979" spans="2:18" ht="15.75" customHeight="1">
      <c r="B3979" s="679"/>
      <c r="C3979" s="1198" t="s">
        <v>1224</v>
      </c>
      <c r="D3979" s="965"/>
      <c r="E3979" s="965"/>
      <c r="F3979" s="965"/>
      <c r="G3979" s="965"/>
      <c r="H3979" s="965"/>
      <c r="I3979" s="965"/>
      <c r="J3979" s="965"/>
      <c r="K3979" s="965"/>
      <c r="L3979" s="965"/>
      <c r="M3979" s="966"/>
      <c r="N3979" s="683">
        <f>+ROUND(SUM(N3977,N3969),0)</f>
        <v>341410</v>
      </c>
      <c r="O3979" s="362"/>
    </row>
    <row r="3980" spans="2:18" ht="15.75" customHeight="1">
      <c r="B3980" s="679"/>
      <c r="C3980" s="418"/>
      <c r="D3980" s="39" t="s">
        <v>1225</v>
      </c>
      <c r="E3980" s="39"/>
      <c r="F3980" s="39"/>
      <c r="G3980" s="184"/>
      <c r="H3980" s="184"/>
      <c r="I3980" s="184"/>
      <c r="J3980" s="39" t="s">
        <v>1225</v>
      </c>
      <c r="K3980" s="39"/>
      <c r="L3980" s="39"/>
      <c r="M3980" s="39"/>
      <c r="N3980" s="40"/>
      <c r="O3980" s="362"/>
    </row>
    <row r="3981" spans="2:18" ht="15.75" customHeight="1">
      <c r="B3981" s="679"/>
      <c r="C3981" s="418"/>
      <c r="D3981" s="39" t="s">
        <v>1226</v>
      </c>
      <c r="E3981" s="39"/>
      <c r="F3981" s="39"/>
      <c r="G3981" s="184"/>
      <c r="H3981" s="184"/>
      <c r="I3981" s="184"/>
      <c r="J3981" s="39" t="s">
        <v>1227</v>
      </c>
      <c r="K3981" s="39"/>
      <c r="L3981" s="39"/>
      <c r="M3981" s="39"/>
      <c r="N3981" s="40"/>
      <c r="O3981" s="362"/>
    </row>
    <row r="3982" spans="2:18" ht="15.75" customHeight="1">
      <c r="B3982" s="679"/>
      <c r="C3982" s="404"/>
      <c r="D3982" s="39" t="s">
        <v>1228</v>
      </c>
      <c r="E3982" s="42"/>
      <c r="F3982" s="42"/>
      <c r="G3982" s="184"/>
      <c r="H3982" s="184"/>
      <c r="I3982" s="184"/>
      <c r="J3982" s="39" t="s">
        <v>1228</v>
      </c>
      <c r="K3982" s="42"/>
      <c r="L3982" s="42"/>
      <c r="M3982" s="42"/>
      <c r="N3982" s="43"/>
      <c r="O3982" s="362"/>
    </row>
    <row r="3983" spans="2:18" ht="15.75" customHeight="1">
      <c r="B3983" s="679"/>
      <c r="C3983" s="418"/>
      <c r="D3983" s="39"/>
      <c r="E3983" s="39"/>
      <c r="F3983" s="39"/>
      <c r="G3983" s="39" t="s">
        <v>1229</v>
      </c>
      <c r="H3983" s="39"/>
      <c r="I3983" s="39"/>
      <c r="J3983" s="39"/>
      <c r="K3983" s="39"/>
      <c r="L3983" s="39"/>
      <c r="M3983" s="39"/>
      <c r="N3983" s="40"/>
      <c r="O3983" s="362"/>
    </row>
    <row r="3984" spans="2:18" ht="15.75" customHeight="1">
      <c r="B3984" s="679"/>
      <c r="C3984" s="466"/>
      <c r="D3984" s="467"/>
      <c r="E3984" s="467"/>
      <c r="F3984" s="39"/>
      <c r="G3984" s="39"/>
      <c r="H3984" s="39"/>
      <c r="I3984" s="39"/>
      <c r="J3984" s="1149"/>
      <c r="K3984" s="922"/>
      <c r="L3984" s="922"/>
      <c r="M3984" s="922"/>
      <c r="N3984" s="924"/>
      <c r="O3984" s="362"/>
    </row>
    <row r="3985" spans="1:15" ht="15.75" customHeight="1">
      <c r="B3985" s="679"/>
      <c r="C3985" s="1150"/>
      <c r="D3985" s="936"/>
      <c r="E3985" s="936"/>
      <c r="F3985" s="416"/>
      <c r="G3985" s="416"/>
      <c r="H3985" s="416"/>
      <c r="I3985" s="416"/>
      <c r="J3985" s="936"/>
      <c r="K3985" s="936"/>
      <c r="L3985" s="936"/>
      <c r="M3985" s="936"/>
      <c r="N3985" s="938"/>
      <c r="O3985" s="362"/>
    </row>
    <row r="3986" spans="1:15" ht="15.75" customHeight="1">
      <c r="B3986" s="684"/>
      <c r="C3986" s="685"/>
      <c r="D3986" s="685"/>
      <c r="E3986" s="685"/>
      <c r="F3986" s="685"/>
      <c r="G3986" s="685"/>
      <c r="H3986" s="685"/>
      <c r="I3986" s="685"/>
      <c r="J3986" s="685"/>
      <c r="K3986" s="685"/>
      <c r="L3986" s="685"/>
      <c r="M3986" s="685"/>
      <c r="N3986" s="685"/>
      <c r="O3986" s="686"/>
    </row>
    <row r="3987" spans="1:15" ht="15.75" customHeight="1"/>
    <row r="3988" spans="1:15" ht="15.75" customHeight="1"/>
    <row r="3989" spans="1:15" ht="15.75" customHeight="1"/>
    <row r="3990" spans="1:15" ht="15.75" customHeight="1"/>
    <row r="3991" spans="1:15" ht="15.75" customHeight="1">
      <c r="A3991" s="395" t="s">
        <v>941</v>
      </c>
      <c r="B3991" s="184"/>
      <c r="C3991" s="184"/>
      <c r="D3991" s="184"/>
      <c r="E3991" s="184"/>
      <c r="F3991" s="184"/>
      <c r="G3991" s="184"/>
      <c r="H3991" s="184"/>
      <c r="I3991" s="184"/>
      <c r="J3991" s="184"/>
      <c r="K3991" s="184"/>
      <c r="L3991" s="184"/>
      <c r="M3991" s="184"/>
      <c r="N3991" s="184"/>
    </row>
    <row r="3992" spans="1:15" ht="15.75" customHeight="1">
      <c r="A3992" s="395"/>
      <c r="B3992" s="396"/>
      <c r="C3992" s="397"/>
      <c r="D3992" s="397"/>
      <c r="E3992" s="397"/>
      <c r="F3992" s="397"/>
      <c r="G3992" s="397"/>
      <c r="H3992" s="397"/>
      <c r="I3992" s="397"/>
      <c r="J3992" s="397"/>
      <c r="K3992" s="397"/>
      <c r="L3992" s="397"/>
      <c r="M3992" s="397"/>
      <c r="N3992" s="397"/>
      <c r="O3992" s="667"/>
    </row>
    <row r="3993" spans="1:15" ht="15.75" customHeight="1">
      <c r="A3993" s="395"/>
      <c r="B3993" s="399"/>
      <c r="C3993" s="1124"/>
      <c r="D3993" s="927"/>
      <c r="E3993" s="1207" t="str">
        <f>Datos!$C$9</f>
        <v>CONSEJO SUPERIOR  DE  JUDICATURA– DIRECCIÓN  EJECUTIVA  SECCIONAL  DE ADMINISTRACIÓN JUDICIAL DE BUCARAMANGA</v>
      </c>
      <c r="F3993" s="926"/>
      <c r="G3993" s="926"/>
      <c r="H3993" s="926"/>
      <c r="I3993" s="926"/>
      <c r="J3993" s="926"/>
      <c r="K3993" s="927"/>
      <c r="L3993" s="925" t="s">
        <v>1</v>
      </c>
      <c r="M3993" s="931"/>
      <c r="N3993" s="933">
        <v>1</v>
      </c>
      <c r="O3993" s="362"/>
    </row>
    <row r="3994" spans="1:15" ht="15.75" customHeight="1">
      <c r="A3994" s="395"/>
      <c r="B3994" s="399"/>
      <c r="C3994" s="920"/>
      <c r="D3994" s="924"/>
      <c r="E3994" s="920"/>
      <c r="F3994" s="922"/>
      <c r="G3994" s="922"/>
      <c r="H3994" s="922"/>
      <c r="I3994" s="922"/>
      <c r="J3994" s="922"/>
      <c r="K3994" s="924"/>
      <c r="L3994" s="920"/>
      <c r="M3994" s="932"/>
      <c r="N3994" s="934"/>
      <c r="O3994" s="362"/>
    </row>
    <row r="3995" spans="1:15" ht="15.75" customHeight="1">
      <c r="A3995" s="395"/>
      <c r="B3995" s="399"/>
      <c r="C3995" s="920"/>
      <c r="D3995" s="924"/>
      <c r="E3995" s="919" t="str">
        <f>Datos!$C$13</f>
        <v xml:space="preserve">BGA - 030 - 2026 </v>
      </c>
      <c r="F3995" s="922"/>
      <c r="G3995" s="922"/>
      <c r="H3995" s="922"/>
      <c r="I3995" s="922"/>
      <c r="J3995" s="922"/>
      <c r="K3995" s="922"/>
      <c r="L3995" s="925" t="s">
        <v>29</v>
      </c>
      <c r="M3995" s="926"/>
      <c r="N3995" s="927"/>
      <c r="O3995" s="362"/>
    </row>
    <row r="3996" spans="1:15" ht="15.75" customHeight="1">
      <c r="A3996" s="395"/>
      <c r="B3996" s="399"/>
      <c r="C3996" s="920"/>
      <c r="D3996" s="924"/>
      <c r="E3996"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3996" s="922"/>
      <c r="G3996" s="922"/>
      <c r="H3996" s="922"/>
      <c r="I3996" s="922"/>
      <c r="J3996" s="922"/>
      <c r="K3996" s="924"/>
      <c r="L3996" s="919">
        <v>1</v>
      </c>
      <c r="M3996" s="921" t="s">
        <v>30</v>
      </c>
      <c r="N3996" s="923">
        <v>1</v>
      </c>
      <c r="O3996" s="362"/>
    </row>
    <row r="3997" spans="1:15" ht="15.75" customHeight="1">
      <c r="A3997" s="395"/>
      <c r="B3997" s="399"/>
      <c r="C3997" s="920"/>
      <c r="D3997" s="924"/>
      <c r="E3997" s="920"/>
      <c r="F3997" s="922"/>
      <c r="G3997" s="922"/>
      <c r="H3997" s="922"/>
      <c r="I3997" s="922"/>
      <c r="J3997" s="922"/>
      <c r="K3997" s="924"/>
      <c r="L3997" s="920"/>
      <c r="M3997" s="922"/>
      <c r="N3997" s="924"/>
      <c r="O3997" s="362"/>
    </row>
    <row r="3998" spans="1:15" ht="15.75" customHeight="1">
      <c r="A3998" s="395"/>
      <c r="B3998" s="399"/>
      <c r="C3998" s="920"/>
      <c r="D3998" s="924"/>
      <c r="E3998" s="920"/>
      <c r="F3998" s="922"/>
      <c r="G3998" s="922"/>
      <c r="H3998" s="922"/>
      <c r="I3998" s="922"/>
      <c r="J3998" s="922"/>
      <c r="K3998" s="924"/>
      <c r="L3998" s="925" t="s">
        <v>2</v>
      </c>
      <c r="M3998" s="926"/>
      <c r="N3998" s="927"/>
      <c r="O3998" s="362"/>
    </row>
    <row r="3999" spans="1:15" ht="15.75" customHeight="1">
      <c r="A3999" s="395"/>
      <c r="B3999" s="399"/>
      <c r="C3999" s="920"/>
      <c r="D3999" s="924"/>
      <c r="E3999" s="407"/>
      <c r="F3999" s="216"/>
      <c r="G3999" s="216"/>
      <c r="H3999" s="216"/>
      <c r="I3999" s="216"/>
      <c r="J3999" s="216"/>
      <c r="K3999" s="216"/>
      <c r="L3999" s="408" t="s">
        <v>3</v>
      </c>
      <c r="M3999" s="409" t="s">
        <v>4</v>
      </c>
      <c r="N3999" s="410" t="s">
        <v>5</v>
      </c>
      <c r="O3999" s="362"/>
    </row>
    <row r="4000" spans="1:15" ht="15.75" customHeight="1">
      <c r="A4000" s="395"/>
      <c r="B4000" s="399"/>
      <c r="C4000" s="920"/>
      <c r="D4000" s="924"/>
      <c r="E4000" s="1125" t="s">
        <v>1186</v>
      </c>
      <c r="F4000" s="945"/>
      <c r="G4000" s="945"/>
      <c r="H4000" s="945"/>
      <c r="I4000" s="945"/>
      <c r="J4000" s="945"/>
      <c r="K4000" s="945"/>
      <c r="L4000" s="928">
        <f>Datos!$C$7</f>
        <v>19</v>
      </c>
      <c r="M4000" s="935">
        <f>Datos!$D$7</f>
        <v>6</v>
      </c>
      <c r="N4000" s="937">
        <f>Datos!$E$7</f>
        <v>2026</v>
      </c>
      <c r="O4000" s="362"/>
    </row>
    <row r="4001" spans="1:15" ht="15.75" customHeight="1">
      <c r="A4001" s="395"/>
      <c r="B4001" s="399"/>
      <c r="C4001" s="929"/>
      <c r="D4001" s="938"/>
      <c r="E4001" s="929"/>
      <c r="F4001" s="936"/>
      <c r="G4001" s="936"/>
      <c r="H4001" s="936"/>
      <c r="I4001" s="936"/>
      <c r="J4001" s="936"/>
      <c r="K4001" s="936"/>
      <c r="L4001" s="929"/>
      <c r="M4001" s="936"/>
      <c r="N4001" s="938"/>
      <c r="O4001" s="362"/>
    </row>
    <row r="4002" spans="1:15" ht="15.75" customHeight="1">
      <c r="A4002" s="395"/>
      <c r="B4002" s="399"/>
      <c r="C4002" s="404"/>
      <c r="D4002" s="38"/>
      <c r="E4002" s="38"/>
      <c r="F4002" s="38"/>
      <c r="G4002" s="38"/>
      <c r="H4002" s="38"/>
      <c r="I4002" s="38"/>
      <c r="J4002" s="38"/>
      <c r="K4002" s="38"/>
      <c r="L4002" s="39"/>
      <c r="M4002" s="39"/>
      <c r="N4002" s="40"/>
      <c r="O4002" s="362"/>
    </row>
    <row r="4003" spans="1:15" ht="15.75" customHeight="1">
      <c r="A4003" s="395"/>
      <c r="B4003" s="399"/>
      <c r="C4003" s="412" t="s">
        <v>1187</v>
      </c>
      <c r="D4003" s="1199" t="str">
        <f>VLOOKUP(C4008,ListaAct,2,0)</f>
        <v>OBRA CIVIL</v>
      </c>
      <c r="E4003" s="922"/>
      <c r="F4003" s="922"/>
      <c r="G4003" s="922"/>
      <c r="H4003" s="922"/>
      <c r="I4003" s="922"/>
      <c r="J4003" s="922"/>
      <c r="K4003" s="922"/>
      <c r="L4003" s="922"/>
      <c r="M4003" s="1"/>
      <c r="N4003" s="413"/>
      <c r="O4003" s="362"/>
    </row>
    <row r="4004" spans="1:15" ht="15.75" customHeight="1">
      <c r="A4004" s="395"/>
      <c r="B4004" s="399"/>
      <c r="C4004" s="412" t="s">
        <v>1189</v>
      </c>
      <c r="D4004" s="1199" t="str">
        <f>VLOOKUP(C4008,ListaAct,3,0)</f>
        <v>ACTIVIDADES ELECTRICAS, DATOS Y DEMAS REQUERIDAS</v>
      </c>
      <c r="E4004" s="922"/>
      <c r="F4004" s="922"/>
      <c r="G4004" s="922"/>
      <c r="H4004" s="922"/>
      <c r="I4004" s="922"/>
      <c r="J4004" s="922"/>
      <c r="K4004" s="922"/>
      <c r="L4004" s="922"/>
      <c r="M4004" s="1"/>
      <c r="N4004" s="413"/>
      <c r="O4004" s="362"/>
    </row>
    <row r="4005" spans="1:15" ht="15.75" customHeight="1">
      <c r="A4005" s="395"/>
      <c r="B4005" s="399"/>
      <c r="C4005" s="925" t="s">
        <v>1191</v>
      </c>
      <c r="D4005" s="926"/>
      <c r="E4005" s="926"/>
      <c r="F4005" s="926"/>
      <c r="G4005" s="926"/>
      <c r="H4005" s="926"/>
      <c r="I4005" s="926"/>
      <c r="J4005" s="926"/>
      <c r="K4005" s="926"/>
      <c r="L4005" s="926"/>
      <c r="M4005" s="926"/>
      <c r="N4005" s="927"/>
      <c r="O4005" s="362"/>
    </row>
    <row r="4006" spans="1:15" ht="15.75" customHeight="1">
      <c r="A4006" s="395"/>
      <c r="B4006" s="399"/>
      <c r="C4006" s="418"/>
      <c r="D4006" s="39"/>
      <c r="E4006" s="39"/>
      <c r="F4006" s="39"/>
      <c r="G4006" s="39"/>
      <c r="H4006" s="39"/>
      <c r="I4006" s="39"/>
      <c r="J4006" s="39"/>
      <c r="K4006" s="39"/>
      <c r="L4006" s="39"/>
      <c r="M4006" s="39"/>
      <c r="N4006" s="40"/>
      <c r="O4006" s="362"/>
    </row>
    <row r="4007" spans="1:15" ht="15.75" customHeight="1">
      <c r="A4007" s="395"/>
      <c r="B4007" s="399"/>
      <c r="C4007" s="668" t="s">
        <v>965</v>
      </c>
      <c r="D4007" s="1200" t="s">
        <v>17</v>
      </c>
      <c r="E4007" s="1131"/>
      <c r="F4007" s="1131"/>
      <c r="G4007" s="1131"/>
      <c r="H4007" s="1131"/>
      <c r="I4007" s="1131"/>
      <c r="J4007" s="1131"/>
      <c r="K4007" s="1137"/>
      <c r="L4007" s="1201" t="s">
        <v>1192</v>
      </c>
      <c r="M4007" s="1137"/>
      <c r="N4007" s="668" t="s">
        <v>950</v>
      </c>
      <c r="O4007" s="362"/>
    </row>
    <row r="4008" spans="1:15" ht="15.75" customHeight="1">
      <c r="A4008" s="395"/>
      <c r="B4008" s="421"/>
      <c r="C4008" s="669" t="s">
        <v>1118</v>
      </c>
      <c r="D4008" s="1202" t="str">
        <f>IF($C4008&gt;0,(VLOOKUP($C4008,ListaAct,4,FALSE)),"")</f>
        <v>Suministro, Transporte E Instalación De Salida Tomacorriente 110 V, Incluye: Cable Cu 3x12 Awh Thwnn Lszh, Toma Blanca 20 A, caja y tapa.</v>
      </c>
      <c r="E4008" s="979"/>
      <c r="F4008" s="979"/>
      <c r="G4008" s="979"/>
      <c r="H4008" s="979"/>
      <c r="I4008" s="979"/>
      <c r="J4008" s="979"/>
      <c r="K4008" s="980"/>
      <c r="L4008" s="1203" t="str">
        <f>IF($C4008&gt;0,(VLOOKUP($C4008,ListaAct,5,FALSE)),"")</f>
        <v>und</v>
      </c>
      <c r="M4008" s="980"/>
      <c r="N4008" s="423">
        <f>IF($C4008&gt;0,(VLOOKUP($C4008,ListaAct,6,FALSE)),"")</f>
        <v>11</v>
      </c>
      <c r="O4008" s="362"/>
    </row>
    <row r="4009" spans="1:15" ht="15.75" customHeight="1">
      <c r="A4009" s="395"/>
      <c r="B4009" s="399"/>
      <c r="C4009" s="1129" t="s">
        <v>1195</v>
      </c>
      <c r="D4009" s="926"/>
      <c r="E4009" s="926"/>
      <c r="F4009" s="926"/>
      <c r="G4009" s="926"/>
      <c r="H4009" s="926"/>
      <c r="I4009" s="926"/>
      <c r="J4009" s="926"/>
      <c r="K4009" s="926"/>
      <c r="L4009" s="926"/>
      <c r="M4009" s="926"/>
      <c r="N4009" s="927"/>
      <c r="O4009" s="362"/>
    </row>
    <row r="4010" spans="1:15" ht="15.75" customHeight="1">
      <c r="A4010" s="395"/>
      <c r="B4010" s="399"/>
      <c r="C4010" s="920"/>
      <c r="D4010" s="922"/>
      <c r="E4010" s="922"/>
      <c r="F4010" s="922"/>
      <c r="G4010" s="922"/>
      <c r="H4010" s="922"/>
      <c r="I4010" s="922"/>
      <c r="J4010" s="922"/>
      <c r="K4010" s="922"/>
      <c r="L4010" s="922"/>
      <c r="M4010" s="922"/>
      <c r="N4010" s="924"/>
      <c r="O4010" s="362"/>
    </row>
    <row r="4011" spans="1:15" ht="15.75" customHeight="1">
      <c r="A4011" s="395"/>
      <c r="B4011" s="399"/>
      <c r="C4011" s="929"/>
      <c r="D4011" s="936"/>
      <c r="E4011" s="936"/>
      <c r="F4011" s="936"/>
      <c r="G4011" s="936"/>
      <c r="H4011" s="936"/>
      <c r="I4011" s="936"/>
      <c r="J4011" s="936"/>
      <c r="K4011" s="936"/>
      <c r="L4011" s="936"/>
      <c r="M4011" s="936"/>
      <c r="N4011" s="938"/>
      <c r="O4011" s="362"/>
    </row>
    <row r="4012" spans="1:15" ht="15.75" customHeight="1">
      <c r="A4012" s="395"/>
      <c r="B4012" s="399"/>
      <c r="C4012" s="1201" t="s">
        <v>17</v>
      </c>
      <c r="D4012" s="1131"/>
      <c r="E4012" s="1131"/>
      <c r="F4012" s="1000"/>
      <c r="G4012" s="1204" t="s">
        <v>1196</v>
      </c>
      <c r="H4012" s="1000"/>
      <c r="I4012" s="1204" t="s">
        <v>1197</v>
      </c>
      <c r="J4012" s="1000"/>
      <c r="K4012" s="670" t="s">
        <v>1213</v>
      </c>
      <c r="L4012" s="1204" t="s">
        <v>1199</v>
      </c>
      <c r="M4012" s="1000"/>
      <c r="N4012" s="671" t="s">
        <v>1200</v>
      </c>
      <c r="O4012" s="362"/>
    </row>
    <row r="4013" spans="1:15" ht="15.75" customHeight="1">
      <c r="A4013" s="395"/>
      <c r="B4013" s="399"/>
      <c r="C4013" s="1128" t="s">
        <v>1201</v>
      </c>
      <c r="D4013" s="940"/>
      <c r="E4013" s="940"/>
      <c r="F4013" s="941"/>
      <c r="G4013" s="1142"/>
      <c r="H4013" s="941"/>
      <c r="I4013" s="1142"/>
      <c r="J4013" s="941"/>
      <c r="K4013" s="429"/>
      <c r="L4013" s="1143">
        <v>0.05</v>
      </c>
      <c r="M4013" s="941"/>
      <c r="N4013" s="430">
        <f>+L4013*N4052</f>
        <v>2886.145661081292</v>
      </c>
      <c r="O4013" s="362"/>
    </row>
    <row r="4014" spans="1:15" ht="15.75" customHeight="1">
      <c r="A4014" s="395">
        <f t="array" ref="A4014">IF(C4014&lt;&gt;0,INDEX(CodEquipos,MATCH(C4014,Equipos,0),),)</f>
        <v>0</v>
      </c>
      <c r="B4014" s="399"/>
      <c r="C4014" s="1128"/>
      <c r="D4014" s="940"/>
      <c r="E4014" s="940"/>
      <c r="F4014" s="941"/>
      <c r="G4014" s="1142"/>
      <c r="H4014" s="941"/>
      <c r="I4014" s="1142"/>
      <c r="J4014" s="941"/>
      <c r="K4014" s="432" t="str">
        <f>IF($A4014&gt;0,(VLOOKUP($A4014,TablaEquipos,7,FALSE)),"")</f>
        <v/>
      </c>
      <c r="L4014" s="1146"/>
      <c r="M4014" s="941"/>
      <c r="N4014" s="430" t="str">
        <f t="shared" ref="N4014:N4018" si="295">IF(L4014&gt;0,K4014/L4014,"")</f>
        <v/>
      </c>
      <c r="O4014" s="362"/>
    </row>
    <row r="4015" spans="1:15" ht="15.75" customHeight="1">
      <c r="A4015" s="395">
        <f t="array" ref="A4015">IF(C4015&lt;&gt;0,INDEX(CodEquipos,MATCH(C4015,Equipos,0),),)</f>
        <v>0</v>
      </c>
      <c r="B4015" s="399"/>
      <c r="C4015" s="1128"/>
      <c r="D4015" s="940"/>
      <c r="E4015" s="940"/>
      <c r="F4015" s="941"/>
      <c r="G4015" s="1142"/>
      <c r="H4015" s="941"/>
      <c r="I4015" s="1142"/>
      <c r="J4015" s="941"/>
      <c r="K4015" s="432" t="str">
        <f>IF($A4015&gt;0,(VLOOKUP($A4015,TablaEquipos,7,FALSE)),"")</f>
        <v/>
      </c>
      <c r="L4015" s="1146"/>
      <c r="M4015" s="941"/>
      <c r="N4015" s="430" t="str">
        <f t="shared" si="295"/>
        <v/>
      </c>
      <c r="O4015" s="362"/>
    </row>
    <row r="4016" spans="1:15" ht="15.75" customHeight="1">
      <c r="A4016" s="395">
        <f t="array" ref="A4016">IF(C4016&lt;&gt;0,INDEX(CodEquipos,MATCH(C4016,Equipos,0),),)</f>
        <v>0</v>
      </c>
      <c r="B4016" s="399"/>
      <c r="C4016" s="1128"/>
      <c r="D4016" s="940"/>
      <c r="E4016" s="940"/>
      <c r="F4016" s="941"/>
      <c r="G4016" s="1142"/>
      <c r="H4016" s="941"/>
      <c r="I4016" s="1142"/>
      <c r="J4016" s="941"/>
      <c r="K4016" s="432" t="str">
        <f>IF($A4016&gt;0,(VLOOKUP($A4016,TablaEquipos,7,FALSE)),"")</f>
        <v/>
      </c>
      <c r="L4016" s="1146"/>
      <c r="M4016" s="941"/>
      <c r="N4016" s="430" t="str">
        <f t="shared" si="295"/>
        <v/>
      </c>
      <c r="O4016" s="362"/>
    </row>
    <row r="4017" spans="1:15" ht="15.75" customHeight="1">
      <c r="A4017" s="395">
        <f t="array" ref="A4017">IF(C4017&lt;&gt;0,INDEX(CodEquipos,MATCH(C4017,Equipos,0),),)</f>
        <v>0</v>
      </c>
      <c r="B4017" s="399"/>
      <c r="C4017" s="1128"/>
      <c r="D4017" s="940"/>
      <c r="E4017" s="940"/>
      <c r="F4017" s="941"/>
      <c r="G4017" s="1142"/>
      <c r="H4017" s="941"/>
      <c r="I4017" s="1142"/>
      <c r="J4017" s="941"/>
      <c r="K4017" s="432" t="str">
        <f>IF($A4017&gt;0,(VLOOKUP($A4017,TablaEquipos,7,FALSE)),"")</f>
        <v/>
      </c>
      <c r="L4017" s="1141"/>
      <c r="M4017" s="941"/>
      <c r="N4017" s="430" t="str">
        <f t="shared" si="295"/>
        <v/>
      </c>
      <c r="O4017" s="362"/>
    </row>
    <row r="4018" spans="1:15" ht="15.75" customHeight="1">
      <c r="A4018" s="395">
        <f t="array" ref="A4018">IF(C4018&lt;&gt;0,INDEX(CodEquipos,MATCH(C4018,Equipos,0),),)</f>
        <v>0</v>
      </c>
      <c r="B4018" s="399"/>
      <c r="C4018" s="1128"/>
      <c r="D4018" s="940"/>
      <c r="E4018" s="940"/>
      <c r="F4018" s="941"/>
      <c r="G4018" s="1144"/>
      <c r="H4018" s="1145"/>
      <c r="I4018" s="1144"/>
      <c r="J4018" s="1145"/>
      <c r="K4018" s="432" t="str">
        <f>IF($A4018&gt;0,(VLOOKUP($A4018,TablaEquipos,7,FALSE)),"")</f>
        <v/>
      </c>
      <c r="L4018" s="1208"/>
      <c r="M4018" s="1145"/>
      <c r="N4018" s="430" t="str">
        <f t="shared" si="295"/>
        <v/>
      </c>
      <c r="O4018" s="362"/>
    </row>
    <row r="4019" spans="1:15" ht="15.75" customHeight="1">
      <c r="A4019" s="395"/>
      <c r="B4019" s="399"/>
      <c r="C4019" s="1127" t="s">
        <v>1202</v>
      </c>
      <c r="D4019" s="965"/>
      <c r="E4019" s="965"/>
      <c r="F4019" s="965"/>
      <c r="G4019" s="965"/>
      <c r="H4019" s="965"/>
      <c r="I4019" s="965"/>
      <c r="J4019" s="965"/>
      <c r="K4019" s="965"/>
      <c r="L4019" s="965"/>
      <c r="M4019" s="966"/>
      <c r="N4019" s="433">
        <f>+SUM(N4013:N4018)</f>
        <v>2886.145661081292</v>
      </c>
      <c r="O4019" s="362"/>
    </row>
    <row r="4020" spans="1:15" ht="15.75" customHeight="1">
      <c r="A4020" s="395"/>
      <c r="B4020" s="399"/>
      <c r="C4020" s="1129" t="s">
        <v>1203</v>
      </c>
      <c r="D4020" s="926"/>
      <c r="E4020" s="926"/>
      <c r="F4020" s="926"/>
      <c r="G4020" s="926"/>
      <c r="H4020" s="926"/>
      <c r="I4020" s="926"/>
      <c r="J4020" s="926"/>
      <c r="K4020" s="926"/>
      <c r="L4020" s="926"/>
      <c r="M4020" s="926"/>
      <c r="N4020" s="927"/>
      <c r="O4020" s="362"/>
    </row>
    <row r="4021" spans="1:15" ht="15.75" customHeight="1">
      <c r="A4021" s="395"/>
      <c r="B4021" s="399"/>
      <c r="C4021" s="920"/>
      <c r="D4021" s="922"/>
      <c r="E4021" s="922"/>
      <c r="F4021" s="922"/>
      <c r="G4021" s="922"/>
      <c r="H4021" s="922"/>
      <c r="I4021" s="922"/>
      <c r="J4021" s="922"/>
      <c r="K4021" s="922"/>
      <c r="L4021" s="922"/>
      <c r="M4021" s="922"/>
      <c r="N4021" s="924"/>
      <c r="O4021" s="362"/>
    </row>
    <row r="4022" spans="1:15" ht="15.75" customHeight="1">
      <c r="A4022" s="395"/>
      <c r="B4022" s="399"/>
      <c r="C4022" s="929"/>
      <c r="D4022" s="936"/>
      <c r="E4022" s="936"/>
      <c r="F4022" s="936"/>
      <c r="G4022" s="936"/>
      <c r="H4022" s="936"/>
      <c r="I4022" s="936"/>
      <c r="J4022" s="936"/>
      <c r="K4022" s="936"/>
      <c r="L4022" s="936"/>
      <c r="M4022" s="936"/>
      <c r="N4022" s="938"/>
      <c r="O4022" s="362"/>
    </row>
    <row r="4023" spans="1:15" ht="15.75" customHeight="1">
      <c r="A4023" s="395"/>
      <c r="B4023" s="399"/>
      <c r="C4023" s="1201" t="s">
        <v>17</v>
      </c>
      <c r="D4023" s="1131"/>
      <c r="E4023" s="1131"/>
      <c r="F4023" s="1131"/>
      <c r="G4023" s="1131"/>
      <c r="H4023" s="1131"/>
      <c r="I4023" s="1000"/>
      <c r="J4023" s="672" t="s">
        <v>1192</v>
      </c>
      <c r="K4023" s="670" t="s">
        <v>950</v>
      </c>
      <c r="L4023" s="1204" t="s">
        <v>1204</v>
      </c>
      <c r="M4023" s="1000"/>
      <c r="N4023" s="671" t="s">
        <v>1200</v>
      </c>
      <c r="O4023" s="362"/>
    </row>
    <row r="4024" spans="1:15" ht="15.75" customHeight="1">
      <c r="A4024" s="395" t="str">
        <f t="array" ref="A4024">IF(C4024&lt;&gt;0,INDEX(CodMat,MATCH(C4024,Materiales,0),),)</f>
        <v>MAT_ELE-100</v>
      </c>
      <c r="B4024" s="399"/>
      <c r="C4024" s="1128" t="s">
        <v>2396</v>
      </c>
      <c r="D4024" s="940"/>
      <c r="E4024" s="940"/>
      <c r="F4024" s="940"/>
      <c r="G4024" s="940"/>
      <c r="H4024" s="940"/>
      <c r="I4024" s="941"/>
      <c r="J4024" s="435" t="str">
        <f t="shared" ref="J4024:J4031" si="296">IF($A4024&gt;0,(VLOOKUP($A4024,TablaInsumos,5,FALSE)),"")</f>
        <v>UND</v>
      </c>
      <c r="K4024" s="673">
        <v>3</v>
      </c>
      <c r="L4024" s="1134">
        <f t="shared" ref="L4024:L4031" si="297">IF($A4024&gt;0,(VLOOKUP($A4024,TablaInsumos,7,FALSE)),"")</f>
        <v>7050</v>
      </c>
      <c r="M4024" s="941"/>
      <c r="N4024" s="430">
        <f t="shared" ref="N4024:N4031" si="298">IF(K4024&gt;0,L4024*K4024,"")</f>
        <v>21150</v>
      </c>
      <c r="O4024" s="362"/>
    </row>
    <row r="4025" spans="1:15" ht="15.75" customHeight="1">
      <c r="A4025" s="395" t="str">
        <f t="array" ref="A4025">IF(C4025&lt;&gt;0,INDEX(CodMat,MATCH(C4025,Materiales,0),),)</f>
        <v>MAT_ELE-71</v>
      </c>
      <c r="B4025" s="399"/>
      <c r="C4025" s="1128" t="s">
        <v>2619</v>
      </c>
      <c r="D4025" s="940"/>
      <c r="E4025" s="940"/>
      <c r="F4025" s="940"/>
      <c r="G4025" s="940"/>
      <c r="H4025" s="940"/>
      <c r="I4025" s="941"/>
      <c r="J4025" s="435" t="str">
        <f t="shared" si="296"/>
        <v>UND</v>
      </c>
      <c r="K4025" s="673">
        <v>1</v>
      </c>
      <c r="L4025" s="1134">
        <f t="shared" si="297"/>
        <v>15235</v>
      </c>
      <c r="M4025" s="941"/>
      <c r="N4025" s="430">
        <f t="shared" si="298"/>
        <v>15235</v>
      </c>
      <c r="O4025" s="362"/>
    </row>
    <row r="4026" spans="1:15" ht="15.75" customHeight="1">
      <c r="A4026" s="395" t="str">
        <f t="array" ref="A4026">IF(C4026&lt;&gt;0,INDEX(CodMat,MATCH(C4026,Materiales,0),),)</f>
        <v>MAT_ELE-63</v>
      </c>
      <c r="B4026" s="399"/>
      <c r="C4026" s="1128" t="s">
        <v>2599</v>
      </c>
      <c r="D4026" s="940"/>
      <c r="E4026" s="940"/>
      <c r="F4026" s="940"/>
      <c r="G4026" s="940"/>
      <c r="H4026" s="940"/>
      <c r="I4026" s="941"/>
      <c r="J4026" s="435" t="str">
        <f t="shared" si="296"/>
        <v>ML</v>
      </c>
      <c r="K4026" s="673">
        <v>12</v>
      </c>
      <c r="L4026" s="1134">
        <f t="shared" si="297"/>
        <v>3789</v>
      </c>
      <c r="M4026" s="941"/>
      <c r="N4026" s="430">
        <f t="shared" si="298"/>
        <v>45468</v>
      </c>
      <c r="O4026" s="362"/>
    </row>
    <row r="4027" spans="1:15" ht="15.75" customHeight="1">
      <c r="A4027" s="395" t="str">
        <f t="array" ref="A4027">IF(C4027&lt;&gt;0,INDEX(CodMat,MATCH(C4027,Materiales,0),),)</f>
        <v>MAT_ELE-02</v>
      </c>
      <c r="B4027" s="399"/>
      <c r="C4027" s="1128" t="s">
        <v>2615</v>
      </c>
      <c r="D4027" s="940"/>
      <c r="E4027" s="940"/>
      <c r="F4027" s="940"/>
      <c r="G4027" s="940"/>
      <c r="H4027" s="940"/>
      <c r="I4027" s="941"/>
      <c r="J4027" s="435" t="str">
        <f t="shared" si="296"/>
        <v>UND</v>
      </c>
      <c r="K4027" s="673">
        <v>0.1</v>
      </c>
      <c r="L4027" s="1134">
        <f t="shared" si="297"/>
        <v>4200</v>
      </c>
      <c r="M4027" s="941"/>
      <c r="N4027" s="430">
        <f t="shared" si="298"/>
        <v>420</v>
      </c>
      <c r="O4027" s="362"/>
    </row>
    <row r="4028" spans="1:15" ht="15.75" customHeight="1">
      <c r="A4028" s="395">
        <f t="array" ref="A4028">IF(C4028&lt;&gt;0,INDEX(CodMat,MATCH(C4028,Materiales,0),),)</f>
        <v>0</v>
      </c>
      <c r="B4028" s="399"/>
      <c r="C4028" s="1128"/>
      <c r="D4028" s="940"/>
      <c r="E4028" s="940"/>
      <c r="F4028" s="940"/>
      <c r="G4028" s="940"/>
      <c r="H4028" s="940"/>
      <c r="I4028" s="941"/>
      <c r="J4028" s="435" t="str">
        <f t="shared" si="296"/>
        <v/>
      </c>
      <c r="K4028" s="436"/>
      <c r="L4028" s="1134" t="str">
        <f t="shared" si="297"/>
        <v/>
      </c>
      <c r="M4028" s="941"/>
      <c r="N4028" s="430" t="str">
        <f t="shared" si="298"/>
        <v/>
      </c>
      <c r="O4028" s="362"/>
    </row>
    <row r="4029" spans="1:15" ht="15.75" customHeight="1">
      <c r="A4029" s="395">
        <f t="array" ref="A4029">IF(C4029&lt;&gt;0,INDEX(CodMat,MATCH(C4029,Materiales,0),),)</f>
        <v>0</v>
      </c>
      <c r="B4029" s="399"/>
      <c r="C4029" s="1128"/>
      <c r="D4029" s="940"/>
      <c r="E4029" s="940"/>
      <c r="F4029" s="940"/>
      <c r="G4029" s="940"/>
      <c r="H4029" s="940"/>
      <c r="I4029" s="941"/>
      <c r="J4029" s="435" t="str">
        <f t="shared" si="296"/>
        <v/>
      </c>
      <c r="K4029" s="436"/>
      <c r="L4029" s="1134" t="str">
        <f t="shared" si="297"/>
        <v/>
      </c>
      <c r="M4029" s="941"/>
      <c r="N4029" s="430" t="str">
        <f t="shared" si="298"/>
        <v/>
      </c>
      <c r="O4029" s="362"/>
    </row>
    <row r="4030" spans="1:15" ht="15.75" customHeight="1">
      <c r="A4030" s="395">
        <f t="array" ref="A4030">IF(C4030&lt;&gt;0,INDEX(CodMat,MATCH(C4030,Materiales,0),),)</f>
        <v>0</v>
      </c>
      <c r="B4030" s="399"/>
      <c r="C4030" s="1128"/>
      <c r="D4030" s="940"/>
      <c r="E4030" s="940"/>
      <c r="F4030" s="940"/>
      <c r="G4030" s="940"/>
      <c r="H4030" s="940"/>
      <c r="I4030" s="941"/>
      <c r="J4030" s="435" t="str">
        <f t="shared" si="296"/>
        <v/>
      </c>
      <c r="K4030" s="436"/>
      <c r="L4030" s="1134" t="str">
        <f t="shared" si="297"/>
        <v/>
      </c>
      <c r="M4030" s="941"/>
      <c r="N4030" s="430" t="str">
        <f t="shared" si="298"/>
        <v/>
      </c>
      <c r="O4030" s="362"/>
    </row>
    <row r="4031" spans="1:15" ht="15.75" customHeight="1">
      <c r="A4031" s="395">
        <f t="array" ref="A4031">IF(C4031&lt;&gt;0,INDEX(CodMat,MATCH(C4031,Materiales,0),),)</f>
        <v>0</v>
      </c>
      <c r="B4031" s="399"/>
      <c r="C4031" s="1128"/>
      <c r="D4031" s="940"/>
      <c r="E4031" s="940"/>
      <c r="F4031" s="940"/>
      <c r="G4031" s="940"/>
      <c r="H4031" s="940"/>
      <c r="I4031" s="941"/>
      <c r="J4031" s="435" t="str">
        <f t="shared" si="296"/>
        <v/>
      </c>
      <c r="K4031" s="436"/>
      <c r="L4031" s="1205" t="str">
        <f t="shared" si="297"/>
        <v/>
      </c>
      <c r="M4031" s="1145"/>
      <c r="N4031" s="430" t="str">
        <f t="shared" si="298"/>
        <v/>
      </c>
      <c r="O4031" s="362"/>
    </row>
    <row r="4032" spans="1:15" ht="15.75" customHeight="1">
      <c r="A4032" s="395"/>
      <c r="B4032" s="399"/>
      <c r="C4032" s="1127" t="s">
        <v>1202</v>
      </c>
      <c r="D4032" s="965"/>
      <c r="E4032" s="965"/>
      <c r="F4032" s="965"/>
      <c r="G4032" s="965"/>
      <c r="H4032" s="965"/>
      <c r="I4032" s="965"/>
      <c r="J4032" s="965"/>
      <c r="K4032" s="965"/>
      <c r="L4032" s="965"/>
      <c r="M4032" s="966"/>
      <c r="N4032" s="433">
        <f>+SUM(N4024:N4031)</f>
        <v>82273</v>
      </c>
      <c r="O4032" s="362"/>
    </row>
    <row r="4033" spans="1:15" ht="15.75" customHeight="1">
      <c r="A4033" s="395"/>
      <c r="B4033" s="399"/>
      <c r="C4033" s="1129" t="s">
        <v>1208</v>
      </c>
      <c r="D4033" s="926"/>
      <c r="E4033" s="926"/>
      <c r="F4033" s="926"/>
      <c r="G4033" s="926"/>
      <c r="H4033" s="926"/>
      <c r="I4033" s="926"/>
      <c r="J4033" s="926"/>
      <c r="K4033" s="926"/>
      <c r="L4033" s="926"/>
      <c r="M4033" s="926"/>
      <c r="N4033" s="927"/>
      <c r="O4033" s="362"/>
    </row>
    <row r="4034" spans="1:15" ht="15.75" customHeight="1">
      <c r="A4034" s="395"/>
      <c r="B4034" s="399"/>
      <c r="C4034" s="920"/>
      <c r="D4034" s="922"/>
      <c r="E4034" s="922"/>
      <c r="F4034" s="922"/>
      <c r="G4034" s="922"/>
      <c r="H4034" s="922"/>
      <c r="I4034" s="922"/>
      <c r="J4034" s="922"/>
      <c r="K4034" s="922"/>
      <c r="L4034" s="922"/>
      <c r="M4034" s="922"/>
      <c r="N4034" s="924"/>
      <c r="O4034" s="362"/>
    </row>
    <row r="4035" spans="1:15" ht="15.75" customHeight="1">
      <c r="A4035" s="395"/>
      <c r="B4035" s="399"/>
      <c r="C4035" s="929"/>
      <c r="D4035" s="936"/>
      <c r="E4035" s="936"/>
      <c r="F4035" s="936"/>
      <c r="G4035" s="936"/>
      <c r="H4035" s="936"/>
      <c r="I4035" s="936"/>
      <c r="J4035" s="936"/>
      <c r="K4035" s="936"/>
      <c r="L4035" s="936"/>
      <c r="M4035" s="936"/>
      <c r="N4035" s="938"/>
      <c r="O4035" s="362"/>
    </row>
    <row r="4036" spans="1:15" ht="15.75" customHeight="1">
      <c r="A4036" s="395"/>
      <c r="B4036" s="399"/>
      <c r="C4036" s="1201" t="s">
        <v>1209</v>
      </c>
      <c r="D4036" s="1131"/>
      <c r="E4036" s="1131"/>
      <c r="F4036" s="1131"/>
      <c r="G4036" s="1131"/>
      <c r="H4036" s="1000"/>
      <c r="I4036" s="670" t="s">
        <v>1210</v>
      </c>
      <c r="J4036" s="674" t="s">
        <v>1211</v>
      </c>
      <c r="K4036" s="675" t="s">
        <v>2318</v>
      </c>
      <c r="L4036" s="1204" t="s">
        <v>1213</v>
      </c>
      <c r="M4036" s="1000"/>
      <c r="N4036" s="671" t="s">
        <v>1200</v>
      </c>
      <c r="O4036" s="362"/>
    </row>
    <row r="4037" spans="1:15" ht="15.75" customHeight="1">
      <c r="A4037" s="395">
        <f t="array" ref="A4037">IF(C4037&lt;&gt;0,INDEX(CodTransporte,MATCH(C4037,Transporte,0),),)</f>
        <v>0</v>
      </c>
      <c r="B4037" s="399"/>
      <c r="C4037" s="1128"/>
      <c r="D4037" s="940"/>
      <c r="E4037" s="940"/>
      <c r="F4037" s="940"/>
      <c r="G4037" s="940"/>
      <c r="H4037" s="940"/>
      <c r="I4037" s="440"/>
      <c r="J4037" s="441" t="str">
        <f>IF($A4037&gt;0,(VLOOKUP($A4037,TablaTransporte,6,FALSE)),"")</f>
        <v/>
      </c>
      <c r="K4037" s="442" t="str">
        <f>IF($A4037&gt;0,(VLOOKUP($A4037,TablaTransporte,5,FALSE)),"")</f>
        <v/>
      </c>
      <c r="L4037" s="1134" t="str">
        <f>IF($A4037&gt;0,(VLOOKUP($A4037,TablaTransporte,7,FALSE)),"")</f>
        <v/>
      </c>
      <c r="M4037" s="941"/>
      <c r="N4037" s="430" t="str">
        <f t="shared" ref="N4037:N4041" si="299">IF(I4037&gt;0,J4037*L4037*I4037,"")</f>
        <v/>
      </c>
      <c r="O4037" s="362"/>
    </row>
    <row r="4038" spans="1:15" ht="15.75" customHeight="1">
      <c r="A4038" s="395">
        <f t="array" ref="A4038">IF(C4038&lt;&gt;0,INDEX(CodTransporte,MATCH(C4038,Transporte,0),),)</f>
        <v>0</v>
      </c>
      <c r="B4038" s="399"/>
      <c r="C4038" s="1128"/>
      <c r="D4038" s="940"/>
      <c r="E4038" s="940"/>
      <c r="F4038" s="940"/>
      <c r="G4038" s="940"/>
      <c r="H4038" s="940"/>
      <c r="I4038" s="440"/>
      <c r="J4038" s="441" t="str">
        <f>IF($A4038&gt;0,(VLOOKUP($A4038,TablaTransporte,6,FALSE)),"")</f>
        <v/>
      </c>
      <c r="K4038" s="442" t="str">
        <f>IF($A4038&gt;0,(VLOOKUP($A4038,TablaTransporte,5,FALSE)),"")</f>
        <v/>
      </c>
      <c r="L4038" s="1134" t="str">
        <f>IF($A4038&gt;0,(VLOOKUP($A4038,TablaTransporte,7,FALSE)),"")</f>
        <v/>
      </c>
      <c r="M4038" s="941"/>
      <c r="N4038" s="430" t="str">
        <f t="shared" si="299"/>
        <v/>
      </c>
      <c r="O4038" s="362"/>
    </row>
    <row r="4039" spans="1:15" ht="15.75" customHeight="1">
      <c r="A4039" s="395">
        <f t="array" ref="A4039">IF(C4039&lt;&gt;0,INDEX(CodTransporte,MATCH(C4039,Transporte,0),),)</f>
        <v>0</v>
      </c>
      <c r="B4039" s="399"/>
      <c r="C4039" s="1128"/>
      <c r="D4039" s="940"/>
      <c r="E4039" s="940"/>
      <c r="F4039" s="940"/>
      <c r="G4039" s="940"/>
      <c r="H4039" s="940"/>
      <c r="I4039" s="440"/>
      <c r="J4039" s="441" t="str">
        <f>IF($A4039&gt;0,(VLOOKUP($A4039,TablaTransporte,6,FALSE)),"")</f>
        <v/>
      </c>
      <c r="K4039" s="442" t="str">
        <f>IF($A4039&gt;0,(VLOOKUP($A4039,TablaTransporte,5,FALSE)),"")</f>
        <v/>
      </c>
      <c r="L4039" s="1134" t="str">
        <f>IF($A4039&gt;0,(VLOOKUP($A4039,TablaTransporte,7,FALSE)),"")</f>
        <v/>
      </c>
      <c r="M4039" s="941"/>
      <c r="N4039" s="430" t="str">
        <f t="shared" si="299"/>
        <v/>
      </c>
      <c r="O4039" s="362"/>
    </row>
    <row r="4040" spans="1:15" ht="15.75" customHeight="1">
      <c r="A4040" s="395">
        <f t="array" ref="A4040">IF(C4040&lt;&gt;0,INDEX(CodTransporte,MATCH(C4040,Transporte,0),),)</f>
        <v>0</v>
      </c>
      <c r="B4040" s="399"/>
      <c r="C4040" s="1128"/>
      <c r="D4040" s="940"/>
      <c r="E4040" s="940"/>
      <c r="F4040" s="940"/>
      <c r="G4040" s="940"/>
      <c r="H4040" s="940"/>
      <c r="I4040" s="440"/>
      <c r="J4040" s="441" t="str">
        <f>IF($A4040&gt;0,(VLOOKUP($A4040,TablaTransporte,6,FALSE)),"")</f>
        <v/>
      </c>
      <c r="K4040" s="442" t="str">
        <f>IF($A4040&gt;0,(VLOOKUP($A4040,TablaTransporte,5,FALSE)),"")</f>
        <v/>
      </c>
      <c r="L4040" s="1134" t="str">
        <f>IF($A4040&gt;0,(VLOOKUP($A4040,TablaTransporte,7,FALSE)),"")</f>
        <v/>
      </c>
      <c r="M4040" s="941"/>
      <c r="N4040" s="430" t="str">
        <f t="shared" si="299"/>
        <v/>
      </c>
      <c r="O4040" s="362"/>
    </row>
    <row r="4041" spans="1:15" ht="15.75" customHeight="1">
      <c r="A4041" s="395">
        <f t="array" ref="A4041">IF(C4041&lt;&gt;0,INDEX(CodTransporte,MATCH(C4041,Transporte,0),),)</f>
        <v>0</v>
      </c>
      <c r="B4041" s="399"/>
      <c r="C4041" s="1128"/>
      <c r="D4041" s="940"/>
      <c r="E4041" s="940"/>
      <c r="F4041" s="940"/>
      <c r="G4041" s="940"/>
      <c r="H4041" s="940"/>
      <c r="I4041" s="440"/>
      <c r="J4041" s="441" t="str">
        <f>IF($A4041&gt;0,(VLOOKUP($A4041,TablaTransporte,6,FALSE)),"")</f>
        <v/>
      </c>
      <c r="K4041" s="442" t="str">
        <f>IF($A4041&gt;0,(VLOOKUP($A4041,TablaTransporte,5,FALSE)),"")</f>
        <v/>
      </c>
      <c r="L4041" s="1205" t="str">
        <f>IF($A4041&gt;0,(VLOOKUP($A4041,TablaTransporte,7,FALSE)),"")</f>
        <v/>
      </c>
      <c r="M4041" s="1145"/>
      <c r="N4041" s="430" t="str">
        <f t="shared" si="299"/>
        <v/>
      </c>
      <c r="O4041" s="362"/>
    </row>
    <row r="4042" spans="1:15" ht="15.75" customHeight="1">
      <c r="A4042" s="395"/>
      <c r="B4042" s="399"/>
      <c r="C4042" s="1127" t="s">
        <v>1202</v>
      </c>
      <c r="D4042" s="965"/>
      <c r="E4042" s="965"/>
      <c r="F4042" s="965"/>
      <c r="G4042" s="965"/>
      <c r="H4042" s="965"/>
      <c r="I4042" s="965"/>
      <c r="J4042" s="965"/>
      <c r="K4042" s="965"/>
      <c r="L4042" s="965"/>
      <c r="M4042" s="966"/>
      <c r="N4042" s="433">
        <f>+SUM(N4037:N4041)</f>
        <v>0</v>
      </c>
      <c r="O4042" s="362"/>
    </row>
    <row r="4043" spans="1:15" ht="15.75" customHeight="1">
      <c r="A4043" s="395"/>
      <c r="B4043" s="399"/>
      <c r="C4043" s="1129" t="s">
        <v>1214</v>
      </c>
      <c r="D4043" s="926"/>
      <c r="E4043" s="926"/>
      <c r="F4043" s="926"/>
      <c r="G4043" s="926"/>
      <c r="H4043" s="926"/>
      <c r="I4043" s="926"/>
      <c r="J4043" s="926"/>
      <c r="K4043" s="926"/>
      <c r="L4043" s="926"/>
      <c r="M4043" s="926"/>
      <c r="N4043" s="927"/>
      <c r="O4043" s="362"/>
    </row>
    <row r="4044" spans="1:15" ht="15.75" customHeight="1">
      <c r="A4044" s="395"/>
      <c r="B4044" s="399"/>
      <c r="C4044" s="920"/>
      <c r="D4044" s="922"/>
      <c r="E4044" s="922"/>
      <c r="F4044" s="922"/>
      <c r="G4044" s="922"/>
      <c r="H4044" s="922"/>
      <c r="I4044" s="922"/>
      <c r="J4044" s="922"/>
      <c r="K4044" s="922"/>
      <c r="L4044" s="922"/>
      <c r="M4044" s="922"/>
      <c r="N4044" s="924"/>
      <c r="O4044" s="362"/>
    </row>
    <row r="4045" spans="1:15" ht="15.75" customHeight="1">
      <c r="A4045" s="395"/>
      <c r="B4045" s="399"/>
      <c r="C4045" s="929"/>
      <c r="D4045" s="936"/>
      <c r="E4045" s="936"/>
      <c r="F4045" s="936"/>
      <c r="G4045" s="936"/>
      <c r="H4045" s="936"/>
      <c r="I4045" s="936"/>
      <c r="J4045" s="936"/>
      <c r="K4045" s="936"/>
      <c r="L4045" s="936"/>
      <c r="M4045" s="936"/>
      <c r="N4045" s="938"/>
      <c r="O4045" s="362"/>
    </row>
    <row r="4046" spans="1:15" ht="15.75" customHeight="1">
      <c r="A4046" s="395"/>
      <c r="B4046" s="399"/>
      <c r="C4046" s="1201" t="s">
        <v>1215</v>
      </c>
      <c r="D4046" s="1131"/>
      <c r="E4046" s="1131"/>
      <c r="F4046" s="1131"/>
      <c r="G4046" s="1131"/>
      <c r="H4046" s="1000"/>
      <c r="I4046" s="670" t="s">
        <v>1216</v>
      </c>
      <c r="J4046" s="676" t="s">
        <v>1217</v>
      </c>
      <c r="K4046" s="677" t="s">
        <v>1218</v>
      </c>
      <c r="L4046" s="1206" t="s">
        <v>1199</v>
      </c>
      <c r="M4046" s="1000"/>
      <c r="N4046" s="678" t="s">
        <v>1200</v>
      </c>
      <c r="O4046" s="362"/>
    </row>
    <row r="4047" spans="1:15" ht="15.75" customHeight="1">
      <c r="A4047" s="395" t="str">
        <f t="array" ref="A4047">IF(C4047&lt;&gt;0,INDEX(CodMO,MATCH(C4047,MO,0),),)</f>
        <v>M.O-15</v>
      </c>
      <c r="B4047" s="399"/>
      <c r="C4047" s="1128" t="s">
        <v>2607</v>
      </c>
      <c r="D4047" s="940"/>
      <c r="E4047" s="940"/>
      <c r="F4047" s="940"/>
      <c r="G4047" s="940"/>
      <c r="H4047" s="940"/>
      <c r="I4047" s="447">
        <f>IF($A4047&gt;0,(VLOOKUP($A4047,TablaMO,8,FALSE)),"")</f>
        <v>366787.33333333331</v>
      </c>
      <c r="J4047" s="448">
        <f>IF($A4047&gt;0,(VLOOKUP($A4047,TablaMO,10,FALSE)),"")</f>
        <v>0.67071666666666663</v>
      </c>
      <c r="K4047" s="447">
        <f>IF($A4047&gt;0,(VLOOKUP($A4047,TablaMO,11,FALSE)),"")</f>
        <v>367679</v>
      </c>
      <c r="L4047" s="1146">
        <v>6.3697235548092435</v>
      </c>
      <c r="M4047" s="941"/>
      <c r="N4047" s="430">
        <f t="shared" ref="N4047:N4051" si="300">IF(L4047&gt;0,K4047/L4047,"")</f>
        <v>57722.913221625837</v>
      </c>
      <c r="O4047" s="362"/>
    </row>
    <row r="4048" spans="1:15" ht="15.75" customHeight="1">
      <c r="A4048" s="395">
        <f t="array" ref="A4048">IF(C4048&lt;&gt;0,INDEX(CodMO,MATCH(C4048,MO,0),),)</f>
        <v>0</v>
      </c>
      <c r="B4048" s="399"/>
      <c r="C4048" s="1128"/>
      <c r="D4048" s="940"/>
      <c r="E4048" s="940"/>
      <c r="F4048" s="940"/>
      <c r="G4048" s="940"/>
      <c r="H4048" s="940"/>
      <c r="I4048" s="447" t="str">
        <f>IF($A4048&gt;0,(VLOOKUP($A4048,TablaMO,8,FALSE)),"")</f>
        <v/>
      </c>
      <c r="J4048" s="448" t="str">
        <f>IF($A4048&gt;0,(VLOOKUP($A4048,TablaMO,10,FALSE)),"")</f>
        <v/>
      </c>
      <c r="K4048" s="447" t="str">
        <f>IF($A4048&gt;0,(VLOOKUP($A4048,TablaMO,11,FALSE)),"")</f>
        <v/>
      </c>
      <c r="L4048" s="1146"/>
      <c r="M4048" s="941"/>
      <c r="N4048" s="430" t="str">
        <f t="shared" si="300"/>
        <v/>
      </c>
      <c r="O4048" s="362"/>
    </row>
    <row r="4049" spans="1:18" ht="15.75" customHeight="1">
      <c r="A4049" s="395">
        <f t="array" ref="A4049">IF(C4049&lt;&gt;0,INDEX(CodMO,MATCH(C4049,MO,0),),)</f>
        <v>0</v>
      </c>
      <c r="B4049" s="399"/>
      <c r="C4049" s="1128"/>
      <c r="D4049" s="940"/>
      <c r="E4049" s="940"/>
      <c r="F4049" s="940"/>
      <c r="G4049" s="940"/>
      <c r="H4049" s="940"/>
      <c r="I4049" s="447" t="str">
        <f>IF($A4049&gt;0,(VLOOKUP($A4049,TablaMO,8,FALSE)),"")</f>
        <v/>
      </c>
      <c r="J4049" s="448" t="str">
        <f>IF($A4049&gt;0,(VLOOKUP($A4049,TablaMO,10,FALSE)),"")</f>
        <v/>
      </c>
      <c r="K4049" s="447" t="str">
        <f>IF($A4049&gt;0,(VLOOKUP($A4049,TablaMO,11,FALSE)),"")</f>
        <v/>
      </c>
      <c r="L4049" s="1146"/>
      <c r="M4049" s="941"/>
      <c r="N4049" s="430" t="str">
        <f t="shared" si="300"/>
        <v/>
      </c>
      <c r="O4049" s="362"/>
    </row>
    <row r="4050" spans="1:18" ht="15.75" customHeight="1">
      <c r="A4050" s="395">
        <f t="array" ref="A4050">IF(C4050&lt;&gt;0,INDEX(CodMO,MATCH(C4050,MO,0),),)</f>
        <v>0</v>
      </c>
      <c r="B4050" s="399"/>
      <c r="C4050" s="1128"/>
      <c r="D4050" s="940"/>
      <c r="E4050" s="940"/>
      <c r="F4050" s="940"/>
      <c r="G4050" s="940"/>
      <c r="H4050" s="940"/>
      <c r="I4050" s="447" t="str">
        <f>IF($A4050&gt;0,(VLOOKUP($A4050,TablaMO,8,FALSE)),"")</f>
        <v/>
      </c>
      <c r="J4050" s="448" t="str">
        <f>IF($A4050&gt;0,(VLOOKUP($A4050,TablaMO,10,FALSE)),"")</f>
        <v/>
      </c>
      <c r="K4050" s="447" t="str">
        <f>IF($A4050&gt;0,(VLOOKUP($A4050,TablaMO,11,FALSE)),"")</f>
        <v/>
      </c>
      <c r="L4050" s="1146"/>
      <c r="M4050" s="941"/>
      <c r="N4050" s="430" t="str">
        <f t="shared" si="300"/>
        <v/>
      </c>
      <c r="O4050" s="362"/>
    </row>
    <row r="4051" spans="1:18" ht="15.75" customHeight="1">
      <c r="A4051" s="395">
        <f t="array" ref="A4051">IF(C4051&lt;&gt;0,INDEX(CodMO,MATCH(C4051,MO,0),),)</f>
        <v>0</v>
      </c>
      <c r="B4051" s="399"/>
      <c r="C4051" s="1128"/>
      <c r="D4051" s="940"/>
      <c r="E4051" s="940"/>
      <c r="F4051" s="940"/>
      <c r="G4051" s="940"/>
      <c r="H4051" s="940"/>
      <c r="I4051" s="447" t="str">
        <f>IF($A4051&gt;0,(VLOOKUP($A4051,TablaMO,8,FALSE)),"")</f>
        <v/>
      </c>
      <c r="J4051" s="448" t="str">
        <f>IF($A4051&gt;0,(VLOOKUP($A4051,TablaMO,10,FALSE)),"")</f>
        <v/>
      </c>
      <c r="K4051" s="447" t="str">
        <f>IF($A4051&gt;0,(VLOOKUP($A4051,TablaMO,11,FALSE)),"")</f>
        <v/>
      </c>
      <c r="L4051" s="1146"/>
      <c r="M4051" s="941"/>
      <c r="N4051" s="430" t="str">
        <f t="shared" si="300"/>
        <v/>
      </c>
      <c r="O4051" s="362"/>
    </row>
    <row r="4052" spans="1:18" ht="15.75" customHeight="1">
      <c r="A4052" s="395"/>
      <c r="B4052" s="399"/>
      <c r="C4052" s="1127" t="s">
        <v>1202</v>
      </c>
      <c r="D4052" s="965"/>
      <c r="E4052" s="965"/>
      <c r="F4052" s="965"/>
      <c r="G4052" s="965"/>
      <c r="H4052" s="965"/>
      <c r="I4052" s="965"/>
      <c r="J4052" s="965"/>
      <c r="K4052" s="965"/>
      <c r="L4052" s="965"/>
      <c r="M4052" s="966"/>
      <c r="N4052" s="433">
        <f>+SUM(N4047:N4051)</f>
        <v>57722.913221625837</v>
      </c>
      <c r="O4052" s="362"/>
    </row>
    <row r="4053" spans="1:18" ht="15.75" customHeight="1">
      <c r="B4053" s="679"/>
      <c r="O4053" s="362"/>
    </row>
    <row r="4054" spans="1:18" ht="15.75" customHeight="1">
      <c r="B4054" s="679"/>
      <c r="C4054" s="1198" t="s">
        <v>1219</v>
      </c>
      <c r="D4054" s="965"/>
      <c r="E4054" s="965"/>
      <c r="F4054" s="965"/>
      <c r="G4054" s="965"/>
      <c r="H4054" s="965"/>
      <c r="I4054" s="965"/>
      <c r="J4054" s="965"/>
      <c r="K4054" s="965"/>
      <c r="L4054" s="965"/>
      <c r="M4054" s="966"/>
      <c r="N4054" s="680">
        <f>ROUND(SUM(N4052,N4042,N4032,N4019),0)</f>
        <v>142882</v>
      </c>
      <c r="O4054" s="362"/>
      <c r="Q4054" s="681">
        <f>VLOOKUP(C4008,PROPUESTASASERCO,8,FALSE)</f>
        <v>142882</v>
      </c>
      <c r="R4054" s="682">
        <f>Q4054-N4054</f>
        <v>0</v>
      </c>
    </row>
    <row r="4055" spans="1:18" ht="15.75" customHeight="1">
      <c r="B4055" s="679"/>
      <c r="C4055" s="1129" t="s">
        <v>1220</v>
      </c>
      <c r="D4055" s="926"/>
      <c r="E4055" s="926"/>
      <c r="F4055" s="926"/>
      <c r="G4055" s="926"/>
      <c r="H4055" s="926"/>
      <c r="I4055" s="926"/>
      <c r="J4055" s="926"/>
      <c r="K4055" s="926"/>
      <c r="L4055" s="926"/>
      <c r="M4055" s="926"/>
      <c r="N4055" s="927"/>
      <c r="O4055" s="362"/>
    </row>
    <row r="4056" spans="1:18" ht="15.75" customHeight="1">
      <c r="B4056" s="679"/>
      <c r="C4056" s="920"/>
      <c r="D4056" s="922"/>
      <c r="E4056" s="922"/>
      <c r="F4056" s="922"/>
      <c r="G4056" s="922"/>
      <c r="H4056" s="922"/>
      <c r="I4056" s="922"/>
      <c r="J4056" s="922"/>
      <c r="K4056" s="922"/>
      <c r="L4056" s="922"/>
      <c r="M4056" s="922"/>
      <c r="N4056" s="924"/>
      <c r="O4056" s="362"/>
    </row>
    <row r="4057" spans="1:18" ht="15.75" customHeight="1">
      <c r="B4057" s="679"/>
      <c r="C4057" s="929"/>
      <c r="D4057" s="936"/>
      <c r="E4057" s="936"/>
      <c r="F4057" s="936"/>
      <c r="G4057" s="936"/>
      <c r="H4057" s="936"/>
      <c r="I4057" s="936"/>
      <c r="J4057" s="936"/>
      <c r="K4057" s="936"/>
      <c r="L4057" s="936"/>
      <c r="M4057" s="936"/>
      <c r="N4057" s="938"/>
      <c r="O4057" s="362"/>
    </row>
    <row r="4058" spans="1:18" ht="15.75" customHeight="1">
      <c r="B4058" s="679"/>
      <c r="C4058" s="1201" t="s">
        <v>1221</v>
      </c>
      <c r="D4058" s="1131"/>
      <c r="E4058" s="1131"/>
      <c r="F4058" s="1131"/>
      <c r="G4058" s="1131"/>
      <c r="H4058" s="1132"/>
      <c r="I4058" s="674"/>
      <c r="J4058" s="674"/>
      <c r="K4058" s="674"/>
      <c r="L4058" s="1206" t="s">
        <v>1222</v>
      </c>
      <c r="M4058" s="1000"/>
      <c r="N4058" s="678" t="s">
        <v>1223</v>
      </c>
      <c r="O4058" s="362"/>
    </row>
    <row r="4059" spans="1:18" ht="15.75" customHeight="1">
      <c r="B4059" s="679"/>
      <c r="C4059" s="1128" t="s">
        <v>19</v>
      </c>
      <c r="D4059" s="940"/>
      <c r="E4059" s="940"/>
      <c r="F4059" s="940"/>
      <c r="G4059" s="940"/>
      <c r="H4059" s="940"/>
      <c r="I4059" s="452"/>
      <c r="J4059" s="452"/>
      <c r="K4059" s="452"/>
      <c r="L4059" s="1148">
        <f>+Datos!$E$18</f>
        <v>0.25</v>
      </c>
      <c r="M4059" s="941"/>
      <c r="N4059" s="430">
        <f>+L4059*N4054</f>
        <v>35720.5</v>
      </c>
      <c r="O4059" s="362"/>
    </row>
    <row r="4060" spans="1:18" ht="15.75" customHeight="1">
      <c r="B4060" s="679"/>
      <c r="C4060" s="454" t="s">
        <v>20</v>
      </c>
      <c r="D4060" s="455"/>
      <c r="E4060" s="455"/>
      <c r="F4060" s="455"/>
      <c r="G4060" s="455"/>
      <c r="H4060" s="455"/>
      <c r="I4060" s="452"/>
      <c r="J4060" s="452"/>
      <c r="K4060" s="452"/>
      <c r="L4060" s="1148">
        <f>+Datos!$E$19</f>
        <v>0.01</v>
      </c>
      <c r="M4060" s="941"/>
      <c r="N4060" s="430">
        <f>+L4060*N4054</f>
        <v>1428.82</v>
      </c>
      <c r="O4060" s="362"/>
    </row>
    <row r="4061" spans="1:18" ht="15.75" customHeight="1">
      <c r="B4061" s="679"/>
      <c r="C4061" s="456" t="s">
        <v>21</v>
      </c>
      <c r="D4061" s="457"/>
      <c r="E4061" s="457"/>
      <c r="F4061" s="457"/>
      <c r="G4061" s="457"/>
      <c r="H4061" s="457"/>
      <c r="I4061" s="458"/>
      <c r="J4061" s="458"/>
      <c r="K4061" s="458"/>
      <c r="L4061" s="1148">
        <f>+Datos!$E$20</f>
        <v>0.05</v>
      </c>
      <c r="M4061" s="941"/>
      <c r="N4061" s="430">
        <f>+L4061*N4054</f>
        <v>7144.1</v>
      </c>
      <c r="O4061" s="362"/>
    </row>
    <row r="4062" spans="1:18" ht="15.75" customHeight="1">
      <c r="B4062" s="679"/>
      <c r="C4062" s="1127" t="s">
        <v>1202</v>
      </c>
      <c r="D4062" s="965"/>
      <c r="E4062" s="965"/>
      <c r="F4062" s="965"/>
      <c r="G4062" s="965"/>
      <c r="H4062" s="965"/>
      <c r="I4062" s="965"/>
      <c r="J4062" s="965"/>
      <c r="K4062" s="965"/>
      <c r="L4062" s="965"/>
      <c r="M4062" s="966"/>
      <c r="N4062" s="433">
        <f>+SUM(N4059:N4061)</f>
        <v>44293.42</v>
      </c>
      <c r="O4062" s="362"/>
    </row>
    <row r="4063" spans="1:18" ht="15.75" customHeight="1">
      <c r="B4063" s="679"/>
      <c r="C4063" s="418"/>
      <c r="D4063" s="39"/>
      <c r="E4063" s="39"/>
      <c r="F4063" s="39"/>
      <c r="G4063" s="39"/>
      <c r="H4063" s="39"/>
      <c r="I4063" s="39"/>
      <c r="J4063" s="39"/>
      <c r="K4063" s="39"/>
      <c r="L4063" s="39"/>
      <c r="M4063" s="39"/>
      <c r="N4063" s="40"/>
      <c r="O4063" s="362"/>
    </row>
    <row r="4064" spans="1:18" ht="15.75" customHeight="1">
      <c r="B4064" s="679"/>
      <c r="C4064" s="1198" t="s">
        <v>1224</v>
      </c>
      <c r="D4064" s="965"/>
      <c r="E4064" s="965"/>
      <c r="F4064" s="965"/>
      <c r="G4064" s="965"/>
      <c r="H4064" s="965"/>
      <c r="I4064" s="965"/>
      <c r="J4064" s="965"/>
      <c r="K4064" s="965"/>
      <c r="L4064" s="965"/>
      <c r="M4064" s="966"/>
      <c r="N4064" s="683">
        <f>+ROUND(SUM(N4062,N4054),0)</f>
        <v>187175</v>
      </c>
      <c r="O4064" s="362"/>
    </row>
    <row r="4065" spans="1:15" ht="15.75" customHeight="1">
      <c r="B4065" s="679"/>
      <c r="C4065" s="418"/>
      <c r="D4065" s="39" t="s">
        <v>1225</v>
      </c>
      <c r="E4065" s="39"/>
      <c r="F4065" s="39"/>
      <c r="G4065" s="184"/>
      <c r="H4065" s="184"/>
      <c r="I4065" s="184"/>
      <c r="J4065" s="39" t="s">
        <v>1225</v>
      </c>
      <c r="K4065" s="39"/>
      <c r="L4065" s="39"/>
      <c r="M4065" s="39"/>
      <c r="N4065" s="40"/>
      <c r="O4065" s="362"/>
    </row>
    <row r="4066" spans="1:15" ht="15.75" customHeight="1">
      <c r="B4066" s="679"/>
      <c r="C4066" s="418"/>
      <c r="D4066" s="39" t="s">
        <v>1226</v>
      </c>
      <c r="E4066" s="39"/>
      <c r="F4066" s="39"/>
      <c r="G4066" s="184"/>
      <c r="H4066" s="184"/>
      <c r="I4066" s="184"/>
      <c r="J4066" s="39" t="s">
        <v>1227</v>
      </c>
      <c r="K4066" s="39"/>
      <c r="L4066" s="39"/>
      <c r="M4066" s="39"/>
      <c r="N4066" s="40"/>
      <c r="O4066" s="362"/>
    </row>
    <row r="4067" spans="1:15" ht="15.75" customHeight="1">
      <c r="B4067" s="679"/>
      <c r="C4067" s="404"/>
      <c r="D4067" s="39" t="s">
        <v>1228</v>
      </c>
      <c r="E4067" s="42"/>
      <c r="F4067" s="42"/>
      <c r="G4067" s="184"/>
      <c r="H4067" s="184"/>
      <c r="I4067" s="184"/>
      <c r="J4067" s="39" t="s">
        <v>1228</v>
      </c>
      <c r="K4067" s="42"/>
      <c r="L4067" s="42"/>
      <c r="M4067" s="42"/>
      <c r="N4067" s="43"/>
      <c r="O4067" s="362"/>
    </row>
    <row r="4068" spans="1:15" ht="15.75" customHeight="1">
      <c r="B4068" s="679"/>
      <c r="C4068" s="418"/>
      <c r="D4068" s="39"/>
      <c r="E4068" s="39"/>
      <c r="F4068" s="39"/>
      <c r="G4068" s="39" t="s">
        <v>1229</v>
      </c>
      <c r="H4068" s="39"/>
      <c r="I4068" s="39"/>
      <c r="J4068" s="39"/>
      <c r="K4068" s="39"/>
      <c r="L4068" s="39"/>
      <c r="M4068" s="39"/>
      <c r="N4068" s="40"/>
      <c r="O4068" s="362"/>
    </row>
    <row r="4069" spans="1:15" ht="15.75" customHeight="1">
      <c r="B4069" s="679"/>
      <c r="C4069" s="466"/>
      <c r="D4069" s="467"/>
      <c r="E4069" s="467"/>
      <c r="F4069" s="39"/>
      <c r="G4069" s="39"/>
      <c r="H4069" s="39"/>
      <c r="I4069" s="39"/>
      <c r="J4069" s="1149"/>
      <c r="K4069" s="922"/>
      <c r="L4069" s="922"/>
      <c r="M4069" s="922"/>
      <c r="N4069" s="924"/>
      <c r="O4069" s="362"/>
    </row>
    <row r="4070" spans="1:15" ht="15.75" customHeight="1">
      <c r="B4070" s="679"/>
      <c r="C4070" s="1150"/>
      <c r="D4070" s="936"/>
      <c r="E4070" s="936"/>
      <c r="F4070" s="416"/>
      <c r="G4070" s="416"/>
      <c r="H4070" s="416"/>
      <c r="I4070" s="416"/>
      <c r="J4070" s="936"/>
      <c r="K4070" s="936"/>
      <c r="L4070" s="936"/>
      <c r="M4070" s="936"/>
      <c r="N4070" s="938"/>
      <c r="O4070" s="362"/>
    </row>
    <row r="4071" spans="1:15" ht="15.75" customHeight="1">
      <c r="B4071" s="684"/>
      <c r="C4071" s="685"/>
      <c r="D4071" s="685"/>
      <c r="E4071" s="685"/>
      <c r="F4071" s="685"/>
      <c r="G4071" s="685"/>
      <c r="H4071" s="685"/>
      <c r="I4071" s="685"/>
      <c r="J4071" s="685"/>
      <c r="K4071" s="685"/>
      <c r="L4071" s="685"/>
      <c r="M4071" s="685"/>
      <c r="N4071" s="685"/>
      <c r="O4071" s="686"/>
    </row>
    <row r="4072" spans="1:15" ht="15.75" customHeight="1"/>
    <row r="4073" spans="1:15" ht="15.75" customHeight="1"/>
    <row r="4074" spans="1:15" ht="15.75" customHeight="1"/>
    <row r="4075" spans="1:15" ht="15.75" customHeight="1"/>
    <row r="4076" spans="1:15" ht="15.75" customHeight="1">
      <c r="A4076" s="395" t="s">
        <v>941</v>
      </c>
      <c r="B4076" s="184"/>
      <c r="C4076" s="184"/>
      <c r="D4076" s="184"/>
      <c r="E4076" s="184"/>
      <c r="F4076" s="184"/>
      <c r="G4076" s="184"/>
      <c r="H4076" s="184"/>
      <c r="I4076" s="184"/>
      <c r="J4076" s="184"/>
      <c r="K4076" s="184"/>
      <c r="L4076" s="184"/>
      <c r="M4076" s="184"/>
      <c r="N4076" s="184"/>
    </row>
    <row r="4077" spans="1:15" ht="15.75" customHeight="1">
      <c r="A4077" s="395"/>
      <c r="B4077" s="396"/>
      <c r="C4077" s="397"/>
      <c r="D4077" s="397"/>
      <c r="E4077" s="397"/>
      <c r="F4077" s="397"/>
      <c r="G4077" s="397"/>
      <c r="H4077" s="397"/>
      <c r="I4077" s="397"/>
      <c r="J4077" s="397"/>
      <c r="K4077" s="397"/>
      <c r="L4077" s="397"/>
      <c r="M4077" s="397"/>
      <c r="N4077" s="397"/>
      <c r="O4077" s="667"/>
    </row>
    <row r="4078" spans="1:15" ht="15.75" customHeight="1">
      <c r="A4078" s="395"/>
      <c r="B4078" s="399"/>
      <c r="C4078" s="1124"/>
      <c r="D4078" s="927"/>
      <c r="E4078" s="1207" t="str">
        <f>Datos!$C$9</f>
        <v>CONSEJO SUPERIOR  DE  JUDICATURA– DIRECCIÓN  EJECUTIVA  SECCIONAL  DE ADMINISTRACIÓN JUDICIAL DE BUCARAMANGA</v>
      </c>
      <c r="F4078" s="926"/>
      <c r="G4078" s="926"/>
      <c r="H4078" s="926"/>
      <c r="I4078" s="926"/>
      <c r="J4078" s="926"/>
      <c r="K4078" s="927"/>
      <c r="L4078" s="925" t="s">
        <v>1</v>
      </c>
      <c r="M4078" s="931"/>
      <c r="N4078" s="933">
        <v>1</v>
      </c>
      <c r="O4078" s="362"/>
    </row>
    <row r="4079" spans="1:15" ht="15.75" customHeight="1">
      <c r="A4079" s="395"/>
      <c r="B4079" s="399"/>
      <c r="C4079" s="920"/>
      <c r="D4079" s="924"/>
      <c r="E4079" s="920"/>
      <c r="F4079" s="922"/>
      <c r="G4079" s="922"/>
      <c r="H4079" s="922"/>
      <c r="I4079" s="922"/>
      <c r="J4079" s="922"/>
      <c r="K4079" s="924"/>
      <c r="L4079" s="920"/>
      <c r="M4079" s="932"/>
      <c r="N4079" s="934"/>
      <c r="O4079" s="362"/>
    </row>
    <row r="4080" spans="1:15" ht="15.75" customHeight="1">
      <c r="A4080" s="395"/>
      <c r="B4080" s="399"/>
      <c r="C4080" s="920"/>
      <c r="D4080" s="924"/>
      <c r="E4080" s="919" t="str">
        <f>Datos!$C$13</f>
        <v xml:space="preserve">BGA - 030 - 2026 </v>
      </c>
      <c r="F4080" s="922"/>
      <c r="G4080" s="922"/>
      <c r="H4080" s="922"/>
      <c r="I4080" s="922"/>
      <c r="J4080" s="922"/>
      <c r="K4080" s="922"/>
      <c r="L4080" s="925" t="s">
        <v>29</v>
      </c>
      <c r="M4080" s="926"/>
      <c r="N4080" s="927"/>
      <c r="O4080" s="362"/>
    </row>
    <row r="4081" spans="1:15" ht="15.75" customHeight="1">
      <c r="A4081" s="395"/>
      <c r="B4081" s="399"/>
      <c r="C4081" s="920"/>
      <c r="D4081" s="924"/>
      <c r="E4081"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081" s="922"/>
      <c r="G4081" s="922"/>
      <c r="H4081" s="922"/>
      <c r="I4081" s="922"/>
      <c r="J4081" s="922"/>
      <c r="K4081" s="924"/>
      <c r="L4081" s="919">
        <v>1</v>
      </c>
      <c r="M4081" s="921" t="s">
        <v>30</v>
      </c>
      <c r="N4081" s="923">
        <v>1</v>
      </c>
      <c r="O4081" s="362"/>
    </row>
    <row r="4082" spans="1:15" ht="15.75" customHeight="1">
      <c r="A4082" s="395"/>
      <c r="B4082" s="399"/>
      <c r="C4082" s="920"/>
      <c r="D4082" s="924"/>
      <c r="E4082" s="920"/>
      <c r="F4082" s="922"/>
      <c r="G4082" s="922"/>
      <c r="H4082" s="922"/>
      <c r="I4082" s="922"/>
      <c r="J4082" s="922"/>
      <c r="K4082" s="924"/>
      <c r="L4082" s="920"/>
      <c r="M4082" s="922"/>
      <c r="N4082" s="924"/>
      <c r="O4082" s="362"/>
    </row>
    <row r="4083" spans="1:15" ht="15.75" customHeight="1">
      <c r="A4083" s="395"/>
      <c r="B4083" s="399"/>
      <c r="C4083" s="920"/>
      <c r="D4083" s="924"/>
      <c r="E4083" s="920"/>
      <c r="F4083" s="922"/>
      <c r="G4083" s="922"/>
      <c r="H4083" s="922"/>
      <c r="I4083" s="922"/>
      <c r="J4083" s="922"/>
      <c r="K4083" s="924"/>
      <c r="L4083" s="925" t="s">
        <v>2</v>
      </c>
      <c r="M4083" s="926"/>
      <c r="N4083" s="927"/>
      <c r="O4083" s="362"/>
    </row>
    <row r="4084" spans="1:15" ht="15.75" customHeight="1">
      <c r="A4084" s="395"/>
      <c r="B4084" s="399"/>
      <c r="C4084" s="920"/>
      <c r="D4084" s="924"/>
      <c r="E4084" s="407"/>
      <c r="F4084" s="216"/>
      <c r="G4084" s="216"/>
      <c r="H4084" s="216"/>
      <c r="I4084" s="216"/>
      <c r="J4084" s="216"/>
      <c r="K4084" s="216"/>
      <c r="L4084" s="408" t="s">
        <v>3</v>
      </c>
      <c r="M4084" s="409" t="s">
        <v>4</v>
      </c>
      <c r="N4084" s="410" t="s">
        <v>5</v>
      </c>
      <c r="O4084" s="362"/>
    </row>
    <row r="4085" spans="1:15" ht="15.75" customHeight="1">
      <c r="A4085" s="395"/>
      <c r="B4085" s="399"/>
      <c r="C4085" s="920"/>
      <c r="D4085" s="924"/>
      <c r="E4085" s="1125" t="s">
        <v>1186</v>
      </c>
      <c r="F4085" s="945"/>
      <c r="G4085" s="945"/>
      <c r="H4085" s="945"/>
      <c r="I4085" s="945"/>
      <c r="J4085" s="945"/>
      <c r="K4085" s="945"/>
      <c r="L4085" s="928">
        <f>Datos!$C$7</f>
        <v>19</v>
      </c>
      <c r="M4085" s="935">
        <f>Datos!$D$7</f>
        <v>6</v>
      </c>
      <c r="N4085" s="937">
        <f>Datos!$E$7</f>
        <v>2026</v>
      </c>
      <c r="O4085" s="362"/>
    </row>
    <row r="4086" spans="1:15" ht="15.75" customHeight="1">
      <c r="A4086" s="395"/>
      <c r="B4086" s="399"/>
      <c r="C4086" s="929"/>
      <c r="D4086" s="938"/>
      <c r="E4086" s="929"/>
      <c r="F4086" s="936"/>
      <c r="G4086" s="936"/>
      <c r="H4086" s="936"/>
      <c r="I4086" s="936"/>
      <c r="J4086" s="936"/>
      <c r="K4086" s="936"/>
      <c r="L4086" s="929"/>
      <c r="M4086" s="936"/>
      <c r="N4086" s="938"/>
      <c r="O4086" s="362"/>
    </row>
    <row r="4087" spans="1:15" ht="15.75" customHeight="1">
      <c r="A4087" s="395"/>
      <c r="B4087" s="399"/>
      <c r="C4087" s="404"/>
      <c r="D4087" s="38"/>
      <c r="E4087" s="38"/>
      <c r="F4087" s="38"/>
      <c r="G4087" s="38"/>
      <c r="H4087" s="38"/>
      <c r="I4087" s="38"/>
      <c r="J4087" s="38"/>
      <c r="K4087" s="38"/>
      <c r="L4087" s="39"/>
      <c r="M4087" s="39"/>
      <c r="N4087" s="40"/>
      <c r="O4087" s="362"/>
    </row>
    <row r="4088" spans="1:15" ht="15.75" customHeight="1">
      <c r="A4088" s="395"/>
      <c r="B4088" s="399"/>
      <c r="C4088" s="412" t="s">
        <v>1187</v>
      </c>
      <c r="D4088" s="1199" t="str">
        <f>VLOOKUP(C4093,ListaAct,2,0)</f>
        <v>OBRA CIVIL</v>
      </c>
      <c r="E4088" s="922"/>
      <c r="F4088" s="922"/>
      <c r="G4088" s="922"/>
      <c r="H4088" s="922"/>
      <c r="I4088" s="922"/>
      <c r="J4088" s="922"/>
      <c r="K4088" s="922"/>
      <c r="L4088" s="922"/>
      <c r="M4088" s="1"/>
      <c r="N4088" s="413"/>
      <c r="O4088" s="362"/>
    </row>
    <row r="4089" spans="1:15" ht="15.75" customHeight="1">
      <c r="A4089" s="395"/>
      <c r="B4089" s="399"/>
      <c r="C4089" s="412" t="s">
        <v>1189</v>
      </c>
      <c r="D4089" s="1199" t="str">
        <f>VLOOKUP(C4093,ListaAct,3,0)</f>
        <v>ACTIVIDADES ELECTRICAS, DATOS Y DEMAS REQUERIDAS</v>
      </c>
      <c r="E4089" s="922"/>
      <c r="F4089" s="922"/>
      <c r="G4089" s="922"/>
      <c r="H4089" s="922"/>
      <c r="I4089" s="922"/>
      <c r="J4089" s="922"/>
      <c r="K4089" s="922"/>
      <c r="L4089" s="922"/>
      <c r="M4089" s="1"/>
      <c r="N4089" s="413"/>
      <c r="O4089" s="362"/>
    </row>
    <row r="4090" spans="1:15" ht="15.75" customHeight="1">
      <c r="A4090" s="395"/>
      <c r="B4090" s="399"/>
      <c r="C4090" s="925" t="s">
        <v>1191</v>
      </c>
      <c r="D4090" s="926"/>
      <c r="E4090" s="926"/>
      <c r="F4090" s="926"/>
      <c r="G4090" s="926"/>
      <c r="H4090" s="926"/>
      <c r="I4090" s="926"/>
      <c r="J4090" s="926"/>
      <c r="K4090" s="926"/>
      <c r="L4090" s="926"/>
      <c r="M4090" s="926"/>
      <c r="N4090" s="927"/>
      <c r="O4090" s="362"/>
    </row>
    <row r="4091" spans="1:15" ht="15.75" customHeight="1">
      <c r="A4091" s="395"/>
      <c r="B4091" s="399"/>
      <c r="C4091" s="418"/>
      <c r="D4091" s="39"/>
      <c r="E4091" s="39"/>
      <c r="F4091" s="39"/>
      <c r="G4091" s="39"/>
      <c r="H4091" s="39"/>
      <c r="I4091" s="39"/>
      <c r="J4091" s="39"/>
      <c r="K4091" s="39"/>
      <c r="L4091" s="39"/>
      <c r="M4091" s="39"/>
      <c r="N4091" s="40"/>
      <c r="O4091" s="362"/>
    </row>
    <row r="4092" spans="1:15" ht="15.75" customHeight="1">
      <c r="A4092" s="395"/>
      <c r="B4092" s="399"/>
      <c r="C4092" s="668" t="s">
        <v>965</v>
      </c>
      <c r="D4092" s="1200" t="s">
        <v>17</v>
      </c>
      <c r="E4092" s="1131"/>
      <c r="F4092" s="1131"/>
      <c r="G4092" s="1131"/>
      <c r="H4092" s="1131"/>
      <c r="I4092" s="1131"/>
      <c r="J4092" s="1131"/>
      <c r="K4092" s="1137"/>
      <c r="L4092" s="1201" t="s">
        <v>1192</v>
      </c>
      <c r="M4092" s="1137"/>
      <c r="N4092" s="668" t="s">
        <v>950</v>
      </c>
      <c r="O4092" s="362"/>
    </row>
    <row r="4093" spans="1:15" ht="28.15" customHeight="1">
      <c r="A4093" s="395"/>
      <c r="B4093" s="421"/>
      <c r="C4093" s="669" t="s">
        <v>1121</v>
      </c>
      <c r="D4093" s="1202" t="str">
        <f>IF($C4093&gt;0,(VLOOKUP($C4093,ListaAct,4,FALSE)),"")</f>
        <v>Suministro, Transporte E Instalación De Salida Toma Regulada 110 V, Incluye: Cable Cu 3x12 Awh Thwnn Lszh, Toma Naranja 20 A caja y tapa.</v>
      </c>
      <c r="E4093" s="979"/>
      <c r="F4093" s="979"/>
      <c r="G4093" s="979"/>
      <c r="H4093" s="979"/>
      <c r="I4093" s="979"/>
      <c r="J4093" s="979"/>
      <c r="K4093" s="980"/>
      <c r="L4093" s="1203" t="str">
        <f>IF($C4093&gt;0,(VLOOKUP($C4093,ListaAct,5,FALSE)),"")</f>
        <v>und</v>
      </c>
      <c r="M4093" s="980"/>
      <c r="N4093" s="423">
        <f>IF($C4093&gt;0,(VLOOKUP($C4093,ListaAct,6,FALSE)),"")</f>
        <v>4</v>
      </c>
      <c r="O4093" s="362"/>
    </row>
    <row r="4094" spans="1:15" ht="15.75" customHeight="1">
      <c r="A4094" s="395"/>
      <c r="B4094" s="399"/>
      <c r="C4094" s="1129" t="s">
        <v>1195</v>
      </c>
      <c r="D4094" s="926"/>
      <c r="E4094" s="926"/>
      <c r="F4094" s="926"/>
      <c r="G4094" s="926"/>
      <c r="H4094" s="926"/>
      <c r="I4094" s="926"/>
      <c r="J4094" s="926"/>
      <c r="K4094" s="926"/>
      <c r="L4094" s="926"/>
      <c r="M4094" s="926"/>
      <c r="N4094" s="927"/>
      <c r="O4094" s="362"/>
    </row>
    <row r="4095" spans="1:15" ht="15.75" customHeight="1">
      <c r="A4095" s="395"/>
      <c r="B4095" s="399"/>
      <c r="C4095" s="920"/>
      <c r="D4095" s="922"/>
      <c r="E4095" s="922"/>
      <c r="F4095" s="922"/>
      <c r="G4095" s="922"/>
      <c r="H4095" s="922"/>
      <c r="I4095" s="922"/>
      <c r="J4095" s="922"/>
      <c r="K4095" s="922"/>
      <c r="L4095" s="922"/>
      <c r="M4095" s="922"/>
      <c r="N4095" s="924"/>
      <c r="O4095" s="362"/>
    </row>
    <row r="4096" spans="1:15" ht="15.75" customHeight="1">
      <c r="A4096" s="395"/>
      <c r="B4096" s="399"/>
      <c r="C4096" s="929"/>
      <c r="D4096" s="936"/>
      <c r="E4096" s="936"/>
      <c r="F4096" s="936"/>
      <c r="G4096" s="936"/>
      <c r="H4096" s="936"/>
      <c r="I4096" s="936"/>
      <c r="J4096" s="936"/>
      <c r="K4096" s="936"/>
      <c r="L4096" s="936"/>
      <c r="M4096" s="936"/>
      <c r="N4096" s="938"/>
      <c r="O4096" s="362"/>
    </row>
    <row r="4097" spans="1:15" ht="15.75" customHeight="1">
      <c r="A4097" s="395"/>
      <c r="B4097" s="399"/>
      <c r="C4097" s="1201" t="s">
        <v>17</v>
      </c>
      <c r="D4097" s="1131"/>
      <c r="E4097" s="1131"/>
      <c r="F4097" s="1000"/>
      <c r="G4097" s="1204" t="s">
        <v>1196</v>
      </c>
      <c r="H4097" s="1000"/>
      <c r="I4097" s="1204" t="s">
        <v>1197</v>
      </c>
      <c r="J4097" s="1000"/>
      <c r="K4097" s="670" t="s">
        <v>1213</v>
      </c>
      <c r="L4097" s="1204" t="s">
        <v>1199</v>
      </c>
      <c r="M4097" s="1000"/>
      <c r="N4097" s="671" t="s">
        <v>1200</v>
      </c>
      <c r="O4097" s="362"/>
    </row>
    <row r="4098" spans="1:15" ht="15.75" customHeight="1">
      <c r="A4098" s="395"/>
      <c r="B4098" s="399"/>
      <c r="C4098" s="1128" t="s">
        <v>1201</v>
      </c>
      <c r="D4098" s="940"/>
      <c r="E4098" s="940"/>
      <c r="F4098" s="941"/>
      <c r="G4098" s="1142"/>
      <c r="H4098" s="941"/>
      <c r="I4098" s="1142"/>
      <c r="J4098" s="941"/>
      <c r="K4098" s="429"/>
      <c r="L4098" s="1143">
        <v>0.05</v>
      </c>
      <c r="M4098" s="941"/>
      <c r="N4098" s="430">
        <f>+L4098*N4137</f>
        <v>3231.4305583478135</v>
      </c>
      <c r="O4098" s="362"/>
    </row>
    <row r="4099" spans="1:15" ht="15.75" customHeight="1">
      <c r="A4099" s="395">
        <f t="array" ref="A4099">IF(C4099&lt;&gt;0,INDEX(CodEquipos,MATCH(C4099,Equipos,0),),)</f>
        <v>0</v>
      </c>
      <c r="B4099" s="399"/>
      <c r="C4099" s="1128"/>
      <c r="D4099" s="940"/>
      <c r="E4099" s="940"/>
      <c r="F4099" s="941"/>
      <c r="G4099" s="1142"/>
      <c r="H4099" s="941"/>
      <c r="I4099" s="1142"/>
      <c r="J4099" s="941"/>
      <c r="K4099" s="432" t="str">
        <f>IF($A4099&gt;0,(VLOOKUP($A4099,TablaEquipos,7,FALSE)),"")</f>
        <v/>
      </c>
      <c r="L4099" s="1146"/>
      <c r="M4099" s="941"/>
      <c r="N4099" s="430" t="str">
        <f t="shared" ref="N4099:N4103" si="301">IF(L4099&gt;0,K4099/L4099,"")</f>
        <v/>
      </c>
      <c r="O4099" s="362"/>
    </row>
    <row r="4100" spans="1:15" ht="15.75" customHeight="1">
      <c r="A4100" s="395">
        <f t="array" ref="A4100">IF(C4100&lt;&gt;0,INDEX(CodEquipos,MATCH(C4100,Equipos,0),),)</f>
        <v>0</v>
      </c>
      <c r="B4100" s="399"/>
      <c r="C4100" s="1128"/>
      <c r="D4100" s="940"/>
      <c r="E4100" s="940"/>
      <c r="F4100" s="941"/>
      <c r="G4100" s="1142"/>
      <c r="H4100" s="941"/>
      <c r="I4100" s="1142"/>
      <c r="J4100" s="941"/>
      <c r="K4100" s="432" t="str">
        <f>IF($A4100&gt;0,(VLOOKUP($A4100,TablaEquipos,7,FALSE)),"")</f>
        <v/>
      </c>
      <c r="L4100" s="1146"/>
      <c r="M4100" s="941"/>
      <c r="N4100" s="430" t="str">
        <f t="shared" si="301"/>
        <v/>
      </c>
      <c r="O4100" s="362"/>
    </row>
    <row r="4101" spans="1:15" ht="15.75" customHeight="1">
      <c r="A4101" s="395">
        <f t="array" ref="A4101">IF(C4101&lt;&gt;0,INDEX(CodEquipos,MATCH(C4101,Equipos,0),),)</f>
        <v>0</v>
      </c>
      <c r="B4101" s="399"/>
      <c r="C4101" s="1128"/>
      <c r="D4101" s="940"/>
      <c r="E4101" s="940"/>
      <c r="F4101" s="941"/>
      <c r="G4101" s="1142"/>
      <c r="H4101" s="941"/>
      <c r="I4101" s="1142"/>
      <c r="J4101" s="941"/>
      <c r="K4101" s="432" t="str">
        <f>IF($A4101&gt;0,(VLOOKUP($A4101,TablaEquipos,7,FALSE)),"")</f>
        <v/>
      </c>
      <c r="L4101" s="1146"/>
      <c r="M4101" s="941"/>
      <c r="N4101" s="430" t="str">
        <f t="shared" si="301"/>
        <v/>
      </c>
      <c r="O4101" s="362"/>
    </row>
    <row r="4102" spans="1:15" ht="15.75" customHeight="1">
      <c r="A4102" s="395">
        <f t="array" ref="A4102">IF(C4102&lt;&gt;0,INDEX(CodEquipos,MATCH(C4102,Equipos,0),),)</f>
        <v>0</v>
      </c>
      <c r="B4102" s="399"/>
      <c r="C4102" s="1128"/>
      <c r="D4102" s="940"/>
      <c r="E4102" s="940"/>
      <c r="F4102" s="941"/>
      <c r="G4102" s="1142"/>
      <c r="H4102" s="941"/>
      <c r="I4102" s="1142"/>
      <c r="J4102" s="941"/>
      <c r="K4102" s="432" t="str">
        <f>IF($A4102&gt;0,(VLOOKUP($A4102,TablaEquipos,7,FALSE)),"")</f>
        <v/>
      </c>
      <c r="L4102" s="1141"/>
      <c r="M4102" s="941"/>
      <c r="N4102" s="430" t="str">
        <f t="shared" si="301"/>
        <v/>
      </c>
      <c r="O4102" s="362"/>
    </row>
    <row r="4103" spans="1:15" ht="15.75" customHeight="1">
      <c r="A4103" s="395">
        <f t="array" ref="A4103">IF(C4103&lt;&gt;0,INDEX(CodEquipos,MATCH(C4103,Equipos,0),),)</f>
        <v>0</v>
      </c>
      <c r="B4103" s="399"/>
      <c r="C4103" s="1128"/>
      <c r="D4103" s="940"/>
      <c r="E4103" s="940"/>
      <c r="F4103" s="941"/>
      <c r="G4103" s="1144"/>
      <c r="H4103" s="1145"/>
      <c r="I4103" s="1144"/>
      <c r="J4103" s="1145"/>
      <c r="K4103" s="432" t="str">
        <f>IF($A4103&gt;0,(VLOOKUP($A4103,TablaEquipos,7,FALSE)),"")</f>
        <v/>
      </c>
      <c r="L4103" s="1208"/>
      <c r="M4103" s="1145"/>
      <c r="N4103" s="430" t="str">
        <f t="shared" si="301"/>
        <v/>
      </c>
      <c r="O4103" s="362"/>
    </row>
    <row r="4104" spans="1:15" ht="15.75" customHeight="1">
      <c r="A4104" s="395"/>
      <c r="B4104" s="399"/>
      <c r="C4104" s="1127" t="s">
        <v>1202</v>
      </c>
      <c r="D4104" s="965"/>
      <c r="E4104" s="965"/>
      <c r="F4104" s="965"/>
      <c r="G4104" s="965"/>
      <c r="H4104" s="965"/>
      <c r="I4104" s="965"/>
      <c r="J4104" s="965"/>
      <c r="K4104" s="965"/>
      <c r="L4104" s="965"/>
      <c r="M4104" s="966"/>
      <c r="N4104" s="433">
        <f>+SUM(N4098:N4103)</f>
        <v>3231.4305583478135</v>
      </c>
      <c r="O4104" s="362"/>
    </row>
    <row r="4105" spans="1:15" ht="15.75" customHeight="1">
      <c r="A4105" s="395"/>
      <c r="B4105" s="399"/>
      <c r="C4105" s="1129" t="s">
        <v>1203</v>
      </c>
      <c r="D4105" s="926"/>
      <c r="E4105" s="926"/>
      <c r="F4105" s="926"/>
      <c r="G4105" s="926"/>
      <c r="H4105" s="926"/>
      <c r="I4105" s="926"/>
      <c r="J4105" s="926"/>
      <c r="K4105" s="926"/>
      <c r="L4105" s="926"/>
      <c r="M4105" s="926"/>
      <c r="N4105" s="927"/>
      <c r="O4105" s="362"/>
    </row>
    <row r="4106" spans="1:15" ht="15.75" customHeight="1">
      <c r="A4106" s="395"/>
      <c r="B4106" s="399"/>
      <c r="C4106" s="920"/>
      <c r="D4106" s="922"/>
      <c r="E4106" s="922"/>
      <c r="F4106" s="922"/>
      <c r="G4106" s="922"/>
      <c r="H4106" s="922"/>
      <c r="I4106" s="922"/>
      <c r="J4106" s="922"/>
      <c r="K4106" s="922"/>
      <c r="L4106" s="922"/>
      <c r="M4106" s="922"/>
      <c r="N4106" s="924"/>
      <c r="O4106" s="362"/>
    </row>
    <row r="4107" spans="1:15" ht="15.75" customHeight="1">
      <c r="A4107" s="395"/>
      <c r="B4107" s="399"/>
      <c r="C4107" s="929"/>
      <c r="D4107" s="936"/>
      <c r="E4107" s="936"/>
      <c r="F4107" s="936"/>
      <c r="G4107" s="936"/>
      <c r="H4107" s="936"/>
      <c r="I4107" s="936"/>
      <c r="J4107" s="936"/>
      <c r="K4107" s="936"/>
      <c r="L4107" s="936"/>
      <c r="M4107" s="936"/>
      <c r="N4107" s="938"/>
      <c r="O4107" s="362"/>
    </row>
    <row r="4108" spans="1:15" ht="15.75" customHeight="1">
      <c r="A4108" s="395"/>
      <c r="B4108" s="399"/>
      <c r="C4108" s="1201" t="s">
        <v>17</v>
      </c>
      <c r="D4108" s="1131"/>
      <c r="E4108" s="1131"/>
      <c r="F4108" s="1131"/>
      <c r="G4108" s="1131"/>
      <c r="H4108" s="1131"/>
      <c r="I4108" s="1000"/>
      <c r="J4108" s="672" t="s">
        <v>1192</v>
      </c>
      <c r="K4108" s="670" t="s">
        <v>950</v>
      </c>
      <c r="L4108" s="1204" t="s">
        <v>1204</v>
      </c>
      <c r="M4108" s="1000"/>
      <c r="N4108" s="671" t="s">
        <v>1200</v>
      </c>
      <c r="O4108" s="362"/>
    </row>
    <row r="4109" spans="1:15" ht="15.75" customHeight="1">
      <c r="A4109" s="395" t="str">
        <f t="array" ref="A4109">IF(C4109&lt;&gt;0,INDEX(CodMat,MATCH(C4109,Materiales,0),),)</f>
        <v>MAT_ELE-100</v>
      </c>
      <c r="B4109" s="399"/>
      <c r="C4109" s="1128" t="s">
        <v>2396</v>
      </c>
      <c r="D4109" s="940"/>
      <c r="E4109" s="940"/>
      <c r="F4109" s="940"/>
      <c r="G4109" s="940"/>
      <c r="H4109" s="940"/>
      <c r="I4109" s="941"/>
      <c r="J4109" s="435" t="str">
        <f t="shared" ref="J4109:J4116" si="302">IF($A4109&gt;0,(VLOOKUP($A4109,TablaInsumos,5,FALSE)),"")</f>
        <v>UND</v>
      </c>
      <c r="K4109" s="673">
        <v>3</v>
      </c>
      <c r="L4109" s="1134">
        <f t="shared" ref="L4109:L4116" si="303">IF($A4109&gt;0,(VLOOKUP($A4109,TablaInsumos,7,FALSE)),"")</f>
        <v>7050</v>
      </c>
      <c r="M4109" s="941"/>
      <c r="N4109" s="430">
        <f t="shared" ref="N4109:N4116" si="304">IF(K4109&gt;0,L4109*K4109,"")</f>
        <v>21150</v>
      </c>
      <c r="O4109" s="362"/>
    </row>
    <row r="4110" spans="1:15" ht="15.75" customHeight="1">
      <c r="A4110" s="395" t="str">
        <f t="array" ref="A4110">IF(C4110&lt;&gt;0,INDEX(CodMat,MATCH(C4110,Materiales,0),),)</f>
        <v>MAT_ELE-113</v>
      </c>
      <c r="B4110" s="399"/>
      <c r="C4110" s="1128" t="s">
        <v>2621</v>
      </c>
      <c r="D4110" s="940"/>
      <c r="E4110" s="940"/>
      <c r="F4110" s="940"/>
      <c r="G4110" s="940"/>
      <c r="H4110" s="940"/>
      <c r="I4110" s="941"/>
      <c r="J4110" s="435" t="str">
        <f t="shared" si="302"/>
        <v>UND</v>
      </c>
      <c r="K4110" s="673">
        <v>1</v>
      </c>
      <c r="L4110" s="1134">
        <f t="shared" si="303"/>
        <v>24500</v>
      </c>
      <c r="M4110" s="941"/>
      <c r="N4110" s="430">
        <f t="shared" si="304"/>
        <v>24500</v>
      </c>
      <c r="O4110" s="362"/>
    </row>
    <row r="4111" spans="1:15" ht="15.75" customHeight="1">
      <c r="A4111" s="395" t="str">
        <f t="array" ref="A4111">IF(C4111&lt;&gt;0,INDEX(CodMat,MATCH(C4111,Materiales,0),),)</f>
        <v>MAT_ELE-63</v>
      </c>
      <c r="B4111" s="399"/>
      <c r="C4111" s="1128" t="s">
        <v>2599</v>
      </c>
      <c r="D4111" s="940"/>
      <c r="E4111" s="940"/>
      <c r="F4111" s="940"/>
      <c r="G4111" s="940"/>
      <c r="H4111" s="940"/>
      <c r="I4111" s="941"/>
      <c r="J4111" s="435" t="str">
        <f t="shared" si="302"/>
        <v>ML</v>
      </c>
      <c r="K4111" s="673">
        <v>12</v>
      </c>
      <c r="L4111" s="1134">
        <f t="shared" si="303"/>
        <v>3789</v>
      </c>
      <c r="M4111" s="941"/>
      <c r="N4111" s="430">
        <f t="shared" si="304"/>
        <v>45468</v>
      </c>
      <c r="O4111" s="362"/>
    </row>
    <row r="4112" spans="1:15" ht="15.75" customHeight="1">
      <c r="A4112" s="395" t="str">
        <f t="array" ref="A4112">IF(C4112&lt;&gt;0,INDEX(CodMat,MATCH(C4112,Materiales,0),),)</f>
        <v>MAT_ELE-02</v>
      </c>
      <c r="B4112" s="399"/>
      <c r="C4112" s="1128" t="s">
        <v>2615</v>
      </c>
      <c r="D4112" s="940"/>
      <c r="E4112" s="940"/>
      <c r="F4112" s="940"/>
      <c r="G4112" s="940"/>
      <c r="H4112" s="940"/>
      <c r="I4112" s="941"/>
      <c r="J4112" s="435" t="str">
        <f t="shared" si="302"/>
        <v>UND</v>
      </c>
      <c r="K4112" s="673">
        <v>0.1</v>
      </c>
      <c r="L4112" s="1134">
        <f t="shared" si="303"/>
        <v>4200</v>
      </c>
      <c r="M4112" s="941"/>
      <c r="N4112" s="430">
        <f t="shared" si="304"/>
        <v>420</v>
      </c>
      <c r="O4112" s="362"/>
    </row>
    <row r="4113" spans="1:15" ht="15.75" customHeight="1">
      <c r="A4113" s="395">
        <f t="array" ref="A4113">IF(C4113&lt;&gt;0,INDEX(CodMat,MATCH(C4113,Materiales,0),),)</f>
        <v>0</v>
      </c>
      <c r="B4113" s="399"/>
      <c r="C4113" s="1128"/>
      <c r="D4113" s="940"/>
      <c r="E4113" s="940"/>
      <c r="F4113" s="940"/>
      <c r="G4113" s="940"/>
      <c r="H4113" s="940"/>
      <c r="I4113" s="941"/>
      <c r="J4113" s="435" t="str">
        <f t="shared" si="302"/>
        <v/>
      </c>
      <c r="K4113" s="436"/>
      <c r="L4113" s="1134" t="str">
        <f t="shared" si="303"/>
        <v/>
      </c>
      <c r="M4113" s="941"/>
      <c r="N4113" s="430" t="str">
        <f t="shared" si="304"/>
        <v/>
      </c>
      <c r="O4113" s="362"/>
    </row>
    <row r="4114" spans="1:15" ht="15.75" customHeight="1">
      <c r="A4114" s="395">
        <f t="array" ref="A4114">IF(C4114&lt;&gt;0,INDEX(CodMat,MATCH(C4114,Materiales,0),),)</f>
        <v>0</v>
      </c>
      <c r="B4114" s="399"/>
      <c r="C4114" s="1128"/>
      <c r="D4114" s="940"/>
      <c r="E4114" s="940"/>
      <c r="F4114" s="940"/>
      <c r="G4114" s="940"/>
      <c r="H4114" s="940"/>
      <c r="I4114" s="941"/>
      <c r="J4114" s="435" t="str">
        <f t="shared" si="302"/>
        <v/>
      </c>
      <c r="K4114" s="436"/>
      <c r="L4114" s="1134" t="str">
        <f t="shared" si="303"/>
        <v/>
      </c>
      <c r="M4114" s="941"/>
      <c r="N4114" s="430" t="str">
        <f t="shared" si="304"/>
        <v/>
      </c>
      <c r="O4114" s="362"/>
    </row>
    <row r="4115" spans="1:15" ht="15.75" customHeight="1">
      <c r="A4115" s="395">
        <f t="array" ref="A4115">IF(C4115&lt;&gt;0,INDEX(CodMat,MATCH(C4115,Materiales,0),),)</f>
        <v>0</v>
      </c>
      <c r="B4115" s="399"/>
      <c r="C4115" s="1128"/>
      <c r="D4115" s="940"/>
      <c r="E4115" s="940"/>
      <c r="F4115" s="940"/>
      <c r="G4115" s="940"/>
      <c r="H4115" s="940"/>
      <c r="I4115" s="941"/>
      <c r="J4115" s="435" t="str">
        <f t="shared" si="302"/>
        <v/>
      </c>
      <c r="K4115" s="436"/>
      <c r="L4115" s="1134" t="str">
        <f t="shared" si="303"/>
        <v/>
      </c>
      <c r="M4115" s="941"/>
      <c r="N4115" s="430" t="str">
        <f t="shared" si="304"/>
        <v/>
      </c>
      <c r="O4115" s="362"/>
    </row>
    <row r="4116" spans="1:15" ht="15.75" customHeight="1">
      <c r="A4116" s="395">
        <f t="array" ref="A4116">IF(C4116&lt;&gt;0,INDEX(CodMat,MATCH(C4116,Materiales,0),),)</f>
        <v>0</v>
      </c>
      <c r="B4116" s="399"/>
      <c r="C4116" s="1128"/>
      <c r="D4116" s="940"/>
      <c r="E4116" s="940"/>
      <c r="F4116" s="940"/>
      <c r="G4116" s="940"/>
      <c r="H4116" s="940"/>
      <c r="I4116" s="941"/>
      <c r="J4116" s="435" t="str">
        <f t="shared" si="302"/>
        <v/>
      </c>
      <c r="K4116" s="436"/>
      <c r="L4116" s="1205" t="str">
        <f t="shared" si="303"/>
        <v/>
      </c>
      <c r="M4116" s="1145"/>
      <c r="N4116" s="430" t="str">
        <f t="shared" si="304"/>
        <v/>
      </c>
      <c r="O4116" s="362"/>
    </row>
    <row r="4117" spans="1:15" ht="15.75" customHeight="1">
      <c r="A4117" s="395"/>
      <c r="B4117" s="399"/>
      <c r="C4117" s="1127" t="s">
        <v>1202</v>
      </c>
      <c r="D4117" s="965"/>
      <c r="E4117" s="965"/>
      <c r="F4117" s="965"/>
      <c r="G4117" s="965"/>
      <c r="H4117" s="965"/>
      <c r="I4117" s="965"/>
      <c r="J4117" s="965"/>
      <c r="K4117" s="965"/>
      <c r="L4117" s="965"/>
      <c r="M4117" s="966"/>
      <c r="N4117" s="433">
        <f>+SUM(N4109:N4116)</f>
        <v>91538</v>
      </c>
      <c r="O4117" s="362"/>
    </row>
    <row r="4118" spans="1:15" ht="15.75" customHeight="1">
      <c r="A4118" s="395"/>
      <c r="B4118" s="399"/>
      <c r="C4118" s="1129" t="s">
        <v>1208</v>
      </c>
      <c r="D4118" s="926"/>
      <c r="E4118" s="926"/>
      <c r="F4118" s="926"/>
      <c r="G4118" s="926"/>
      <c r="H4118" s="926"/>
      <c r="I4118" s="926"/>
      <c r="J4118" s="926"/>
      <c r="K4118" s="926"/>
      <c r="L4118" s="926"/>
      <c r="M4118" s="926"/>
      <c r="N4118" s="927"/>
      <c r="O4118" s="362"/>
    </row>
    <row r="4119" spans="1:15" ht="15.75" customHeight="1">
      <c r="A4119" s="395"/>
      <c r="B4119" s="399"/>
      <c r="C4119" s="920"/>
      <c r="D4119" s="922"/>
      <c r="E4119" s="922"/>
      <c r="F4119" s="922"/>
      <c r="G4119" s="922"/>
      <c r="H4119" s="922"/>
      <c r="I4119" s="922"/>
      <c r="J4119" s="922"/>
      <c r="K4119" s="922"/>
      <c r="L4119" s="922"/>
      <c r="M4119" s="922"/>
      <c r="N4119" s="924"/>
      <c r="O4119" s="362"/>
    </row>
    <row r="4120" spans="1:15" ht="15.75" customHeight="1">
      <c r="A4120" s="395"/>
      <c r="B4120" s="399"/>
      <c r="C4120" s="929"/>
      <c r="D4120" s="936"/>
      <c r="E4120" s="936"/>
      <c r="F4120" s="936"/>
      <c r="G4120" s="936"/>
      <c r="H4120" s="936"/>
      <c r="I4120" s="936"/>
      <c r="J4120" s="936"/>
      <c r="K4120" s="936"/>
      <c r="L4120" s="936"/>
      <c r="M4120" s="936"/>
      <c r="N4120" s="938"/>
      <c r="O4120" s="362"/>
    </row>
    <row r="4121" spans="1:15" ht="15.75" customHeight="1">
      <c r="A4121" s="395"/>
      <c r="B4121" s="399"/>
      <c r="C4121" s="1201" t="s">
        <v>1209</v>
      </c>
      <c r="D4121" s="1131"/>
      <c r="E4121" s="1131"/>
      <c r="F4121" s="1131"/>
      <c r="G4121" s="1131"/>
      <c r="H4121" s="1000"/>
      <c r="I4121" s="670" t="s">
        <v>1210</v>
      </c>
      <c r="J4121" s="674" t="s">
        <v>1211</v>
      </c>
      <c r="K4121" s="675" t="s">
        <v>2318</v>
      </c>
      <c r="L4121" s="1204" t="s">
        <v>1213</v>
      </c>
      <c r="M4121" s="1000"/>
      <c r="N4121" s="671" t="s">
        <v>1200</v>
      </c>
      <c r="O4121" s="362"/>
    </row>
    <row r="4122" spans="1:15" ht="15.75" customHeight="1">
      <c r="A4122" s="395">
        <f t="array" ref="A4122">IF(C4122&lt;&gt;0,INDEX(CodTransporte,MATCH(C4122,Transporte,0),),)</f>
        <v>0</v>
      </c>
      <c r="B4122" s="399"/>
      <c r="C4122" s="1128"/>
      <c r="D4122" s="940"/>
      <c r="E4122" s="940"/>
      <c r="F4122" s="940"/>
      <c r="G4122" s="940"/>
      <c r="H4122" s="940"/>
      <c r="I4122" s="440"/>
      <c r="J4122" s="441" t="str">
        <f>IF($A4122&gt;0,(VLOOKUP($A4122,TablaTransporte,6,FALSE)),"")</f>
        <v/>
      </c>
      <c r="K4122" s="442" t="str">
        <f>IF($A4122&gt;0,(VLOOKUP($A4122,TablaTransporte,5,FALSE)),"")</f>
        <v/>
      </c>
      <c r="L4122" s="1134" t="str">
        <f>IF($A4122&gt;0,(VLOOKUP($A4122,TablaTransporte,7,FALSE)),"")</f>
        <v/>
      </c>
      <c r="M4122" s="941"/>
      <c r="N4122" s="430" t="str">
        <f t="shared" ref="N4122:N4126" si="305">IF(I4122&gt;0,J4122*L4122*I4122,"")</f>
        <v/>
      </c>
      <c r="O4122" s="362"/>
    </row>
    <row r="4123" spans="1:15" ht="15.75" customHeight="1">
      <c r="A4123" s="395">
        <f t="array" ref="A4123">IF(C4123&lt;&gt;0,INDEX(CodTransporte,MATCH(C4123,Transporte,0),),)</f>
        <v>0</v>
      </c>
      <c r="B4123" s="399"/>
      <c r="C4123" s="1128"/>
      <c r="D4123" s="940"/>
      <c r="E4123" s="940"/>
      <c r="F4123" s="940"/>
      <c r="G4123" s="940"/>
      <c r="H4123" s="940"/>
      <c r="I4123" s="440"/>
      <c r="J4123" s="441" t="str">
        <f>IF($A4123&gt;0,(VLOOKUP($A4123,TablaTransporte,6,FALSE)),"")</f>
        <v/>
      </c>
      <c r="K4123" s="442" t="str">
        <f>IF($A4123&gt;0,(VLOOKUP($A4123,TablaTransporte,5,FALSE)),"")</f>
        <v/>
      </c>
      <c r="L4123" s="1134" t="str">
        <f>IF($A4123&gt;0,(VLOOKUP($A4123,TablaTransporte,7,FALSE)),"")</f>
        <v/>
      </c>
      <c r="M4123" s="941"/>
      <c r="N4123" s="430" t="str">
        <f t="shared" si="305"/>
        <v/>
      </c>
      <c r="O4123" s="362"/>
    </row>
    <row r="4124" spans="1:15" ht="15.75" customHeight="1">
      <c r="A4124" s="395">
        <f t="array" ref="A4124">IF(C4124&lt;&gt;0,INDEX(CodTransporte,MATCH(C4124,Transporte,0),),)</f>
        <v>0</v>
      </c>
      <c r="B4124" s="399"/>
      <c r="C4124" s="1128"/>
      <c r="D4124" s="940"/>
      <c r="E4124" s="940"/>
      <c r="F4124" s="940"/>
      <c r="G4124" s="940"/>
      <c r="H4124" s="940"/>
      <c r="I4124" s="440"/>
      <c r="J4124" s="441" t="str">
        <f>IF($A4124&gt;0,(VLOOKUP($A4124,TablaTransporte,6,FALSE)),"")</f>
        <v/>
      </c>
      <c r="K4124" s="442" t="str">
        <f>IF($A4124&gt;0,(VLOOKUP($A4124,TablaTransporte,5,FALSE)),"")</f>
        <v/>
      </c>
      <c r="L4124" s="1134" t="str">
        <f>IF($A4124&gt;0,(VLOOKUP($A4124,TablaTransporte,7,FALSE)),"")</f>
        <v/>
      </c>
      <c r="M4124" s="941"/>
      <c r="N4124" s="430" t="str">
        <f t="shared" si="305"/>
        <v/>
      </c>
      <c r="O4124" s="362"/>
    </row>
    <row r="4125" spans="1:15" ht="15.75" customHeight="1">
      <c r="A4125" s="395">
        <f t="array" ref="A4125">IF(C4125&lt;&gt;0,INDEX(CodTransporte,MATCH(C4125,Transporte,0),),)</f>
        <v>0</v>
      </c>
      <c r="B4125" s="399"/>
      <c r="C4125" s="1128"/>
      <c r="D4125" s="940"/>
      <c r="E4125" s="940"/>
      <c r="F4125" s="940"/>
      <c r="G4125" s="940"/>
      <c r="H4125" s="940"/>
      <c r="I4125" s="440"/>
      <c r="J4125" s="441" t="str">
        <f>IF($A4125&gt;0,(VLOOKUP($A4125,TablaTransporte,6,FALSE)),"")</f>
        <v/>
      </c>
      <c r="K4125" s="442" t="str">
        <f>IF($A4125&gt;0,(VLOOKUP($A4125,TablaTransporte,5,FALSE)),"")</f>
        <v/>
      </c>
      <c r="L4125" s="1134" t="str">
        <f>IF($A4125&gt;0,(VLOOKUP($A4125,TablaTransporte,7,FALSE)),"")</f>
        <v/>
      </c>
      <c r="M4125" s="941"/>
      <c r="N4125" s="430" t="str">
        <f t="shared" si="305"/>
        <v/>
      </c>
      <c r="O4125" s="362"/>
    </row>
    <row r="4126" spans="1:15" ht="15.75" customHeight="1">
      <c r="A4126" s="395">
        <f t="array" ref="A4126">IF(C4126&lt;&gt;0,INDEX(CodTransporte,MATCH(C4126,Transporte,0),),)</f>
        <v>0</v>
      </c>
      <c r="B4126" s="399"/>
      <c r="C4126" s="1128"/>
      <c r="D4126" s="940"/>
      <c r="E4126" s="940"/>
      <c r="F4126" s="940"/>
      <c r="G4126" s="940"/>
      <c r="H4126" s="940"/>
      <c r="I4126" s="440"/>
      <c r="J4126" s="441" t="str">
        <f>IF($A4126&gt;0,(VLOOKUP($A4126,TablaTransporte,6,FALSE)),"")</f>
        <v/>
      </c>
      <c r="K4126" s="442" t="str">
        <f>IF($A4126&gt;0,(VLOOKUP($A4126,TablaTransporte,5,FALSE)),"")</f>
        <v/>
      </c>
      <c r="L4126" s="1205" t="str">
        <f>IF($A4126&gt;0,(VLOOKUP($A4126,TablaTransporte,7,FALSE)),"")</f>
        <v/>
      </c>
      <c r="M4126" s="1145"/>
      <c r="N4126" s="430" t="str">
        <f t="shared" si="305"/>
        <v/>
      </c>
      <c r="O4126" s="362"/>
    </row>
    <row r="4127" spans="1:15" ht="15.75" customHeight="1">
      <c r="A4127" s="395"/>
      <c r="B4127" s="399"/>
      <c r="C4127" s="1127" t="s">
        <v>1202</v>
      </c>
      <c r="D4127" s="965"/>
      <c r="E4127" s="965"/>
      <c r="F4127" s="965"/>
      <c r="G4127" s="965"/>
      <c r="H4127" s="965"/>
      <c r="I4127" s="965"/>
      <c r="J4127" s="965"/>
      <c r="K4127" s="965"/>
      <c r="L4127" s="965"/>
      <c r="M4127" s="966"/>
      <c r="N4127" s="433">
        <f>+SUM(N4122:N4126)</f>
        <v>0</v>
      </c>
      <c r="O4127" s="362"/>
    </row>
    <row r="4128" spans="1:15" ht="15.75" customHeight="1">
      <c r="A4128" s="395"/>
      <c r="B4128" s="399"/>
      <c r="C4128" s="1129" t="s">
        <v>1214</v>
      </c>
      <c r="D4128" s="926"/>
      <c r="E4128" s="926"/>
      <c r="F4128" s="926"/>
      <c r="G4128" s="926"/>
      <c r="H4128" s="926"/>
      <c r="I4128" s="926"/>
      <c r="J4128" s="926"/>
      <c r="K4128" s="926"/>
      <c r="L4128" s="926"/>
      <c r="M4128" s="926"/>
      <c r="N4128" s="927"/>
      <c r="O4128" s="362"/>
    </row>
    <row r="4129" spans="1:18" ht="15.75" customHeight="1">
      <c r="A4129" s="395"/>
      <c r="B4129" s="399"/>
      <c r="C4129" s="920"/>
      <c r="D4129" s="922"/>
      <c r="E4129" s="922"/>
      <c r="F4129" s="922"/>
      <c r="G4129" s="922"/>
      <c r="H4129" s="922"/>
      <c r="I4129" s="922"/>
      <c r="J4129" s="922"/>
      <c r="K4129" s="922"/>
      <c r="L4129" s="922"/>
      <c r="M4129" s="922"/>
      <c r="N4129" s="924"/>
      <c r="O4129" s="362"/>
    </row>
    <row r="4130" spans="1:18" ht="15.75" customHeight="1">
      <c r="A4130" s="395"/>
      <c r="B4130" s="399"/>
      <c r="C4130" s="929"/>
      <c r="D4130" s="936"/>
      <c r="E4130" s="936"/>
      <c r="F4130" s="936"/>
      <c r="G4130" s="936"/>
      <c r="H4130" s="936"/>
      <c r="I4130" s="936"/>
      <c r="J4130" s="936"/>
      <c r="K4130" s="936"/>
      <c r="L4130" s="936"/>
      <c r="M4130" s="936"/>
      <c r="N4130" s="938"/>
      <c r="O4130" s="362"/>
    </row>
    <row r="4131" spans="1:18" ht="15.75" customHeight="1">
      <c r="A4131" s="395"/>
      <c r="B4131" s="399"/>
      <c r="C4131" s="1201" t="s">
        <v>1215</v>
      </c>
      <c r="D4131" s="1131"/>
      <c r="E4131" s="1131"/>
      <c r="F4131" s="1131"/>
      <c r="G4131" s="1131"/>
      <c r="H4131" s="1000"/>
      <c r="I4131" s="670" t="s">
        <v>1216</v>
      </c>
      <c r="J4131" s="676" t="s">
        <v>1217</v>
      </c>
      <c r="K4131" s="677" t="s">
        <v>1218</v>
      </c>
      <c r="L4131" s="1206" t="s">
        <v>1199</v>
      </c>
      <c r="M4131" s="1000"/>
      <c r="N4131" s="678" t="s">
        <v>1200</v>
      </c>
      <c r="O4131" s="362"/>
    </row>
    <row r="4132" spans="1:18" ht="15.75" customHeight="1">
      <c r="A4132" s="395" t="str">
        <f t="array" ref="A4132">IF(C4132&lt;&gt;0,INDEX(CodMO,MATCH(C4132,MO,0),),)</f>
        <v>M.O-15</v>
      </c>
      <c r="B4132" s="399"/>
      <c r="C4132" s="1128" t="s">
        <v>2607</v>
      </c>
      <c r="D4132" s="940"/>
      <c r="E4132" s="940"/>
      <c r="F4132" s="940"/>
      <c r="G4132" s="940"/>
      <c r="H4132" s="940"/>
      <c r="I4132" s="447">
        <f>IF($A4132&gt;0,(VLOOKUP($A4132,TablaMO,8,FALSE)),"")</f>
        <v>366787.33333333331</v>
      </c>
      <c r="J4132" s="448">
        <f>IF($A4132&gt;0,(VLOOKUP($A4132,TablaMO,10,FALSE)),"")</f>
        <v>0.67071666666666663</v>
      </c>
      <c r="K4132" s="447">
        <f>IF($A4132&gt;0,(VLOOKUP($A4132,TablaMO,11,FALSE)),"")</f>
        <v>367679</v>
      </c>
      <c r="L4132" s="1146">
        <v>5.6891056973229421</v>
      </c>
      <c r="M4132" s="941"/>
      <c r="N4132" s="430">
        <f t="shared" ref="N4132:N4136" si="306">IF(L4132&gt;0,K4132/L4132,"")</f>
        <v>64628.611166956267</v>
      </c>
      <c r="O4132" s="362"/>
    </row>
    <row r="4133" spans="1:18" ht="15.75" customHeight="1">
      <c r="A4133" s="395">
        <f t="array" ref="A4133">IF(C4133&lt;&gt;0,INDEX(CodMO,MATCH(C4133,MO,0),),)</f>
        <v>0</v>
      </c>
      <c r="B4133" s="399"/>
      <c r="C4133" s="1128"/>
      <c r="D4133" s="940"/>
      <c r="E4133" s="940"/>
      <c r="F4133" s="940"/>
      <c r="G4133" s="940"/>
      <c r="H4133" s="940"/>
      <c r="I4133" s="447" t="str">
        <f>IF($A4133&gt;0,(VLOOKUP($A4133,TablaMO,8,FALSE)),"")</f>
        <v/>
      </c>
      <c r="J4133" s="448" t="str">
        <f>IF($A4133&gt;0,(VLOOKUP($A4133,TablaMO,10,FALSE)),"")</f>
        <v/>
      </c>
      <c r="K4133" s="447" t="str">
        <f>IF($A4133&gt;0,(VLOOKUP($A4133,TablaMO,11,FALSE)),"")</f>
        <v/>
      </c>
      <c r="L4133" s="1146"/>
      <c r="M4133" s="941"/>
      <c r="N4133" s="430" t="str">
        <f t="shared" si="306"/>
        <v/>
      </c>
      <c r="O4133" s="362"/>
    </row>
    <row r="4134" spans="1:18" ht="15.75" customHeight="1">
      <c r="A4134" s="395">
        <f t="array" ref="A4134">IF(C4134&lt;&gt;0,INDEX(CodMO,MATCH(C4134,MO,0),),)</f>
        <v>0</v>
      </c>
      <c r="B4134" s="399"/>
      <c r="C4134" s="1128"/>
      <c r="D4134" s="940"/>
      <c r="E4134" s="940"/>
      <c r="F4134" s="940"/>
      <c r="G4134" s="940"/>
      <c r="H4134" s="940"/>
      <c r="I4134" s="447" t="str">
        <f>IF($A4134&gt;0,(VLOOKUP($A4134,TablaMO,8,FALSE)),"")</f>
        <v/>
      </c>
      <c r="J4134" s="448" t="str">
        <f>IF($A4134&gt;0,(VLOOKUP($A4134,TablaMO,10,FALSE)),"")</f>
        <v/>
      </c>
      <c r="K4134" s="447" t="str">
        <f>IF($A4134&gt;0,(VLOOKUP($A4134,TablaMO,11,FALSE)),"")</f>
        <v/>
      </c>
      <c r="L4134" s="1146"/>
      <c r="M4134" s="941"/>
      <c r="N4134" s="430" t="str">
        <f t="shared" si="306"/>
        <v/>
      </c>
      <c r="O4134" s="362"/>
    </row>
    <row r="4135" spans="1:18" ht="15.75" customHeight="1">
      <c r="A4135" s="395">
        <f t="array" ref="A4135">IF(C4135&lt;&gt;0,INDEX(CodMO,MATCH(C4135,MO,0),),)</f>
        <v>0</v>
      </c>
      <c r="B4135" s="399"/>
      <c r="C4135" s="1128"/>
      <c r="D4135" s="940"/>
      <c r="E4135" s="940"/>
      <c r="F4135" s="940"/>
      <c r="G4135" s="940"/>
      <c r="H4135" s="940"/>
      <c r="I4135" s="447" t="str">
        <f>IF($A4135&gt;0,(VLOOKUP($A4135,TablaMO,8,FALSE)),"")</f>
        <v/>
      </c>
      <c r="J4135" s="448" t="str">
        <f>IF($A4135&gt;0,(VLOOKUP($A4135,TablaMO,10,FALSE)),"")</f>
        <v/>
      </c>
      <c r="K4135" s="447" t="str">
        <f>IF($A4135&gt;0,(VLOOKUP($A4135,TablaMO,11,FALSE)),"")</f>
        <v/>
      </c>
      <c r="L4135" s="1146"/>
      <c r="M4135" s="941"/>
      <c r="N4135" s="430" t="str">
        <f t="shared" si="306"/>
        <v/>
      </c>
      <c r="O4135" s="362"/>
    </row>
    <row r="4136" spans="1:18" ht="15.75" customHeight="1">
      <c r="A4136" s="395">
        <f t="array" ref="A4136">IF(C4136&lt;&gt;0,INDEX(CodMO,MATCH(C4136,MO,0),),)</f>
        <v>0</v>
      </c>
      <c r="B4136" s="399"/>
      <c r="C4136" s="1128"/>
      <c r="D4136" s="940"/>
      <c r="E4136" s="940"/>
      <c r="F4136" s="940"/>
      <c r="G4136" s="940"/>
      <c r="H4136" s="940"/>
      <c r="I4136" s="447" t="str">
        <f>IF($A4136&gt;0,(VLOOKUP($A4136,TablaMO,8,FALSE)),"")</f>
        <v/>
      </c>
      <c r="J4136" s="448" t="str">
        <f>IF($A4136&gt;0,(VLOOKUP($A4136,TablaMO,10,FALSE)),"")</f>
        <v/>
      </c>
      <c r="K4136" s="447" t="str">
        <f>IF($A4136&gt;0,(VLOOKUP($A4136,TablaMO,11,FALSE)),"")</f>
        <v/>
      </c>
      <c r="L4136" s="1146"/>
      <c r="M4136" s="941"/>
      <c r="N4136" s="430" t="str">
        <f t="shared" si="306"/>
        <v/>
      </c>
      <c r="O4136" s="362"/>
    </row>
    <row r="4137" spans="1:18" ht="15.75" customHeight="1">
      <c r="A4137" s="395"/>
      <c r="B4137" s="399"/>
      <c r="C4137" s="1127" t="s">
        <v>1202</v>
      </c>
      <c r="D4137" s="965"/>
      <c r="E4137" s="965"/>
      <c r="F4137" s="965"/>
      <c r="G4137" s="965"/>
      <c r="H4137" s="965"/>
      <c r="I4137" s="965"/>
      <c r="J4137" s="965"/>
      <c r="K4137" s="965"/>
      <c r="L4137" s="965"/>
      <c r="M4137" s="966"/>
      <c r="N4137" s="433">
        <f>+SUM(N4132:N4136)</f>
        <v>64628.611166956267</v>
      </c>
      <c r="O4137" s="362"/>
    </row>
    <row r="4138" spans="1:18" ht="15.75" customHeight="1">
      <c r="B4138" s="679"/>
      <c r="O4138" s="362"/>
    </row>
    <row r="4139" spans="1:18" ht="15.75" customHeight="1">
      <c r="B4139" s="679"/>
      <c r="C4139" s="1198" t="s">
        <v>1219</v>
      </c>
      <c r="D4139" s="965"/>
      <c r="E4139" s="965"/>
      <c r="F4139" s="965"/>
      <c r="G4139" s="965"/>
      <c r="H4139" s="965"/>
      <c r="I4139" s="965"/>
      <c r="J4139" s="965"/>
      <c r="K4139" s="965"/>
      <c r="L4139" s="965"/>
      <c r="M4139" s="966"/>
      <c r="N4139" s="680">
        <f>ROUND(SUM(N4137,N4127,N4117,N4104),0)</f>
        <v>159398</v>
      </c>
      <c r="O4139" s="362"/>
      <c r="Q4139" s="681">
        <f>VLOOKUP(C4093,PROPUESTASASERCO,8,FALSE)</f>
        <v>159398</v>
      </c>
      <c r="R4139" s="682">
        <f>Q4139-N4139</f>
        <v>0</v>
      </c>
    </row>
    <row r="4140" spans="1:18" ht="15.75" customHeight="1">
      <c r="B4140" s="679"/>
      <c r="C4140" s="1129" t="s">
        <v>1220</v>
      </c>
      <c r="D4140" s="926"/>
      <c r="E4140" s="926"/>
      <c r="F4140" s="926"/>
      <c r="G4140" s="926"/>
      <c r="H4140" s="926"/>
      <c r="I4140" s="926"/>
      <c r="J4140" s="926"/>
      <c r="K4140" s="926"/>
      <c r="L4140" s="926"/>
      <c r="M4140" s="926"/>
      <c r="N4140" s="927"/>
      <c r="O4140" s="362"/>
    </row>
    <row r="4141" spans="1:18" ht="15.75" customHeight="1">
      <c r="B4141" s="679"/>
      <c r="C4141" s="920"/>
      <c r="D4141" s="922"/>
      <c r="E4141" s="922"/>
      <c r="F4141" s="922"/>
      <c r="G4141" s="922"/>
      <c r="H4141" s="922"/>
      <c r="I4141" s="922"/>
      <c r="J4141" s="922"/>
      <c r="K4141" s="922"/>
      <c r="L4141" s="922"/>
      <c r="M4141" s="922"/>
      <c r="N4141" s="924"/>
      <c r="O4141" s="362"/>
    </row>
    <row r="4142" spans="1:18" ht="15.75" customHeight="1">
      <c r="B4142" s="679"/>
      <c r="C4142" s="929"/>
      <c r="D4142" s="936"/>
      <c r="E4142" s="936"/>
      <c r="F4142" s="936"/>
      <c r="G4142" s="936"/>
      <c r="H4142" s="936"/>
      <c r="I4142" s="936"/>
      <c r="J4142" s="936"/>
      <c r="K4142" s="936"/>
      <c r="L4142" s="936"/>
      <c r="M4142" s="936"/>
      <c r="N4142" s="938"/>
      <c r="O4142" s="362"/>
    </row>
    <row r="4143" spans="1:18" ht="15.75" customHeight="1">
      <c r="B4143" s="679"/>
      <c r="C4143" s="1201" t="s">
        <v>1221</v>
      </c>
      <c r="D4143" s="1131"/>
      <c r="E4143" s="1131"/>
      <c r="F4143" s="1131"/>
      <c r="G4143" s="1131"/>
      <c r="H4143" s="1132"/>
      <c r="I4143" s="674"/>
      <c r="J4143" s="674"/>
      <c r="K4143" s="674"/>
      <c r="L4143" s="1206" t="s">
        <v>1222</v>
      </c>
      <c r="M4143" s="1000"/>
      <c r="N4143" s="678" t="s">
        <v>1223</v>
      </c>
      <c r="O4143" s="362"/>
    </row>
    <row r="4144" spans="1:18" ht="15.75" customHeight="1">
      <c r="B4144" s="679"/>
      <c r="C4144" s="1128" t="s">
        <v>19</v>
      </c>
      <c r="D4144" s="940"/>
      <c r="E4144" s="940"/>
      <c r="F4144" s="940"/>
      <c r="G4144" s="940"/>
      <c r="H4144" s="940"/>
      <c r="I4144" s="452"/>
      <c r="J4144" s="452"/>
      <c r="K4144" s="452"/>
      <c r="L4144" s="1148">
        <f>+Datos!$E$18</f>
        <v>0.25</v>
      </c>
      <c r="M4144" s="941"/>
      <c r="N4144" s="430">
        <f>+L4144*N4139</f>
        <v>39849.5</v>
      </c>
      <c r="O4144" s="362"/>
    </row>
    <row r="4145" spans="2:15" ht="15.75" customHeight="1">
      <c r="B4145" s="679"/>
      <c r="C4145" s="454" t="s">
        <v>20</v>
      </c>
      <c r="D4145" s="455"/>
      <c r="E4145" s="455"/>
      <c r="F4145" s="455"/>
      <c r="G4145" s="455"/>
      <c r="H4145" s="455"/>
      <c r="I4145" s="452"/>
      <c r="J4145" s="452"/>
      <c r="K4145" s="452"/>
      <c r="L4145" s="1148">
        <f>+Datos!$E$19</f>
        <v>0.01</v>
      </c>
      <c r="M4145" s="941"/>
      <c r="N4145" s="430">
        <f>+L4145*N4139</f>
        <v>1593.98</v>
      </c>
      <c r="O4145" s="362"/>
    </row>
    <row r="4146" spans="2:15" ht="15.75" customHeight="1">
      <c r="B4146" s="679"/>
      <c r="C4146" s="456" t="s">
        <v>21</v>
      </c>
      <c r="D4146" s="457"/>
      <c r="E4146" s="457"/>
      <c r="F4146" s="457"/>
      <c r="G4146" s="457"/>
      <c r="H4146" s="457"/>
      <c r="I4146" s="458"/>
      <c r="J4146" s="458"/>
      <c r="K4146" s="458"/>
      <c r="L4146" s="1148">
        <f>+Datos!$E$20</f>
        <v>0.05</v>
      </c>
      <c r="M4146" s="941"/>
      <c r="N4146" s="430">
        <f>+L4146*N4139</f>
        <v>7969.9000000000005</v>
      </c>
      <c r="O4146" s="362"/>
    </row>
    <row r="4147" spans="2:15" ht="15.75" customHeight="1">
      <c r="B4147" s="679"/>
      <c r="C4147" s="1127" t="s">
        <v>1202</v>
      </c>
      <c r="D4147" s="965"/>
      <c r="E4147" s="965"/>
      <c r="F4147" s="965"/>
      <c r="G4147" s="965"/>
      <c r="H4147" s="965"/>
      <c r="I4147" s="965"/>
      <c r="J4147" s="965"/>
      <c r="K4147" s="965"/>
      <c r="L4147" s="965"/>
      <c r="M4147" s="966"/>
      <c r="N4147" s="433">
        <f>+SUM(N4144:N4146)</f>
        <v>49413.380000000005</v>
      </c>
      <c r="O4147" s="362"/>
    </row>
    <row r="4148" spans="2:15" ht="15.75" customHeight="1">
      <c r="B4148" s="679"/>
      <c r="C4148" s="418"/>
      <c r="D4148" s="39"/>
      <c r="E4148" s="39"/>
      <c r="F4148" s="39"/>
      <c r="G4148" s="39"/>
      <c r="H4148" s="39"/>
      <c r="I4148" s="39"/>
      <c r="J4148" s="39"/>
      <c r="K4148" s="39"/>
      <c r="L4148" s="39"/>
      <c r="M4148" s="39"/>
      <c r="N4148" s="40"/>
      <c r="O4148" s="362"/>
    </row>
    <row r="4149" spans="2:15" ht="15.75" customHeight="1">
      <c r="B4149" s="679"/>
      <c r="C4149" s="1198" t="s">
        <v>1224</v>
      </c>
      <c r="D4149" s="965"/>
      <c r="E4149" s="965"/>
      <c r="F4149" s="965"/>
      <c r="G4149" s="965"/>
      <c r="H4149" s="965"/>
      <c r="I4149" s="965"/>
      <c r="J4149" s="965"/>
      <c r="K4149" s="965"/>
      <c r="L4149" s="965"/>
      <c r="M4149" s="966"/>
      <c r="N4149" s="683">
        <f>+ROUND(SUM(N4147,N4139),0)</f>
        <v>208811</v>
      </c>
      <c r="O4149" s="362"/>
    </row>
    <row r="4150" spans="2:15" ht="15.75" customHeight="1">
      <c r="B4150" s="679"/>
      <c r="C4150" s="418"/>
      <c r="D4150" s="39" t="s">
        <v>1225</v>
      </c>
      <c r="E4150" s="39"/>
      <c r="F4150" s="39"/>
      <c r="G4150" s="184"/>
      <c r="H4150" s="184"/>
      <c r="I4150" s="184"/>
      <c r="J4150" s="39" t="s">
        <v>1225</v>
      </c>
      <c r="K4150" s="39"/>
      <c r="L4150" s="39"/>
      <c r="M4150" s="39"/>
      <c r="N4150" s="40"/>
      <c r="O4150" s="362"/>
    </row>
    <row r="4151" spans="2:15" ht="15.75" customHeight="1">
      <c r="B4151" s="679"/>
      <c r="C4151" s="418"/>
      <c r="D4151" s="39" t="s">
        <v>1226</v>
      </c>
      <c r="E4151" s="39"/>
      <c r="F4151" s="39"/>
      <c r="G4151" s="184"/>
      <c r="H4151" s="184"/>
      <c r="I4151" s="184"/>
      <c r="J4151" s="39" t="s">
        <v>1227</v>
      </c>
      <c r="K4151" s="39"/>
      <c r="L4151" s="39"/>
      <c r="M4151" s="39"/>
      <c r="N4151" s="40"/>
      <c r="O4151" s="362"/>
    </row>
    <row r="4152" spans="2:15" ht="15.75" customHeight="1">
      <c r="B4152" s="679"/>
      <c r="C4152" s="404"/>
      <c r="D4152" s="39" t="s">
        <v>1228</v>
      </c>
      <c r="E4152" s="42"/>
      <c r="F4152" s="42"/>
      <c r="G4152" s="184"/>
      <c r="H4152" s="184"/>
      <c r="I4152" s="184"/>
      <c r="J4152" s="39" t="s">
        <v>1228</v>
      </c>
      <c r="K4152" s="42"/>
      <c r="L4152" s="42"/>
      <c r="M4152" s="42"/>
      <c r="N4152" s="43"/>
      <c r="O4152" s="362"/>
    </row>
    <row r="4153" spans="2:15" ht="15.75" customHeight="1">
      <c r="B4153" s="679"/>
      <c r="C4153" s="418"/>
      <c r="D4153" s="39"/>
      <c r="E4153" s="39"/>
      <c r="F4153" s="39"/>
      <c r="G4153" s="39" t="s">
        <v>1229</v>
      </c>
      <c r="H4153" s="39"/>
      <c r="I4153" s="39"/>
      <c r="J4153" s="39"/>
      <c r="K4153" s="39"/>
      <c r="L4153" s="39"/>
      <c r="M4153" s="39"/>
      <c r="N4153" s="40"/>
      <c r="O4153" s="362"/>
    </row>
    <row r="4154" spans="2:15" ht="15.75" customHeight="1">
      <c r="B4154" s="679"/>
      <c r="C4154" s="466"/>
      <c r="D4154" s="467"/>
      <c r="E4154" s="467"/>
      <c r="F4154" s="39"/>
      <c r="G4154" s="39"/>
      <c r="H4154" s="39"/>
      <c r="I4154" s="39"/>
      <c r="J4154" s="1149"/>
      <c r="K4154" s="922"/>
      <c r="L4154" s="922"/>
      <c r="M4154" s="922"/>
      <c r="N4154" s="924"/>
      <c r="O4154" s="362"/>
    </row>
    <row r="4155" spans="2:15" ht="15.75" customHeight="1">
      <c r="B4155" s="679"/>
      <c r="C4155" s="1150"/>
      <c r="D4155" s="936"/>
      <c r="E4155" s="936"/>
      <c r="F4155" s="416"/>
      <c r="G4155" s="416"/>
      <c r="H4155" s="416"/>
      <c r="I4155" s="416"/>
      <c r="J4155" s="936"/>
      <c r="K4155" s="936"/>
      <c r="L4155" s="936"/>
      <c r="M4155" s="936"/>
      <c r="N4155" s="938"/>
      <c r="O4155" s="362"/>
    </row>
    <row r="4156" spans="2:15" ht="15.75" customHeight="1">
      <c r="B4156" s="684"/>
      <c r="C4156" s="685"/>
      <c r="D4156" s="685"/>
      <c r="E4156" s="685"/>
      <c r="F4156" s="685"/>
      <c r="G4156" s="685"/>
      <c r="H4156" s="685"/>
      <c r="I4156" s="685"/>
      <c r="J4156" s="685"/>
      <c r="K4156" s="685"/>
      <c r="L4156" s="685"/>
      <c r="M4156" s="685"/>
      <c r="N4156" s="685"/>
      <c r="O4156" s="686"/>
    </row>
    <row r="4157" spans="2:15" ht="15.75" customHeight="1"/>
    <row r="4158" spans="2:15" ht="15.75" customHeight="1"/>
    <row r="4159" spans="2:15" ht="15.75" customHeight="1"/>
    <row r="4160" spans="2:15" ht="15.75" customHeight="1"/>
    <row r="4161" spans="1:15" ht="15.75" customHeight="1">
      <c r="A4161" s="395" t="s">
        <v>941</v>
      </c>
      <c r="B4161" s="184"/>
      <c r="C4161" s="184"/>
      <c r="D4161" s="184"/>
      <c r="E4161" s="184"/>
      <c r="F4161" s="184"/>
      <c r="G4161" s="184"/>
      <c r="H4161" s="184"/>
      <c r="I4161" s="184"/>
      <c r="J4161" s="184"/>
      <c r="K4161" s="184"/>
      <c r="L4161" s="184"/>
      <c r="M4161" s="184"/>
      <c r="N4161" s="184"/>
    </row>
    <row r="4162" spans="1:15" ht="15.75" customHeight="1">
      <c r="A4162" s="395"/>
      <c r="B4162" s="396"/>
      <c r="C4162" s="397"/>
      <c r="D4162" s="397"/>
      <c r="E4162" s="397"/>
      <c r="F4162" s="397"/>
      <c r="G4162" s="397"/>
      <c r="H4162" s="397"/>
      <c r="I4162" s="397"/>
      <c r="J4162" s="397"/>
      <c r="K4162" s="397"/>
      <c r="L4162" s="397"/>
      <c r="M4162" s="397"/>
      <c r="N4162" s="397"/>
      <c r="O4162" s="667"/>
    </row>
    <row r="4163" spans="1:15" ht="15.75" customHeight="1">
      <c r="A4163" s="395"/>
      <c r="B4163" s="399"/>
      <c r="C4163" s="1124"/>
      <c r="D4163" s="927"/>
      <c r="E4163" s="1207" t="str">
        <f>Datos!$C$9</f>
        <v>CONSEJO SUPERIOR  DE  JUDICATURA– DIRECCIÓN  EJECUTIVA  SECCIONAL  DE ADMINISTRACIÓN JUDICIAL DE BUCARAMANGA</v>
      </c>
      <c r="F4163" s="926"/>
      <c r="G4163" s="926"/>
      <c r="H4163" s="926"/>
      <c r="I4163" s="926"/>
      <c r="J4163" s="926"/>
      <c r="K4163" s="927"/>
      <c r="L4163" s="925" t="s">
        <v>1</v>
      </c>
      <c r="M4163" s="931"/>
      <c r="N4163" s="933">
        <v>1</v>
      </c>
      <c r="O4163" s="362"/>
    </row>
    <row r="4164" spans="1:15" ht="15.75" customHeight="1">
      <c r="A4164" s="395"/>
      <c r="B4164" s="399"/>
      <c r="C4164" s="920"/>
      <c r="D4164" s="924"/>
      <c r="E4164" s="920"/>
      <c r="F4164" s="922"/>
      <c r="G4164" s="922"/>
      <c r="H4164" s="922"/>
      <c r="I4164" s="922"/>
      <c r="J4164" s="922"/>
      <c r="K4164" s="924"/>
      <c r="L4164" s="920"/>
      <c r="M4164" s="932"/>
      <c r="N4164" s="934"/>
      <c r="O4164" s="362"/>
    </row>
    <row r="4165" spans="1:15" ht="15.75" customHeight="1">
      <c r="A4165" s="395"/>
      <c r="B4165" s="399"/>
      <c r="C4165" s="920"/>
      <c r="D4165" s="924"/>
      <c r="E4165" s="919" t="str">
        <f>Datos!$C$13</f>
        <v xml:space="preserve">BGA - 030 - 2026 </v>
      </c>
      <c r="F4165" s="922"/>
      <c r="G4165" s="922"/>
      <c r="H4165" s="922"/>
      <c r="I4165" s="922"/>
      <c r="J4165" s="922"/>
      <c r="K4165" s="922"/>
      <c r="L4165" s="925" t="s">
        <v>29</v>
      </c>
      <c r="M4165" s="926"/>
      <c r="N4165" s="927"/>
      <c r="O4165" s="362"/>
    </row>
    <row r="4166" spans="1:15" ht="15.75" customHeight="1">
      <c r="A4166" s="395"/>
      <c r="B4166" s="399"/>
      <c r="C4166" s="920"/>
      <c r="D4166" s="924"/>
      <c r="E4166"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166" s="922"/>
      <c r="G4166" s="922"/>
      <c r="H4166" s="922"/>
      <c r="I4166" s="922"/>
      <c r="J4166" s="922"/>
      <c r="K4166" s="924"/>
      <c r="L4166" s="919">
        <v>1</v>
      </c>
      <c r="M4166" s="921" t="s">
        <v>30</v>
      </c>
      <c r="N4166" s="923">
        <v>1</v>
      </c>
      <c r="O4166" s="362"/>
    </row>
    <row r="4167" spans="1:15" ht="15.75" customHeight="1">
      <c r="A4167" s="395"/>
      <c r="B4167" s="399"/>
      <c r="C4167" s="920"/>
      <c r="D4167" s="924"/>
      <c r="E4167" s="920"/>
      <c r="F4167" s="922"/>
      <c r="G4167" s="922"/>
      <c r="H4167" s="922"/>
      <c r="I4167" s="922"/>
      <c r="J4167" s="922"/>
      <c r="K4167" s="924"/>
      <c r="L4167" s="920"/>
      <c r="M4167" s="922"/>
      <c r="N4167" s="924"/>
      <c r="O4167" s="362"/>
    </row>
    <row r="4168" spans="1:15" ht="15.75" customHeight="1">
      <c r="A4168" s="395"/>
      <c r="B4168" s="399"/>
      <c r="C4168" s="920"/>
      <c r="D4168" s="924"/>
      <c r="E4168" s="920"/>
      <c r="F4168" s="922"/>
      <c r="G4168" s="922"/>
      <c r="H4168" s="922"/>
      <c r="I4168" s="922"/>
      <c r="J4168" s="922"/>
      <c r="K4168" s="924"/>
      <c r="L4168" s="925" t="s">
        <v>2</v>
      </c>
      <c r="M4168" s="926"/>
      <c r="N4168" s="927"/>
      <c r="O4168" s="362"/>
    </row>
    <row r="4169" spans="1:15" ht="15.75" customHeight="1">
      <c r="A4169" s="395"/>
      <c r="B4169" s="399"/>
      <c r="C4169" s="920"/>
      <c r="D4169" s="924"/>
      <c r="E4169" s="407"/>
      <c r="F4169" s="216"/>
      <c r="G4169" s="216"/>
      <c r="H4169" s="216"/>
      <c r="I4169" s="216"/>
      <c r="J4169" s="216"/>
      <c r="K4169" s="216"/>
      <c r="L4169" s="408" t="s">
        <v>3</v>
      </c>
      <c r="M4169" s="409" t="s">
        <v>4</v>
      </c>
      <c r="N4169" s="410" t="s">
        <v>5</v>
      </c>
      <c r="O4169" s="362"/>
    </row>
    <row r="4170" spans="1:15" ht="15.75" customHeight="1">
      <c r="A4170" s="395"/>
      <c r="B4170" s="399"/>
      <c r="C4170" s="920"/>
      <c r="D4170" s="924"/>
      <c r="E4170" s="1125" t="s">
        <v>1186</v>
      </c>
      <c r="F4170" s="945"/>
      <c r="G4170" s="945"/>
      <c r="H4170" s="945"/>
      <c r="I4170" s="945"/>
      <c r="J4170" s="945"/>
      <c r="K4170" s="945"/>
      <c r="L4170" s="928">
        <f>Datos!$C$7</f>
        <v>19</v>
      </c>
      <c r="M4170" s="935">
        <f>Datos!$D$7</f>
        <v>6</v>
      </c>
      <c r="N4170" s="937">
        <f>Datos!$E$7</f>
        <v>2026</v>
      </c>
      <c r="O4170" s="362"/>
    </row>
    <row r="4171" spans="1:15" ht="15.75" customHeight="1">
      <c r="A4171" s="395"/>
      <c r="B4171" s="399"/>
      <c r="C4171" s="929"/>
      <c r="D4171" s="938"/>
      <c r="E4171" s="929"/>
      <c r="F4171" s="936"/>
      <c r="G4171" s="936"/>
      <c r="H4171" s="936"/>
      <c r="I4171" s="936"/>
      <c r="J4171" s="936"/>
      <c r="K4171" s="936"/>
      <c r="L4171" s="929"/>
      <c r="M4171" s="936"/>
      <c r="N4171" s="938"/>
      <c r="O4171" s="362"/>
    </row>
    <row r="4172" spans="1:15" ht="15.75" customHeight="1">
      <c r="A4172" s="395"/>
      <c r="B4172" s="399"/>
      <c r="C4172" s="404"/>
      <c r="D4172" s="38"/>
      <c r="E4172" s="38"/>
      <c r="F4172" s="38"/>
      <c r="G4172" s="38"/>
      <c r="H4172" s="38"/>
      <c r="I4172" s="38"/>
      <c r="J4172" s="38"/>
      <c r="K4172" s="38"/>
      <c r="L4172" s="39"/>
      <c r="M4172" s="39"/>
      <c r="N4172" s="40"/>
      <c r="O4172" s="362"/>
    </row>
    <row r="4173" spans="1:15" ht="15.75" customHeight="1">
      <c r="A4173" s="395"/>
      <c r="B4173" s="399"/>
      <c r="C4173" s="412" t="s">
        <v>1187</v>
      </c>
      <c r="D4173" s="1199" t="str">
        <f>VLOOKUP(C4178,ListaAct,2,0)</f>
        <v>OBRA CIVIL</v>
      </c>
      <c r="E4173" s="922"/>
      <c r="F4173" s="922"/>
      <c r="G4173" s="922"/>
      <c r="H4173" s="922"/>
      <c r="I4173" s="922"/>
      <c r="J4173" s="922"/>
      <c r="K4173" s="922"/>
      <c r="L4173" s="922"/>
      <c r="M4173" s="1"/>
      <c r="N4173" s="413"/>
      <c r="O4173" s="362"/>
    </row>
    <row r="4174" spans="1:15" ht="15.75" customHeight="1">
      <c r="A4174" s="395"/>
      <c r="B4174" s="399"/>
      <c r="C4174" s="412" t="s">
        <v>1189</v>
      </c>
      <c r="D4174" s="1199" t="str">
        <f>VLOOKUP(C4178,ListaAct,3,0)</f>
        <v>ACTIVIDADES ELECTRICAS, DATOS Y DEMAS REQUERIDAS</v>
      </c>
      <c r="E4174" s="922"/>
      <c r="F4174" s="922"/>
      <c r="G4174" s="922"/>
      <c r="H4174" s="922"/>
      <c r="I4174" s="922"/>
      <c r="J4174" s="922"/>
      <c r="K4174" s="922"/>
      <c r="L4174" s="922"/>
      <c r="M4174" s="1"/>
      <c r="N4174" s="413"/>
      <c r="O4174" s="362"/>
    </row>
    <row r="4175" spans="1:15" ht="15.75" customHeight="1">
      <c r="A4175" s="395"/>
      <c r="B4175" s="399"/>
      <c r="C4175" s="925" t="s">
        <v>1191</v>
      </c>
      <c r="D4175" s="926"/>
      <c r="E4175" s="926"/>
      <c r="F4175" s="926"/>
      <c r="G4175" s="926"/>
      <c r="H4175" s="926"/>
      <c r="I4175" s="926"/>
      <c r="J4175" s="926"/>
      <c r="K4175" s="926"/>
      <c r="L4175" s="926"/>
      <c r="M4175" s="926"/>
      <c r="N4175" s="927"/>
      <c r="O4175" s="362"/>
    </row>
    <row r="4176" spans="1:15" ht="15.75" customHeight="1">
      <c r="A4176" s="395"/>
      <c r="B4176" s="399"/>
      <c r="C4176" s="418"/>
      <c r="D4176" s="39"/>
      <c r="E4176" s="39"/>
      <c r="F4176" s="39"/>
      <c r="G4176" s="39"/>
      <c r="H4176" s="39"/>
      <c r="I4176" s="39"/>
      <c r="J4176" s="39"/>
      <c r="K4176" s="39"/>
      <c r="L4176" s="39"/>
      <c r="M4176" s="39"/>
      <c r="N4176" s="40"/>
      <c r="O4176" s="362"/>
    </row>
    <row r="4177" spans="1:15" ht="15.75" customHeight="1">
      <c r="A4177" s="395"/>
      <c r="B4177" s="399"/>
      <c r="C4177" s="668" t="s">
        <v>965</v>
      </c>
      <c r="D4177" s="1200" t="s">
        <v>17</v>
      </c>
      <c r="E4177" s="1131"/>
      <c r="F4177" s="1131"/>
      <c r="G4177" s="1131"/>
      <c r="H4177" s="1131"/>
      <c r="I4177" s="1131"/>
      <c r="J4177" s="1131"/>
      <c r="K4177" s="1137"/>
      <c r="L4177" s="1201" t="s">
        <v>1192</v>
      </c>
      <c r="M4177" s="1137"/>
      <c r="N4177" s="668" t="s">
        <v>950</v>
      </c>
      <c r="O4177" s="362"/>
    </row>
    <row r="4178" spans="1:15" ht="28.5" customHeight="1">
      <c r="A4178" s="395"/>
      <c r="B4178" s="421"/>
      <c r="C4178" s="669" t="s">
        <v>1124</v>
      </c>
      <c r="D4178" s="1202" t="str">
        <f>IF($C4178&gt;0,(VLOOKUP($C4178,ListaAct,4,FALSE)),"")</f>
        <v>Suministro, Transporte E Instalación De Salida Voz Y Datos, Incluye: Herrajes, Jack, Face Plate, Cable Utp Categoria 6a , Ponchado Del Cable Y Marcación</v>
      </c>
      <c r="E4178" s="979"/>
      <c r="F4178" s="979"/>
      <c r="G4178" s="979"/>
      <c r="H4178" s="979"/>
      <c r="I4178" s="979"/>
      <c r="J4178" s="979"/>
      <c r="K4178" s="980"/>
      <c r="L4178" s="1203" t="str">
        <f>IF($C4178&gt;0,(VLOOKUP($C4178,ListaAct,5,FALSE)),"")</f>
        <v>und</v>
      </c>
      <c r="M4178" s="980"/>
      <c r="N4178" s="423">
        <f>IF($C4178&gt;0,(VLOOKUP($C4178,ListaAct,6,FALSE)),"")</f>
        <v>6</v>
      </c>
      <c r="O4178" s="362"/>
    </row>
    <row r="4179" spans="1:15" ht="15.75" customHeight="1">
      <c r="A4179" s="395"/>
      <c r="B4179" s="399"/>
      <c r="C4179" s="1129" t="s">
        <v>1195</v>
      </c>
      <c r="D4179" s="926"/>
      <c r="E4179" s="926"/>
      <c r="F4179" s="926"/>
      <c r="G4179" s="926"/>
      <c r="H4179" s="926"/>
      <c r="I4179" s="926"/>
      <c r="J4179" s="926"/>
      <c r="K4179" s="926"/>
      <c r="L4179" s="926"/>
      <c r="M4179" s="926"/>
      <c r="N4179" s="927"/>
      <c r="O4179" s="362"/>
    </row>
    <row r="4180" spans="1:15" ht="15.75" customHeight="1">
      <c r="A4180" s="395"/>
      <c r="B4180" s="399"/>
      <c r="C4180" s="920"/>
      <c r="D4180" s="922"/>
      <c r="E4180" s="922"/>
      <c r="F4180" s="922"/>
      <c r="G4180" s="922"/>
      <c r="H4180" s="922"/>
      <c r="I4180" s="922"/>
      <c r="J4180" s="922"/>
      <c r="K4180" s="922"/>
      <c r="L4180" s="922"/>
      <c r="M4180" s="922"/>
      <c r="N4180" s="924"/>
      <c r="O4180" s="362"/>
    </row>
    <row r="4181" spans="1:15" ht="15.75" customHeight="1">
      <c r="A4181" s="395"/>
      <c r="B4181" s="399"/>
      <c r="C4181" s="929"/>
      <c r="D4181" s="936"/>
      <c r="E4181" s="936"/>
      <c r="F4181" s="936"/>
      <c r="G4181" s="936"/>
      <c r="H4181" s="936"/>
      <c r="I4181" s="936"/>
      <c r="J4181" s="936"/>
      <c r="K4181" s="936"/>
      <c r="L4181" s="936"/>
      <c r="M4181" s="936"/>
      <c r="N4181" s="938"/>
      <c r="O4181" s="362"/>
    </row>
    <row r="4182" spans="1:15" ht="15.75" customHeight="1">
      <c r="A4182" s="395"/>
      <c r="B4182" s="399"/>
      <c r="C4182" s="1201" t="s">
        <v>17</v>
      </c>
      <c r="D4182" s="1131"/>
      <c r="E4182" s="1131"/>
      <c r="F4182" s="1000"/>
      <c r="G4182" s="1204" t="s">
        <v>1196</v>
      </c>
      <c r="H4182" s="1000"/>
      <c r="I4182" s="1204" t="s">
        <v>1197</v>
      </c>
      <c r="J4182" s="1000"/>
      <c r="K4182" s="670" t="s">
        <v>1213</v>
      </c>
      <c r="L4182" s="1204" t="s">
        <v>1199</v>
      </c>
      <c r="M4182" s="1000"/>
      <c r="N4182" s="671" t="s">
        <v>1200</v>
      </c>
      <c r="O4182" s="362"/>
    </row>
    <row r="4183" spans="1:15" ht="15.75" customHeight="1">
      <c r="A4183" s="395"/>
      <c r="B4183" s="399"/>
      <c r="C4183" s="1128" t="s">
        <v>1201</v>
      </c>
      <c r="D4183" s="940"/>
      <c r="E4183" s="940"/>
      <c r="F4183" s="941"/>
      <c r="G4183" s="1142"/>
      <c r="H4183" s="941"/>
      <c r="I4183" s="1142"/>
      <c r="J4183" s="941"/>
      <c r="K4183" s="429"/>
      <c r="L4183" s="1143">
        <v>0.05</v>
      </c>
      <c r="M4183" s="941"/>
      <c r="N4183" s="430">
        <f>+L4183*N4222</f>
        <v>1435.366592628274</v>
      </c>
      <c r="O4183" s="362"/>
    </row>
    <row r="4184" spans="1:15" ht="15.75" customHeight="1">
      <c r="A4184" s="395">
        <f t="array" ref="A4184">IF(C4184&lt;&gt;0,INDEX(CodEquipos,MATCH(C4184,Equipos,0),),)</f>
        <v>0</v>
      </c>
      <c r="B4184" s="399"/>
      <c r="C4184" s="1128"/>
      <c r="D4184" s="940"/>
      <c r="E4184" s="940"/>
      <c r="F4184" s="941"/>
      <c r="G4184" s="1142"/>
      <c r="H4184" s="941"/>
      <c r="I4184" s="1142"/>
      <c r="J4184" s="941"/>
      <c r="K4184" s="432" t="str">
        <f>IF($A4184&gt;0,(VLOOKUP($A4184,TablaEquipos,7,FALSE)),"")</f>
        <v/>
      </c>
      <c r="L4184" s="1146"/>
      <c r="M4184" s="941"/>
      <c r="N4184" s="430" t="str">
        <f t="shared" ref="N4184:N4188" si="307">IF(L4184&gt;0,K4184/L4184,"")</f>
        <v/>
      </c>
      <c r="O4184" s="362"/>
    </row>
    <row r="4185" spans="1:15" ht="15.75" customHeight="1">
      <c r="A4185" s="395">
        <f t="array" ref="A4185">IF(C4185&lt;&gt;0,INDEX(CodEquipos,MATCH(C4185,Equipos,0),),)</f>
        <v>0</v>
      </c>
      <c r="B4185" s="399"/>
      <c r="C4185" s="1128"/>
      <c r="D4185" s="940"/>
      <c r="E4185" s="940"/>
      <c r="F4185" s="941"/>
      <c r="G4185" s="1142"/>
      <c r="H4185" s="941"/>
      <c r="I4185" s="1142"/>
      <c r="J4185" s="941"/>
      <c r="K4185" s="432" t="str">
        <f>IF($A4185&gt;0,(VLOOKUP($A4185,TablaEquipos,7,FALSE)),"")</f>
        <v/>
      </c>
      <c r="L4185" s="1146"/>
      <c r="M4185" s="941"/>
      <c r="N4185" s="430" t="str">
        <f t="shared" si="307"/>
        <v/>
      </c>
      <c r="O4185" s="362"/>
    </row>
    <row r="4186" spans="1:15" ht="15.75" customHeight="1">
      <c r="A4186" s="395">
        <f t="array" ref="A4186">IF(C4186&lt;&gt;0,INDEX(CodEquipos,MATCH(C4186,Equipos,0),),)</f>
        <v>0</v>
      </c>
      <c r="B4186" s="399"/>
      <c r="C4186" s="1128"/>
      <c r="D4186" s="940"/>
      <c r="E4186" s="940"/>
      <c r="F4186" s="941"/>
      <c r="G4186" s="1142"/>
      <c r="H4186" s="941"/>
      <c r="I4186" s="1142"/>
      <c r="J4186" s="941"/>
      <c r="K4186" s="432" t="str">
        <f>IF($A4186&gt;0,(VLOOKUP($A4186,TablaEquipos,7,FALSE)),"")</f>
        <v/>
      </c>
      <c r="L4186" s="1146"/>
      <c r="M4186" s="941"/>
      <c r="N4186" s="430" t="str">
        <f t="shared" si="307"/>
        <v/>
      </c>
      <c r="O4186" s="362"/>
    </row>
    <row r="4187" spans="1:15" ht="15.75" customHeight="1">
      <c r="A4187" s="395">
        <f t="array" ref="A4187">IF(C4187&lt;&gt;0,INDEX(CodEquipos,MATCH(C4187,Equipos,0),),)</f>
        <v>0</v>
      </c>
      <c r="B4187" s="399"/>
      <c r="C4187" s="1128"/>
      <c r="D4187" s="940"/>
      <c r="E4187" s="940"/>
      <c r="F4187" s="941"/>
      <c r="G4187" s="1142"/>
      <c r="H4187" s="941"/>
      <c r="I4187" s="1142"/>
      <c r="J4187" s="941"/>
      <c r="K4187" s="432" t="str">
        <f>IF($A4187&gt;0,(VLOOKUP($A4187,TablaEquipos,7,FALSE)),"")</f>
        <v/>
      </c>
      <c r="L4187" s="1141"/>
      <c r="M4187" s="941"/>
      <c r="N4187" s="430" t="str">
        <f t="shared" si="307"/>
        <v/>
      </c>
      <c r="O4187" s="362"/>
    </row>
    <row r="4188" spans="1:15" ht="15.75" customHeight="1">
      <c r="A4188" s="395">
        <f t="array" ref="A4188">IF(C4188&lt;&gt;0,INDEX(CodEquipos,MATCH(C4188,Equipos,0),),)</f>
        <v>0</v>
      </c>
      <c r="B4188" s="399"/>
      <c r="C4188" s="1128"/>
      <c r="D4188" s="940"/>
      <c r="E4188" s="940"/>
      <c r="F4188" s="941"/>
      <c r="G4188" s="1144"/>
      <c r="H4188" s="1145"/>
      <c r="I4188" s="1144"/>
      <c r="J4188" s="1145"/>
      <c r="K4188" s="432" t="str">
        <f>IF($A4188&gt;0,(VLOOKUP($A4188,TablaEquipos,7,FALSE)),"")</f>
        <v/>
      </c>
      <c r="L4188" s="1208"/>
      <c r="M4188" s="1145"/>
      <c r="N4188" s="430" t="str">
        <f t="shared" si="307"/>
        <v/>
      </c>
      <c r="O4188" s="362"/>
    </row>
    <row r="4189" spans="1:15" ht="15.75" customHeight="1">
      <c r="A4189" s="395"/>
      <c r="B4189" s="399"/>
      <c r="C4189" s="1127" t="s">
        <v>1202</v>
      </c>
      <c r="D4189" s="965"/>
      <c r="E4189" s="965"/>
      <c r="F4189" s="965"/>
      <c r="G4189" s="965"/>
      <c r="H4189" s="965"/>
      <c r="I4189" s="965"/>
      <c r="J4189" s="965"/>
      <c r="K4189" s="965"/>
      <c r="L4189" s="965"/>
      <c r="M4189" s="966"/>
      <c r="N4189" s="433">
        <f>+SUM(N4183:N4188)</f>
        <v>1435.366592628274</v>
      </c>
      <c r="O4189" s="362"/>
    </row>
    <row r="4190" spans="1:15" ht="15.75" customHeight="1">
      <c r="A4190" s="395"/>
      <c r="B4190" s="399"/>
      <c r="C4190" s="1129" t="s">
        <v>1203</v>
      </c>
      <c r="D4190" s="926"/>
      <c r="E4190" s="926"/>
      <c r="F4190" s="926"/>
      <c r="G4190" s="926"/>
      <c r="H4190" s="926"/>
      <c r="I4190" s="926"/>
      <c r="J4190" s="926"/>
      <c r="K4190" s="926"/>
      <c r="L4190" s="926"/>
      <c r="M4190" s="926"/>
      <c r="N4190" s="927"/>
      <c r="O4190" s="362"/>
    </row>
    <row r="4191" spans="1:15" ht="15.75" customHeight="1">
      <c r="A4191" s="395"/>
      <c r="B4191" s="399"/>
      <c r="C4191" s="920"/>
      <c r="D4191" s="922"/>
      <c r="E4191" s="922"/>
      <c r="F4191" s="922"/>
      <c r="G4191" s="922"/>
      <c r="H4191" s="922"/>
      <c r="I4191" s="922"/>
      <c r="J4191" s="922"/>
      <c r="K4191" s="922"/>
      <c r="L4191" s="922"/>
      <c r="M4191" s="922"/>
      <c r="N4191" s="924"/>
      <c r="O4191" s="362"/>
    </row>
    <row r="4192" spans="1:15" ht="15.75" customHeight="1">
      <c r="A4192" s="395"/>
      <c r="B4192" s="399"/>
      <c r="C4192" s="929"/>
      <c r="D4192" s="936"/>
      <c r="E4192" s="936"/>
      <c r="F4192" s="936"/>
      <c r="G4192" s="936"/>
      <c r="H4192" s="936"/>
      <c r="I4192" s="936"/>
      <c r="J4192" s="936"/>
      <c r="K4192" s="936"/>
      <c r="L4192" s="936"/>
      <c r="M4192" s="936"/>
      <c r="N4192" s="938"/>
      <c r="O4192" s="362"/>
    </row>
    <row r="4193" spans="1:15" ht="15.75" customHeight="1">
      <c r="A4193" s="395"/>
      <c r="B4193" s="399"/>
      <c r="C4193" s="1201" t="s">
        <v>17</v>
      </c>
      <c r="D4193" s="1131"/>
      <c r="E4193" s="1131"/>
      <c r="F4193" s="1131"/>
      <c r="G4193" s="1131"/>
      <c r="H4193" s="1131"/>
      <c r="I4193" s="1000"/>
      <c r="J4193" s="672" t="s">
        <v>1192</v>
      </c>
      <c r="K4193" s="670" t="s">
        <v>950</v>
      </c>
      <c r="L4193" s="1204" t="s">
        <v>1204</v>
      </c>
      <c r="M4193" s="1000"/>
      <c r="N4193" s="671" t="s">
        <v>1200</v>
      </c>
      <c r="O4193" s="362"/>
    </row>
    <row r="4194" spans="1:15" ht="15.75" customHeight="1">
      <c r="A4194" s="395" t="str">
        <f t="array" ref="A4194">IF(C4194&lt;&gt;0,INDEX(CodMat,MATCH(C4194,Materiales,0),),)</f>
        <v>MAT_ELE-82</v>
      </c>
      <c r="B4194" s="399"/>
      <c r="C4194" s="1128" t="s">
        <v>2190</v>
      </c>
      <c r="D4194" s="940"/>
      <c r="E4194" s="940"/>
      <c r="F4194" s="940"/>
      <c r="G4194" s="940"/>
      <c r="H4194" s="940"/>
      <c r="I4194" s="941"/>
      <c r="J4194" s="435" t="str">
        <f t="shared" ref="J4194:J4201" si="308">IF($A4194&gt;0,(VLOOKUP($A4194,TablaInsumos,5,FALSE)),"")</f>
        <v>ML</v>
      </c>
      <c r="K4194" s="673">
        <v>9.8699999999999992</v>
      </c>
      <c r="L4194" s="1134">
        <f t="shared" ref="L4194:L4201" si="309">IF($A4194&gt;0,(VLOOKUP($A4194,TablaInsumos,7,FALSE)),"")</f>
        <v>4410</v>
      </c>
      <c r="M4194" s="941"/>
      <c r="N4194" s="430">
        <f t="shared" ref="N4194:N4201" si="310">IF(K4194&gt;0,L4194*K4194,"")</f>
        <v>43526.7</v>
      </c>
      <c r="O4194" s="362"/>
    </row>
    <row r="4195" spans="1:15" ht="15.75" customHeight="1">
      <c r="A4195" s="395" t="str">
        <f t="array" ref="A4195">IF(C4195&lt;&gt;0,INDEX(CodMat,MATCH(C4195,Materiales,0),),)</f>
        <v>MAT_ELE-02</v>
      </c>
      <c r="B4195" s="399"/>
      <c r="C4195" s="1128" t="s">
        <v>2615</v>
      </c>
      <c r="D4195" s="940"/>
      <c r="E4195" s="940"/>
      <c r="F4195" s="940"/>
      <c r="G4195" s="940"/>
      <c r="H4195" s="940"/>
      <c r="I4195" s="941"/>
      <c r="J4195" s="435" t="str">
        <f t="shared" si="308"/>
        <v>UND</v>
      </c>
      <c r="K4195" s="673">
        <v>0.1</v>
      </c>
      <c r="L4195" s="1134">
        <f t="shared" si="309"/>
        <v>4200</v>
      </c>
      <c r="M4195" s="941"/>
      <c r="N4195" s="430">
        <f t="shared" si="310"/>
        <v>420</v>
      </c>
      <c r="O4195" s="362"/>
    </row>
    <row r="4196" spans="1:15" ht="15.75" customHeight="1">
      <c r="A4196" s="395" t="str">
        <f t="array" ref="A4196">IF(C4196&lt;&gt;0,INDEX(CodMat,MATCH(C4196,Materiales,0),),)</f>
        <v>MAT_ELE-101</v>
      </c>
      <c r="B4196" s="399"/>
      <c r="C4196" s="1128" t="s">
        <v>2397</v>
      </c>
      <c r="D4196" s="940"/>
      <c r="E4196" s="940"/>
      <c r="F4196" s="940"/>
      <c r="G4196" s="940"/>
      <c r="H4196" s="940"/>
      <c r="I4196" s="941"/>
      <c r="J4196" s="435" t="str">
        <f t="shared" si="308"/>
        <v>UND</v>
      </c>
      <c r="K4196" s="673">
        <v>1</v>
      </c>
      <c r="L4196" s="1134">
        <f t="shared" si="309"/>
        <v>49900</v>
      </c>
      <c r="M4196" s="941"/>
      <c r="N4196" s="430">
        <f t="shared" si="310"/>
        <v>49900</v>
      </c>
      <c r="O4196" s="362"/>
    </row>
    <row r="4197" spans="1:15" ht="15.75" customHeight="1">
      <c r="A4197" s="395">
        <f t="array" ref="A4197">IF(C4197&lt;&gt;0,INDEX(CodMat,MATCH(C4197,Materiales,0),),)</f>
        <v>0</v>
      </c>
      <c r="B4197" s="399"/>
      <c r="C4197" s="1128"/>
      <c r="D4197" s="940"/>
      <c r="E4197" s="940"/>
      <c r="F4197" s="940"/>
      <c r="G4197" s="940"/>
      <c r="H4197" s="940"/>
      <c r="I4197" s="941"/>
      <c r="J4197" s="435" t="str">
        <f t="shared" si="308"/>
        <v/>
      </c>
      <c r="K4197" s="673"/>
      <c r="L4197" s="1134" t="str">
        <f t="shared" si="309"/>
        <v/>
      </c>
      <c r="M4197" s="941"/>
      <c r="N4197" s="430" t="str">
        <f t="shared" si="310"/>
        <v/>
      </c>
      <c r="O4197" s="362"/>
    </row>
    <row r="4198" spans="1:15" ht="15.75" customHeight="1">
      <c r="A4198" s="395">
        <f t="array" ref="A4198">IF(C4198&lt;&gt;0,INDEX(CodMat,MATCH(C4198,Materiales,0),),)</f>
        <v>0</v>
      </c>
      <c r="B4198" s="399"/>
      <c r="C4198" s="1128"/>
      <c r="D4198" s="940"/>
      <c r="E4198" s="940"/>
      <c r="F4198" s="940"/>
      <c r="G4198" s="940"/>
      <c r="H4198" s="940"/>
      <c r="I4198" s="941"/>
      <c r="J4198" s="435" t="str">
        <f t="shared" si="308"/>
        <v/>
      </c>
      <c r="K4198" s="436"/>
      <c r="L4198" s="1134" t="str">
        <f t="shared" si="309"/>
        <v/>
      </c>
      <c r="M4198" s="941"/>
      <c r="N4198" s="430" t="str">
        <f t="shared" si="310"/>
        <v/>
      </c>
      <c r="O4198" s="362"/>
    </row>
    <row r="4199" spans="1:15" ht="15.75" customHeight="1">
      <c r="A4199" s="395">
        <f t="array" ref="A4199">IF(C4199&lt;&gt;0,INDEX(CodMat,MATCH(C4199,Materiales,0),),)</f>
        <v>0</v>
      </c>
      <c r="B4199" s="399"/>
      <c r="C4199" s="1128"/>
      <c r="D4199" s="940"/>
      <c r="E4199" s="940"/>
      <c r="F4199" s="940"/>
      <c r="G4199" s="940"/>
      <c r="H4199" s="940"/>
      <c r="I4199" s="941"/>
      <c r="J4199" s="435" t="str">
        <f t="shared" si="308"/>
        <v/>
      </c>
      <c r="K4199" s="436"/>
      <c r="L4199" s="1134" t="str">
        <f t="shared" si="309"/>
        <v/>
      </c>
      <c r="M4199" s="941"/>
      <c r="N4199" s="430" t="str">
        <f t="shared" si="310"/>
        <v/>
      </c>
      <c r="O4199" s="362"/>
    </row>
    <row r="4200" spans="1:15" ht="15.75" customHeight="1">
      <c r="A4200" s="395">
        <f t="array" ref="A4200">IF(C4200&lt;&gt;0,INDEX(CodMat,MATCH(C4200,Materiales,0),),)</f>
        <v>0</v>
      </c>
      <c r="B4200" s="399"/>
      <c r="C4200" s="1128"/>
      <c r="D4200" s="940"/>
      <c r="E4200" s="940"/>
      <c r="F4200" s="940"/>
      <c r="G4200" s="940"/>
      <c r="H4200" s="940"/>
      <c r="I4200" s="941"/>
      <c r="J4200" s="435" t="str">
        <f t="shared" si="308"/>
        <v/>
      </c>
      <c r="K4200" s="436"/>
      <c r="L4200" s="1134" t="str">
        <f t="shared" si="309"/>
        <v/>
      </c>
      <c r="M4200" s="941"/>
      <c r="N4200" s="430" t="str">
        <f t="shared" si="310"/>
        <v/>
      </c>
      <c r="O4200" s="362"/>
    </row>
    <row r="4201" spans="1:15" ht="15.75" customHeight="1">
      <c r="A4201" s="395">
        <f t="array" ref="A4201">IF(C4201&lt;&gt;0,INDEX(CodMat,MATCH(C4201,Materiales,0),),)</f>
        <v>0</v>
      </c>
      <c r="B4201" s="399"/>
      <c r="C4201" s="1128"/>
      <c r="D4201" s="940"/>
      <c r="E4201" s="940"/>
      <c r="F4201" s="940"/>
      <c r="G4201" s="940"/>
      <c r="H4201" s="940"/>
      <c r="I4201" s="941"/>
      <c r="J4201" s="435" t="str">
        <f t="shared" si="308"/>
        <v/>
      </c>
      <c r="K4201" s="436"/>
      <c r="L4201" s="1205" t="str">
        <f t="shared" si="309"/>
        <v/>
      </c>
      <c r="M4201" s="1145"/>
      <c r="N4201" s="430" t="str">
        <f t="shared" si="310"/>
        <v/>
      </c>
      <c r="O4201" s="362"/>
    </row>
    <row r="4202" spans="1:15" ht="15.75" customHeight="1">
      <c r="A4202" s="395"/>
      <c r="B4202" s="399"/>
      <c r="C4202" s="1127" t="s">
        <v>1202</v>
      </c>
      <c r="D4202" s="965"/>
      <c r="E4202" s="965"/>
      <c r="F4202" s="965"/>
      <c r="G4202" s="965"/>
      <c r="H4202" s="965"/>
      <c r="I4202" s="965"/>
      <c r="J4202" s="965"/>
      <c r="K4202" s="965"/>
      <c r="L4202" s="965"/>
      <c r="M4202" s="966"/>
      <c r="N4202" s="433">
        <f>+SUM(N4194:N4201)</f>
        <v>93846.7</v>
      </c>
      <c r="O4202" s="362"/>
    </row>
    <row r="4203" spans="1:15" ht="15.75" customHeight="1">
      <c r="A4203" s="395"/>
      <c r="B4203" s="399"/>
      <c r="C4203" s="1129" t="s">
        <v>1208</v>
      </c>
      <c r="D4203" s="926"/>
      <c r="E4203" s="926"/>
      <c r="F4203" s="926"/>
      <c r="G4203" s="926"/>
      <c r="H4203" s="926"/>
      <c r="I4203" s="926"/>
      <c r="J4203" s="926"/>
      <c r="K4203" s="926"/>
      <c r="L4203" s="926"/>
      <c r="M4203" s="926"/>
      <c r="N4203" s="927"/>
      <c r="O4203" s="362"/>
    </row>
    <row r="4204" spans="1:15" ht="15.75" customHeight="1">
      <c r="A4204" s="395"/>
      <c r="B4204" s="399"/>
      <c r="C4204" s="920"/>
      <c r="D4204" s="922"/>
      <c r="E4204" s="922"/>
      <c r="F4204" s="922"/>
      <c r="G4204" s="922"/>
      <c r="H4204" s="922"/>
      <c r="I4204" s="922"/>
      <c r="J4204" s="922"/>
      <c r="K4204" s="922"/>
      <c r="L4204" s="922"/>
      <c r="M4204" s="922"/>
      <c r="N4204" s="924"/>
      <c r="O4204" s="362"/>
    </row>
    <row r="4205" spans="1:15" ht="15.75" customHeight="1">
      <c r="A4205" s="395"/>
      <c r="B4205" s="399"/>
      <c r="C4205" s="929"/>
      <c r="D4205" s="936"/>
      <c r="E4205" s="936"/>
      <c r="F4205" s="936"/>
      <c r="G4205" s="936"/>
      <c r="H4205" s="936"/>
      <c r="I4205" s="936"/>
      <c r="J4205" s="936"/>
      <c r="K4205" s="936"/>
      <c r="L4205" s="936"/>
      <c r="M4205" s="936"/>
      <c r="N4205" s="938"/>
      <c r="O4205" s="362"/>
    </row>
    <row r="4206" spans="1:15" ht="15.75" customHeight="1">
      <c r="A4206" s="395"/>
      <c r="B4206" s="399"/>
      <c r="C4206" s="1201" t="s">
        <v>1209</v>
      </c>
      <c r="D4206" s="1131"/>
      <c r="E4206" s="1131"/>
      <c r="F4206" s="1131"/>
      <c r="G4206" s="1131"/>
      <c r="H4206" s="1000"/>
      <c r="I4206" s="670" t="s">
        <v>1210</v>
      </c>
      <c r="J4206" s="674" t="s">
        <v>1211</v>
      </c>
      <c r="K4206" s="675" t="s">
        <v>2318</v>
      </c>
      <c r="L4206" s="1204" t="s">
        <v>1213</v>
      </c>
      <c r="M4206" s="1000"/>
      <c r="N4206" s="671" t="s">
        <v>1200</v>
      </c>
      <c r="O4206" s="362"/>
    </row>
    <row r="4207" spans="1:15" ht="15.75" customHeight="1">
      <c r="A4207" s="395">
        <f t="array" ref="A4207">IF(C4207&lt;&gt;0,INDEX(CodTransporte,MATCH(C4207,Transporte,0),),)</f>
        <v>0</v>
      </c>
      <c r="B4207" s="399"/>
      <c r="C4207" s="1128"/>
      <c r="D4207" s="940"/>
      <c r="E4207" s="940"/>
      <c r="F4207" s="940"/>
      <c r="G4207" s="940"/>
      <c r="H4207" s="940"/>
      <c r="I4207" s="440"/>
      <c r="J4207" s="441" t="str">
        <f>IF($A4207&gt;0,(VLOOKUP($A4207,TablaTransporte,6,FALSE)),"")</f>
        <v/>
      </c>
      <c r="K4207" s="442" t="str">
        <f>IF($A4207&gt;0,(VLOOKUP($A4207,TablaTransporte,5,FALSE)),"")</f>
        <v/>
      </c>
      <c r="L4207" s="1134" t="str">
        <f>IF($A4207&gt;0,(VLOOKUP($A4207,TablaTransporte,7,FALSE)),"")</f>
        <v/>
      </c>
      <c r="M4207" s="941"/>
      <c r="N4207" s="430" t="str">
        <f t="shared" ref="N4207:N4211" si="311">IF(I4207&gt;0,J4207*L4207*I4207,"")</f>
        <v/>
      </c>
      <c r="O4207" s="362"/>
    </row>
    <row r="4208" spans="1:15" ht="15.75" customHeight="1">
      <c r="A4208" s="395">
        <f t="array" ref="A4208">IF(C4208&lt;&gt;0,INDEX(CodTransporte,MATCH(C4208,Transporte,0),),)</f>
        <v>0</v>
      </c>
      <c r="B4208" s="399"/>
      <c r="C4208" s="1128"/>
      <c r="D4208" s="940"/>
      <c r="E4208" s="940"/>
      <c r="F4208" s="940"/>
      <c r="G4208" s="940"/>
      <c r="H4208" s="940"/>
      <c r="I4208" s="440"/>
      <c r="J4208" s="441" t="str">
        <f>IF($A4208&gt;0,(VLOOKUP($A4208,TablaTransporte,6,FALSE)),"")</f>
        <v/>
      </c>
      <c r="K4208" s="442" t="str">
        <f>IF($A4208&gt;0,(VLOOKUP($A4208,TablaTransporte,5,FALSE)),"")</f>
        <v/>
      </c>
      <c r="L4208" s="1134" t="str">
        <f>IF($A4208&gt;0,(VLOOKUP($A4208,TablaTransporte,7,FALSE)),"")</f>
        <v/>
      </c>
      <c r="M4208" s="941"/>
      <c r="N4208" s="430" t="str">
        <f t="shared" si="311"/>
        <v/>
      </c>
      <c r="O4208" s="362"/>
    </row>
    <row r="4209" spans="1:18" ht="15.75" customHeight="1">
      <c r="A4209" s="395">
        <f t="array" ref="A4209">IF(C4209&lt;&gt;0,INDEX(CodTransporte,MATCH(C4209,Transporte,0),),)</f>
        <v>0</v>
      </c>
      <c r="B4209" s="399"/>
      <c r="C4209" s="1128"/>
      <c r="D4209" s="940"/>
      <c r="E4209" s="940"/>
      <c r="F4209" s="940"/>
      <c r="G4209" s="940"/>
      <c r="H4209" s="940"/>
      <c r="I4209" s="440"/>
      <c r="J4209" s="441" t="str">
        <f>IF($A4209&gt;0,(VLOOKUP($A4209,TablaTransporte,6,FALSE)),"")</f>
        <v/>
      </c>
      <c r="K4209" s="442" t="str">
        <f>IF($A4209&gt;0,(VLOOKUP($A4209,TablaTransporte,5,FALSE)),"")</f>
        <v/>
      </c>
      <c r="L4209" s="1134" t="str">
        <f>IF($A4209&gt;0,(VLOOKUP($A4209,TablaTransporte,7,FALSE)),"")</f>
        <v/>
      </c>
      <c r="M4209" s="941"/>
      <c r="N4209" s="430" t="str">
        <f t="shared" si="311"/>
        <v/>
      </c>
      <c r="O4209" s="362"/>
    </row>
    <row r="4210" spans="1:18" ht="15.75" customHeight="1">
      <c r="A4210" s="395">
        <f t="array" ref="A4210">IF(C4210&lt;&gt;0,INDEX(CodTransporte,MATCH(C4210,Transporte,0),),)</f>
        <v>0</v>
      </c>
      <c r="B4210" s="399"/>
      <c r="C4210" s="1128"/>
      <c r="D4210" s="940"/>
      <c r="E4210" s="940"/>
      <c r="F4210" s="940"/>
      <c r="G4210" s="940"/>
      <c r="H4210" s="940"/>
      <c r="I4210" s="440"/>
      <c r="J4210" s="441" t="str">
        <f>IF($A4210&gt;0,(VLOOKUP($A4210,TablaTransporte,6,FALSE)),"")</f>
        <v/>
      </c>
      <c r="K4210" s="442" t="str">
        <f>IF($A4210&gt;0,(VLOOKUP($A4210,TablaTransporte,5,FALSE)),"")</f>
        <v/>
      </c>
      <c r="L4210" s="1134" t="str">
        <f>IF($A4210&gt;0,(VLOOKUP($A4210,TablaTransporte,7,FALSE)),"")</f>
        <v/>
      </c>
      <c r="M4210" s="941"/>
      <c r="N4210" s="430" t="str">
        <f t="shared" si="311"/>
        <v/>
      </c>
      <c r="O4210" s="362"/>
    </row>
    <row r="4211" spans="1:18" ht="15.75" customHeight="1">
      <c r="A4211" s="395">
        <f t="array" ref="A4211">IF(C4211&lt;&gt;0,INDEX(CodTransporte,MATCH(C4211,Transporte,0),),)</f>
        <v>0</v>
      </c>
      <c r="B4211" s="399"/>
      <c r="C4211" s="1128"/>
      <c r="D4211" s="940"/>
      <c r="E4211" s="940"/>
      <c r="F4211" s="940"/>
      <c r="G4211" s="940"/>
      <c r="H4211" s="940"/>
      <c r="I4211" s="440"/>
      <c r="J4211" s="441" t="str">
        <f>IF($A4211&gt;0,(VLOOKUP($A4211,TablaTransporte,6,FALSE)),"")</f>
        <v/>
      </c>
      <c r="K4211" s="442" t="str">
        <f>IF($A4211&gt;0,(VLOOKUP($A4211,TablaTransporte,5,FALSE)),"")</f>
        <v/>
      </c>
      <c r="L4211" s="1205" t="str">
        <f>IF($A4211&gt;0,(VLOOKUP($A4211,TablaTransporte,7,FALSE)),"")</f>
        <v/>
      </c>
      <c r="M4211" s="1145"/>
      <c r="N4211" s="430" t="str">
        <f t="shared" si="311"/>
        <v/>
      </c>
      <c r="O4211" s="362"/>
    </row>
    <row r="4212" spans="1:18" ht="15.75" customHeight="1">
      <c r="A4212" s="395"/>
      <c r="B4212" s="399"/>
      <c r="C4212" s="1127" t="s">
        <v>1202</v>
      </c>
      <c r="D4212" s="965"/>
      <c r="E4212" s="965"/>
      <c r="F4212" s="965"/>
      <c r="G4212" s="965"/>
      <c r="H4212" s="965"/>
      <c r="I4212" s="965"/>
      <c r="J4212" s="965"/>
      <c r="K4212" s="965"/>
      <c r="L4212" s="965"/>
      <c r="M4212" s="966"/>
      <c r="N4212" s="433">
        <f>+SUM(N4207:N4211)</f>
        <v>0</v>
      </c>
      <c r="O4212" s="362"/>
    </row>
    <row r="4213" spans="1:18" ht="15.75" customHeight="1">
      <c r="A4213" s="395"/>
      <c r="B4213" s="399"/>
      <c r="C4213" s="1129" t="s">
        <v>1214</v>
      </c>
      <c r="D4213" s="926"/>
      <c r="E4213" s="926"/>
      <c r="F4213" s="926"/>
      <c r="G4213" s="926"/>
      <c r="H4213" s="926"/>
      <c r="I4213" s="926"/>
      <c r="J4213" s="926"/>
      <c r="K4213" s="926"/>
      <c r="L4213" s="926"/>
      <c r="M4213" s="926"/>
      <c r="N4213" s="927"/>
      <c r="O4213" s="362"/>
    </row>
    <row r="4214" spans="1:18" ht="15.75" customHeight="1">
      <c r="A4214" s="395"/>
      <c r="B4214" s="399"/>
      <c r="C4214" s="920"/>
      <c r="D4214" s="922"/>
      <c r="E4214" s="922"/>
      <c r="F4214" s="922"/>
      <c r="G4214" s="922"/>
      <c r="H4214" s="922"/>
      <c r="I4214" s="922"/>
      <c r="J4214" s="922"/>
      <c r="K4214" s="922"/>
      <c r="L4214" s="922"/>
      <c r="M4214" s="922"/>
      <c r="N4214" s="924"/>
      <c r="O4214" s="362"/>
    </row>
    <row r="4215" spans="1:18" ht="15.75" customHeight="1">
      <c r="A4215" s="395"/>
      <c r="B4215" s="399"/>
      <c r="C4215" s="929"/>
      <c r="D4215" s="936"/>
      <c r="E4215" s="936"/>
      <c r="F4215" s="936"/>
      <c r="G4215" s="936"/>
      <c r="H4215" s="936"/>
      <c r="I4215" s="936"/>
      <c r="J4215" s="936"/>
      <c r="K4215" s="936"/>
      <c r="L4215" s="936"/>
      <c r="M4215" s="936"/>
      <c r="N4215" s="938"/>
      <c r="O4215" s="362"/>
    </row>
    <row r="4216" spans="1:18" ht="15.75" customHeight="1">
      <c r="A4216" s="395"/>
      <c r="B4216" s="399"/>
      <c r="C4216" s="1201" t="s">
        <v>1215</v>
      </c>
      <c r="D4216" s="1131"/>
      <c r="E4216" s="1131"/>
      <c r="F4216" s="1131"/>
      <c r="G4216" s="1131"/>
      <c r="H4216" s="1000"/>
      <c r="I4216" s="670" t="s">
        <v>1216</v>
      </c>
      <c r="J4216" s="676" t="s">
        <v>1217</v>
      </c>
      <c r="K4216" s="677" t="s">
        <v>1218</v>
      </c>
      <c r="L4216" s="1206" t="s">
        <v>1199</v>
      </c>
      <c r="M4216" s="1000"/>
      <c r="N4216" s="678" t="s">
        <v>1200</v>
      </c>
      <c r="O4216" s="362"/>
    </row>
    <row r="4217" spans="1:18" ht="15.75" customHeight="1">
      <c r="A4217" s="395" t="str">
        <f t="array" ref="A4217">IF(C4217&lt;&gt;0,INDEX(CodMO,MATCH(C4217,MO,0),),)</f>
        <v>M.O-15</v>
      </c>
      <c r="B4217" s="399"/>
      <c r="C4217" s="1128" t="s">
        <v>2607</v>
      </c>
      <c r="D4217" s="940"/>
      <c r="E4217" s="940"/>
      <c r="F4217" s="940"/>
      <c r="G4217" s="940"/>
      <c r="H4217" s="940"/>
      <c r="I4217" s="447">
        <f>IF($A4217&gt;0,(VLOOKUP($A4217,TablaMO,8,FALSE)),"")</f>
        <v>366787.33333333331</v>
      </c>
      <c r="J4217" s="448">
        <f>IF($A4217&gt;0,(VLOOKUP($A4217,TablaMO,10,FALSE)),"")</f>
        <v>0.67071666666666663</v>
      </c>
      <c r="K4217" s="447">
        <f>IF($A4217&gt;0,(VLOOKUP($A4217,TablaMO,11,FALSE)),"")</f>
        <v>367679</v>
      </c>
      <c r="L4217" s="1146">
        <v>12.807843023807235</v>
      </c>
      <c r="M4217" s="941"/>
      <c r="N4217" s="430">
        <f t="shared" ref="N4217:N4221" si="312">IF(L4217&gt;0,K4217/L4217,"")</f>
        <v>28707.331852565479</v>
      </c>
      <c r="O4217" s="362"/>
    </row>
    <row r="4218" spans="1:18" ht="15.75" customHeight="1">
      <c r="A4218" s="395">
        <f t="array" ref="A4218">IF(C4218&lt;&gt;0,INDEX(CodMO,MATCH(C4218,MO,0),),)</f>
        <v>0</v>
      </c>
      <c r="B4218" s="399"/>
      <c r="C4218" s="1128"/>
      <c r="D4218" s="940"/>
      <c r="E4218" s="940"/>
      <c r="F4218" s="940"/>
      <c r="G4218" s="940"/>
      <c r="H4218" s="940"/>
      <c r="I4218" s="447" t="str">
        <f>IF($A4218&gt;0,(VLOOKUP($A4218,TablaMO,8,FALSE)),"")</f>
        <v/>
      </c>
      <c r="J4218" s="448" t="str">
        <f>IF($A4218&gt;0,(VLOOKUP($A4218,TablaMO,10,FALSE)),"")</f>
        <v/>
      </c>
      <c r="K4218" s="447" t="str">
        <f>IF($A4218&gt;0,(VLOOKUP($A4218,TablaMO,11,FALSE)),"")</f>
        <v/>
      </c>
      <c r="L4218" s="1146"/>
      <c r="M4218" s="941"/>
      <c r="N4218" s="430" t="str">
        <f t="shared" si="312"/>
        <v/>
      </c>
      <c r="O4218" s="362"/>
    </row>
    <row r="4219" spans="1:18" ht="15.75" customHeight="1">
      <c r="A4219" s="395">
        <f t="array" ref="A4219">IF(C4219&lt;&gt;0,INDEX(CodMO,MATCH(C4219,MO,0),),)</f>
        <v>0</v>
      </c>
      <c r="B4219" s="399"/>
      <c r="C4219" s="1128"/>
      <c r="D4219" s="940"/>
      <c r="E4219" s="940"/>
      <c r="F4219" s="940"/>
      <c r="G4219" s="940"/>
      <c r="H4219" s="940"/>
      <c r="I4219" s="447" t="str">
        <f>IF($A4219&gt;0,(VLOOKUP($A4219,TablaMO,8,FALSE)),"")</f>
        <v/>
      </c>
      <c r="J4219" s="448" t="str">
        <f>IF($A4219&gt;0,(VLOOKUP($A4219,TablaMO,10,FALSE)),"")</f>
        <v/>
      </c>
      <c r="K4219" s="447" t="str">
        <f>IF($A4219&gt;0,(VLOOKUP($A4219,TablaMO,11,FALSE)),"")</f>
        <v/>
      </c>
      <c r="L4219" s="1146"/>
      <c r="M4219" s="941"/>
      <c r="N4219" s="430" t="str">
        <f t="shared" si="312"/>
        <v/>
      </c>
      <c r="O4219" s="362"/>
    </row>
    <row r="4220" spans="1:18" ht="15.75" customHeight="1">
      <c r="A4220" s="395">
        <f t="array" ref="A4220">IF(C4220&lt;&gt;0,INDEX(CodMO,MATCH(C4220,MO,0),),)</f>
        <v>0</v>
      </c>
      <c r="B4220" s="399"/>
      <c r="C4220" s="1128"/>
      <c r="D4220" s="940"/>
      <c r="E4220" s="940"/>
      <c r="F4220" s="940"/>
      <c r="G4220" s="940"/>
      <c r="H4220" s="940"/>
      <c r="I4220" s="447" t="str">
        <f>IF($A4220&gt;0,(VLOOKUP($A4220,TablaMO,8,FALSE)),"")</f>
        <v/>
      </c>
      <c r="J4220" s="448" t="str">
        <f>IF($A4220&gt;0,(VLOOKUP($A4220,TablaMO,10,FALSE)),"")</f>
        <v/>
      </c>
      <c r="K4220" s="447" t="str">
        <f>IF($A4220&gt;0,(VLOOKUP($A4220,TablaMO,11,FALSE)),"")</f>
        <v/>
      </c>
      <c r="L4220" s="1146"/>
      <c r="M4220" s="941"/>
      <c r="N4220" s="430" t="str">
        <f t="shared" si="312"/>
        <v/>
      </c>
      <c r="O4220" s="362"/>
    </row>
    <row r="4221" spans="1:18" ht="15.75" customHeight="1">
      <c r="A4221" s="395">
        <f t="array" ref="A4221">IF(C4221&lt;&gt;0,INDEX(CodMO,MATCH(C4221,MO,0),),)</f>
        <v>0</v>
      </c>
      <c r="B4221" s="399"/>
      <c r="C4221" s="1128"/>
      <c r="D4221" s="940"/>
      <c r="E4221" s="940"/>
      <c r="F4221" s="940"/>
      <c r="G4221" s="940"/>
      <c r="H4221" s="940"/>
      <c r="I4221" s="447" t="str">
        <f>IF($A4221&gt;0,(VLOOKUP($A4221,TablaMO,8,FALSE)),"")</f>
        <v/>
      </c>
      <c r="J4221" s="448" t="str">
        <f>IF($A4221&gt;0,(VLOOKUP($A4221,TablaMO,10,FALSE)),"")</f>
        <v/>
      </c>
      <c r="K4221" s="447" t="str">
        <f>IF($A4221&gt;0,(VLOOKUP($A4221,TablaMO,11,FALSE)),"")</f>
        <v/>
      </c>
      <c r="L4221" s="1146"/>
      <c r="M4221" s="941"/>
      <c r="N4221" s="430" t="str">
        <f t="shared" si="312"/>
        <v/>
      </c>
      <c r="O4221" s="362"/>
    </row>
    <row r="4222" spans="1:18" ht="15.75" customHeight="1">
      <c r="A4222" s="395"/>
      <c r="B4222" s="399"/>
      <c r="C4222" s="1127" t="s">
        <v>1202</v>
      </c>
      <c r="D4222" s="965"/>
      <c r="E4222" s="965"/>
      <c r="F4222" s="965"/>
      <c r="G4222" s="965"/>
      <c r="H4222" s="965"/>
      <c r="I4222" s="965"/>
      <c r="J4222" s="965"/>
      <c r="K4222" s="965"/>
      <c r="L4222" s="965"/>
      <c r="M4222" s="966"/>
      <c r="N4222" s="433">
        <f>+SUM(N4217:N4221)</f>
        <v>28707.331852565479</v>
      </c>
      <c r="O4222" s="362"/>
    </row>
    <row r="4223" spans="1:18" ht="15.75" customHeight="1">
      <c r="B4223" s="679"/>
      <c r="O4223" s="362"/>
    </row>
    <row r="4224" spans="1:18" ht="15.75" customHeight="1">
      <c r="B4224" s="679"/>
      <c r="C4224" s="1198" t="s">
        <v>1219</v>
      </c>
      <c r="D4224" s="965"/>
      <c r="E4224" s="965"/>
      <c r="F4224" s="965"/>
      <c r="G4224" s="965"/>
      <c r="H4224" s="965"/>
      <c r="I4224" s="965"/>
      <c r="J4224" s="965"/>
      <c r="K4224" s="965"/>
      <c r="L4224" s="965"/>
      <c r="M4224" s="966"/>
      <c r="N4224" s="680">
        <f>ROUND(SUM(N4222,N4212,N4202,N4189),0)</f>
        <v>123989</v>
      </c>
      <c r="O4224" s="362"/>
      <c r="Q4224" s="681">
        <f>VLOOKUP(C4178,PROPUESTASASERCO,8,FALSE)</f>
        <v>123989</v>
      </c>
      <c r="R4224" s="682">
        <f>Q4224-N4224</f>
        <v>0</v>
      </c>
    </row>
    <row r="4225" spans="2:15" ht="15.75" customHeight="1">
      <c r="B4225" s="679"/>
      <c r="C4225" s="1129" t="s">
        <v>1220</v>
      </c>
      <c r="D4225" s="926"/>
      <c r="E4225" s="926"/>
      <c r="F4225" s="926"/>
      <c r="G4225" s="926"/>
      <c r="H4225" s="926"/>
      <c r="I4225" s="926"/>
      <c r="J4225" s="926"/>
      <c r="K4225" s="926"/>
      <c r="L4225" s="926"/>
      <c r="M4225" s="926"/>
      <c r="N4225" s="927"/>
      <c r="O4225" s="362"/>
    </row>
    <row r="4226" spans="2:15" ht="15.75" customHeight="1">
      <c r="B4226" s="679"/>
      <c r="C4226" s="920"/>
      <c r="D4226" s="922"/>
      <c r="E4226" s="922"/>
      <c r="F4226" s="922"/>
      <c r="G4226" s="922"/>
      <c r="H4226" s="922"/>
      <c r="I4226" s="922"/>
      <c r="J4226" s="922"/>
      <c r="K4226" s="922"/>
      <c r="L4226" s="922"/>
      <c r="M4226" s="922"/>
      <c r="N4226" s="924"/>
      <c r="O4226" s="362"/>
    </row>
    <row r="4227" spans="2:15" ht="15.75" customHeight="1">
      <c r="B4227" s="679"/>
      <c r="C4227" s="929"/>
      <c r="D4227" s="936"/>
      <c r="E4227" s="936"/>
      <c r="F4227" s="936"/>
      <c r="G4227" s="936"/>
      <c r="H4227" s="936"/>
      <c r="I4227" s="936"/>
      <c r="J4227" s="936"/>
      <c r="K4227" s="936"/>
      <c r="L4227" s="936"/>
      <c r="M4227" s="936"/>
      <c r="N4227" s="938"/>
      <c r="O4227" s="362"/>
    </row>
    <row r="4228" spans="2:15" ht="15.75" customHeight="1">
      <c r="B4228" s="679"/>
      <c r="C4228" s="1201" t="s">
        <v>1221</v>
      </c>
      <c r="D4228" s="1131"/>
      <c r="E4228" s="1131"/>
      <c r="F4228" s="1131"/>
      <c r="G4228" s="1131"/>
      <c r="H4228" s="1132"/>
      <c r="I4228" s="674"/>
      <c r="J4228" s="674"/>
      <c r="K4228" s="674"/>
      <c r="L4228" s="1206" t="s">
        <v>1222</v>
      </c>
      <c r="M4228" s="1000"/>
      <c r="N4228" s="678" t="s">
        <v>1223</v>
      </c>
      <c r="O4228" s="362"/>
    </row>
    <row r="4229" spans="2:15" ht="15.75" customHeight="1">
      <c r="B4229" s="679"/>
      <c r="C4229" s="1128" t="s">
        <v>19</v>
      </c>
      <c r="D4229" s="940"/>
      <c r="E4229" s="940"/>
      <c r="F4229" s="940"/>
      <c r="G4229" s="940"/>
      <c r="H4229" s="940"/>
      <c r="I4229" s="452"/>
      <c r="J4229" s="452"/>
      <c r="K4229" s="452"/>
      <c r="L4229" s="1148">
        <f>+Datos!$E$18</f>
        <v>0.25</v>
      </c>
      <c r="M4229" s="941"/>
      <c r="N4229" s="430">
        <f>+L4229*N4224</f>
        <v>30997.25</v>
      </c>
      <c r="O4229" s="362"/>
    </row>
    <row r="4230" spans="2:15" ht="15.75" customHeight="1">
      <c r="B4230" s="679"/>
      <c r="C4230" s="454" t="s">
        <v>20</v>
      </c>
      <c r="D4230" s="455"/>
      <c r="E4230" s="455"/>
      <c r="F4230" s="455"/>
      <c r="G4230" s="455"/>
      <c r="H4230" s="455"/>
      <c r="I4230" s="452"/>
      <c r="J4230" s="452"/>
      <c r="K4230" s="452"/>
      <c r="L4230" s="1148">
        <f>+Datos!$E$19</f>
        <v>0.01</v>
      </c>
      <c r="M4230" s="941"/>
      <c r="N4230" s="430">
        <f>+L4230*N4224</f>
        <v>1239.8900000000001</v>
      </c>
      <c r="O4230" s="362"/>
    </row>
    <row r="4231" spans="2:15" ht="15.75" customHeight="1">
      <c r="B4231" s="679"/>
      <c r="C4231" s="456" t="s">
        <v>21</v>
      </c>
      <c r="D4231" s="457"/>
      <c r="E4231" s="457"/>
      <c r="F4231" s="457"/>
      <c r="G4231" s="457"/>
      <c r="H4231" s="457"/>
      <c r="I4231" s="458"/>
      <c r="J4231" s="458"/>
      <c r="K4231" s="458"/>
      <c r="L4231" s="1148">
        <f>+Datos!$E$20</f>
        <v>0.05</v>
      </c>
      <c r="M4231" s="941"/>
      <c r="N4231" s="430">
        <f>+L4231*N4224</f>
        <v>6199.4500000000007</v>
      </c>
      <c r="O4231" s="362"/>
    </row>
    <row r="4232" spans="2:15" ht="15.75" customHeight="1">
      <c r="B4232" s="679"/>
      <c r="C4232" s="1127" t="s">
        <v>1202</v>
      </c>
      <c r="D4232" s="965"/>
      <c r="E4232" s="965"/>
      <c r="F4232" s="965"/>
      <c r="G4232" s="965"/>
      <c r="H4232" s="965"/>
      <c r="I4232" s="965"/>
      <c r="J4232" s="965"/>
      <c r="K4232" s="965"/>
      <c r="L4232" s="965"/>
      <c r="M4232" s="966"/>
      <c r="N4232" s="433">
        <f>+SUM(N4229:N4231)</f>
        <v>38436.589999999997</v>
      </c>
      <c r="O4232" s="362"/>
    </row>
    <row r="4233" spans="2:15" ht="15.75" customHeight="1">
      <c r="B4233" s="679"/>
      <c r="C4233" s="418"/>
      <c r="D4233" s="39"/>
      <c r="E4233" s="39"/>
      <c r="F4233" s="39"/>
      <c r="G4233" s="39"/>
      <c r="H4233" s="39"/>
      <c r="I4233" s="39"/>
      <c r="J4233" s="39"/>
      <c r="K4233" s="39"/>
      <c r="L4233" s="39"/>
      <c r="M4233" s="39"/>
      <c r="N4233" s="40"/>
      <c r="O4233" s="362"/>
    </row>
    <row r="4234" spans="2:15" ht="15.75" customHeight="1">
      <c r="B4234" s="679"/>
      <c r="C4234" s="1198" t="s">
        <v>1224</v>
      </c>
      <c r="D4234" s="965"/>
      <c r="E4234" s="965"/>
      <c r="F4234" s="965"/>
      <c r="G4234" s="965"/>
      <c r="H4234" s="965"/>
      <c r="I4234" s="965"/>
      <c r="J4234" s="965"/>
      <c r="K4234" s="965"/>
      <c r="L4234" s="965"/>
      <c r="M4234" s="966"/>
      <c r="N4234" s="683">
        <f>+ROUND(SUM(N4232,N4224),0)</f>
        <v>162426</v>
      </c>
      <c r="O4234" s="362"/>
    </row>
    <row r="4235" spans="2:15" ht="15.75" customHeight="1">
      <c r="B4235" s="679"/>
      <c r="C4235" s="418"/>
      <c r="D4235" s="39" t="s">
        <v>1225</v>
      </c>
      <c r="E4235" s="39"/>
      <c r="F4235" s="39"/>
      <c r="G4235" s="184"/>
      <c r="H4235" s="184"/>
      <c r="I4235" s="184"/>
      <c r="J4235" s="39" t="s">
        <v>1225</v>
      </c>
      <c r="K4235" s="39"/>
      <c r="L4235" s="39"/>
      <c r="M4235" s="39"/>
      <c r="N4235" s="40"/>
      <c r="O4235" s="362"/>
    </row>
    <row r="4236" spans="2:15" ht="15.75" customHeight="1">
      <c r="B4236" s="679"/>
      <c r="C4236" s="418"/>
      <c r="D4236" s="39" t="s">
        <v>1226</v>
      </c>
      <c r="E4236" s="39"/>
      <c r="F4236" s="39"/>
      <c r="G4236" s="184"/>
      <c r="H4236" s="184"/>
      <c r="I4236" s="184"/>
      <c r="J4236" s="39" t="s">
        <v>1227</v>
      </c>
      <c r="K4236" s="39"/>
      <c r="L4236" s="39"/>
      <c r="M4236" s="39"/>
      <c r="N4236" s="40"/>
      <c r="O4236" s="362"/>
    </row>
    <row r="4237" spans="2:15" ht="15.75" customHeight="1">
      <c r="B4237" s="679"/>
      <c r="C4237" s="404"/>
      <c r="D4237" s="39" t="s">
        <v>1228</v>
      </c>
      <c r="E4237" s="42"/>
      <c r="F4237" s="42"/>
      <c r="G4237" s="184"/>
      <c r="H4237" s="184"/>
      <c r="I4237" s="184"/>
      <c r="J4237" s="39" t="s">
        <v>1228</v>
      </c>
      <c r="K4237" s="42"/>
      <c r="L4237" s="42"/>
      <c r="M4237" s="42"/>
      <c r="N4237" s="43"/>
      <c r="O4237" s="362"/>
    </row>
    <row r="4238" spans="2:15" ht="15.75" customHeight="1">
      <c r="B4238" s="679"/>
      <c r="C4238" s="418"/>
      <c r="D4238" s="39"/>
      <c r="E4238" s="39"/>
      <c r="F4238" s="39"/>
      <c r="G4238" s="39" t="s">
        <v>1229</v>
      </c>
      <c r="H4238" s="39"/>
      <c r="I4238" s="39"/>
      <c r="J4238" s="39"/>
      <c r="K4238" s="39"/>
      <c r="L4238" s="39"/>
      <c r="M4238" s="39"/>
      <c r="N4238" s="40"/>
      <c r="O4238" s="362"/>
    </row>
    <row r="4239" spans="2:15" ht="15.75" customHeight="1">
      <c r="B4239" s="679"/>
      <c r="C4239" s="466"/>
      <c r="D4239" s="467"/>
      <c r="E4239" s="467"/>
      <c r="F4239" s="39"/>
      <c r="G4239" s="39"/>
      <c r="H4239" s="39"/>
      <c r="I4239" s="39"/>
      <c r="J4239" s="1149"/>
      <c r="K4239" s="922"/>
      <c r="L4239" s="922"/>
      <c r="M4239" s="922"/>
      <c r="N4239" s="924"/>
      <c r="O4239" s="362"/>
    </row>
    <row r="4240" spans="2:15" ht="15.75" customHeight="1">
      <c r="B4240" s="679"/>
      <c r="C4240" s="1150"/>
      <c r="D4240" s="936"/>
      <c r="E4240" s="936"/>
      <c r="F4240" s="416"/>
      <c r="G4240" s="416"/>
      <c r="H4240" s="416"/>
      <c r="I4240" s="416"/>
      <c r="J4240" s="936"/>
      <c r="K4240" s="936"/>
      <c r="L4240" s="936"/>
      <c r="M4240" s="936"/>
      <c r="N4240" s="938"/>
      <c r="O4240" s="362"/>
    </row>
    <row r="4241" spans="1:15" ht="15.75" customHeight="1">
      <c r="B4241" s="684"/>
      <c r="C4241" s="685"/>
      <c r="D4241" s="685"/>
      <c r="E4241" s="685"/>
      <c r="F4241" s="685"/>
      <c r="G4241" s="685"/>
      <c r="H4241" s="685"/>
      <c r="I4241" s="685"/>
      <c r="J4241" s="685"/>
      <c r="K4241" s="685"/>
      <c r="L4241" s="685"/>
      <c r="M4241" s="685"/>
      <c r="N4241" s="685"/>
      <c r="O4241" s="686"/>
    </row>
    <row r="4242" spans="1:15" ht="15.75" customHeight="1"/>
    <row r="4243" spans="1:15" ht="15.75" customHeight="1"/>
    <row r="4244" spans="1:15" ht="15.75" customHeight="1"/>
    <row r="4245" spans="1:15" ht="15.75" customHeight="1"/>
    <row r="4246" spans="1:15" ht="15.75" customHeight="1">
      <c r="A4246" s="395" t="s">
        <v>941</v>
      </c>
      <c r="B4246" s="184"/>
      <c r="C4246" s="184"/>
      <c r="D4246" s="184"/>
      <c r="E4246" s="184"/>
      <c r="F4246" s="184"/>
      <c r="G4246" s="184"/>
      <c r="H4246" s="184"/>
      <c r="I4246" s="184"/>
      <c r="J4246" s="184"/>
      <c r="K4246" s="184"/>
      <c r="L4246" s="184"/>
      <c r="M4246" s="184"/>
      <c r="N4246" s="184"/>
    </row>
    <row r="4247" spans="1:15" ht="15.75" customHeight="1">
      <c r="A4247" s="395"/>
      <c r="B4247" s="396"/>
      <c r="C4247" s="397"/>
      <c r="D4247" s="397"/>
      <c r="E4247" s="397"/>
      <c r="F4247" s="397"/>
      <c r="G4247" s="397"/>
      <c r="H4247" s="397"/>
      <c r="I4247" s="397"/>
      <c r="J4247" s="397"/>
      <c r="K4247" s="397"/>
      <c r="L4247" s="397"/>
      <c r="M4247" s="397"/>
      <c r="N4247" s="397"/>
      <c r="O4247" s="667"/>
    </row>
    <row r="4248" spans="1:15" ht="15.75" customHeight="1">
      <c r="A4248" s="395"/>
      <c r="B4248" s="399"/>
      <c r="C4248" s="1124"/>
      <c r="D4248" s="927"/>
      <c r="E4248" s="1207" t="str">
        <f>Datos!$C$9</f>
        <v>CONSEJO SUPERIOR  DE  JUDICATURA– DIRECCIÓN  EJECUTIVA  SECCIONAL  DE ADMINISTRACIÓN JUDICIAL DE BUCARAMANGA</v>
      </c>
      <c r="F4248" s="926"/>
      <c r="G4248" s="926"/>
      <c r="H4248" s="926"/>
      <c r="I4248" s="926"/>
      <c r="J4248" s="926"/>
      <c r="K4248" s="927"/>
      <c r="L4248" s="925" t="s">
        <v>1</v>
      </c>
      <c r="M4248" s="931"/>
      <c r="N4248" s="933">
        <v>1</v>
      </c>
      <c r="O4248" s="362"/>
    </row>
    <row r="4249" spans="1:15" ht="15.75" customHeight="1">
      <c r="A4249" s="395"/>
      <c r="B4249" s="399"/>
      <c r="C4249" s="920"/>
      <c r="D4249" s="924"/>
      <c r="E4249" s="920"/>
      <c r="F4249" s="922"/>
      <c r="G4249" s="922"/>
      <c r="H4249" s="922"/>
      <c r="I4249" s="922"/>
      <c r="J4249" s="922"/>
      <c r="K4249" s="924"/>
      <c r="L4249" s="920"/>
      <c r="M4249" s="932"/>
      <c r="N4249" s="934"/>
      <c r="O4249" s="362"/>
    </row>
    <row r="4250" spans="1:15" ht="15.75" customHeight="1">
      <c r="A4250" s="395"/>
      <c r="B4250" s="399"/>
      <c r="C4250" s="920"/>
      <c r="D4250" s="924"/>
      <c r="E4250" s="919" t="str">
        <f>Datos!$C$13</f>
        <v xml:space="preserve">BGA - 030 - 2026 </v>
      </c>
      <c r="F4250" s="922"/>
      <c r="G4250" s="922"/>
      <c r="H4250" s="922"/>
      <c r="I4250" s="922"/>
      <c r="J4250" s="922"/>
      <c r="K4250" s="922"/>
      <c r="L4250" s="925" t="s">
        <v>29</v>
      </c>
      <c r="M4250" s="926"/>
      <c r="N4250" s="927"/>
      <c r="O4250" s="362"/>
    </row>
    <row r="4251" spans="1:15" ht="15.75" customHeight="1">
      <c r="A4251" s="395"/>
      <c r="B4251" s="399"/>
      <c r="C4251" s="920"/>
      <c r="D4251" s="924"/>
      <c r="E4251"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251" s="922"/>
      <c r="G4251" s="922"/>
      <c r="H4251" s="922"/>
      <c r="I4251" s="922"/>
      <c r="J4251" s="922"/>
      <c r="K4251" s="924"/>
      <c r="L4251" s="919">
        <v>1</v>
      </c>
      <c r="M4251" s="921" t="s">
        <v>30</v>
      </c>
      <c r="N4251" s="923">
        <v>1</v>
      </c>
      <c r="O4251" s="362"/>
    </row>
    <row r="4252" spans="1:15" ht="15.75" customHeight="1">
      <c r="A4252" s="395"/>
      <c r="B4252" s="399"/>
      <c r="C4252" s="920"/>
      <c r="D4252" s="924"/>
      <c r="E4252" s="920"/>
      <c r="F4252" s="922"/>
      <c r="G4252" s="922"/>
      <c r="H4252" s="922"/>
      <c r="I4252" s="922"/>
      <c r="J4252" s="922"/>
      <c r="K4252" s="924"/>
      <c r="L4252" s="920"/>
      <c r="M4252" s="922"/>
      <c r="N4252" s="924"/>
      <c r="O4252" s="362"/>
    </row>
    <row r="4253" spans="1:15" ht="15.75" customHeight="1">
      <c r="A4253" s="395"/>
      <c r="B4253" s="399"/>
      <c r="C4253" s="920"/>
      <c r="D4253" s="924"/>
      <c r="E4253" s="920"/>
      <c r="F4253" s="922"/>
      <c r="G4253" s="922"/>
      <c r="H4253" s="922"/>
      <c r="I4253" s="922"/>
      <c r="J4253" s="922"/>
      <c r="K4253" s="924"/>
      <c r="L4253" s="925" t="s">
        <v>2</v>
      </c>
      <c r="M4253" s="926"/>
      <c r="N4253" s="927"/>
      <c r="O4253" s="362"/>
    </row>
    <row r="4254" spans="1:15" ht="15.75" customHeight="1">
      <c r="A4254" s="395"/>
      <c r="B4254" s="399"/>
      <c r="C4254" s="920"/>
      <c r="D4254" s="924"/>
      <c r="E4254" s="407"/>
      <c r="F4254" s="216"/>
      <c r="G4254" s="216"/>
      <c r="H4254" s="216"/>
      <c r="I4254" s="216"/>
      <c r="J4254" s="216"/>
      <c r="K4254" s="216"/>
      <c r="L4254" s="408" t="s">
        <v>3</v>
      </c>
      <c r="M4254" s="409" t="s">
        <v>4</v>
      </c>
      <c r="N4254" s="410" t="s">
        <v>5</v>
      </c>
      <c r="O4254" s="362"/>
    </row>
    <row r="4255" spans="1:15" ht="15.75" customHeight="1">
      <c r="A4255" s="395"/>
      <c r="B4255" s="399"/>
      <c r="C4255" s="920"/>
      <c r="D4255" s="924"/>
      <c r="E4255" s="1125" t="s">
        <v>1186</v>
      </c>
      <c r="F4255" s="945"/>
      <c r="G4255" s="945"/>
      <c r="H4255" s="945"/>
      <c r="I4255" s="945"/>
      <c r="J4255" s="945"/>
      <c r="K4255" s="945"/>
      <c r="L4255" s="928">
        <f>Datos!$C$7</f>
        <v>19</v>
      </c>
      <c r="M4255" s="935">
        <f>Datos!$D$7</f>
        <v>6</v>
      </c>
      <c r="N4255" s="937">
        <f>Datos!$E$7</f>
        <v>2026</v>
      </c>
      <c r="O4255" s="362"/>
    </row>
    <row r="4256" spans="1:15" ht="15.75" customHeight="1">
      <c r="A4256" s="395"/>
      <c r="B4256" s="399"/>
      <c r="C4256" s="929"/>
      <c r="D4256" s="938"/>
      <c r="E4256" s="929"/>
      <c r="F4256" s="936"/>
      <c r="G4256" s="936"/>
      <c r="H4256" s="936"/>
      <c r="I4256" s="936"/>
      <c r="J4256" s="936"/>
      <c r="K4256" s="936"/>
      <c r="L4256" s="929"/>
      <c r="M4256" s="936"/>
      <c r="N4256" s="938"/>
      <c r="O4256" s="362"/>
    </row>
    <row r="4257" spans="1:15" ht="15.75" customHeight="1">
      <c r="A4257" s="395"/>
      <c r="B4257" s="399"/>
      <c r="C4257" s="404"/>
      <c r="D4257" s="38"/>
      <c r="E4257" s="38"/>
      <c r="F4257" s="38"/>
      <c r="G4257" s="38"/>
      <c r="H4257" s="38"/>
      <c r="I4257" s="38"/>
      <c r="J4257" s="38"/>
      <c r="K4257" s="38"/>
      <c r="L4257" s="39"/>
      <c r="M4257" s="39"/>
      <c r="N4257" s="40"/>
      <c r="O4257" s="362"/>
    </row>
    <row r="4258" spans="1:15" ht="15.75" customHeight="1">
      <c r="A4258" s="395"/>
      <c r="B4258" s="399"/>
      <c r="C4258" s="412" t="s">
        <v>1187</v>
      </c>
      <c r="D4258" s="1199" t="str">
        <f>VLOOKUP(C4263,ListaAct,2,0)</f>
        <v>OBRA CIVIL</v>
      </c>
      <c r="E4258" s="922"/>
      <c r="F4258" s="922"/>
      <c r="G4258" s="922"/>
      <c r="H4258" s="922"/>
      <c r="I4258" s="922"/>
      <c r="J4258" s="922"/>
      <c r="K4258" s="922"/>
      <c r="L4258" s="922"/>
      <c r="M4258" s="1"/>
      <c r="N4258" s="413"/>
      <c r="O4258" s="362"/>
    </row>
    <row r="4259" spans="1:15" ht="15.75" customHeight="1">
      <c r="A4259" s="395"/>
      <c r="B4259" s="399"/>
      <c r="C4259" s="412" t="s">
        <v>1189</v>
      </c>
      <c r="D4259" s="1199" t="str">
        <f>VLOOKUP(C4263,ListaAct,3,0)</f>
        <v>ACTIVIDADES ELECTRICAS, DATOS Y DEMAS REQUERIDAS</v>
      </c>
      <c r="E4259" s="922"/>
      <c r="F4259" s="922"/>
      <c r="G4259" s="922"/>
      <c r="H4259" s="922"/>
      <c r="I4259" s="922"/>
      <c r="J4259" s="922"/>
      <c r="K4259" s="922"/>
      <c r="L4259" s="922"/>
      <c r="M4259" s="1"/>
      <c r="N4259" s="413"/>
      <c r="O4259" s="362"/>
    </row>
    <row r="4260" spans="1:15" ht="15.75" customHeight="1">
      <c r="A4260" s="395"/>
      <c r="B4260" s="399"/>
      <c r="C4260" s="925" t="s">
        <v>1191</v>
      </c>
      <c r="D4260" s="926"/>
      <c r="E4260" s="926"/>
      <c r="F4260" s="926"/>
      <c r="G4260" s="926"/>
      <c r="H4260" s="926"/>
      <c r="I4260" s="926"/>
      <c r="J4260" s="926"/>
      <c r="K4260" s="926"/>
      <c r="L4260" s="926"/>
      <c r="M4260" s="926"/>
      <c r="N4260" s="927"/>
      <c r="O4260" s="362"/>
    </row>
    <row r="4261" spans="1:15" ht="15.75" customHeight="1">
      <c r="A4261" s="395"/>
      <c r="B4261" s="399"/>
      <c r="C4261" s="418"/>
      <c r="D4261" s="39"/>
      <c r="E4261" s="39"/>
      <c r="F4261" s="39"/>
      <c r="G4261" s="39"/>
      <c r="H4261" s="39"/>
      <c r="I4261" s="39"/>
      <c r="J4261" s="39"/>
      <c r="K4261" s="39"/>
      <c r="L4261" s="39"/>
      <c r="M4261" s="39"/>
      <c r="N4261" s="40"/>
      <c r="O4261" s="362"/>
    </row>
    <row r="4262" spans="1:15" ht="15.75" customHeight="1">
      <c r="A4262" s="395"/>
      <c r="B4262" s="399"/>
      <c r="C4262" s="668" t="s">
        <v>965</v>
      </c>
      <c r="D4262" s="1200" t="s">
        <v>17</v>
      </c>
      <c r="E4262" s="1131"/>
      <c r="F4262" s="1131"/>
      <c r="G4262" s="1131"/>
      <c r="H4262" s="1131"/>
      <c r="I4262" s="1131"/>
      <c r="J4262" s="1131"/>
      <c r="K4262" s="1137"/>
      <c r="L4262" s="1201" t="s">
        <v>1192</v>
      </c>
      <c r="M4262" s="1137"/>
      <c r="N4262" s="668" t="s">
        <v>950</v>
      </c>
      <c r="O4262" s="362"/>
    </row>
    <row r="4263" spans="1:15" ht="25.9" customHeight="1">
      <c r="A4263" s="395"/>
      <c r="B4263" s="421"/>
      <c r="C4263" s="669" t="s">
        <v>1127</v>
      </c>
      <c r="D4263" s="1202" t="str">
        <f>IF($C4263&gt;0,(VLOOKUP($C4263,ListaAct,4,FALSE)),"")</f>
        <v>Suministro, Transporte E Instalación De Canaleta Metalica 12x5 Cm, En Pintura Electrostatica Blanca, Con Separador, Incluye: Elementos De Fijación Y Soporte</v>
      </c>
      <c r="E4263" s="979"/>
      <c r="F4263" s="979"/>
      <c r="G4263" s="979"/>
      <c r="H4263" s="979"/>
      <c r="I4263" s="979"/>
      <c r="J4263" s="979"/>
      <c r="K4263" s="980"/>
      <c r="L4263" s="1203" t="str">
        <f>IF($C4263&gt;0,(VLOOKUP($C4263,ListaAct,5,FALSE)),"")</f>
        <v>m</v>
      </c>
      <c r="M4263" s="980"/>
      <c r="N4263" s="423">
        <f>IF($C4263&gt;0,(VLOOKUP($C4263,ListaAct,6,FALSE)),"")</f>
        <v>40.36</v>
      </c>
      <c r="O4263" s="362"/>
    </row>
    <row r="4264" spans="1:15" ht="15.75" customHeight="1">
      <c r="A4264" s="395"/>
      <c r="B4264" s="399"/>
      <c r="C4264" s="1129" t="s">
        <v>1195</v>
      </c>
      <c r="D4264" s="926"/>
      <c r="E4264" s="926"/>
      <c r="F4264" s="926"/>
      <c r="G4264" s="926"/>
      <c r="H4264" s="926"/>
      <c r="I4264" s="926"/>
      <c r="J4264" s="926"/>
      <c r="K4264" s="926"/>
      <c r="L4264" s="926"/>
      <c r="M4264" s="926"/>
      <c r="N4264" s="927"/>
      <c r="O4264" s="362"/>
    </row>
    <row r="4265" spans="1:15" ht="15.75" customHeight="1">
      <c r="A4265" s="395"/>
      <c r="B4265" s="399"/>
      <c r="C4265" s="920"/>
      <c r="D4265" s="922"/>
      <c r="E4265" s="922"/>
      <c r="F4265" s="922"/>
      <c r="G4265" s="922"/>
      <c r="H4265" s="922"/>
      <c r="I4265" s="922"/>
      <c r="J4265" s="922"/>
      <c r="K4265" s="922"/>
      <c r="L4265" s="922"/>
      <c r="M4265" s="922"/>
      <c r="N4265" s="924"/>
      <c r="O4265" s="362"/>
    </row>
    <row r="4266" spans="1:15" ht="15.75" customHeight="1">
      <c r="A4266" s="395"/>
      <c r="B4266" s="399"/>
      <c r="C4266" s="929"/>
      <c r="D4266" s="936"/>
      <c r="E4266" s="936"/>
      <c r="F4266" s="936"/>
      <c r="G4266" s="936"/>
      <c r="H4266" s="936"/>
      <c r="I4266" s="936"/>
      <c r="J4266" s="936"/>
      <c r="K4266" s="936"/>
      <c r="L4266" s="936"/>
      <c r="M4266" s="936"/>
      <c r="N4266" s="938"/>
      <c r="O4266" s="362"/>
    </row>
    <row r="4267" spans="1:15" ht="15.75" customHeight="1">
      <c r="A4267" s="395"/>
      <c r="B4267" s="399"/>
      <c r="C4267" s="1201" t="s">
        <v>17</v>
      </c>
      <c r="D4267" s="1131"/>
      <c r="E4267" s="1131"/>
      <c r="F4267" s="1000"/>
      <c r="G4267" s="1204" t="s">
        <v>1196</v>
      </c>
      <c r="H4267" s="1000"/>
      <c r="I4267" s="1204" t="s">
        <v>1197</v>
      </c>
      <c r="J4267" s="1000"/>
      <c r="K4267" s="670" t="s">
        <v>1213</v>
      </c>
      <c r="L4267" s="1204" t="s">
        <v>1199</v>
      </c>
      <c r="M4267" s="1000"/>
      <c r="N4267" s="671" t="s">
        <v>1200</v>
      </c>
      <c r="O4267" s="362"/>
    </row>
    <row r="4268" spans="1:15" ht="15.75" customHeight="1">
      <c r="A4268" s="395"/>
      <c r="B4268" s="399"/>
      <c r="C4268" s="1128" t="s">
        <v>1201</v>
      </c>
      <c r="D4268" s="940"/>
      <c r="E4268" s="940"/>
      <c r="F4268" s="941"/>
      <c r="G4268" s="1142"/>
      <c r="H4268" s="941"/>
      <c r="I4268" s="1142"/>
      <c r="J4268" s="941"/>
      <c r="K4268" s="429"/>
      <c r="L4268" s="1143">
        <v>0.05</v>
      </c>
      <c r="M4268" s="941"/>
      <c r="N4268" s="430">
        <f>+L4268*N4307</f>
        <v>1450.5660118991161</v>
      </c>
      <c r="O4268" s="362"/>
    </row>
    <row r="4269" spans="1:15" ht="15.75" customHeight="1">
      <c r="A4269" s="395">
        <f t="array" ref="A4269">IF(C4269&lt;&gt;0,INDEX(CodEquipos,MATCH(C4269,Equipos,0),),)</f>
        <v>0</v>
      </c>
      <c r="B4269" s="399"/>
      <c r="C4269" s="1128"/>
      <c r="D4269" s="940"/>
      <c r="E4269" s="940"/>
      <c r="F4269" s="941"/>
      <c r="G4269" s="1142"/>
      <c r="H4269" s="941"/>
      <c r="I4269" s="1142"/>
      <c r="J4269" s="941"/>
      <c r="K4269" s="432" t="str">
        <f>IF($A4269&gt;0,(VLOOKUP($A4269,TablaEquipos,7,FALSE)),"")</f>
        <v/>
      </c>
      <c r="L4269" s="1146"/>
      <c r="M4269" s="941"/>
      <c r="N4269" s="430" t="str">
        <f t="shared" ref="N4269:N4273" si="313">IF(L4269&gt;0,K4269/L4269,"")</f>
        <v/>
      </c>
      <c r="O4269" s="362"/>
    </row>
    <row r="4270" spans="1:15" ht="15.75" customHeight="1">
      <c r="A4270" s="395">
        <f t="array" ref="A4270">IF(C4270&lt;&gt;0,INDEX(CodEquipos,MATCH(C4270,Equipos,0),),)</f>
        <v>0</v>
      </c>
      <c r="B4270" s="399"/>
      <c r="C4270" s="1128"/>
      <c r="D4270" s="940"/>
      <c r="E4270" s="940"/>
      <c r="F4270" s="941"/>
      <c r="G4270" s="1142"/>
      <c r="H4270" s="941"/>
      <c r="I4270" s="1142"/>
      <c r="J4270" s="941"/>
      <c r="K4270" s="432" t="str">
        <f>IF($A4270&gt;0,(VLOOKUP($A4270,TablaEquipos,7,FALSE)),"")</f>
        <v/>
      </c>
      <c r="L4270" s="1146"/>
      <c r="M4270" s="941"/>
      <c r="N4270" s="430" t="str">
        <f t="shared" si="313"/>
        <v/>
      </c>
      <c r="O4270" s="362"/>
    </row>
    <row r="4271" spans="1:15" ht="15.75" customHeight="1">
      <c r="A4271" s="395">
        <f t="array" ref="A4271">IF(C4271&lt;&gt;0,INDEX(CodEquipos,MATCH(C4271,Equipos,0),),)</f>
        <v>0</v>
      </c>
      <c r="B4271" s="399"/>
      <c r="C4271" s="1128"/>
      <c r="D4271" s="940"/>
      <c r="E4271" s="940"/>
      <c r="F4271" s="941"/>
      <c r="G4271" s="1142"/>
      <c r="H4271" s="941"/>
      <c r="I4271" s="1142"/>
      <c r="J4271" s="941"/>
      <c r="K4271" s="432" t="str">
        <f>IF($A4271&gt;0,(VLOOKUP($A4271,TablaEquipos,7,FALSE)),"")</f>
        <v/>
      </c>
      <c r="L4271" s="1146"/>
      <c r="M4271" s="941"/>
      <c r="N4271" s="430" t="str">
        <f t="shared" si="313"/>
        <v/>
      </c>
      <c r="O4271" s="362"/>
    </row>
    <row r="4272" spans="1:15" ht="15.75" customHeight="1">
      <c r="A4272" s="395">
        <f t="array" ref="A4272">IF(C4272&lt;&gt;0,INDEX(CodEquipos,MATCH(C4272,Equipos,0),),)</f>
        <v>0</v>
      </c>
      <c r="B4272" s="399"/>
      <c r="C4272" s="1128"/>
      <c r="D4272" s="940"/>
      <c r="E4272" s="940"/>
      <c r="F4272" s="941"/>
      <c r="G4272" s="1142"/>
      <c r="H4272" s="941"/>
      <c r="I4272" s="1142"/>
      <c r="J4272" s="941"/>
      <c r="K4272" s="432" t="str">
        <f>IF($A4272&gt;0,(VLOOKUP($A4272,TablaEquipos,7,FALSE)),"")</f>
        <v/>
      </c>
      <c r="L4272" s="1141"/>
      <c r="M4272" s="941"/>
      <c r="N4272" s="430" t="str">
        <f t="shared" si="313"/>
        <v/>
      </c>
      <c r="O4272" s="362"/>
    </row>
    <row r="4273" spans="1:15" ht="15.75" customHeight="1">
      <c r="A4273" s="395">
        <f t="array" ref="A4273">IF(C4273&lt;&gt;0,INDEX(CodEquipos,MATCH(C4273,Equipos,0),),)</f>
        <v>0</v>
      </c>
      <c r="B4273" s="399"/>
      <c r="C4273" s="1128"/>
      <c r="D4273" s="940"/>
      <c r="E4273" s="940"/>
      <c r="F4273" s="941"/>
      <c r="G4273" s="1144"/>
      <c r="H4273" s="1145"/>
      <c r="I4273" s="1144"/>
      <c r="J4273" s="1145"/>
      <c r="K4273" s="432" t="str">
        <f>IF($A4273&gt;0,(VLOOKUP($A4273,TablaEquipos,7,FALSE)),"")</f>
        <v/>
      </c>
      <c r="L4273" s="1208"/>
      <c r="M4273" s="1145"/>
      <c r="N4273" s="430" t="str">
        <f t="shared" si="313"/>
        <v/>
      </c>
      <c r="O4273" s="362"/>
    </row>
    <row r="4274" spans="1:15" ht="15.75" customHeight="1">
      <c r="A4274" s="395"/>
      <c r="B4274" s="399"/>
      <c r="C4274" s="1127" t="s">
        <v>1202</v>
      </c>
      <c r="D4274" s="965"/>
      <c r="E4274" s="965"/>
      <c r="F4274" s="965"/>
      <c r="G4274" s="965"/>
      <c r="H4274" s="965"/>
      <c r="I4274" s="965"/>
      <c r="J4274" s="965"/>
      <c r="K4274" s="965"/>
      <c r="L4274" s="965"/>
      <c r="M4274" s="966"/>
      <c r="N4274" s="433">
        <f>+SUM(N4268:N4273)</f>
        <v>1450.5660118991161</v>
      </c>
      <c r="O4274" s="362"/>
    </row>
    <row r="4275" spans="1:15" ht="15.75" customHeight="1">
      <c r="A4275" s="395"/>
      <c r="B4275" s="399"/>
      <c r="C4275" s="1129" t="s">
        <v>1203</v>
      </c>
      <c r="D4275" s="926"/>
      <c r="E4275" s="926"/>
      <c r="F4275" s="926"/>
      <c r="G4275" s="926"/>
      <c r="H4275" s="926"/>
      <c r="I4275" s="926"/>
      <c r="J4275" s="926"/>
      <c r="K4275" s="926"/>
      <c r="L4275" s="926"/>
      <c r="M4275" s="926"/>
      <c r="N4275" s="927"/>
      <c r="O4275" s="362"/>
    </row>
    <row r="4276" spans="1:15" ht="15.75" customHeight="1">
      <c r="A4276" s="395"/>
      <c r="B4276" s="399"/>
      <c r="C4276" s="920"/>
      <c r="D4276" s="922"/>
      <c r="E4276" s="922"/>
      <c r="F4276" s="922"/>
      <c r="G4276" s="922"/>
      <c r="H4276" s="922"/>
      <c r="I4276" s="922"/>
      <c r="J4276" s="922"/>
      <c r="K4276" s="922"/>
      <c r="L4276" s="922"/>
      <c r="M4276" s="922"/>
      <c r="N4276" s="924"/>
      <c r="O4276" s="362"/>
    </row>
    <row r="4277" spans="1:15" ht="15.75" customHeight="1">
      <c r="A4277" s="395"/>
      <c r="B4277" s="399"/>
      <c r="C4277" s="929"/>
      <c r="D4277" s="936"/>
      <c r="E4277" s="936"/>
      <c r="F4277" s="936"/>
      <c r="G4277" s="936"/>
      <c r="H4277" s="936"/>
      <c r="I4277" s="936"/>
      <c r="J4277" s="936"/>
      <c r="K4277" s="936"/>
      <c r="L4277" s="936"/>
      <c r="M4277" s="936"/>
      <c r="N4277" s="938"/>
      <c r="O4277" s="362"/>
    </row>
    <row r="4278" spans="1:15" ht="15.75" customHeight="1">
      <c r="A4278" s="395"/>
      <c r="B4278" s="399"/>
      <c r="C4278" s="1201" t="s">
        <v>17</v>
      </c>
      <c r="D4278" s="1131"/>
      <c r="E4278" s="1131"/>
      <c r="F4278" s="1131"/>
      <c r="G4278" s="1131"/>
      <c r="H4278" s="1131"/>
      <c r="I4278" s="1000"/>
      <c r="J4278" s="672" t="s">
        <v>1192</v>
      </c>
      <c r="K4278" s="670" t="s">
        <v>950</v>
      </c>
      <c r="L4278" s="1204" t="s">
        <v>1204</v>
      </c>
      <c r="M4278" s="1000"/>
      <c r="N4278" s="671" t="s">
        <v>1200</v>
      </c>
      <c r="O4278" s="362"/>
    </row>
    <row r="4279" spans="1:15" ht="15.75" customHeight="1">
      <c r="A4279" s="395" t="str">
        <f t="array" ref="A4279">IF(C4279&lt;&gt;0,INDEX(CodMat,MATCH(C4279,Materiales,0),),)</f>
        <v>MAT_ELE-102</v>
      </c>
      <c r="B4279" s="399"/>
      <c r="C4279" s="1128" t="s">
        <v>2400</v>
      </c>
      <c r="D4279" s="940"/>
      <c r="E4279" s="940"/>
      <c r="F4279" s="940"/>
      <c r="G4279" s="940"/>
      <c r="H4279" s="940"/>
      <c r="I4279" s="941"/>
      <c r="J4279" s="435" t="str">
        <f t="shared" ref="J4279:J4286" si="314">IF($A4279&gt;0,(VLOOKUP($A4279,TablaInsumos,5,FALSE)),"")</f>
        <v>UND</v>
      </c>
      <c r="K4279" s="673">
        <f>1.05/2.4</f>
        <v>0.43750000000000006</v>
      </c>
      <c r="L4279" s="1134">
        <f t="shared" ref="L4279:L4286" si="315">IF($A4279&gt;0,(VLOOKUP($A4279,TablaInsumos,7,FALSE)),"")</f>
        <v>49901</v>
      </c>
      <c r="M4279" s="941"/>
      <c r="N4279" s="430">
        <f t="shared" ref="N4279:N4286" si="316">IF(K4279&gt;0,L4279*K4279,"")</f>
        <v>21831.687500000004</v>
      </c>
      <c r="O4279" s="362"/>
    </row>
    <row r="4280" spans="1:15" ht="15.75" customHeight="1">
      <c r="A4280" s="395" t="str">
        <f t="array" ref="A4280">IF(C4280&lt;&gt;0,INDEX(CodMat,MATCH(C4280,Materiales,0),),)</f>
        <v>MAT_ELE-43</v>
      </c>
      <c r="B4280" s="399"/>
      <c r="C4280" s="1128" t="s">
        <v>2617</v>
      </c>
      <c r="D4280" s="940"/>
      <c r="E4280" s="940"/>
      <c r="F4280" s="940"/>
      <c r="G4280" s="940"/>
      <c r="H4280" s="940"/>
      <c r="I4280" s="941"/>
      <c r="J4280" s="435" t="str">
        <f t="shared" si="314"/>
        <v>UND</v>
      </c>
      <c r="K4280" s="673">
        <v>4</v>
      </c>
      <c r="L4280" s="1134">
        <f t="shared" si="315"/>
        <v>1073</v>
      </c>
      <c r="M4280" s="941"/>
      <c r="N4280" s="430">
        <f t="shared" si="316"/>
        <v>4292</v>
      </c>
      <c r="O4280" s="362"/>
    </row>
    <row r="4281" spans="1:15" ht="15.75" customHeight="1">
      <c r="A4281" s="395">
        <f t="array" ref="A4281">IF(C4281&lt;&gt;0,INDEX(CodMat,MATCH(C4281,Materiales,0),),)</f>
        <v>0</v>
      </c>
      <c r="B4281" s="399"/>
      <c r="C4281" s="1128"/>
      <c r="D4281" s="940"/>
      <c r="E4281" s="940"/>
      <c r="F4281" s="940"/>
      <c r="G4281" s="940"/>
      <c r="H4281" s="940"/>
      <c r="I4281" s="941"/>
      <c r="J4281" s="435" t="str">
        <f t="shared" si="314"/>
        <v/>
      </c>
      <c r="K4281" s="673"/>
      <c r="L4281" s="1134" t="str">
        <f t="shared" si="315"/>
        <v/>
      </c>
      <c r="M4281" s="941"/>
      <c r="N4281" s="430" t="str">
        <f t="shared" si="316"/>
        <v/>
      </c>
      <c r="O4281" s="362"/>
    </row>
    <row r="4282" spans="1:15" ht="15.75" customHeight="1">
      <c r="A4282" s="395">
        <f t="array" ref="A4282">IF(C4282&lt;&gt;0,INDEX(CodMat,MATCH(C4282,Materiales,0),),)</f>
        <v>0</v>
      </c>
      <c r="B4282" s="399"/>
      <c r="C4282" s="1128"/>
      <c r="D4282" s="940"/>
      <c r="E4282" s="940"/>
      <c r="F4282" s="940"/>
      <c r="G4282" s="940"/>
      <c r="H4282" s="940"/>
      <c r="I4282" s="941"/>
      <c r="J4282" s="435" t="str">
        <f t="shared" si="314"/>
        <v/>
      </c>
      <c r="K4282" s="673"/>
      <c r="L4282" s="1134" t="str">
        <f t="shared" si="315"/>
        <v/>
      </c>
      <c r="M4282" s="941"/>
      <c r="N4282" s="430" t="str">
        <f t="shared" si="316"/>
        <v/>
      </c>
      <c r="O4282" s="362"/>
    </row>
    <row r="4283" spans="1:15" ht="15.75" customHeight="1">
      <c r="A4283" s="395">
        <f t="array" ref="A4283">IF(C4283&lt;&gt;0,INDEX(CodMat,MATCH(C4283,Materiales,0),),)</f>
        <v>0</v>
      </c>
      <c r="B4283" s="399"/>
      <c r="C4283" s="1128"/>
      <c r="D4283" s="940"/>
      <c r="E4283" s="940"/>
      <c r="F4283" s="940"/>
      <c r="G4283" s="940"/>
      <c r="H4283" s="940"/>
      <c r="I4283" s="941"/>
      <c r="J4283" s="435" t="str">
        <f t="shared" si="314"/>
        <v/>
      </c>
      <c r="K4283" s="436"/>
      <c r="L4283" s="1134" t="str">
        <f t="shared" si="315"/>
        <v/>
      </c>
      <c r="M4283" s="941"/>
      <c r="N4283" s="430" t="str">
        <f t="shared" si="316"/>
        <v/>
      </c>
      <c r="O4283" s="362"/>
    </row>
    <row r="4284" spans="1:15" ht="15.75" customHeight="1">
      <c r="A4284" s="395">
        <f t="array" ref="A4284">IF(C4284&lt;&gt;0,INDEX(CodMat,MATCH(C4284,Materiales,0),),)</f>
        <v>0</v>
      </c>
      <c r="B4284" s="399"/>
      <c r="C4284" s="1128"/>
      <c r="D4284" s="940"/>
      <c r="E4284" s="940"/>
      <c r="F4284" s="940"/>
      <c r="G4284" s="940"/>
      <c r="H4284" s="940"/>
      <c r="I4284" s="941"/>
      <c r="J4284" s="435" t="str">
        <f t="shared" si="314"/>
        <v/>
      </c>
      <c r="K4284" s="436"/>
      <c r="L4284" s="1134" t="str">
        <f t="shared" si="315"/>
        <v/>
      </c>
      <c r="M4284" s="941"/>
      <c r="N4284" s="430" t="str">
        <f t="shared" si="316"/>
        <v/>
      </c>
      <c r="O4284" s="362"/>
    </row>
    <row r="4285" spans="1:15" ht="15.75" customHeight="1">
      <c r="A4285" s="395">
        <f t="array" ref="A4285">IF(C4285&lt;&gt;0,INDEX(CodMat,MATCH(C4285,Materiales,0),),)</f>
        <v>0</v>
      </c>
      <c r="B4285" s="399"/>
      <c r="C4285" s="1128"/>
      <c r="D4285" s="940"/>
      <c r="E4285" s="940"/>
      <c r="F4285" s="940"/>
      <c r="G4285" s="940"/>
      <c r="H4285" s="940"/>
      <c r="I4285" s="941"/>
      <c r="J4285" s="435" t="str">
        <f t="shared" si="314"/>
        <v/>
      </c>
      <c r="K4285" s="436"/>
      <c r="L4285" s="1134" t="str">
        <f t="shared" si="315"/>
        <v/>
      </c>
      <c r="M4285" s="941"/>
      <c r="N4285" s="430" t="str">
        <f t="shared" si="316"/>
        <v/>
      </c>
      <c r="O4285" s="362"/>
    </row>
    <row r="4286" spans="1:15" ht="15.75" customHeight="1">
      <c r="A4286" s="395">
        <f t="array" ref="A4286">IF(C4286&lt;&gt;0,INDEX(CodMat,MATCH(C4286,Materiales,0),),)</f>
        <v>0</v>
      </c>
      <c r="B4286" s="399"/>
      <c r="C4286" s="1128"/>
      <c r="D4286" s="940"/>
      <c r="E4286" s="940"/>
      <c r="F4286" s="940"/>
      <c r="G4286" s="940"/>
      <c r="H4286" s="940"/>
      <c r="I4286" s="941"/>
      <c r="J4286" s="435" t="str">
        <f t="shared" si="314"/>
        <v/>
      </c>
      <c r="K4286" s="436"/>
      <c r="L4286" s="1205" t="str">
        <f t="shared" si="315"/>
        <v/>
      </c>
      <c r="M4286" s="1145"/>
      <c r="N4286" s="430" t="str">
        <f t="shared" si="316"/>
        <v/>
      </c>
      <c r="O4286" s="362"/>
    </row>
    <row r="4287" spans="1:15" ht="15.75" customHeight="1">
      <c r="A4287" s="395"/>
      <c r="B4287" s="399"/>
      <c r="C4287" s="1127" t="s">
        <v>1202</v>
      </c>
      <c r="D4287" s="965"/>
      <c r="E4287" s="965"/>
      <c r="F4287" s="965"/>
      <c r="G4287" s="965"/>
      <c r="H4287" s="965"/>
      <c r="I4287" s="965"/>
      <c r="J4287" s="965"/>
      <c r="K4287" s="965"/>
      <c r="L4287" s="965"/>
      <c r="M4287" s="966"/>
      <c r="N4287" s="433">
        <f>+SUM(N4279:N4286)</f>
        <v>26123.687500000004</v>
      </c>
      <c r="O4287" s="362"/>
    </row>
    <row r="4288" spans="1:15" ht="15.75" customHeight="1">
      <c r="A4288" s="395"/>
      <c r="B4288" s="399"/>
      <c r="C4288" s="1129" t="s">
        <v>1208</v>
      </c>
      <c r="D4288" s="926"/>
      <c r="E4288" s="926"/>
      <c r="F4288" s="926"/>
      <c r="G4288" s="926"/>
      <c r="H4288" s="926"/>
      <c r="I4288" s="926"/>
      <c r="J4288" s="926"/>
      <c r="K4288" s="926"/>
      <c r="L4288" s="926"/>
      <c r="M4288" s="926"/>
      <c r="N4288" s="927"/>
      <c r="O4288" s="362"/>
    </row>
    <row r="4289" spans="1:15" ht="15.75" customHeight="1">
      <c r="A4289" s="395"/>
      <c r="B4289" s="399"/>
      <c r="C4289" s="920"/>
      <c r="D4289" s="922"/>
      <c r="E4289" s="922"/>
      <c r="F4289" s="922"/>
      <c r="G4289" s="922"/>
      <c r="H4289" s="922"/>
      <c r="I4289" s="922"/>
      <c r="J4289" s="922"/>
      <c r="K4289" s="922"/>
      <c r="L4289" s="922"/>
      <c r="M4289" s="922"/>
      <c r="N4289" s="924"/>
      <c r="O4289" s="362"/>
    </row>
    <row r="4290" spans="1:15" ht="15.75" customHeight="1">
      <c r="A4290" s="395"/>
      <c r="B4290" s="399"/>
      <c r="C4290" s="929"/>
      <c r="D4290" s="936"/>
      <c r="E4290" s="936"/>
      <c r="F4290" s="936"/>
      <c r="G4290" s="936"/>
      <c r="H4290" s="936"/>
      <c r="I4290" s="936"/>
      <c r="J4290" s="936"/>
      <c r="K4290" s="936"/>
      <c r="L4290" s="936"/>
      <c r="M4290" s="936"/>
      <c r="N4290" s="938"/>
      <c r="O4290" s="362"/>
    </row>
    <row r="4291" spans="1:15" ht="15.75" customHeight="1">
      <c r="A4291" s="395"/>
      <c r="B4291" s="399"/>
      <c r="C4291" s="1201" t="s">
        <v>1209</v>
      </c>
      <c r="D4291" s="1131"/>
      <c r="E4291" s="1131"/>
      <c r="F4291" s="1131"/>
      <c r="G4291" s="1131"/>
      <c r="H4291" s="1000"/>
      <c r="I4291" s="670" t="s">
        <v>1210</v>
      </c>
      <c r="J4291" s="674" t="s">
        <v>1211</v>
      </c>
      <c r="K4291" s="675" t="s">
        <v>2318</v>
      </c>
      <c r="L4291" s="1204" t="s">
        <v>1213</v>
      </c>
      <c r="M4291" s="1000"/>
      <c r="N4291" s="671" t="s">
        <v>1200</v>
      </c>
      <c r="O4291" s="362"/>
    </row>
    <row r="4292" spans="1:15" ht="15.75" customHeight="1">
      <c r="A4292" s="395">
        <f t="array" ref="A4292">IF(C4292&lt;&gt;0,INDEX(CodTransporte,MATCH(C4292,Transporte,0),),)</f>
        <v>0</v>
      </c>
      <c r="B4292" s="399"/>
      <c r="C4292" s="1128"/>
      <c r="D4292" s="940"/>
      <c r="E4292" s="940"/>
      <c r="F4292" s="940"/>
      <c r="G4292" s="940"/>
      <c r="H4292" s="940"/>
      <c r="I4292" s="440"/>
      <c r="J4292" s="441" t="str">
        <f>IF($A4292&gt;0,(VLOOKUP($A4292,TablaTransporte,6,FALSE)),"")</f>
        <v/>
      </c>
      <c r="K4292" s="442" t="str">
        <f>IF($A4292&gt;0,(VLOOKUP($A4292,TablaTransporte,5,FALSE)),"")</f>
        <v/>
      </c>
      <c r="L4292" s="1134" t="str">
        <f>IF($A4292&gt;0,(VLOOKUP($A4292,TablaTransporte,7,FALSE)),"")</f>
        <v/>
      </c>
      <c r="M4292" s="941"/>
      <c r="N4292" s="430" t="str">
        <f t="shared" ref="N4292:N4296" si="317">IF(I4292&gt;0,J4292*L4292*I4292,"")</f>
        <v/>
      </c>
      <c r="O4292" s="362"/>
    </row>
    <row r="4293" spans="1:15" ht="15.75" customHeight="1">
      <c r="A4293" s="395">
        <f t="array" ref="A4293">IF(C4293&lt;&gt;0,INDEX(CodTransporte,MATCH(C4293,Transporte,0),),)</f>
        <v>0</v>
      </c>
      <c r="B4293" s="399"/>
      <c r="C4293" s="1128"/>
      <c r="D4293" s="940"/>
      <c r="E4293" s="940"/>
      <c r="F4293" s="940"/>
      <c r="G4293" s="940"/>
      <c r="H4293" s="940"/>
      <c r="I4293" s="440"/>
      <c r="J4293" s="441" t="str">
        <f>IF($A4293&gt;0,(VLOOKUP($A4293,TablaTransporte,6,FALSE)),"")</f>
        <v/>
      </c>
      <c r="K4293" s="442" t="str">
        <f>IF($A4293&gt;0,(VLOOKUP($A4293,TablaTransporte,5,FALSE)),"")</f>
        <v/>
      </c>
      <c r="L4293" s="1134" t="str">
        <f>IF($A4293&gt;0,(VLOOKUP($A4293,TablaTransporte,7,FALSE)),"")</f>
        <v/>
      </c>
      <c r="M4293" s="941"/>
      <c r="N4293" s="430" t="str">
        <f t="shared" si="317"/>
        <v/>
      </c>
      <c r="O4293" s="362"/>
    </row>
    <row r="4294" spans="1:15" ht="15.75" customHeight="1">
      <c r="A4294" s="395">
        <f t="array" ref="A4294">IF(C4294&lt;&gt;0,INDEX(CodTransporte,MATCH(C4294,Transporte,0),),)</f>
        <v>0</v>
      </c>
      <c r="B4294" s="399"/>
      <c r="C4294" s="1128"/>
      <c r="D4294" s="940"/>
      <c r="E4294" s="940"/>
      <c r="F4294" s="940"/>
      <c r="G4294" s="940"/>
      <c r="H4294" s="940"/>
      <c r="I4294" s="440"/>
      <c r="J4294" s="441" t="str">
        <f>IF($A4294&gt;0,(VLOOKUP($A4294,TablaTransporte,6,FALSE)),"")</f>
        <v/>
      </c>
      <c r="K4294" s="442" t="str">
        <f>IF($A4294&gt;0,(VLOOKUP($A4294,TablaTransporte,5,FALSE)),"")</f>
        <v/>
      </c>
      <c r="L4294" s="1134" t="str">
        <f>IF($A4294&gt;0,(VLOOKUP($A4294,TablaTransporte,7,FALSE)),"")</f>
        <v/>
      </c>
      <c r="M4294" s="941"/>
      <c r="N4294" s="430" t="str">
        <f t="shared" si="317"/>
        <v/>
      </c>
      <c r="O4294" s="362"/>
    </row>
    <row r="4295" spans="1:15" ht="15.75" customHeight="1">
      <c r="A4295" s="395">
        <f t="array" ref="A4295">IF(C4295&lt;&gt;0,INDEX(CodTransporte,MATCH(C4295,Transporte,0),),)</f>
        <v>0</v>
      </c>
      <c r="B4295" s="399"/>
      <c r="C4295" s="1128"/>
      <c r="D4295" s="940"/>
      <c r="E4295" s="940"/>
      <c r="F4295" s="940"/>
      <c r="G4295" s="940"/>
      <c r="H4295" s="940"/>
      <c r="I4295" s="440"/>
      <c r="J4295" s="441" t="str">
        <f>IF($A4295&gt;0,(VLOOKUP($A4295,TablaTransporte,6,FALSE)),"")</f>
        <v/>
      </c>
      <c r="K4295" s="442" t="str">
        <f>IF($A4295&gt;0,(VLOOKUP($A4295,TablaTransporte,5,FALSE)),"")</f>
        <v/>
      </c>
      <c r="L4295" s="1134" t="str">
        <f>IF($A4295&gt;0,(VLOOKUP($A4295,TablaTransporte,7,FALSE)),"")</f>
        <v/>
      </c>
      <c r="M4295" s="941"/>
      <c r="N4295" s="430" t="str">
        <f t="shared" si="317"/>
        <v/>
      </c>
      <c r="O4295" s="362"/>
    </row>
    <row r="4296" spans="1:15" ht="15.75" customHeight="1">
      <c r="A4296" s="395">
        <f t="array" ref="A4296">IF(C4296&lt;&gt;0,INDEX(CodTransporte,MATCH(C4296,Transporte,0),),)</f>
        <v>0</v>
      </c>
      <c r="B4296" s="399"/>
      <c r="C4296" s="1128"/>
      <c r="D4296" s="940"/>
      <c r="E4296" s="940"/>
      <c r="F4296" s="940"/>
      <c r="G4296" s="940"/>
      <c r="H4296" s="940"/>
      <c r="I4296" s="440"/>
      <c r="J4296" s="441" t="str">
        <f>IF($A4296&gt;0,(VLOOKUP($A4296,TablaTransporte,6,FALSE)),"")</f>
        <v/>
      </c>
      <c r="K4296" s="442" t="str">
        <f>IF($A4296&gt;0,(VLOOKUP($A4296,TablaTransporte,5,FALSE)),"")</f>
        <v/>
      </c>
      <c r="L4296" s="1205" t="str">
        <f>IF($A4296&gt;0,(VLOOKUP($A4296,TablaTransporte,7,FALSE)),"")</f>
        <v/>
      </c>
      <c r="M4296" s="1145"/>
      <c r="N4296" s="430" t="str">
        <f t="shared" si="317"/>
        <v/>
      </c>
      <c r="O4296" s="362"/>
    </row>
    <row r="4297" spans="1:15" ht="15.75" customHeight="1">
      <c r="A4297" s="395"/>
      <c r="B4297" s="399"/>
      <c r="C4297" s="1127" t="s">
        <v>1202</v>
      </c>
      <c r="D4297" s="965"/>
      <c r="E4297" s="965"/>
      <c r="F4297" s="965"/>
      <c r="G4297" s="965"/>
      <c r="H4297" s="965"/>
      <c r="I4297" s="965"/>
      <c r="J4297" s="965"/>
      <c r="K4297" s="965"/>
      <c r="L4297" s="965"/>
      <c r="M4297" s="966"/>
      <c r="N4297" s="433">
        <f>+SUM(N4292:N4296)</f>
        <v>0</v>
      </c>
      <c r="O4297" s="362"/>
    </row>
    <row r="4298" spans="1:15" ht="15.75" customHeight="1">
      <c r="A4298" s="395"/>
      <c r="B4298" s="399"/>
      <c r="C4298" s="1129" t="s">
        <v>1214</v>
      </c>
      <c r="D4298" s="926"/>
      <c r="E4298" s="926"/>
      <c r="F4298" s="926"/>
      <c r="G4298" s="926"/>
      <c r="H4298" s="926"/>
      <c r="I4298" s="926"/>
      <c r="J4298" s="926"/>
      <c r="K4298" s="926"/>
      <c r="L4298" s="926"/>
      <c r="M4298" s="926"/>
      <c r="N4298" s="927"/>
      <c r="O4298" s="362"/>
    </row>
    <row r="4299" spans="1:15" ht="15.75" customHeight="1">
      <c r="A4299" s="395"/>
      <c r="B4299" s="399"/>
      <c r="C4299" s="920"/>
      <c r="D4299" s="922"/>
      <c r="E4299" s="922"/>
      <c r="F4299" s="922"/>
      <c r="G4299" s="922"/>
      <c r="H4299" s="922"/>
      <c r="I4299" s="922"/>
      <c r="J4299" s="922"/>
      <c r="K4299" s="922"/>
      <c r="L4299" s="922"/>
      <c r="M4299" s="922"/>
      <c r="N4299" s="924"/>
      <c r="O4299" s="362"/>
    </row>
    <row r="4300" spans="1:15" ht="15.75" customHeight="1">
      <c r="A4300" s="395"/>
      <c r="B4300" s="399"/>
      <c r="C4300" s="929"/>
      <c r="D4300" s="936"/>
      <c r="E4300" s="936"/>
      <c r="F4300" s="936"/>
      <c r="G4300" s="936"/>
      <c r="H4300" s="936"/>
      <c r="I4300" s="936"/>
      <c r="J4300" s="936"/>
      <c r="K4300" s="936"/>
      <c r="L4300" s="936"/>
      <c r="M4300" s="936"/>
      <c r="N4300" s="938"/>
      <c r="O4300" s="362"/>
    </row>
    <row r="4301" spans="1:15" ht="15.75" customHeight="1">
      <c r="A4301" s="395"/>
      <c r="B4301" s="399"/>
      <c r="C4301" s="1201" t="s">
        <v>1215</v>
      </c>
      <c r="D4301" s="1131"/>
      <c r="E4301" s="1131"/>
      <c r="F4301" s="1131"/>
      <c r="G4301" s="1131"/>
      <c r="H4301" s="1000"/>
      <c r="I4301" s="670" t="s">
        <v>1216</v>
      </c>
      <c r="J4301" s="676" t="s">
        <v>1217</v>
      </c>
      <c r="K4301" s="677" t="s">
        <v>1218</v>
      </c>
      <c r="L4301" s="1206" t="s">
        <v>1199</v>
      </c>
      <c r="M4301" s="1000"/>
      <c r="N4301" s="678" t="s">
        <v>1200</v>
      </c>
      <c r="O4301" s="362"/>
    </row>
    <row r="4302" spans="1:15" ht="15.75" customHeight="1">
      <c r="A4302" s="395" t="str">
        <f t="array" ref="A4302">IF(C4302&lt;&gt;0,INDEX(CodMO,MATCH(C4302,MO,0),),)</f>
        <v>M.O-15</v>
      </c>
      <c r="B4302" s="399"/>
      <c r="C4302" s="1128" t="s">
        <v>2607</v>
      </c>
      <c r="D4302" s="940"/>
      <c r="E4302" s="940"/>
      <c r="F4302" s="940"/>
      <c r="G4302" s="940"/>
      <c r="H4302" s="940"/>
      <c r="I4302" s="447">
        <f>IF($A4302&gt;0,(VLOOKUP($A4302,TablaMO,8,FALSE)),"")</f>
        <v>366787.33333333331</v>
      </c>
      <c r="J4302" s="448">
        <f>IF($A4302&gt;0,(VLOOKUP($A4302,TablaMO,10,FALSE)),"")</f>
        <v>0.67071666666666663</v>
      </c>
      <c r="K4302" s="447">
        <f>IF($A4302&gt;0,(VLOOKUP($A4302,TablaMO,11,FALSE)),"")</f>
        <v>367679</v>
      </c>
      <c r="L4302" s="1146">
        <v>12.673639013457436</v>
      </c>
      <c r="M4302" s="941"/>
      <c r="N4302" s="430">
        <f t="shared" ref="N4302:N4306" si="318">IF(L4302&gt;0,K4302/L4302,"")</f>
        <v>29011.32023798232</v>
      </c>
      <c r="O4302" s="362"/>
    </row>
    <row r="4303" spans="1:15" ht="15.75" customHeight="1">
      <c r="A4303" s="395">
        <f t="array" ref="A4303">IF(C4303&lt;&gt;0,INDEX(CodMO,MATCH(C4303,MO,0),),)</f>
        <v>0</v>
      </c>
      <c r="B4303" s="399"/>
      <c r="C4303" s="1128"/>
      <c r="D4303" s="940"/>
      <c r="E4303" s="940"/>
      <c r="F4303" s="940"/>
      <c r="G4303" s="940"/>
      <c r="H4303" s="940"/>
      <c r="I4303" s="447" t="str">
        <f>IF($A4303&gt;0,(VLOOKUP($A4303,TablaMO,8,FALSE)),"")</f>
        <v/>
      </c>
      <c r="J4303" s="448" t="str">
        <f>IF($A4303&gt;0,(VLOOKUP($A4303,TablaMO,10,FALSE)),"")</f>
        <v/>
      </c>
      <c r="K4303" s="447" t="str">
        <f>IF($A4303&gt;0,(VLOOKUP($A4303,TablaMO,11,FALSE)),"")</f>
        <v/>
      </c>
      <c r="L4303" s="1146"/>
      <c r="M4303" s="941"/>
      <c r="N4303" s="430" t="str">
        <f t="shared" si="318"/>
        <v/>
      </c>
      <c r="O4303" s="362"/>
    </row>
    <row r="4304" spans="1:15" ht="15.75" customHeight="1">
      <c r="A4304" s="395">
        <f t="array" ref="A4304">IF(C4304&lt;&gt;0,INDEX(CodMO,MATCH(C4304,MO,0),),)</f>
        <v>0</v>
      </c>
      <c r="B4304" s="399"/>
      <c r="C4304" s="1128"/>
      <c r="D4304" s="940"/>
      <c r="E4304" s="940"/>
      <c r="F4304" s="940"/>
      <c r="G4304" s="940"/>
      <c r="H4304" s="940"/>
      <c r="I4304" s="447" t="str">
        <f>IF($A4304&gt;0,(VLOOKUP($A4304,TablaMO,8,FALSE)),"")</f>
        <v/>
      </c>
      <c r="J4304" s="448" t="str">
        <f>IF($A4304&gt;0,(VLOOKUP($A4304,TablaMO,10,FALSE)),"")</f>
        <v/>
      </c>
      <c r="K4304" s="447" t="str">
        <f>IF($A4304&gt;0,(VLOOKUP($A4304,TablaMO,11,FALSE)),"")</f>
        <v/>
      </c>
      <c r="L4304" s="1146"/>
      <c r="M4304" s="941"/>
      <c r="N4304" s="430" t="str">
        <f t="shared" si="318"/>
        <v/>
      </c>
      <c r="O4304" s="362"/>
    </row>
    <row r="4305" spans="1:18" ht="15.75" customHeight="1">
      <c r="A4305" s="395">
        <f t="array" ref="A4305">IF(C4305&lt;&gt;0,INDEX(CodMO,MATCH(C4305,MO,0),),)</f>
        <v>0</v>
      </c>
      <c r="B4305" s="399"/>
      <c r="C4305" s="1128"/>
      <c r="D4305" s="940"/>
      <c r="E4305" s="940"/>
      <c r="F4305" s="940"/>
      <c r="G4305" s="940"/>
      <c r="H4305" s="940"/>
      <c r="I4305" s="447" t="str">
        <f>IF($A4305&gt;0,(VLOOKUP($A4305,TablaMO,8,FALSE)),"")</f>
        <v/>
      </c>
      <c r="J4305" s="448" t="str">
        <f>IF($A4305&gt;0,(VLOOKUP($A4305,TablaMO,10,FALSE)),"")</f>
        <v/>
      </c>
      <c r="K4305" s="447" t="str">
        <f>IF($A4305&gt;0,(VLOOKUP($A4305,TablaMO,11,FALSE)),"")</f>
        <v/>
      </c>
      <c r="L4305" s="1146"/>
      <c r="M4305" s="941"/>
      <c r="N4305" s="430" t="str">
        <f t="shared" si="318"/>
        <v/>
      </c>
      <c r="O4305" s="362"/>
    </row>
    <row r="4306" spans="1:18" ht="15.75" customHeight="1">
      <c r="A4306" s="395">
        <f t="array" ref="A4306">IF(C4306&lt;&gt;0,INDEX(CodMO,MATCH(C4306,MO,0),),)</f>
        <v>0</v>
      </c>
      <c r="B4306" s="399"/>
      <c r="C4306" s="1128"/>
      <c r="D4306" s="940"/>
      <c r="E4306" s="940"/>
      <c r="F4306" s="940"/>
      <c r="G4306" s="940"/>
      <c r="H4306" s="940"/>
      <c r="I4306" s="447" t="str">
        <f>IF($A4306&gt;0,(VLOOKUP($A4306,TablaMO,8,FALSE)),"")</f>
        <v/>
      </c>
      <c r="J4306" s="448" t="str">
        <f>IF($A4306&gt;0,(VLOOKUP($A4306,TablaMO,10,FALSE)),"")</f>
        <v/>
      </c>
      <c r="K4306" s="447" t="str">
        <f>IF($A4306&gt;0,(VLOOKUP($A4306,TablaMO,11,FALSE)),"")</f>
        <v/>
      </c>
      <c r="L4306" s="1146"/>
      <c r="M4306" s="941"/>
      <c r="N4306" s="430" t="str">
        <f t="shared" si="318"/>
        <v/>
      </c>
      <c r="O4306" s="362"/>
    </row>
    <row r="4307" spans="1:18" ht="15.75" customHeight="1">
      <c r="A4307" s="395"/>
      <c r="B4307" s="399"/>
      <c r="C4307" s="1127" t="s">
        <v>1202</v>
      </c>
      <c r="D4307" s="965"/>
      <c r="E4307" s="965"/>
      <c r="F4307" s="965"/>
      <c r="G4307" s="965"/>
      <c r="H4307" s="965"/>
      <c r="I4307" s="965"/>
      <c r="J4307" s="965"/>
      <c r="K4307" s="965"/>
      <c r="L4307" s="965"/>
      <c r="M4307" s="966"/>
      <c r="N4307" s="433">
        <f>+SUM(N4302:N4306)</f>
        <v>29011.32023798232</v>
      </c>
      <c r="O4307" s="362"/>
    </row>
    <row r="4308" spans="1:18" ht="15.75" customHeight="1">
      <c r="B4308" s="679"/>
      <c r="O4308" s="362"/>
    </row>
    <row r="4309" spans="1:18" ht="15.75" customHeight="1">
      <c r="B4309" s="679"/>
      <c r="C4309" s="1198" t="s">
        <v>1219</v>
      </c>
      <c r="D4309" s="965"/>
      <c r="E4309" s="965"/>
      <c r="F4309" s="965"/>
      <c r="G4309" s="965"/>
      <c r="H4309" s="965"/>
      <c r="I4309" s="965"/>
      <c r="J4309" s="965"/>
      <c r="K4309" s="965"/>
      <c r="L4309" s="965"/>
      <c r="M4309" s="966"/>
      <c r="N4309" s="680">
        <f>ROUND(SUM(N4307,N4297,N4287,N4274),0)</f>
        <v>56586</v>
      </c>
      <c r="O4309" s="362"/>
      <c r="Q4309" s="681">
        <f>VLOOKUP(C4263,PROPUESTASASERCO,8,FALSE)</f>
        <v>56586</v>
      </c>
      <c r="R4309" s="682">
        <f>Q4309-N4309</f>
        <v>0</v>
      </c>
    </row>
    <row r="4310" spans="1:18" ht="15.75" customHeight="1">
      <c r="B4310" s="679"/>
      <c r="C4310" s="1129" t="s">
        <v>1220</v>
      </c>
      <c r="D4310" s="926"/>
      <c r="E4310" s="926"/>
      <c r="F4310" s="926"/>
      <c r="G4310" s="926"/>
      <c r="H4310" s="926"/>
      <c r="I4310" s="926"/>
      <c r="J4310" s="926"/>
      <c r="K4310" s="926"/>
      <c r="L4310" s="926"/>
      <c r="M4310" s="926"/>
      <c r="N4310" s="927"/>
      <c r="O4310" s="362"/>
    </row>
    <row r="4311" spans="1:18" ht="15.75" customHeight="1">
      <c r="B4311" s="679"/>
      <c r="C4311" s="920"/>
      <c r="D4311" s="922"/>
      <c r="E4311" s="922"/>
      <c r="F4311" s="922"/>
      <c r="G4311" s="922"/>
      <c r="H4311" s="922"/>
      <c r="I4311" s="922"/>
      <c r="J4311" s="922"/>
      <c r="K4311" s="922"/>
      <c r="L4311" s="922"/>
      <c r="M4311" s="922"/>
      <c r="N4311" s="924"/>
      <c r="O4311" s="362"/>
    </row>
    <row r="4312" spans="1:18" ht="15.75" customHeight="1">
      <c r="B4312" s="679"/>
      <c r="C4312" s="929"/>
      <c r="D4312" s="936"/>
      <c r="E4312" s="936"/>
      <c r="F4312" s="936"/>
      <c r="G4312" s="936"/>
      <c r="H4312" s="936"/>
      <c r="I4312" s="936"/>
      <c r="J4312" s="936"/>
      <c r="K4312" s="936"/>
      <c r="L4312" s="936"/>
      <c r="M4312" s="936"/>
      <c r="N4312" s="938"/>
      <c r="O4312" s="362"/>
    </row>
    <row r="4313" spans="1:18" ht="15.75" customHeight="1">
      <c r="B4313" s="679"/>
      <c r="C4313" s="1201" t="s">
        <v>1221</v>
      </c>
      <c r="D4313" s="1131"/>
      <c r="E4313" s="1131"/>
      <c r="F4313" s="1131"/>
      <c r="G4313" s="1131"/>
      <c r="H4313" s="1132"/>
      <c r="I4313" s="674"/>
      <c r="J4313" s="674"/>
      <c r="K4313" s="674"/>
      <c r="L4313" s="1206" t="s">
        <v>1222</v>
      </c>
      <c r="M4313" s="1000"/>
      <c r="N4313" s="678" t="s">
        <v>1223</v>
      </c>
      <c r="O4313" s="362"/>
    </row>
    <row r="4314" spans="1:18" ht="15.75" customHeight="1">
      <c r="B4314" s="679"/>
      <c r="C4314" s="1128" t="s">
        <v>19</v>
      </c>
      <c r="D4314" s="940"/>
      <c r="E4314" s="940"/>
      <c r="F4314" s="940"/>
      <c r="G4314" s="940"/>
      <c r="H4314" s="940"/>
      <c r="I4314" s="452"/>
      <c r="J4314" s="452"/>
      <c r="K4314" s="452"/>
      <c r="L4314" s="1148">
        <f>+Datos!$E$18</f>
        <v>0.25</v>
      </c>
      <c r="M4314" s="941"/>
      <c r="N4314" s="430">
        <f>+L4314*N4309</f>
        <v>14146.5</v>
      </c>
      <c r="O4314" s="362"/>
    </row>
    <row r="4315" spans="1:18" ht="15.75" customHeight="1">
      <c r="B4315" s="679"/>
      <c r="C4315" s="454" t="s">
        <v>20</v>
      </c>
      <c r="D4315" s="455"/>
      <c r="E4315" s="455"/>
      <c r="F4315" s="455"/>
      <c r="G4315" s="455"/>
      <c r="H4315" s="455"/>
      <c r="I4315" s="452"/>
      <c r="J4315" s="452"/>
      <c r="K4315" s="452"/>
      <c r="L4315" s="1148">
        <f>+Datos!$E$19</f>
        <v>0.01</v>
      </c>
      <c r="M4315" s="941"/>
      <c r="N4315" s="430">
        <f>+L4315*N4309</f>
        <v>565.86</v>
      </c>
      <c r="O4315" s="362"/>
    </row>
    <row r="4316" spans="1:18" ht="15.75" customHeight="1">
      <c r="B4316" s="679"/>
      <c r="C4316" s="456" t="s">
        <v>21</v>
      </c>
      <c r="D4316" s="457"/>
      <c r="E4316" s="457"/>
      <c r="F4316" s="457"/>
      <c r="G4316" s="457"/>
      <c r="H4316" s="457"/>
      <c r="I4316" s="458"/>
      <c r="J4316" s="458"/>
      <c r="K4316" s="458"/>
      <c r="L4316" s="1148">
        <f>+Datos!$E$20</f>
        <v>0.05</v>
      </c>
      <c r="M4316" s="941"/>
      <c r="N4316" s="430">
        <f>+L4316*N4309</f>
        <v>2829.3</v>
      </c>
      <c r="O4316" s="362"/>
    </row>
    <row r="4317" spans="1:18" ht="15.75" customHeight="1">
      <c r="B4317" s="679"/>
      <c r="C4317" s="1127" t="s">
        <v>1202</v>
      </c>
      <c r="D4317" s="965"/>
      <c r="E4317" s="965"/>
      <c r="F4317" s="965"/>
      <c r="G4317" s="965"/>
      <c r="H4317" s="965"/>
      <c r="I4317" s="965"/>
      <c r="J4317" s="965"/>
      <c r="K4317" s="965"/>
      <c r="L4317" s="965"/>
      <c r="M4317" s="966"/>
      <c r="N4317" s="433">
        <f>+SUM(N4314:N4316)</f>
        <v>17541.66</v>
      </c>
      <c r="O4317" s="362"/>
    </row>
    <row r="4318" spans="1:18" ht="15.75" customHeight="1">
      <c r="B4318" s="679"/>
      <c r="C4318" s="418"/>
      <c r="D4318" s="39"/>
      <c r="E4318" s="39"/>
      <c r="F4318" s="39"/>
      <c r="G4318" s="39"/>
      <c r="H4318" s="39"/>
      <c r="I4318" s="39"/>
      <c r="J4318" s="39"/>
      <c r="K4318" s="39"/>
      <c r="L4318" s="39"/>
      <c r="M4318" s="39"/>
      <c r="N4318" s="40"/>
      <c r="O4318" s="362"/>
    </row>
    <row r="4319" spans="1:18" ht="15.75" customHeight="1">
      <c r="B4319" s="679"/>
      <c r="C4319" s="1198" t="s">
        <v>1224</v>
      </c>
      <c r="D4319" s="965"/>
      <c r="E4319" s="965"/>
      <c r="F4319" s="965"/>
      <c r="G4319" s="965"/>
      <c r="H4319" s="965"/>
      <c r="I4319" s="965"/>
      <c r="J4319" s="965"/>
      <c r="K4319" s="965"/>
      <c r="L4319" s="965"/>
      <c r="M4319" s="966"/>
      <c r="N4319" s="683">
        <f>+ROUND(SUM(N4317,N4309),0)</f>
        <v>74128</v>
      </c>
      <c r="O4319" s="362"/>
    </row>
    <row r="4320" spans="1:18" ht="15.75" customHeight="1">
      <c r="B4320" s="679"/>
      <c r="C4320" s="418"/>
      <c r="D4320" s="39" t="s">
        <v>1225</v>
      </c>
      <c r="E4320" s="39"/>
      <c r="F4320" s="39"/>
      <c r="G4320" s="184"/>
      <c r="H4320" s="184"/>
      <c r="I4320" s="184"/>
      <c r="J4320" s="39" t="s">
        <v>1225</v>
      </c>
      <c r="K4320" s="39"/>
      <c r="L4320" s="39"/>
      <c r="M4320" s="39"/>
      <c r="N4320" s="40"/>
      <c r="O4320" s="362"/>
    </row>
    <row r="4321" spans="1:15" ht="15.75" customHeight="1">
      <c r="B4321" s="679"/>
      <c r="C4321" s="418"/>
      <c r="D4321" s="39" t="s">
        <v>1226</v>
      </c>
      <c r="E4321" s="39"/>
      <c r="F4321" s="39"/>
      <c r="G4321" s="184"/>
      <c r="H4321" s="184"/>
      <c r="I4321" s="184"/>
      <c r="J4321" s="39" t="s">
        <v>1227</v>
      </c>
      <c r="K4321" s="39"/>
      <c r="L4321" s="39"/>
      <c r="M4321" s="39"/>
      <c r="N4321" s="40"/>
      <c r="O4321" s="362"/>
    </row>
    <row r="4322" spans="1:15" ht="15.75" customHeight="1">
      <c r="B4322" s="679"/>
      <c r="C4322" s="404"/>
      <c r="D4322" s="39" t="s">
        <v>1228</v>
      </c>
      <c r="E4322" s="42"/>
      <c r="F4322" s="42"/>
      <c r="G4322" s="184"/>
      <c r="H4322" s="184"/>
      <c r="I4322" s="184"/>
      <c r="J4322" s="39" t="s">
        <v>1228</v>
      </c>
      <c r="K4322" s="42"/>
      <c r="L4322" s="42"/>
      <c r="M4322" s="42"/>
      <c r="N4322" s="43"/>
      <c r="O4322" s="362"/>
    </row>
    <row r="4323" spans="1:15" ht="15.75" customHeight="1">
      <c r="B4323" s="679"/>
      <c r="C4323" s="418"/>
      <c r="D4323" s="39"/>
      <c r="E4323" s="39"/>
      <c r="F4323" s="39"/>
      <c r="G4323" s="39" t="s">
        <v>1229</v>
      </c>
      <c r="H4323" s="39"/>
      <c r="I4323" s="39"/>
      <c r="J4323" s="39"/>
      <c r="K4323" s="39"/>
      <c r="L4323" s="39"/>
      <c r="M4323" s="39"/>
      <c r="N4323" s="40"/>
      <c r="O4323" s="362"/>
    </row>
    <row r="4324" spans="1:15" ht="15.75" customHeight="1">
      <c r="B4324" s="679"/>
      <c r="C4324" s="466"/>
      <c r="D4324" s="467"/>
      <c r="E4324" s="467"/>
      <c r="F4324" s="39"/>
      <c r="G4324" s="39"/>
      <c r="H4324" s="39"/>
      <c r="I4324" s="39"/>
      <c r="J4324" s="1149"/>
      <c r="K4324" s="922"/>
      <c r="L4324" s="922"/>
      <c r="M4324" s="922"/>
      <c r="N4324" s="924"/>
      <c r="O4324" s="362"/>
    </row>
    <row r="4325" spans="1:15" ht="15.75" customHeight="1">
      <c r="B4325" s="679"/>
      <c r="C4325" s="1150"/>
      <c r="D4325" s="936"/>
      <c r="E4325" s="936"/>
      <c r="F4325" s="416"/>
      <c r="G4325" s="416"/>
      <c r="H4325" s="416"/>
      <c r="I4325" s="416"/>
      <c r="J4325" s="936"/>
      <c r="K4325" s="936"/>
      <c r="L4325" s="936"/>
      <c r="M4325" s="936"/>
      <c r="N4325" s="938"/>
      <c r="O4325" s="362"/>
    </row>
    <row r="4326" spans="1:15" ht="15.75" customHeight="1">
      <c r="B4326" s="684"/>
      <c r="C4326" s="685"/>
      <c r="D4326" s="685"/>
      <c r="E4326" s="685"/>
      <c r="F4326" s="685"/>
      <c r="G4326" s="685"/>
      <c r="H4326" s="685"/>
      <c r="I4326" s="685"/>
      <c r="J4326" s="685"/>
      <c r="K4326" s="685"/>
      <c r="L4326" s="685"/>
      <c r="M4326" s="685"/>
      <c r="N4326" s="685"/>
      <c r="O4326" s="686"/>
    </row>
    <row r="4327" spans="1:15" ht="15.75" customHeight="1"/>
    <row r="4328" spans="1:15" ht="15.75" customHeight="1"/>
    <row r="4329" spans="1:15" ht="15.75" customHeight="1"/>
    <row r="4330" spans="1:15" ht="15.75" customHeight="1"/>
    <row r="4331" spans="1:15" ht="15.75" customHeight="1">
      <c r="A4331" s="395" t="s">
        <v>941</v>
      </c>
      <c r="B4331" s="184"/>
      <c r="C4331" s="184"/>
      <c r="D4331" s="184"/>
      <c r="E4331" s="184"/>
      <c r="F4331" s="184"/>
      <c r="G4331" s="184"/>
      <c r="H4331" s="184"/>
      <c r="I4331" s="184"/>
      <c r="J4331" s="184"/>
      <c r="K4331" s="184"/>
      <c r="L4331" s="184"/>
      <c r="M4331" s="184"/>
      <c r="N4331" s="184"/>
    </row>
    <row r="4332" spans="1:15" ht="15.75" customHeight="1">
      <c r="A4332" s="395"/>
      <c r="B4332" s="396"/>
      <c r="C4332" s="397"/>
      <c r="D4332" s="397"/>
      <c r="E4332" s="397"/>
      <c r="F4332" s="397"/>
      <c r="G4332" s="397"/>
      <c r="H4332" s="397"/>
      <c r="I4332" s="397"/>
      <c r="J4332" s="397"/>
      <c r="K4332" s="397"/>
      <c r="L4332" s="397"/>
      <c r="M4332" s="397"/>
      <c r="N4332" s="397"/>
      <c r="O4332" s="667"/>
    </row>
    <row r="4333" spans="1:15" ht="15.75" customHeight="1">
      <c r="A4333" s="395"/>
      <c r="B4333" s="399"/>
      <c r="C4333" s="1124"/>
      <c r="D4333" s="927"/>
      <c r="E4333" s="1207" t="str">
        <f>Datos!$C$9</f>
        <v>CONSEJO SUPERIOR  DE  JUDICATURA– DIRECCIÓN  EJECUTIVA  SECCIONAL  DE ADMINISTRACIÓN JUDICIAL DE BUCARAMANGA</v>
      </c>
      <c r="F4333" s="926"/>
      <c r="G4333" s="926"/>
      <c r="H4333" s="926"/>
      <c r="I4333" s="926"/>
      <c r="J4333" s="926"/>
      <c r="K4333" s="927"/>
      <c r="L4333" s="925" t="s">
        <v>1</v>
      </c>
      <c r="M4333" s="931"/>
      <c r="N4333" s="933">
        <v>1</v>
      </c>
      <c r="O4333" s="362"/>
    </row>
    <row r="4334" spans="1:15" ht="15.75" customHeight="1">
      <c r="A4334" s="395"/>
      <c r="B4334" s="399"/>
      <c r="C4334" s="920"/>
      <c r="D4334" s="924"/>
      <c r="E4334" s="920"/>
      <c r="F4334" s="922"/>
      <c r="G4334" s="922"/>
      <c r="H4334" s="922"/>
      <c r="I4334" s="922"/>
      <c r="J4334" s="922"/>
      <c r="K4334" s="924"/>
      <c r="L4334" s="920"/>
      <c r="M4334" s="932"/>
      <c r="N4334" s="934"/>
      <c r="O4334" s="362"/>
    </row>
    <row r="4335" spans="1:15" ht="15.75" customHeight="1">
      <c r="A4335" s="395"/>
      <c r="B4335" s="399"/>
      <c r="C4335" s="920"/>
      <c r="D4335" s="924"/>
      <c r="E4335" s="919" t="str">
        <f>Datos!$C$13</f>
        <v xml:space="preserve">BGA - 030 - 2026 </v>
      </c>
      <c r="F4335" s="922"/>
      <c r="G4335" s="922"/>
      <c r="H4335" s="922"/>
      <c r="I4335" s="922"/>
      <c r="J4335" s="922"/>
      <c r="K4335" s="922"/>
      <c r="L4335" s="925" t="s">
        <v>29</v>
      </c>
      <c r="M4335" s="926"/>
      <c r="N4335" s="927"/>
      <c r="O4335" s="362"/>
    </row>
    <row r="4336" spans="1:15" ht="15.75" customHeight="1">
      <c r="A4336" s="395"/>
      <c r="B4336" s="399"/>
      <c r="C4336" s="920"/>
      <c r="D4336" s="924"/>
      <c r="E4336"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336" s="922"/>
      <c r="G4336" s="922"/>
      <c r="H4336" s="922"/>
      <c r="I4336" s="922"/>
      <c r="J4336" s="922"/>
      <c r="K4336" s="924"/>
      <c r="L4336" s="919">
        <v>1</v>
      </c>
      <c r="M4336" s="921" t="s">
        <v>30</v>
      </c>
      <c r="N4336" s="923">
        <v>1</v>
      </c>
      <c r="O4336" s="362"/>
    </row>
    <row r="4337" spans="1:15" ht="15.75" customHeight="1">
      <c r="A4337" s="395"/>
      <c r="B4337" s="399"/>
      <c r="C4337" s="920"/>
      <c r="D4337" s="924"/>
      <c r="E4337" s="920"/>
      <c r="F4337" s="922"/>
      <c r="G4337" s="922"/>
      <c r="H4337" s="922"/>
      <c r="I4337" s="922"/>
      <c r="J4337" s="922"/>
      <c r="K4337" s="924"/>
      <c r="L4337" s="920"/>
      <c r="M4337" s="922"/>
      <c r="N4337" s="924"/>
      <c r="O4337" s="362"/>
    </row>
    <row r="4338" spans="1:15" ht="15.75" customHeight="1">
      <c r="A4338" s="395"/>
      <c r="B4338" s="399"/>
      <c r="C4338" s="920"/>
      <c r="D4338" s="924"/>
      <c r="E4338" s="920"/>
      <c r="F4338" s="922"/>
      <c r="G4338" s="922"/>
      <c r="H4338" s="922"/>
      <c r="I4338" s="922"/>
      <c r="J4338" s="922"/>
      <c r="K4338" s="924"/>
      <c r="L4338" s="925" t="s">
        <v>2</v>
      </c>
      <c r="M4338" s="926"/>
      <c r="N4338" s="927"/>
      <c r="O4338" s="362"/>
    </row>
    <row r="4339" spans="1:15" ht="15.75" customHeight="1">
      <c r="A4339" s="395"/>
      <c r="B4339" s="399"/>
      <c r="C4339" s="920"/>
      <c r="D4339" s="924"/>
      <c r="E4339" s="407"/>
      <c r="F4339" s="216"/>
      <c r="G4339" s="216"/>
      <c r="H4339" s="216"/>
      <c r="I4339" s="216"/>
      <c r="J4339" s="216"/>
      <c r="K4339" s="216"/>
      <c r="L4339" s="408" t="s">
        <v>3</v>
      </c>
      <c r="M4339" s="409" t="s">
        <v>4</v>
      </c>
      <c r="N4339" s="410" t="s">
        <v>5</v>
      </c>
      <c r="O4339" s="362"/>
    </row>
    <row r="4340" spans="1:15" ht="15.75" customHeight="1">
      <c r="A4340" s="395"/>
      <c r="B4340" s="399"/>
      <c r="C4340" s="920"/>
      <c r="D4340" s="924"/>
      <c r="E4340" s="1125" t="s">
        <v>1186</v>
      </c>
      <c r="F4340" s="945"/>
      <c r="G4340" s="945"/>
      <c r="H4340" s="945"/>
      <c r="I4340" s="945"/>
      <c r="J4340" s="945"/>
      <c r="K4340" s="945"/>
      <c r="L4340" s="928">
        <f>Datos!$C$7</f>
        <v>19</v>
      </c>
      <c r="M4340" s="935">
        <f>Datos!$D$7</f>
        <v>6</v>
      </c>
      <c r="N4340" s="937">
        <f>Datos!$E$7</f>
        <v>2026</v>
      </c>
      <c r="O4340" s="362"/>
    </row>
    <row r="4341" spans="1:15" ht="15.75" customHeight="1">
      <c r="A4341" s="395"/>
      <c r="B4341" s="399"/>
      <c r="C4341" s="929"/>
      <c r="D4341" s="938"/>
      <c r="E4341" s="929"/>
      <c r="F4341" s="936"/>
      <c r="G4341" s="936"/>
      <c r="H4341" s="936"/>
      <c r="I4341" s="936"/>
      <c r="J4341" s="936"/>
      <c r="K4341" s="936"/>
      <c r="L4341" s="929"/>
      <c r="M4341" s="936"/>
      <c r="N4341" s="938"/>
      <c r="O4341" s="362"/>
    </row>
    <row r="4342" spans="1:15" ht="15.75" customHeight="1">
      <c r="A4342" s="395"/>
      <c r="B4342" s="399"/>
      <c r="C4342" s="404"/>
      <c r="D4342" s="38"/>
      <c r="E4342" s="38"/>
      <c r="F4342" s="38"/>
      <c r="G4342" s="38"/>
      <c r="H4342" s="38"/>
      <c r="I4342" s="38"/>
      <c r="J4342" s="38"/>
      <c r="K4342" s="38"/>
      <c r="L4342" s="39"/>
      <c r="M4342" s="39"/>
      <c r="N4342" s="40"/>
      <c r="O4342" s="362"/>
    </row>
    <row r="4343" spans="1:15" ht="15.75" customHeight="1">
      <c r="A4343" s="395"/>
      <c r="B4343" s="399"/>
      <c r="C4343" s="412" t="s">
        <v>1187</v>
      </c>
      <c r="D4343" s="1199" t="str">
        <f>VLOOKUP(C4348,ListaAct,2,0)</f>
        <v>OBRA CIVIL</v>
      </c>
      <c r="E4343" s="922"/>
      <c r="F4343" s="922"/>
      <c r="G4343" s="922"/>
      <c r="H4343" s="922"/>
      <c r="I4343" s="922"/>
      <c r="J4343" s="922"/>
      <c r="K4343" s="922"/>
      <c r="L4343" s="922"/>
      <c r="M4343" s="1"/>
      <c r="N4343" s="413"/>
      <c r="O4343" s="362"/>
    </row>
    <row r="4344" spans="1:15" ht="15.75" customHeight="1">
      <c r="A4344" s="395"/>
      <c r="B4344" s="399"/>
      <c r="C4344" s="412" t="s">
        <v>1189</v>
      </c>
      <c r="D4344" s="1199" t="str">
        <f>VLOOKUP(C4348,ListaAct,3,0)</f>
        <v>ACTIVIDADES ELECTRICAS, DATOS Y DEMAS REQUERIDAS</v>
      </c>
      <c r="E4344" s="922"/>
      <c r="F4344" s="922"/>
      <c r="G4344" s="922"/>
      <c r="H4344" s="922"/>
      <c r="I4344" s="922"/>
      <c r="J4344" s="922"/>
      <c r="K4344" s="922"/>
      <c r="L4344" s="922"/>
      <c r="M4344" s="1"/>
      <c r="N4344" s="413"/>
      <c r="O4344" s="362"/>
    </row>
    <row r="4345" spans="1:15" ht="15.75" customHeight="1">
      <c r="A4345" s="395"/>
      <c r="B4345" s="399"/>
      <c r="C4345" s="925" t="s">
        <v>1191</v>
      </c>
      <c r="D4345" s="926"/>
      <c r="E4345" s="926"/>
      <c r="F4345" s="926"/>
      <c r="G4345" s="926"/>
      <c r="H4345" s="926"/>
      <c r="I4345" s="926"/>
      <c r="J4345" s="926"/>
      <c r="K4345" s="926"/>
      <c r="L4345" s="926"/>
      <c r="M4345" s="926"/>
      <c r="N4345" s="927"/>
      <c r="O4345" s="362"/>
    </row>
    <row r="4346" spans="1:15" ht="15.75" customHeight="1">
      <c r="A4346" s="395"/>
      <c r="B4346" s="399"/>
      <c r="C4346" s="418"/>
      <c r="D4346" s="39"/>
      <c r="E4346" s="39"/>
      <c r="F4346" s="39"/>
      <c r="G4346" s="39"/>
      <c r="H4346" s="39"/>
      <c r="I4346" s="39"/>
      <c r="J4346" s="39"/>
      <c r="K4346" s="39"/>
      <c r="L4346" s="39"/>
      <c r="M4346" s="39"/>
      <c r="N4346" s="40"/>
      <c r="O4346" s="362"/>
    </row>
    <row r="4347" spans="1:15" ht="15.75" customHeight="1">
      <c r="A4347" s="395"/>
      <c r="B4347" s="399"/>
      <c r="C4347" s="668" t="s">
        <v>965</v>
      </c>
      <c r="D4347" s="1200" t="s">
        <v>17</v>
      </c>
      <c r="E4347" s="1131"/>
      <c r="F4347" s="1131"/>
      <c r="G4347" s="1131"/>
      <c r="H4347" s="1131"/>
      <c r="I4347" s="1131"/>
      <c r="J4347" s="1131"/>
      <c r="K4347" s="1137"/>
      <c r="L4347" s="1201" t="s">
        <v>1192</v>
      </c>
      <c r="M4347" s="1137"/>
      <c r="N4347" s="668" t="s">
        <v>950</v>
      </c>
      <c r="O4347" s="362"/>
    </row>
    <row r="4348" spans="1:15" ht="15.75" customHeight="1">
      <c r="A4348" s="395"/>
      <c r="B4348" s="421"/>
      <c r="C4348" s="669" t="s">
        <v>1130</v>
      </c>
      <c r="D4348" s="1202" t="str">
        <f>IF($C4348&gt;0,(VLOOKUP($C4348,ListaAct,4,FALSE)),"")</f>
        <v>Suministro E Instalación De Troquel Metálico Piramidal Triple 12 X 5 Blanco</v>
      </c>
      <c r="E4348" s="979"/>
      <c r="F4348" s="979"/>
      <c r="G4348" s="979"/>
      <c r="H4348" s="979"/>
      <c r="I4348" s="979"/>
      <c r="J4348" s="979"/>
      <c r="K4348" s="980"/>
      <c r="L4348" s="1203" t="str">
        <f>IF($C4348&gt;0,(VLOOKUP($C4348,ListaAct,5,FALSE)),"")</f>
        <v>und</v>
      </c>
      <c r="M4348" s="980"/>
      <c r="N4348" s="423">
        <f>IF($C4348&gt;0,(VLOOKUP($C4348,ListaAct,6,FALSE)),"")</f>
        <v>5</v>
      </c>
      <c r="O4348" s="362"/>
    </row>
    <row r="4349" spans="1:15" ht="15.75" customHeight="1">
      <c r="A4349" s="395"/>
      <c r="B4349" s="399"/>
      <c r="C4349" s="1129" t="s">
        <v>1195</v>
      </c>
      <c r="D4349" s="926"/>
      <c r="E4349" s="926"/>
      <c r="F4349" s="926"/>
      <c r="G4349" s="926"/>
      <c r="H4349" s="926"/>
      <c r="I4349" s="926"/>
      <c r="J4349" s="926"/>
      <c r="K4349" s="926"/>
      <c r="L4349" s="926"/>
      <c r="M4349" s="926"/>
      <c r="N4349" s="927"/>
      <c r="O4349" s="362"/>
    </row>
    <row r="4350" spans="1:15" ht="15.75" customHeight="1">
      <c r="A4350" s="395"/>
      <c r="B4350" s="399"/>
      <c r="C4350" s="920"/>
      <c r="D4350" s="922"/>
      <c r="E4350" s="922"/>
      <c r="F4350" s="922"/>
      <c r="G4350" s="922"/>
      <c r="H4350" s="922"/>
      <c r="I4350" s="922"/>
      <c r="J4350" s="922"/>
      <c r="K4350" s="922"/>
      <c r="L4350" s="922"/>
      <c r="M4350" s="922"/>
      <c r="N4350" s="924"/>
      <c r="O4350" s="362"/>
    </row>
    <row r="4351" spans="1:15" ht="15.75" customHeight="1">
      <c r="A4351" s="395"/>
      <c r="B4351" s="399"/>
      <c r="C4351" s="929"/>
      <c r="D4351" s="936"/>
      <c r="E4351" s="936"/>
      <c r="F4351" s="936"/>
      <c r="G4351" s="936"/>
      <c r="H4351" s="936"/>
      <c r="I4351" s="936"/>
      <c r="J4351" s="936"/>
      <c r="K4351" s="936"/>
      <c r="L4351" s="936"/>
      <c r="M4351" s="936"/>
      <c r="N4351" s="938"/>
      <c r="O4351" s="362"/>
    </row>
    <row r="4352" spans="1:15" ht="15.75" customHeight="1">
      <c r="A4352" s="395"/>
      <c r="B4352" s="399"/>
      <c r="C4352" s="1201" t="s">
        <v>17</v>
      </c>
      <c r="D4352" s="1131"/>
      <c r="E4352" s="1131"/>
      <c r="F4352" s="1000"/>
      <c r="G4352" s="1204" t="s">
        <v>1196</v>
      </c>
      <c r="H4352" s="1000"/>
      <c r="I4352" s="1204" t="s">
        <v>1197</v>
      </c>
      <c r="J4352" s="1000"/>
      <c r="K4352" s="670" t="s">
        <v>1213</v>
      </c>
      <c r="L4352" s="1204" t="s">
        <v>1199</v>
      </c>
      <c r="M4352" s="1000"/>
      <c r="N4352" s="671" t="s">
        <v>1200</v>
      </c>
      <c r="O4352" s="362"/>
    </row>
    <row r="4353" spans="1:15" ht="15.75" customHeight="1">
      <c r="A4353" s="395"/>
      <c r="B4353" s="399"/>
      <c r="C4353" s="1128" t="s">
        <v>1201</v>
      </c>
      <c r="D4353" s="940"/>
      <c r="E4353" s="940"/>
      <c r="F4353" s="941"/>
      <c r="G4353" s="1142"/>
      <c r="H4353" s="941"/>
      <c r="I4353" s="1142"/>
      <c r="J4353" s="941"/>
      <c r="K4353" s="429"/>
      <c r="L4353" s="1143">
        <v>0.05</v>
      </c>
      <c r="M4353" s="941"/>
      <c r="N4353" s="430">
        <f>+L4353*N4392</f>
        <v>1687.3543283875931</v>
      </c>
      <c r="O4353" s="362"/>
    </row>
    <row r="4354" spans="1:15" ht="15.75" customHeight="1">
      <c r="A4354" s="395">
        <f t="array" ref="A4354">IF(C4354&lt;&gt;0,INDEX(CodEquipos,MATCH(C4354,Equipos,0),),)</f>
        <v>0</v>
      </c>
      <c r="B4354" s="399"/>
      <c r="C4354" s="1128"/>
      <c r="D4354" s="940"/>
      <c r="E4354" s="940"/>
      <c r="F4354" s="941"/>
      <c r="G4354" s="1142"/>
      <c r="H4354" s="941"/>
      <c r="I4354" s="1142"/>
      <c r="J4354" s="941"/>
      <c r="K4354" s="432" t="str">
        <f>IF($A4354&gt;0,(VLOOKUP($A4354,TablaEquipos,7,FALSE)),"")</f>
        <v/>
      </c>
      <c r="L4354" s="1146"/>
      <c r="M4354" s="941"/>
      <c r="N4354" s="430" t="str">
        <f t="shared" ref="N4354:N4358" si="319">IF(L4354&gt;0,K4354/L4354,"")</f>
        <v/>
      </c>
      <c r="O4354" s="362"/>
    </row>
    <row r="4355" spans="1:15" ht="15.75" customHeight="1">
      <c r="A4355" s="395">
        <f t="array" ref="A4355">IF(C4355&lt;&gt;0,INDEX(CodEquipos,MATCH(C4355,Equipos,0),),)</f>
        <v>0</v>
      </c>
      <c r="B4355" s="399"/>
      <c r="C4355" s="1128"/>
      <c r="D4355" s="940"/>
      <c r="E4355" s="940"/>
      <c r="F4355" s="941"/>
      <c r="G4355" s="1142"/>
      <c r="H4355" s="941"/>
      <c r="I4355" s="1142"/>
      <c r="J4355" s="941"/>
      <c r="K4355" s="432" t="str">
        <f>IF($A4355&gt;0,(VLOOKUP($A4355,TablaEquipos,7,FALSE)),"")</f>
        <v/>
      </c>
      <c r="L4355" s="1146"/>
      <c r="M4355" s="941"/>
      <c r="N4355" s="430" t="str">
        <f t="shared" si="319"/>
        <v/>
      </c>
      <c r="O4355" s="362"/>
    </row>
    <row r="4356" spans="1:15" ht="15.75" customHeight="1">
      <c r="A4356" s="395">
        <f t="array" ref="A4356">IF(C4356&lt;&gt;0,INDEX(CodEquipos,MATCH(C4356,Equipos,0),),)</f>
        <v>0</v>
      </c>
      <c r="B4356" s="399"/>
      <c r="C4356" s="1128"/>
      <c r="D4356" s="940"/>
      <c r="E4356" s="940"/>
      <c r="F4356" s="941"/>
      <c r="G4356" s="1142"/>
      <c r="H4356" s="941"/>
      <c r="I4356" s="1142"/>
      <c r="J4356" s="941"/>
      <c r="K4356" s="432" t="str">
        <f>IF($A4356&gt;0,(VLOOKUP($A4356,TablaEquipos,7,FALSE)),"")</f>
        <v/>
      </c>
      <c r="L4356" s="1146"/>
      <c r="M4356" s="941"/>
      <c r="N4356" s="430" t="str">
        <f t="shared" si="319"/>
        <v/>
      </c>
      <c r="O4356" s="362"/>
    </row>
    <row r="4357" spans="1:15" ht="15.75" customHeight="1">
      <c r="A4357" s="395">
        <f t="array" ref="A4357">IF(C4357&lt;&gt;0,INDEX(CodEquipos,MATCH(C4357,Equipos,0),),)</f>
        <v>0</v>
      </c>
      <c r="B4357" s="399"/>
      <c r="C4357" s="1128"/>
      <c r="D4357" s="940"/>
      <c r="E4357" s="940"/>
      <c r="F4357" s="941"/>
      <c r="G4357" s="1142"/>
      <c r="H4357" s="941"/>
      <c r="I4357" s="1142"/>
      <c r="J4357" s="941"/>
      <c r="K4357" s="432" t="str">
        <f>IF($A4357&gt;0,(VLOOKUP($A4357,TablaEquipos,7,FALSE)),"")</f>
        <v/>
      </c>
      <c r="L4357" s="1141"/>
      <c r="M4357" s="941"/>
      <c r="N4357" s="430" t="str">
        <f t="shared" si="319"/>
        <v/>
      </c>
      <c r="O4357" s="362"/>
    </row>
    <row r="4358" spans="1:15" ht="15.75" customHeight="1">
      <c r="A4358" s="395">
        <f t="array" ref="A4358">IF(C4358&lt;&gt;0,INDEX(CodEquipos,MATCH(C4358,Equipos,0),),)</f>
        <v>0</v>
      </c>
      <c r="B4358" s="399"/>
      <c r="C4358" s="1128"/>
      <c r="D4358" s="940"/>
      <c r="E4358" s="940"/>
      <c r="F4358" s="941"/>
      <c r="G4358" s="1144"/>
      <c r="H4358" s="1145"/>
      <c r="I4358" s="1144"/>
      <c r="J4358" s="1145"/>
      <c r="K4358" s="432" t="str">
        <f>IF($A4358&gt;0,(VLOOKUP($A4358,TablaEquipos,7,FALSE)),"")</f>
        <v/>
      </c>
      <c r="L4358" s="1208"/>
      <c r="M4358" s="1145"/>
      <c r="N4358" s="430" t="str">
        <f t="shared" si="319"/>
        <v/>
      </c>
      <c r="O4358" s="362"/>
    </row>
    <row r="4359" spans="1:15" ht="15.75" customHeight="1">
      <c r="A4359" s="395"/>
      <c r="B4359" s="399"/>
      <c r="C4359" s="1127" t="s">
        <v>1202</v>
      </c>
      <c r="D4359" s="965"/>
      <c r="E4359" s="965"/>
      <c r="F4359" s="965"/>
      <c r="G4359" s="965"/>
      <c r="H4359" s="965"/>
      <c r="I4359" s="965"/>
      <c r="J4359" s="965"/>
      <c r="K4359" s="965"/>
      <c r="L4359" s="965"/>
      <c r="M4359" s="966"/>
      <c r="N4359" s="433">
        <f>+SUM(N4353:N4358)</f>
        <v>1687.3543283875931</v>
      </c>
      <c r="O4359" s="362"/>
    </row>
    <row r="4360" spans="1:15" ht="15.75" customHeight="1">
      <c r="A4360" s="395"/>
      <c r="B4360" s="399"/>
      <c r="C4360" s="1129" t="s">
        <v>1203</v>
      </c>
      <c r="D4360" s="926"/>
      <c r="E4360" s="926"/>
      <c r="F4360" s="926"/>
      <c r="G4360" s="926"/>
      <c r="H4360" s="926"/>
      <c r="I4360" s="926"/>
      <c r="J4360" s="926"/>
      <c r="K4360" s="926"/>
      <c r="L4360" s="926"/>
      <c r="M4360" s="926"/>
      <c r="N4360" s="927"/>
      <c r="O4360" s="362"/>
    </row>
    <row r="4361" spans="1:15" ht="15.75" customHeight="1">
      <c r="A4361" s="395"/>
      <c r="B4361" s="399"/>
      <c r="C4361" s="920"/>
      <c r="D4361" s="922"/>
      <c r="E4361" s="922"/>
      <c r="F4361" s="922"/>
      <c r="G4361" s="922"/>
      <c r="H4361" s="922"/>
      <c r="I4361" s="922"/>
      <c r="J4361" s="922"/>
      <c r="K4361" s="922"/>
      <c r="L4361" s="922"/>
      <c r="M4361" s="922"/>
      <c r="N4361" s="924"/>
      <c r="O4361" s="362"/>
    </row>
    <row r="4362" spans="1:15" ht="15.75" customHeight="1">
      <c r="A4362" s="395"/>
      <c r="B4362" s="399"/>
      <c r="C4362" s="929"/>
      <c r="D4362" s="936"/>
      <c r="E4362" s="936"/>
      <c r="F4362" s="936"/>
      <c r="G4362" s="936"/>
      <c r="H4362" s="936"/>
      <c r="I4362" s="936"/>
      <c r="J4362" s="936"/>
      <c r="K4362" s="936"/>
      <c r="L4362" s="936"/>
      <c r="M4362" s="936"/>
      <c r="N4362" s="938"/>
      <c r="O4362" s="362"/>
    </row>
    <row r="4363" spans="1:15" ht="15.75" customHeight="1">
      <c r="A4363" s="395"/>
      <c r="B4363" s="399"/>
      <c r="C4363" s="1201" t="s">
        <v>17</v>
      </c>
      <c r="D4363" s="1131"/>
      <c r="E4363" s="1131"/>
      <c r="F4363" s="1131"/>
      <c r="G4363" s="1131"/>
      <c r="H4363" s="1131"/>
      <c r="I4363" s="1000"/>
      <c r="J4363" s="672" t="s">
        <v>1192</v>
      </c>
      <c r="K4363" s="670" t="s">
        <v>950</v>
      </c>
      <c r="L4363" s="1204" t="s">
        <v>1204</v>
      </c>
      <c r="M4363" s="1000"/>
      <c r="N4363" s="671" t="s">
        <v>1200</v>
      </c>
      <c r="O4363" s="362"/>
    </row>
    <row r="4364" spans="1:15" s="1323" customFormat="1" ht="15.75" customHeight="1">
      <c r="A4364" s="1314" t="e">
        <f t="array" ref="A4364">IF(C4364&lt;&gt;0,INDEX(CodMat,MATCH(C4364,Materiales,0),),)</f>
        <v>#N/A</v>
      </c>
      <c r="B4364" s="1315"/>
      <c r="C4364" s="1316" t="s">
        <v>2632</v>
      </c>
      <c r="D4364" s="1317"/>
      <c r="E4364" s="1317"/>
      <c r="F4364" s="1317"/>
      <c r="G4364" s="1317"/>
      <c r="H4364" s="1317"/>
      <c r="I4364" s="1318"/>
      <c r="J4364" s="1319" t="s">
        <v>1291</v>
      </c>
      <c r="K4364" s="673">
        <v>1</v>
      </c>
      <c r="L4364" s="1320">
        <v>24900</v>
      </c>
      <c r="M4364" s="1318"/>
      <c r="N4364" s="1321">
        <f t="shared" ref="N4364:N4371" si="320">IF(K4364&gt;0,L4364*K4364,"")</f>
        <v>24900</v>
      </c>
      <c r="O4364" s="1322"/>
    </row>
    <row r="4365" spans="1:15" ht="15.75" customHeight="1">
      <c r="A4365" s="395" t="str">
        <f t="array" ref="A4365">IF(C4365&lt;&gt;0,INDEX(CodMat,MATCH(C4365,Materiales,0),),)</f>
        <v>MAT_ELE-104</v>
      </c>
      <c r="B4365" s="399"/>
      <c r="C4365" s="1128" t="s">
        <v>2401</v>
      </c>
      <c r="D4365" s="940"/>
      <c r="E4365" s="940"/>
      <c r="F4365" s="940"/>
      <c r="G4365" s="940"/>
      <c r="H4365" s="940"/>
      <c r="I4365" s="941"/>
      <c r="J4365" s="435" t="str">
        <f t="shared" ref="J4364:J4371" si="321">IF($A4365&gt;0,(VLOOKUP($A4365,TablaInsumos,5,FALSE)),"")</f>
        <v>UND</v>
      </c>
      <c r="K4365" s="673">
        <v>4</v>
      </c>
      <c r="L4365" s="1134">
        <f t="shared" ref="L4364:L4371" si="322">IF($A4365&gt;0,(VLOOKUP($A4365,TablaInsumos,7,FALSE)),"")</f>
        <v>70</v>
      </c>
      <c r="M4365" s="941"/>
      <c r="N4365" s="430">
        <f t="shared" si="320"/>
        <v>280</v>
      </c>
      <c r="O4365" s="362"/>
    </row>
    <row r="4366" spans="1:15" ht="15.75" customHeight="1">
      <c r="A4366" s="395">
        <f t="array" ref="A4366">IF(C4366&lt;&gt;0,INDEX(CodMat,MATCH(C4366,Materiales,0),),)</f>
        <v>0</v>
      </c>
      <c r="B4366" s="399"/>
      <c r="C4366" s="1128"/>
      <c r="D4366" s="940"/>
      <c r="E4366" s="940"/>
      <c r="F4366" s="940"/>
      <c r="G4366" s="940"/>
      <c r="H4366" s="940"/>
      <c r="I4366" s="941"/>
      <c r="J4366" s="435" t="str">
        <f t="shared" si="321"/>
        <v/>
      </c>
      <c r="K4366" s="673"/>
      <c r="L4366" s="1134" t="str">
        <f t="shared" si="322"/>
        <v/>
      </c>
      <c r="M4366" s="941"/>
      <c r="N4366" s="430" t="str">
        <f t="shared" si="320"/>
        <v/>
      </c>
      <c r="O4366" s="362"/>
    </row>
    <row r="4367" spans="1:15" ht="15.75" customHeight="1">
      <c r="A4367" s="395">
        <f t="array" ref="A4367">IF(C4367&lt;&gt;0,INDEX(CodMat,MATCH(C4367,Materiales,0),),)</f>
        <v>0</v>
      </c>
      <c r="B4367" s="399"/>
      <c r="C4367" s="1128"/>
      <c r="D4367" s="940"/>
      <c r="E4367" s="940"/>
      <c r="F4367" s="940"/>
      <c r="G4367" s="940"/>
      <c r="H4367" s="940"/>
      <c r="I4367" s="941"/>
      <c r="J4367" s="435" t="str">
        <f t="shared" si="321"/>
        <v/>
      </c>
      <c r="K4367" s="673"/>
      <c r="L4367" s="1134" t="str">
        <f t="shared" si="322"/>
        <v/>
      </c>
      <c r="M4367" s="941"/>
      <c r="N4367" s="430" t="str">
        <f t="shared" si="320"/>
        <v/>
      </c>
      <c r="O4367" s="362"/>
    </row>
    <row r="4368" spans="1:15" ht="15.75" customHeight="1">
      <c r="A4368" s="395">
        <f t="array" ref="A4368">IF(C4368&lt;&gt;0,INDEX(CodMat,MATCH(C4368,Materiales,0),),)</f>
        <v>0</v>
      </c>
      <c r="B4368" s="399"/>
      <c r="C4368" s="1128"/>
      <c r="D4368" s="940"/>
      <c r="E4368" s="940"/>
      <c r="F4368" s="940"/>
      <c r="G4368" s="940"/>
      <c r="H4368" s="940"/>
      <c r="I4368" s="941"/>
      <c r="J4368" s="435" t="str">
        <f t="shared" si="321"/>
        <v/>
      </c>
      <c r="K4368" s="436"/>
      <c r="L4368" s="1134" t="str">
        <f t="shared" si="322"/>
        <v/>
      </c>
      <c r="M4368" s="941"/>
      <c r="N4368" s="430" t="str">
        <f t="shared" si="320"/>
        <v/>
      </c>
      <c r="O4368" s="362"/>
    </row>
    <row r="4369" spans="1:15" ht="15.75" customHeight="1">
      <c r="A4369" s="395">
        <f t="array" ref="A4369">IF(C4369&lt;&gt;0,INDEX(CodMat,MATCH(C4369,Materiales,0),),)</f>
        <v>0</v>
      </c>
      <c r="B4369" s="399"/>
      <c r="C4369" s="1128"/>
      <c r="D4369" s="940"/>
      <c r="E4369" s="940"/>
      <c r="F4369" s="940"/>
      <c r="G4369" s="940"/>
      <c r="H4369" s="940"/>
      <c r="I4369" s="941"/>
      <c r="J4369" s="435" t="str">
        <f t="shared" si="321"/>
        <v/>
      </c>
      <c r="K4369" s="436"/>
      <c r="L4369" s="1134" t="str">
        <f t="shared" si="322"/>
        <v/>
      </c>
      <c r="M4369" s="941"/>
      <c r="N4369" s="430" t="str">
        <f t="shared" si="320"/>
        <v/>
      </c>
      <c r="O4369" s="362"/>
    </row>
    <row r="4370" spans="1:15" ht="15.75" customHeight="1">
      <c r="A4370" s="395">
        <f t="array" ref="A4370">IF(C4370&lt;&gt;0,INDEX(CodMat,MATCH(C4370,Materiales,0),),)</f>
        <v>0</v>
      </c>
      <c r="B4370" s="399"/>
      <c r="C4370" s="1128"/>
      <c r="D4370" s="940"/>
      <c r="E4370" s="940"/>
      <c r="F4370" s="940"/>
      <c r="G4370" s="940"/>
      <c r="H4370" s="940"/>
      <c r="I4370" s="941"/>
      <c r="J4370" s="435" t="str">
        <f t="shared" si="321"/>
        <v/>
      </c>
      <c r="K4370" s="436"/>
      <c r="L4370" s="1134" t="str">
        <f t="shared" si="322"/>
        <v/>
      </c>
      <c r="M4370" s="941"/>
      <c r="N4370" s="430" t="str">
        <f t="shared" si="320"/>
        <v/>
      </c>
      <c r="O4370" s="362"/>
    </row>
    <row r="4371" spans="1:15" ht="15.75" customHeight="1">
      <c r="A4371" s="395">
        <f t="array" ref="A4371">IF(C4371&lt;&gt;0,INDEX(CodMat,MATCH(C4371,Materiales,0),),)</f>
        <v>0</v>
      </c>
      <c r="B4371" s="399"/>
      <c r="C4371" s="1128"/>
      <c r="D4371" s="940"/>
      <c r="E4371" s="940"/>
      <c r="F4371" s="940"/>
      <c r="G4371" s="940"/>
      <c r="H4371" s="940"/>
      <c r="I4371" s="941"/>
      <c r="J4371" s="435" t="str">
        <f t="shared" si="321"/>
        <v/>
      </c>
      <c r="K4371" s="436"/>
      <c r="L4371" s="1205" t="str">
        <f t="shared" si="322"/>
        <v/>
      </c>
      <c r="M4371" s="1145"/>
      <c r="N4371" s="430" t="str">
        <f t="shared" si="320"/>
        <v/>
      </c>
      <c r="O4371" s="362"/>
    </row>
    <row r="4372" spans="1:15" ht="15.75" customHeight="1">
      <c r="A4372" s="395"/>
      <c r="B4372" s="399"/>
      <c r="C4372" s="1127" t="s">
        <v>1202</v>
      </c>
      <c r="D4372" s="965"/>
      <c r="E4372" s="965"/>
      <c r="F4372" s="965"/>
      <c r="G4372" s="965"/>
      <c r="H4372" s="965"/>
      <c r="I4372" s="965"/>
      <c r="J4372" s="965"/>
      <c r="K4372" s="965"/>
      <c r="L4372" s="965"/>
      <c r="M4372" s="966"/>
      <c r="N4372" s="433">
        <f>+SUM(N4364:N4371)</f>
        <v>25180</v>
      </c>
      <c r="O4372" s="362"/>
    </row>
    <row r="4373" spans="1:15" ht="15.75" customHeight="1">
      <c r="A4373" s="395"/>
      <c r="B4373" s="399"/>
      <c r="C4373" s="1129" t="s">
        <v>1208</v>
      </c>
      <c r="D4373" s="926"/>
      <c r="E4373" s="926"/>
      <c r="F4373" s="926"/>
      <c r="G4373" s="926"/>
      <c r="H4373" s="926"/>
      <c r="I4373" s="926"/>
      <c r="J4373" s="926"/>
      <c r="K4373" s="926"/>
      <c r="L4373" s="926"/>
      <c r="M4373" s="926"/>
      <c r="N4373" s="927"/>
      <c r="O4373" s="362"/>
    </row>
    <row r="4374" spans="1:15" ht="15.75" customHeight="1">
      <c r="A4374" s="395"/>
      <c r="B4374" s="399"/>
      <c r="C4374" s="920"/>
      <c r="D4374" s="922"/>
      <c r="E4374" s="922"/>
      <c r="F4374" s="922"/>
      <c r="G4374" s="922"/>
      <c r="H4374" s="922"/>
      <c r="I4374" s="922"/>
      <c r="J4374" s="922"/>
      <c r="K4374" s="922"/>
      <c r="L4374" s="922"/>
      <c r="M4374" s="922"/>
      <c r="N4374" s="924"/>
      <c r="O4374" s="362"/>
    </row>
    <row r="4375" spans="1:15" ht="15.75" customHeight="1">
      <c r="A4375" s="395"/>
      <c r="B4375" s="399"/>
      <c r="C4375" s="929"/>
      <c r="D4375" s="936"/>
      <c r="E4375" s="936"/>
      <c r="F4375" s="936"/>
      <c r="G4375" s="936"/>
      <c r="H4375" s="936"/>
      <c r="I4375" s="936"/>
      <c r="J4375" s="936"/>
      <c r="K4375" s="936"/>
      <c r="L4375" s="936"/>
      <c r="M4375" s="936"/>
      <c r="N4375" s="938"/>
      <c r="O4375" s="362"/>
    </row>
    <row r="4376" spans="1:15" ht="15.75" customHeight="1">
      <c r="A4376" s="395"/>
      <c r="B4376" s="399"/>
      <c r="C4376" s="1201" t="s">
        <v>1209</v>
      </c>
      <c r="D4376" s="1131"/>
      <c r="E4376" s="1131"/>
      <c r="F4376" s="1131"/>
      <c r="G4376" s="1131"/>
      <c r="H4376" s="1000"/>
      <c r="I4376" s="670" t="s">
        <v>1210</v>
      </c>
      <c r="J4376" s="674" t="s">
        <v>1211</v>
      </c>
      <c r="K4376" s="675" t="s">
        <v>2318</v>
      </c>
      <c r="L4376" s="1204" t="s">
        <v>1213</v>
      </c>
      <c r="M4376" s="1000"/>
      <c r="N4376" s="671" t="s">
        <v>1200</v>
      </c>
      <c r="O4376" s="362"/>
    </row>
    <row r="4377" spans="1:15" ht="15.75" customHeight="1">
      <c r="A4377" s="395">
        <f t="array" ref="A4377">IF(C4377&lt;&gt;0,INDEX(CodTransporte,MATCH(C4377,Transporte,0),),)</f>
        <v>0</v>
      </c>
      <c r="B4377" s="399"/>
      <c r="C4377" s="1128"/>
      <c r="D4377" s="940"/>
      <c r="E4377" s="940"/>
      <c r="F4377" s="940"/>
      <c r="G4377" s="940"/>
      <c r="H4377" s="940"/>
      <c r="I4377" s="440"/>
      <c r="J4377" s="441" t="str">
        <f>IF($A4377&gt;0,(VLOOKUP($A4377,TablaTransporte,6,FALSE)),"")</f>
        <v/>
      </c>
      <c r="K4377" s="442" t="str">
        <f>IF($A4377&gt;0,(VLOOKUP($A4377,TablaTransporte,5,FALSE)),"")</f>
        <v/>
      </c>
      <c r="L4377" s="1134" t="str">
        <f>IF($A4377&gt;0,(VLOOKUP($A4377,TablaTransporte,7,FALSE)),"")</f>
        <v/>
      </c>
      <c r="M4377" s="941"/>
      <c r="N4377" s="430" t="str">
        <f t="shared" ref="N4377:N4381" si="323">IF(I4377&gt;0,J4377*L4377*I4377,"")</f>
        <v/>
      </c>
      <c r="O4377" s="362"/>
    </row>
    <row r="4378" spans="1:15" ht="15.75" customHeight="1">
      <c r="A4378" s="395">
        <f t="array" ref="A4378">IF(C4378&lt;&gt;0,INDEX(CodTransporte,MATCH(C4378,Transporte,0),),)</f>
        <v>0</v>
      </c>
      <c r="B4378" s="399"/>
      <c r="C4378" s="1128"/>
      <c r="D4378" s="940"/>
      <c r="E4378" s="940"/>
      <c r="F4378" s="940"/>
      <c r="G4378" s="940"/>
      <c r="H4378" s="940"/>
      <c r="I4378" s="440"/>
      <c r="J4378" s="441" t="str">
        <f>IF($A4378&gt;0,(VLOOKUP($A4378,TablaTransporte,6,FALSE)),"")</f>
        <v/>
      </c>
      <c r="K4378" s="442" t="str">
        <f>IF($A4378&gt;0,(VLOOKUP($A4378,TablaTransporte,5,FALSE)),"")</f>
        <v/>
      </c>
      <c r="L4378" s="1134" t="str">
        <f>IF($A4378&gt;0,(VLOOKUP($A4378,TablaTransporte,7,FALSE)),"")</f>
        <v/>
      </c>
      <c r="M4378" s="941"/>
      <c r="N4378" s="430" t="str">
        <f t="shared" si="323"/>
        <v/>
      </c>
      <c r="O4378" s="362"/>
    </row>
    <row r="4379" spans="1:15" ht="15.75" customHeight="1">
      <c r="A4379" s="395">
        <f t="array" ref="A4379">IF(C4379&lt;&gt;0,INDEX(CodTransporte,MATCH(C4379,Transporte,0),),)</f>
        <v>0</v>
      </c>
      <c r="B4379" s="399"/>
      <c r="C4379" s="1128"/>
      <c r="D4379" s="940"/>
      <c r="E4379" s="940"/>
      <c r="F4379" s="940"/>
      <c r="G4379" s="940"/>
      <c r="H4379" s="940"/>
      <c r="I4379" s="440"/>
      <c r="J4379" s="441" t="str">
        <f>IF($A4379&gt;0,(VLOOKUP($A4379,TablaTransporte,6,FALSE)),"")</f>
        <v/>
      </c>
      <c r="K4379" s="442" t="str">
        <f>IF($A4379&gt;0,(VLOOKUP($A4379,TablaTransporte,5,FALSE)),"")</f>
        <v/>
      </c>
      <c r="L4379" s="1134" t="str">
        <f>IF($A4379&gt;0,(VLOOKUP($A4379,TablaTransporte,7,FALSE)),"")</f>
        <v/>
      </c>
      <c r="M4379" s="941"/>
      <c r="N4379" s="430" t="str">
        <f t="shared" si="323"/>
        <v/>
      </c>
      <c r="O4379" s="362"/>
    </row>
    <row r="4380" spans="1:15" ht="15.75" customHeight="1">
      <c r="A4380" s="395">
        <f t="array" ref="A4380">IF(C4380&lt;&gt;0,INDEX(CodTransporte,MATCH(C4380,Transporte,0),),)</f>
        <v>0</v>
      </c>
      <c r="B4380" s="399"/>
      <c r="C4380" s="1128"/>
      <c r="D4380" s="940"/>
      <c r="E4380" s="940"/>
      <c r="F4380" s="940"/>
      <c r="G4380" s="940"/>
      <c r="H4380" s="940"/>
      <c r="I4380" s="440"/>
      <c r="J4380" s="441" t="str">
        <f>IF($A4380&gt;0,(VLOOKUP($A4380,TablaTransporte,6,FALSE)),"")</f>
        <v/>
      </c>
      <c r="K4380" s="442" t="str">
        <f>IF($A4380&gt;0,(VLOOKUP($A4380,TablaTransporte,5,FALSE)),"")</f>
        <v/>
      </c>
      <c r="L4380" s="1134" t="str">
        <f>IF($A4380&gt;0,(VLOOKUP($A4380,TablaTransporte,7,FALSE)),"")</f>
        <v/>
      </c>
      <c r="M4380" s="941"/>
      <c r="N4380" s="430" t="str">
        <f t="shared" si="323"/>
        <v/>
      </c>
      <c r="O4380" s="362"/>
    </row>
    <row r="4381" spans="1:15" ht="15.75" customHeight="1">
      <c r="A4381" s="395">
        <f t="array" ref="A4381">IF(C4381&lt;&gt;0,INDEX(CodTransporte,MATCH(C4381,Transporte,0),),)</f>
        <v>0</v>
      </c>
      <c r="B4381" s="399"/>
      <c r="C4381" s="1128"/>
      <c r="D4381" s="940"/>
      <c r="E4381" s="940"/>
      <c r="F4381" s="940"/>
      <c r="G4381" s="940"/>
      <c r="H4381" s="940"/>
      <c r="I4381" s="440"/>
      <c r="J4381" s="441" t="str">
        <f>IF($A4381&gt;0,(VLOOKUP($A4381,TablaTransporte,6,FALSE)),"")</f>
        <v/>
      </c>
      <c r="K4381" s="442" t="str">
        <f>IF($A4381&gt;0,(VLOOKUP($A4381,TablaTransporte,5,FALSE)),"")</f>
        <v/>
      </c>
      <c r="L4381" s="1205" t="str">
        <f>IF($A4381&gt;0,(VLOOKUP($A4381,TablaTransporte,7,FALSE)),"")</f>
        <v/>
      </c>
      <c r="M4381" s="1145"/>
      <c r="N4381" s="430" t="str">
        <f t="shared" si="323"/>
        <v/>
      </c>
      <c r="O4381" s="362"/>
    </row>
    <row r="4382" spans="1:15" ht="15.75" customHeight="1">
      <c r="A4382" s="395"/>
      <c r="B4382" s="399"/>
      <c r="C4382" s="1127" t="s">
        <v>1202</v>
      </c>
      <c r="D4382" s="965"/>
      <c r="E4382" s="965"/>
      <c r="F4382" s="965"/>
      <c r="G4382" s="965"/>
      <c r="H4382" s="965"/>
      <c r="I4382" s="965"/>
      <c r="J4382" s="965"/>
      <c r="K4382" s="965"/>
      <c r="L4382" s="965"/>
      <c r="M4382" s="966"/>
      <c r="N4382" s="433">
        <f>+SUM(N4377:N4381)</f>
        <v>0</v>
      </c>
      <c r="O4382" s="362"/>
    </row>
    <row r="4383" spans="1:15" ht="15.75" customHeight="1">
      <c r="A4383" s="395"/>
      <c r="B4383" s="399"/>
      <c r="C4383" s="1129" t="s">
        <v>1214</v>
      </c>
      <c r="D4383" s="926"/>
      <c r="E4383" s="926"/>
      <c r="F4383" s="926"/>
      <c r="G4383" s="926"/>
      <c r="H4383" s="926"/>
      <c r="I4383" s="926"/>
      <c r="J4383" s="926"/>
      <c r="K4383" s="926"/>
      <c r="L4383" s="926"/>
      <c r="M4383" s="926"/>
      <c r="N4383" s="927"/>
      <c r="O4383" s="362"/>
    </row>
    <row r="4384" spans="1:15" ht="15.75" customHeight="1">
      <c r="A4384" s="395"/>
      <c r="B4384" s="399"/>
      <c r="C4384" s="920"/>
      <c r="D4384" s="922"/>
      <c r="E4384" s="922"/>
      <c r="F4384" s="922"/>
      <c r="G4384" s="922"/>
      <c r="H4384" s="922"/>
      <c r="I4384" s="922"/>
      <c r="J4384" s="922"/>
      <c r="K4384" s="922"/>
      <c r="L4384" s="922"/>
      <c r="M4384" s="922"/>
      <c r="N4384" s="924"/>
      <c r="O4384" s="362"/>
    </row>
    <row r="4385" spans="1:18" ht="15.75" customHeight="1">
      <c r="A4385" s="395"/>
      <c r="B4385" s="399"/>
      <c r="C4385" s="929"/>
      <c r="D4385" s="936"/>
      <c r="E4385" s="936"/>
      <c r="F4385" s="936"/>
      <c r="G4385" s="936"/>
      <c r="H4385" s="936"/>
      <c r="I4385" s="936"/>
      <c r="J4385" s="936"/>
      <c r="K4385" s="936"/>
      <c r="L4385" s="936"/>
      <c r="M4385" s="936"/>
      <c r="N4385" s="938"/>
      <c r="O4385" s="362"/>
    </row>
    <row r="4386" spans="1:18" ht="15.75" customHeight="1">
      <c r="A4386" s="395"/>
      <c r="B4386" s="399"/>
      <c r="C4386" s="1201" t="s">
        <v>1215</v>
      </c>
      <c r="D4386" s="1131"/>
      <c r="E4386" s="1131"/>
      <c r="F4386" s="1131"/>
      <c r="G4386" s="1131"/>
      <c r="H4386" s="1000"/>
      <c r="I4386" s="670" t="s">
        <v>1216</v>
      </c>
      <c r="J4386" s="676" t="s">
        <v>1217</v>
      </c>
      <c r="K4386" s="677" t="s">
        <v>1218</v>
      </c>
      <c r="L4386" s="1206" t="s">
        <v>1199</v>
      </c>
      <c r="M4386" s="1000"/>
      <c r="N4386" s="678" t="s">
        <v>1200</v>
      </c>
      <c r="O4386" s="362"/>
    </row>
    <row r="4387" spans="1:18" ht="15.75" customHeight="1">
      <c r="A4387" s="395" t="str">
        <f t="array" ref="A4387">IF(C4387&lt;&gt;0,INDEX(CodMO,MATCH(C4387,MO,0),),)</f>
        <v>M.O-15</v>
      </c>
      <c r="B4387" s="399"/>
      <c r="C4387" s="1128" t="s">
        <v>2607</v>
      </c>
      <c r="D4387" s="940"/>
      <c r="E4387" s="940"/>
      <c r="F4387" s="940"/>
      <c r="G4387" s="940"/>
      <c r="H4387" s="940"/>
      <c r="I4387" s="447">
        <f>IF($A4387&gt;0,(VLOOKUP($A4387,TablaMO,8,FALSE)),"")</f>
        <v>366787.33333333331</v>
      </c>
      <c r="J4387" s="448">
        <f>IF($A4387&gt;0,(VLOOKUP($A4387,TablaMO,10,FALSE)),"")</f>
        <v>0.67071666666666663</v>
      </c>
      <c r="K4387" s="447">
        <f>IF($A4387&gt;0,(VLOOKUP($A4387,TablaMO,11,FALSE)),"")</f>
        <v>367679</v>
      </c>
      <c r="L4387" s="1146">
        <v>10.89513310317424</v>
      </c>
      <c r="M4387" s="941"/>
      <c r="N4387" s="430">
        <f t="shared" ref="N4387:N4391" si="324">IF(L4387&gt;0,K4387/L4387,"")</f>
        <v>33747.08656775186</v>
      </c>
      <c r="O4387" s="362"/>
    </row>
    <row r="4388" spans="1:18" ht="15.75" customHeight="1">
      <c r="A4388" s="395">
        <f t="array" ref="A4388">IF(C4388&lt;&gt;0,INDEX(CodMO,MATCH(C4388,MO,0),),)</f>
        <v>0</v>
      </c>
      <c r="B4388" s="399"/>
      <c r="C4388" s="1128"/>
      <c r="D4388" s="940"/>
      <c r="E4388" s="940"/>
      <c r="F4388" s="940"/>
      <c r="G4388" s="940"/>
      <c r="H4388" s="940"/>
      <c r="I4388" s="447" t="str">
        <f>IF($A4388&gt;0,(VLOOKUP($A4388,TablaMO,8,FALSE)),"")</f>
        <v/>
      </c>
      <c r="J4388" s="448" t="str">
        <f>IF($A4388&gt;0,(VLOOKUP($A4388,TablaMO,10,FALSE)),"")</f>
        <v/>
      </c>
      <c r="K4388" s="447" t="str">
        <f>IF($A4388&gt;0,(VLOOKUP($A4388,TablaMO,11,FALSE)),"")</f>
        <v/>
      </c>
      <c r="L4388" s="1146"/>
      <c r="M4388" s="941"/>
      <c r="N4388" s="430" t="str">
        <f t="shared" si="324"/>
        <v/>
      </c>
      <c r="O4388" s="362"/>
    </row>
    <row r="4389" spans="1:18" ht="15.75" customHeight="1">
      <c r="A4389" s="395">
        <f t="array" ref="A4389">IF(C4389&lt;&gt;0,INDEX(CodMO,MATCH(C4389,MO,0),),)</f>
        <v>0</v>
      </c>
      <c r="B4389" s="399"/>
      <c r="C4389" s="1128"/>
      <c r="D4389" s="940"/>
      <c r="E4389" s="940"/>
      <c r="F4389" s="940"/>
      <c r="G4389" s="940"/>
      <c r="H4389" s="940"/>
      <c r="I4389" s="447" t="str">
        <f>IF($A4389&gt;0,(VLOOKUP($A4389,TablaMO,8,FALSE)),"")</f>
        <v/>
      </c>
      <c r="J4389" s="448" t="str">
        <f>IF($A4389&gt;0,(VLOOKUP($A4389,TablaMO,10,FALSE)),"")</f>
        <v/>
      </c>
      <c r="K4389" s="447" t="str">
        <f>IF($A4389&gt;0,(VLOOKUP($A4389,TablaMO,11,FALSE)),"")</f>
        <v/>
      </c>
      <c r="L4389" s="1146"/>
      <c r="M4389" s="941"/>
      <c r="N4389" s="430" t="str">
        <f t="shared" si="324"/>
        <v/>
      </c>
      <c r="O4389" s="362"/>
    </row>
    <row r="4390" spans="1:18" ht="15.75" customHeight="1">
      <c r="A4390" s="395">
        <f t="array" ref="A4390">IF(C4390&lt;&gt;0,INDEX(CodMO,MATCH(C4390,MO,0),),)</f>
        <v>0</v>
      </c>
      <c r="B4390" s="399"/>
      <c r="C4390" s="1128"/>
      <c r="D4390" s="940"/>
      <c r="E4390" s="940"/>
      <c r="F4390" s="940"/>
      <c r="G4390" s="940"/>
      <c r="H4390" s="940"/>
      <c r="I4390" s="447" t="str">
        <f>IF($A4390&gt;0,(VLOOKUP($A4390,TablaMO,8,FALSE)),"")</f>
        <v/>
      </c>
      <c r="J4390" s="448" t="str">
        <f>IF($A4390&gt;0,(VLOOKUP($A4390,TablaMO,10,FALSE)),"")</f>
        <v/>
      </c>
      <c r="K4390" s="447" t="str">
        <f>IF($A4390&gt;0,(VLOOKUP($A4390,TablaMO,11,FALSE)),"")</f>
        <v/>
      </c>
      <c r="L4390" s="1146"/>
      <c r="M4390" s="941"/>
      <c r="N4390" s="430" t="str">
        <f t="shared" si="324"/>
        <v/>
      </c>
      <c r="O4390" s="362"/>
    </row>
    <row r="4391" spans="1:18" ht="15.75" customHeight="1">
      <c r="A4391" s="395">
        <f t="array" ref="A4391">IF(C4391&lt;&gt;0,INDEX(CodMO,MATCH(C4391,MO,0),),)</f>
        <v>0</v>
      </c>
      <c r="B4391" s="399"/>
      <c r="C4391" s="1128"/>
      <c r="D4391" s="940"/>
      <c r="E4391" s="940"/>
      <c r="F4391" s="940"/>
      <c r="G4391" s="940"/>
      <c r="H4391" s="940"/>
      <c r="I4391" s="447" t="str">
        <f>IF($A4391&gt;0,(VLOOKUP($A4391,TablaMO,8,FALSE)),"")</f>
        <v/>
      </c>
      <c r="J4391" s="448" t="str">
        <f>IF($A4391&gt;0,(VLOOKUP($A4391,TablaMO,10,FALSE)),"")</f>
        <v/>
      </c>
      <c r="K4391" s="447" t="str">
        <f>IF($A4391&gt;0,(VLOOKUP($A4391,TablaMO,11,FALSE)),"")</f>
        <v/>
      </c>
      <c r="L4391" s="1146"/>
      <c r="M4391" s="941"/>
      <c r="N4391" s="430" t="str">
        <f t="shared" si="324"/>
        <v/>
      </c>
      <c r="O4391" s="362"/>
    </row>
    <row r="4392" spans="1:18" ht="15.75" customHeight="1">
      <c r="A4392" s="395"/>
      <c r="B4392" s="399"/>
      <c r="C4392" s="1127" t="s">
        <v>1202</v>
      </c>
      <c r="D4392" s="965"/>
      <c r="E4392" s="965"/>
      <c r="F4392" s="965"/>
      <c r="G4392" s="965"/>
      <c r="H4392" s="965"/>
      <c r="I4392" s="965"/>
      <c r="J4392" s="965"/>
      <c r="K4392" s="965"/>
      <c r="L4392" s="965"/>
      <c r="M4392" s="966"/>
      <c r="N4392" s="433">
        <f>+SUM(N4387:N4391)</f>
        <v>33747.08656775186</v>
      </c>
      <c r="O4392" s="362"/>
    </row>
    <row r="4393" spans="1:18" ht="15.75" customHeight="1">
      <c r="B4393" s="679"/>
      <c r="O4393" s="362"/>
    </row>
    <row r="4394" spans="1:18" ht="15.75" customHeight="1">
      <c r="B4394" s="679"/>
      <c r="C4394" s="1198" t="s">
        <v>1219</v>
      </c>
      <c r="D4394" s="965"/>
      <c r="E4394" s="965"/>
      <c r="F4394" s="965"/>
      <c r="G4394" s="965"/>
      <c r="H4394" s="965"/>
      <c r="I4394" s="965"/>
      <c r="J4394" s="965"/>
      <c r="K4394" s="965"/>
      <c r="L4394" s="965"/>
      <c r="M4394" s="966"/>
      <c r="N4394" s="680">
        <f>ROUND(SUM(N4392,N4382,N4372,N4359),0)</f>
        <v>60614</v>
      </c>
      <c r="O4394" s="362"/>
      <c r="Q4394" s="681">
        <f>VLOOKUP(C4348,PROPUESTASASERCO,8,FALSE)</f>
        <v>60614</v>
      </c>
      <c r="R4394" s="682">
        <f>Q4394-N4394</f>
        <v>0</v>
      </c>
    </row>
    <row r="4395" spans="1:18" ht="15.75" customHeight="1">
      <c r="B4395" s="679"/>
      <c r="C4395" s="1129" t="s">
        <v>1220</v>
      </c>
      <c r="D4395" s="926"/>
      <c r="E4395" s="926"/>
      <c r="F4395" s="926"/>
      <c r="G4395" s="926"/>
      <c r="H4395" s="926"/>
      <c r="I4395" s="926"/>
      <c r="J4395" s="926"/>
      <c r="K4395" s="926"/>
      <c r="L4395" s="926"/>
      <c r="M4395" s="926"/>
      <c r="N4395" s="927"/>
      <c r="O4395" s="362"/>
    </row>
    <row r="4396" spans="1:18" ht="15.75" customHeight="1">
      <c r="B4396" s="679"/>
      <c r="C4396" s="920"/>
      <c r="D4396" s="922"/>
      <c r="E4396" s="922"/>
      <c r="F4396" s="922"/>
      <c r="G4396" s="922"/>
      <c r="H4396" s="922"/>
      <c r="I4396" s="922"/>
      <c r="J4396" s="922"/>
      <c r="K4396" s="922"/>
      <c r="L4396" s="922"/>
      <c r="M4396" s="922"/>
      <c r="N4396" s="924"/>
      <c r="O4396" s="362"/>
    </row>
    <row r="4397" spans="1:18" ht="15.75" customHeight="1">
      <c r="B4397" s="679"/>
      <c r="C4397" s="929"/>
      <c r="D4397" s="936"/>
      <c r="E4397" s="936"/>
      <c r="F4397" s="936"/>
      <c r="G4397" s="936"/>
      <c r="H4397" s="936"/>
      <c r="I4397" s="936"/>
      <c r="J4397" s="936"/>
      <c r="K4397" s="936"/>
      <c r="L4397" s="936"/>
      <c r="M4397" s="936"/>
      <c r="N4397" s="938"/>
      <c r="O4397" s="362"/>
    </row>
    <row r="4398" spans="1:18" ht="15.75" customHeight="1">
      <c r="B4398" s="679"/>
      <c r="C4398" s="1201" t="s">
        <v>1221</v>
      </c>
      <c r="D4398" s="1131"/>
      <c r="E4398" s="1131"/>
      <c r="F4398" s="1131"/>
      <c r="G4398" s="1131"/>
      <c r="H4398" s="1132"/>
      <c r="I4398" s="674"/>
      <c r="J4398" s="674"/>
      <c r="K4398" s="674"/>
      <c r="L4398" s="1206" t="s">
        <v>1222</v>
      </c>
      <c r="M4398" s="1000"/>
      <c r="N4398" s="678" t="s">
        <v>1223</v>
      </c>
      <c r="O4398" s="362"/>
    </row>
    <row r="4399" spans="1:18" ht="15.75" customHeight="1">
      <c r="B4399" s="679"/>
      <c r="C4399" s="1128" t="s">
        <v>19</v>
      </c>
      <c r="D4399" s="940"/>
      <c r="E4399" s="940"/>
      <c r="F4399" s="940"/>
      <c r="G4399" s="940"/>
      <c r="H4399" s="940"/>
      <c r="I4399" s="452"/>
      <c r="J4399" s="452"/>
      <c r="K4399" s="452"/>
      <c r="L4399" s="1148">
        <f>+Datos!$E$18</f>
        <v>0.25</v>
      </c>
      <c r="M4399" s="941"/>
      <c r="N4399" s="430">
        <f>+L4399*N4394</f>
        <v>15153.5</v>
      </c>
      <c r="O4399" s="362"/>
    </row>
    <row r="4400" spans="1:18" ht="15.75" customHeight="1">
      <c r="B4400" s="679"/>
      <c r="C4400" s="454" t="s">
        <v>20</v>
      </c>
      <c r="D4400" s="455"/>
      <c r="E4400" s="455"/>
      <c r="F4400" s="455"/>
      <c r="G4400" s="455"/>
      <c r="H4400" s="455"/>
      <c r="I4400" s="452"/>
      <c r="J4400" s="452"/>
      <c r="K4400" s="452"/>
      <c r="L4400" s="1148">
        <f>+Datos!$E$19</f>
        <v>0.01</v>
      </c>
      <c r="M4400" s="941"/>
      <c r="N4400" s="430">
        <f>+L4400*N4394</f>
        <v>606.14</v>
      </c>
      <c r="O4400" s="362"/>
    </row>
    <row r="4401" spans="1:15" ht="15.75" customHeight="1">
      <c r="B4401" s="679"/>
      <c r="C4401" s="456" t="s">
        <v>21</v>
      </c>
      <c r="D4401" s="457"/>
      <c r="E4401" s="457"/>
      <c r="F4401" s="457"/>
      <c r="G4401" s="457"/>
      <c r="H4401" s="457"/>
      <c r="I4401" s="458"/>
      <c r="J4401" s="458"/>
      <c r="K4401" s="458"/>
      <c r="L4401" s="1148">
        <f>+Datos!$E$20</f>
        <v>0.05</v>
      </c>
      <c r="M4401" s="941"/>
      <c r="N4401" s="430">
        <f>+L4401*N4394</f>
        <v>3030.7000000000003</v>
      </c>
      <c r="O4401" s="362"/>
    </row>
    <row r="4402" spans="1:15" ht="15.75" customHeight="1">
      <c r="B4402" s="679"/>
      <c r="C4402" s="1127" t="s">
        <v>1202</v>
      </c>
      <c r="D4402" s="965"/>
      <c r="E4402" s="965"/>
      <c r="F4402" s="965"/>
      <c r="G4402" s="965"/>
      <c r="H4402" s="965"/>
      <c r="I4402" s="965"/>
      <c r="J4402" s="965"/>
      <c r="K4402" s="965"/>
      <c r="L4402" s="965"/>
      <c r="M4402" s="966"/>
      <c r="N4402" s="433">
        <f>+SUM(N4399:N4401)</f>
        <v>18790.34</v>
      </c>
      <c r="O4402" s="362"/>
    </row>
    <row r="4403" spans="1:15" ht="15.75" customHeight="1">
      <c r="B4403" s="679"/>
      <c r="C4403" s="418"/>
      <c r="D4403" s="39"/>
      <c r="E4403" s="39"/>
      <c r="F4403" s="39"/>
      <c r="G4403" s="39"/>
      <c r="H4403" s="39"/>
      <c r="I4403" s="39"/>
      <c r="J4403" s="39"/>
      <c r="K4403" s="39"/>
      <c r="L4403" s="39"/>
      <c r="M4403" s="39"/>
      <c r="N4403" s="40"/>
      <c r="O4403" s="362"/>
    </row>
    <row r="4404" spans="1:15" ht="15.75" customHeight="1">
      <c r="B4404" s="679"/>
      <c r="C4404" s="1198" t="s">
        <v>1224</v>
      </c>
      <c r="D4404" s="965"/>
      <c r="E4404" s="965"/>
      <c r="F4404" s="965"/>
      <c r="G4404" s="965"/>
      <c r="H4404" s="965"/>
      <c r="I4404" s="965"/>
      <c r="J4404" s="965"/>
      <c r="K4404" s="965"/>
      <c r="L4404" s="965"/>
      <c r="M4404" s="966"/>
      <c r="N4404" s="683">
        <f>+ROUND(SUM(N4402,N4394),0)</f>
        <v>79404</v>
      </c>
      <c r="O4404" s="362"/>
    </row>
    <row r="4405" spans="1:15" ht="15.75" customHeight="1">
      <c r="B4405" s="679"/>
      <c r="C4405" s="418"/>
      <c r="D4405" s="39" t="s">
        <v>1225</v>
      </c>
      <c r="E4405" s="39"/>
      <c r="F4405" s="39"/>
      <c r="G4405" s="184"/>
      <c r="H4405" s="184"/>
      <c r="I4405" s="184"/>
      <c r="J4405" s="39" t="s">
        <v>1225</v>
      </c>
      <c r="K4405" s="39"/>
      <c r="L4405" s="39"/>
      <c r="M4405" s="39"/>
      <c r="N4405" s="40"/>
      <c r="O4405" s="362"/>
    </row>
    <row r="4406" spans="1:15" ht="15.75" customHeight="1">
      <c r="B4406" s="679"/>
      <c r="C4406" s="418"/>
      <c r="D4406" s="39" t="s">
        <v>1226</v>
      </c>
      <c r="E4406" s="39"/>
      <c r="F4406" s="39"/>
      <c r="G4406" s="184"/>
      <c r="H4406" s="184"/>
      <c r="I4406" s="184"/>
      <c r="J4406" s="39" t="s">
        <v>1227</v>
      </c>
      <c r="K4406" s="39"/>
      <c r="L4406" s="39"/>
      <c r="M4406" s="39"/>
      <c r="N4406" s="40"/>
      <c r="O4406" s="362"/>
    </row>
    <row r="4407" spans="1:15" ht="15.75" customHeight="1">
      <c r="B4407" s="679"/>
      <c r="C4407" s="404"/>
      <c r="D4407" s="39" t="s">
        <v>1228</v>
      </c>
      <c r="E4407" s="42"/>
      <c r="F4407" s="42"/>
      <c r="G4407" s="184"/>
      <c r="H4407" s="184"/>
      <c r="I4407" s="184"/>
      <c r="J4407" s="39" t="s">
        <v>1228</v>
      </c>
      <c r="K4407" s="42"/>
      <c r="L4407" s="42"/>
      <c r="M4407" s="42"/>
      <c r="N4407" s="43"/>
      <c r="O4407" s="362"/>
    </row>
    <row r="4408" spans="1:15" ht="15.75" customHeight="1">
      <c r="B4408" s="679"/>
      <c r="C4408" s="418"/>
      <c r="D4408" s="39"/>
      <c r="E4408" s="39"/>
      <c r="F4408" s="39"/>
      <c r="G4408" s="39" t="s">
        <v>1229</v>
      </c>
      <c r="H4408" s="39"/>
      <c r="I4408" s="39"/>
      <c r="J4408" s="39"/>
      <c r="K4408" s="39"/>
      <c r="L4408" s="39"/>
      <c r="M4408" s="39"/>
      <c r="N4408" s="40"/>
      <c r="O4408" s="362"/>
    </row>
    <row r="4409" spans="1:15" ht="15.75" customHeight="1">
      <c r="B4409" s="679"/>
      <c r="C4409" s="466"/>
      <c r="D4409" s="467"/>
      <c r="E4409" s="467"/>
      <c r="F4409" s="39"/>
      <c r="G4409" s="39"/>
      <c r="H4409" s="39"/>
      <c r="I4409" s="39"/>
      <c r="J4409" s="1149"/>
      <c r="K4409" s="922"/>
      <c r="L4409" s="922"/>
      <c r="M4409" s="922"/>
      <c r="N4409" s="924"/>
      <c r="O4409" s="362"/>
    </row>
    <row r="4410" spans="1:15" ht="15.75" customHeight="1">
      <c r="B4410" s="679"/>
      <c r="C4410" s="1150"/>
      <c r="D4410" s="936"/>
      <c r="E4410" s="936"/>
      <c r="F4410" s="416"/>
      <c r="G4410" s="416"/>
      <c r="H4410" s="416"/>
      <c r="I4410" s="416"/>
      <c r="J4410" s="936"/>
      <c r="K4410" s="936"/>
      <c r="L4410" s="936"/>
      <c r="M4410" s="936"/>
      <c r="N4410" s="938"/>
      <c r="O4410" s="362"/>
    </row>
    <row r="4411" spans="1:15" ht="15.75" customHeight="1">
      <c r="B4411" s="684"/>
      <c r="C4411" s="685"/>
      <c r="D4411" s="685"/>
      <c r="E4411" s="685"/>
      <c r="F4411" s="685"/>
      <c r="G4411" s="685"/>
      <c r="H4411" s="685"/>
      <c r="I4411" s="685"/>
      <c r="J4411" s="685"/>
      <c r="K4411" s="685"/>
      <c r="L4411" s="685"/>
      <c r="M4411" s="685"/>
      <c r="N4411" s="685"/>
      <c r="O4411" s="686"/>
    </row>
    <row r="4412" spans="1:15" ht="15.75" customHeight="1"/>
    <row r="4413" spans="1:15" ht="15.75" customHeight="1"/>
    <row r="4414" spans="1:15" ht="15.75" customHeight="1"/>
    <row r="4415" spans="1:15" ht="15.75" customHeight="1">
      <c r="A4415" s="395" t="s">
        <v>941</v>
      </c>
      <c r="B4415" s="184"/>
      <c r="C4415" s="184"/>
      <c r="D4415" s="184"/>
      <c r="E4415" s="184"/>
      <c r="F4415" s="184"/>
      <c r="G4415" s="184"/>
      <c r="H4415" s="184"/>
      <c r="I4415" s="184"/>
      <c r="J4415" s="184"/>
      <c r="K4415" s="184"/>
      <c r="L4415" s="184"/>
      <c r="M4415" s="184"/>
      <c r="N4415" s="184"/>
    </row>
    <row r="4416" spans="1:15" ht="15.75" customHeight="1">
      <c r="A4416" s="395"/>
      <c r="B4416" s="396"/>
      <c r="C4416" s="397"/>
      <c r="D4416" s="397"/>
      <c r="E4416" s="397"/>
      <c r="F4416" s="397"/>
      <c r="G4416" s="397"/>
      <c r="H4416" s="397"/>
      <c r="I4416" s="397"/>
      <c r="J4416" s="397"/>
      <c r="K4416" s="397"/>
      <c r="L4416" s="397"/>
      <c r="M4416" s="397"/>
      <c r="N4416" s="397"/>
      <c r="O4416" s="667"/>
    </row>
    <row r="4417" spans="1:15" ht="15.75" customHeight="1">
      <c r="A4417" s="395"/>
      <c r="B4417" s="399"/>
      <c r="C4417" s="1124"/>
      <c r="D4417" s="927"/>
      <c r="E4417" s="1207" t="str">
        <f>Datos!$C$9</f>
        <v>CONSEJO SUPERIOR  DE  JUDICATURA– DIRECCIÓN  EJECUTIVA  SECCIONAL  DE ADMINISTRACIÓN JUDICIAL DE BUCARAMANGA</v>
      </c>
      <c r="F4417" s="926"/>
      <c r="G4417" s="926"/>
      <c r="H4417" s="926"/>
      <c r="I4417" s="926"/>
      <c r="J4417" s="926"/>
      <c r="K4417" s="927"/>
      <c r="L4417" s="925" t="s">
        <v>1</v>
      </c>
      <c r="M4417" s="931"/>
      <c r="N4417" s="933">
        <v>1</v>
      </c>
      <c r="O4417" s="362"/>
    </row>
    <row r="4418" spans="1:15" ht="15.75" customHeight="1">
      <c r="A4418" s="395"/>
      <c r="B4418" s="399"/>
      <c r="C4418" s="920"/>
      <c r="D4418" s="924"/>
      <c r="E4418" s="920"/>
      <c r="F4418" s="922"/>
      <c r="G4418" s="922"/>
      <c r="H4418" s="922"/>
      <c r="I4418" s="922"/>
      <c r="J4418" s="922"/>
      <c r="K4418" s="924"/>
      <c r="L4418" s="920"/>
      <c r="M4418" s="932"/>
      <c r="N4418" s="934"/>
      <c r="O4418" s="362"/>
    </row>
    <row r="4419" spans="1:15" ht="15.75" customHeight="1">
      <c r="A4419" s="395"/>
      <c r="B4419" s="399"/>
      <c r="C4419" s="920"/>
      <c r="D4419" s="924"/>
      <c r="E4419" s="919" t="str">
        <f>Datos!$C$13</f>
        <v xml:space="preserve">BGA - 030 - 2026 </v>
      </c>
      <c r="F4419" s="922"/>
      <c r="G4419" s="922"/>
      <c r="H4419" s="922"/>
      <c r="I4419" s="922"/>
      <c r="J4419" s="922"/>
      <c r="K4419" s="922"/>
      <c r="L4419" s="925" t="s">
        <v>29</v>
      </c>
      <c r="M4419" s="926"/>
      <c r="N4419" s="927"/>
      <c r="O4419" s="362"/>
    </row>
    <row r="4420" spans="1:15" ht="15.75" customHeight="1">
      <c r="A4420" s="395"/>
      <c r="B4420" s="399"/>
      <c r="C4420" s="920"/>
      <c r="D4420" s="924"/>
      <c r="E4420"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420" s="922"/>
      <c r="G4420" s="922"/>
      <c r="H4420" s="922"/>
      <c r="I4420" s="922"/>
      <c r="J4420" s="922"/>
      <c r="K4420" s="924"/>
      <c r="L4420" s="919">
        <v>1</v>
      </c>
      <c r="M4420" s="921" t="s">
        <v>30</v>
      </c>
      <c r="N4420" s="923">
        <v>1</v>
      </c>
      <c r="O4420" s="362"/>
    </row>
    <row r="4421" spans="1:15" ht="15.75" customHeight="1">
      <c r="A4421" s="395"/>
      <c r="B4421" s="399"/>
      <c r="C4421" s="920"/>
      <c r="D4421" s="924"/>
      <c r="E4421" s="920"/>
      <c r="F4421" s="922"/>
      <c r="G4421" s="922"/>
      <c r="H4421" s="922"/>
      <c r="I4421" s="922"/>
      <c r="J4421" s="922"/>
      <c r="K4421" s="924"/>
      <c r="L4421" s="920"/>
      <c r="M4421" s="922"/>
      <c r="N4421" s="924"/>
      <c r="O4421" s="362"/>
    </row>
    <row r="4422" spans="1:15" ht="15.75" customHeight="1">
      <c r="A4422" s="395"/>
      <c r="B4422" s="399"/>
      <c r="C4422" s="920"/>
      <c r="D4422" s="924"/>
      <c r="E4422" s="920"/>
      <c r="F4422" s="922"/>
      <c r="G4422" s="922"/>
      <c r="H4422" s="922"/>
      <c r="I4422" s="922"/>
      <c r="J4422" s="922"/>
      <c r="K4422" s="924"/>
      <c r="L4422" s="925" t="s">
        <v>2</v>
      </c>
      <c r="M4422" s="926"/>
      <c r="N4422" s="927"/>
      <c r="O4422" s="362"/>
    </row>
    <row r="4423" spans="1:15" ht="15.75" customHeight="1">
      <c r="A4423" s="395"/>
      <c r="B4423" s="399"/>
      <c r="C4423" s="920"/>
      <c r="D4423" s="924"/>
      <c r="E4423" s="407"/>
      <c r="F4423" s="216"/>
      <c r="G4423" s="216"/>
      <c r="H4423" s="216"/>
      <c r="I4423" s="216"/>
      <c r="J4423" s="216"/>
      <c r="K4423" s="216"/>
      <c r="L4423" s="408" t="s">
        <v>3</v>
      </c>
      <c r="M4423" s="409" t="s">
        <v>4</v>
      </c>
      <c r="N4423" s="410" t="s">
        <v>5</v>
      </c>
      <c r="O4423" s="362"/>
    </row>
    <row r="4424" spans="1:15" ht="15.75" customHeight="1">
      <c r="A4424" s="395"/>
      <c r="B4424" s="399"/>
      <c r="C4424" s="920"/>
      <c r="D4424" s="924"/>
      <c r="E4424" s="1125" t="s">
        <v>1186</v>
      </c>
      <c r="F4424" s="945"/>
      <c r="G4424" s="945"/>
      <c r="H4424" s="945"/>
      <c r="I4424" s="945"/>
      <c r="J4424" s="945"/>
      <c r="K4424" s="945"/>
      <c r="L4424" s="928">
        <f>Datos!$C$7</f>
        <v>19</v>
      </c>
      <c r="M4424" s="935">
        <f>Datos!$D$7</f>
        <v>6</v>
      </c>
      <c r="N4424" s="937">
        <f>Datos!$E$7</f>
        <v>2026</v>
      </c>
      <c r="O4424" s="362"/>
    </row>
    <row r="4425" spans="1:15" ht="15.75" customHeight="1">
      <c r="A4425" s="395"/>
      <c r="B4425" s="399"/>
      <c r="C4425" s="929"/>
      <c r="D4425" s="938"/>
      <c r="E4425" s="929"/>
      <c r="F4425" s="936"/>
      <c r="G4425" s="936"/>
      <c r="H4425" s="936"/>
      <c r="I4425" s="936"/>
      <c r="J4425" s="936"/>
      <c r="K4425" s="936"/>
      <c r="L4425" s="929"/>
      <c r="M4425" s="936"/>
      <c r="N4425" s="938"/>
      <c r="O4425" s="362"/>
    </row>
    <row r="4426" spans="1:15" ht="15.75" customHeight="1">
      <c r="A4426" s="395"/>
      <c r="B4426" s="399"/>
      <c r="C4426" s="404"/>
      <c r="D4426" s="38"/>
      <c r="E4426" s="38"/>
      <c r="F4426" s="38"/>
      <c r="G4426" s="38"/>
      <c r="H4426" s="38"/>
      <c r="I4426" s="38"/>
      <c r="J4426" s="38"/>
      <c r="K4426" s="38"/>
      <c r="L4426" s="39"/>
      <c r="M4426" s="39"/>
      <c r="N4426" s="40"/>
      <c r="O4426" s="362"/>
    </row>
    <row r="4427" spans="1:15" ht="15.75" customHeight="1">
      <c r="A4427" s="395"/>
      <c r="B4427" s="399"/>
      <c r="C4427" s="412" t="s">
        <v>1187</v>
      </c>
      <c r="D4427" s="1199" t="str">
        <f>VLOOKUP(C4432,ListaAct,2,0)</f>
        <v>OBRA CIVIL</v>
      </c>
      <c r="E4427" s="922"/>
      <c r="F4427" s="922"/>
      <c r="G4427" s="922"/>
      <c r="H4427" s="922"/>
      <c r="I4427" s="922"/>
      <c r="J4427" s="922"/>
      <c r="K4427" s="922"/>
      <c r="L4427" s="922"/>
      <c r="M4427" s="1"/>
      <c r="N4427" s="413"/>
      <c r="O4427" s="362"/>
    </row>
    <row r="4428" spans="1:15" ht="15.75" customHeight="1">
      <c r="A4428" s="395"/>
      <c r="B4428" s="399"/>
      <c r="C4428" s="412" t="s">
        <v>1189</v>
      </c>
      <c r="D4428" s="1199" t="str">
        <f>VLOOKUP(C4432,ListaAct,3,0)</f>
        <v>ACTIVIDADES ELECTRICAS, DATOS Y DEMAS REQUERIDAS</v>
      </c>
      <c r="E4428" s="922"/>
      <c r="F4428" s="922"/>
      <c r="G4428" s="922"/>
      <c r="H4428" s="922"/>
      <c r="I4428" s="922"/>
      <c r="J4428" s="922"/>
      <c r="K4428" s="922"/>
      <c r="L4428" s="922"/>
      <c r="M4428" s="1"/>
      <c r="N4428" s="413"/>
      <c r="O4428" s="362"/>
    </row>
    <row r="4429" spans="1:15" ht="15.75" customHeight="1">
      <c r="A4429" s="395"/>
      <c r="B4429" s="399"/>
      <c r="C4429" s="925" t="s">
        <v>1191</v>
      </c>
      <c r="D4429" s="926"/>
      <c r="E4429" s="926"/>
      <c r="F4429" s="926"/>
      <c r="G4429" s="926"/>
      <c r="H4429" s="926"/>
      <c r="I4429" s="926"/>
      <c r="J4429" s="926"/>
      <c r="K4429" s="926"/>
      <c r="L4429" s="926"/>
      <c r="M4429" s="926"/>
      <c r="N4429" s="927"/>
      <c r="O4429" s="362"/>
    </row>
    <row r="4430" spans="1:15" ht="15.75" customHeight="1">
      <c r="A4430" s="395"/>
      <c r="B4430" s="399"/>
      <c r="C4430" s="418"/>
      <c r="D4430" s="39"/>
      <c r="E4430" s="39"/>
      <c r="F4430" s="39"/>
      <c r="G4430" s="39"/>
      <c r="H4430" s="39"/>
      <c r="I4430" s="39"/>
      <c r="J4430" s="39"/>
      <c r="K4430" s="39"/>
      <c r="L4430" s="39"/>
      <c r="M4430" s="39"/>
      <c r="N4430" s="40"/>
      <c r="O4430" s="362"/>
    </row>
    <row r="4431" spans="1:15" ht="15.75" customHeight="1">
      <c r="A4431" s="395"/>
      <c r="B4431" s="399"/>
      <c r="C4431" s="668" t="s">
        <v>965</v>
      </c>
      <c r="D4431" s="1200" t="s">
        <v>17</v>
      </c>
      <c r="E4431" s="1131"/>
      <c r="F4431" s="1131"/>
      <c r="G4431" s="1131"/>
      <c r="H4431" s="1131"/>
      <c r="I4431" s="1131"/>
      <c r="J4431" s="1131"/>
      <c r="K4431" s="1137"/>
      <c r="L4431" s="1201" t="s">
        <v>1192</v>
      </c>
      <c r="M4431" s="1137"/>
      <c r="N4431" s="668" t="s">
        <v>950</v>
      </c>
      <c r="O4431" s="362"/>
    </row>
    <row r="4432" spans="1:15" ht="15.75" customHeight="1">
      <c r="A4432" s="395"/>
      <c r="B4432" s="421"/>
      <c r="C4432" s="669" t="s">
        <v>1133</v>
      </c>
      <c r="D4432" s="1202" t="str">
        <f>IF($C4432&gt;0,(VLOOKUP($C4432,ListaAct,4,FALSE)),"")</f>
        <v>Suministro E Instalación De Troquel Metálico Piramidal doble 12 X 5 Blanco</v>
      </c>
      <c r="E4432" s="979"/>
      <c r="F4432" s="979"/>
      <c r="G4432" s="979"/>
      <c r="H4432" s="979"/>
      <c r="I4432" s="979"/>
      <c r="J4432" s="979"/>
      <c r="K4432" s="980"/>
      <c r="L4432" s="1203" t="str">
        <f>IF($C4432&gt;0,(VLOOKUP($C4432,ListaAct,5,FALSE)),"")</f>
        <v>und</v>
      </c>
      <c r="M4432" s="980"/>
      <c r="N4432" s="423">
        <f>IF($C4432&gt;0,(VLOOKUP($C4432,ListaAct,6,FALSE)),"")</f>
        <v>2</v>
      </c>
      <c r="O4432" s="362"/>
    </row>
    <row r="4433" spans="1:15" ht="15.75" customHeight="1">
      <c r="A4433" s="395"/>
      <c r="B4433" s="399"/>
      <c r="C4433" s="1129" t="s">
        <v>1195</v>
      </c>
      <c r="D4433" s="926"/>
      <c r="E4433" s="926"/>
      <c r="F4433" s="926"/>
      <c r="G4433" s="926"/>
      <c r="H4433" s="926"/>
      <c r="I4433" s="926"/>
      <c r="J4433" s="926"/>
      <c r="K4433" s="926"/>
      <c r="L4433" s="926"/>
      <c r="M4433" s="926"/>
      <c r="N4433" s="927"/>
      <c r="O4433" s="362"/>
    </row>
    <row r="4434" spans="1:15" ht="15.75" customHeight="1">
      <c r="A4434" s="395"/>
      <c r="B4434" s="399"/>
      <c r="C4434" s="920"/>
      <c r="D4434" s="922"/>
      <c r="E4434" s="922"/>
      <c r="F4434" s="922"/>
      <c r="G4434" s="922"/>
      <c r="H4434" s="922"/>
      <c r="I4434" s="922"/>
      <c r="J4434" s="922"/>
      <c r="K4434" s="922"/>
      <c r="L4434" s="922"/>
      <c r="M4434" s="922"/>
      <c r="N4434" s="924"/>
      <c r="O4434" s="362"/>
    </row>
    <row r="4435" spans="1:15" ht="15.75" customHeight="1">
      <c r="A4435" s="395"/>
      <c r="B4435" s="399"/>
      <c r="C4435" s="929"/>
      <c r="D4435" s="936"/>
      <c r="E4435" s="936"/>
      <c r="F4435" s="936"/>
      <c r="G4435" s="936"/>
      <c r="H4435" s="936"/>
      <c r="I4435" s="936"/>
      <c r="J4435" s="936"/>
      <c r="K4435" s="936"/>
      <c r="L4435" s="936"/>
      <c r="M4435" s="936"/>
      <c r="N4435" s="938"/>
      <c r="O4435" s="362"/>
    </row>
    <row r="4436" spans="1:15" ht="15.75" customHeight="1">
      <c r="A4436" s="395"/>
      <c r="B4436" s="399"/>
      <c r="C4436" s="1201" t="s">
        <v>17</v>
      </c>
      <c r="D4436" s="1131"/>
      <c r="E4436" s="1131"/>
      <c r="F4436" s="1000"/>
      <c r="G4436" s="1204" t="s">
        <v>1196</v>
      </c>
      <c r="H4436" s="1000"/>
      <c r="I4436" s="1204" t="s">
        <v>1197</v>
      </c>
      <c r="J4436" s="1000"/>
      <c r="K4436" s="670" t="s">
        <v>1213</v>
      </c>
      <c r="L4436" s="1204" t="s">
        <v>1199</v>
      </c>
      <c r="M4436" s="1000"/>
      <c r="N4436" s="671" t="s">
        <v>1200</v>
      </c>
      <c r="O4436" s="362"/>
    </row>
    <row r="4437" spans="1:15" ht="15.75" customHeight="1">
      <c r="A4437" s="395"/>
      <c r="B4437" s="399"/>
      <c r="C4437" s="1128" t="s">
        <v>1201</v>
      </c>
      <c r="D4437" s="940"/>
      <c r="E4437" s="940"/>
      <c r="F4437" s="941"/>
      <c r="G4437" s="1142"/>
      <c r="H4437" s="941"/>
      <c r="I4437" s="1142"/>
      <c r="J4437" s="941"/>
      <c r="K4437" s="429"/>
      <c r="L4437" s="1143">
        <v>0.05</v>
      </c>
      <c r="M4437" s="941"/>
      <c r="N4437" s="430">
        <f>+L4437*N4476</f>
        <v>1439.5927623322691</v>
      </c>
      <c r="O4437" s="362"/>
    </row>
    <row r="4438" spans="1:15" ht="15.75" customHeight="1">
      <c r="A4438" s="395">
        <f t="array" ref="A4438">IF(C4438&lt;&gt;0,INDEX(CodEquipos,MATCH(C4438,Equipos,0),),)</f>
        <v>0</v>
      </c>
      <c r="B4438" s="399"/>
      <c r="C4438" s="1128"/>
      <c r="D4438" s="940"/>
      <c r="E4438" s="940"/>
      <c r="F4438" s="941"/>
      <c r="G4438" s="1142"/>
      <c r="H4438" s="941"/>
      <c r="I4438" s="1142"/>
      <c r="J4438" s="941"/>
      <c r="K4438" s="432" t="str">
        <f>IF($A4438&gt;0,(VLOOKUP($A4438,TablaEquipos,7,FALSE)),"")</f>
        <v/>
      </c>
      <c r="L4438" s="1146"/>
      <c r="M4438" s="941"/>
      <c r="N4438" s="430" t="str">
        <f t="shared" ref="N4438:N4442" si="325">IF(L4438&gt;0,K4438/L4438,"")</f>
        <v/>
      </c>
      <c r="O4438" s="362"/>
    </row>
    <row r="4439" spans="1:15" ht="15.75" customHeight="1">
      <c r="A4439" s="395">
        <f t="array" ref="A4439">IF(C4439&lt;&gt;0,INDEX(CodEquipos,MATCH(C4439,Equipos,0),),)</f>
        <v>0</v>
      </c>
      <c r="B4439" s="399"/>
      <c r="C4439" s="1128"/>
      <c r="D4439" s="940"/>
      <c r="E4439" s="940"/>
      <c r="F4439" s="941"/>
      <c r="G4439" s="1142"/>
      <c r="H4439" s="941"/>
      <c r="I4439" s="1142"/>
      <c r="J4439" s="941"/>
      <c r="K4439" s="432" t="str">
        <f>IF($A4439&gt;0,(VLOOKUP($A4439,TablaEquipos,7,FALSE)),"")</f>
        <v/>
      </c>
      <c r="L4439" s="1146"/>
      <c r="M4439" s="941"/>
      <c r="N4439" s="430" t="str">
        <f t="shared" si="325"/>
        <v/>
      </c>
      <c r="O4439" s="362"/>
    </row>
    <row r="4440" spans="1:15" ht="15.75" customHeight="1">
      <c r="A4440" s="395">
        <f t="array" ref="A4440">IF(C4440&lt;&gt;0,INDEX(CodEquipos,MATCH(C4440,Equipos,0),),)</f>
        <v>0</v>
      </c>
      <c r="B4440" s="399"/>
      <c r="C4440" s="1128"/>
      <c r="D4440" s="940"/>
      <c r="E4440" s="940"/>
      <c r="F4440" s="941"/>
      <c r="G4440" s="1142"/>
      <c r="H4440" s="941"/>
      <c r="I4440" s="1142"/>
      <c r="J4440" s="941"/>
      <c r="K4440" s="432" t="str">
        <f>IF($A4440&gt;0,(VLOOKUP($A4440,TablaEquipos,7,FALSE)),"")</f>
        <v/>
      </c>
      <c r="L4440" s="1146"/>
      <c r="M4440" s="941"/>
      <c r="N4440" s="430" t="str">
        <f t="shared" si="325"/>
        <v/>
      </c>
      <c r="O4440" s="362"/>
    </row>
    <row r="4441" spans="1:15" ht="15.75" customHeight="1">
      <c r="A4441" s="395">
        <f t="array" ref="A4441">IF(C4441&lt;&gt;0,INDEX(CodEquipos,MATCH(C4441,Equipos,0),),)</f>
        <v>0</v>
      </c>
      <c r="B4441" s="399"/>
      <c r="C4441" s="1128"/>
      <c r="D4441" s="940"/>
      <c r="E4441" s="940"/>
      <c r="F4441" s="941"/>
      <c r="G4441" s="1142"/>
      <c r="H4441" s="941"/>
      <c r="I4441" s="1142"/>
      <c r="J4441" s="941"/>
      <c r="K4441" s="432" t="str">
        <f>IF($A4441&gt;0,(VLOOKUP($A4441,TablaEquipos,7,FALSE)),"")</f>
        <v/>
      </c>
      <c r="L4441" s="1141"/>
      <c r="M4441" s="941"/>
      <c r="N4441" s="430" t="str">
        <f t="shared" si="325"/>
        <v/>
      </c>
      <c r="O4441" s="362"/>
    </row>
    <row r="4442" spans="1:15" ht="15.75" customHeight="1">
      <c r="A4442" s="395">
        <f t="array" ref="A4442">IF(C4442&lt;&gt;0,INDEX(CodEquipos,MATCH(C4442,Equipos,0),),)</f>
        <v>0</v>
      </c>
      <c r="B4442" s="399"/>
      <c r="C4442" s="1128"/>
      <c r="D4442" s="940"/>
      <c r="E4442" s="940"/>
      <c r="F4442" s="941"/>
      <c r="G4442" s="1144"/>
      <c r="H4442" s="1145"/>
      <c r="I4442" s="1144"/>
      <c r="J4442" s="1145"/>
      <c r="K4442" s="432" t="str">
        <f>IF($A4442&gt;0,(VLOOKUP($A4442,TablaEquipos,7,FALSE)),"")</f>
        <v/>
      </c>
      <c r="L4442" s="1208"/>
      <c r="M4442" s="1145"/>
      <c r="N4442" s="430" t="str">
        <f t="shared" si="325"/>
        <v/>
      </c>
      <c r="O4442" s="362"/>
    </row>
    <row r="4443" spans="1:15" ht="15.75" customHeight="1">
      <c r="A4443" s="395"/>
      <c r="B4443" s="399"/>
      <c r="C4443" s="1127" t="s">
        <v>1202</v>
      </c>
      <c r="D4443" s="965"/>
      <c r="E4443" s="965"/>
      <c r="F4443" s="965"/>
      <c r="G4443" s="965"/>
      <c r="H4443" s="965"/>
      <c r="I4443" s="965"/>
      <c r="J4443" s="965"/>
      <c r="K4443" s="965"/>
      <c r="L4443" s="965"/>
      <c r="M4443" s="966"/>
      <c r="N4443" s="433">
        <f>+SUM(N4437:N4442)</f>
        <v>1439.5927623322691</v>
      </c>
      <c r="O4443" s="362"/>
    </row>
    <row r="4444" spans="1:15" ht="15.75" customHeight="1">
      <c r="A4444" s="395"/>
      <c r="B4444" s="399"/>
      <c r="C4444" s="1129" t="s">
        <v>1203</v>
      </c>
      <c r="D4444" s="926"/>
      <c r="E4444" s="926"/>
      <c r="F4444" s="926"/>
      <c r="G4444" s="926"/>
      <c r="H4444" s="926"/>
      <c r="I4444" s="926"/>
      <c r="J4444" s="926"/>
      <c r="K4444" s="926"/>
      <c r="L4444" s="926"/>
      <c r="M4444" s="926"/>
      <c r="N4444" s="927"/>
      <c r="O4444" s="362"/>
    </row>
    <row r="4445" spans="1:15" ht="15.75" customHeight="1">
      <c r="A4445" s="395"/>
      <c r="B4445" s="399"/>
      <c r="C4445" s="920"/>
      <c r="D4445" s="922"/>
      <c r="E4445" s="922"/>
      <c r="F4445" s="922"/>
      <c r="G4445" s="922"/>
      <c r="H4445" s="922"/>
      <c r="I4445" s="922"/>
      <c r="J4445" s="922"/>
      <c r="K4445" s="922"/>
      <c r="L4445" s="922"/>
      <c r="M4445" s="922"/>
      <c r="N4445" s="924"/>
      <c r="O4445" s="362"/>
    </row>
    <row r="4446" spans="1:15" ht="15.75" customHeight="1" thickBot="1">
      <c r="A4446" s="395"/>
      <c r="B4446" s="399"/>
      <c r="C4446" s="929"/>
      <c r="D4446" s="936"/>
      <c r="E4446" s="936"/>
      <c r="F4446" s="936"/>
      <c r="G4446" s="936"/>
      <c r="H4446" s="936"/>
      <c r="I4446" s="936"/>
      <c r="J4446" s="936"/>
      <c r="K4446" s="936"/>
      <c r="L4446" s="936"/>
      <c r="M4446" s="936"/>
      <c r="N4446" s="938"/>
      <c r="O4446" s="362"/>
    </row>
    <row r="4447" spans="1:15" ht="15.75" customHeight="1">
      <c r="A4447" s="395"/>
      <c r="B4447" s="399"/>
      <c r="C4447" s="1201" t="s">
        <v>17</v>
      </c>
      <c r="D4447" s="1131"/>
      <c r="E4447" s="1131"/>
      <c r="F4447" s="1131"/>
      <c r="G4447" s="1131"/>
      <c r="H4447" s="1131"/>
      <c r="I4447" s="1000"/>
      <c r="J4447" s="672" t="s">
        <v>1192</v>
      </c>
      <c r="K4447" s="670" t="s">
        <v>950</v>
      </c>
      <c r="L4447" s="1204" t="s">
        <v>1204</v>
      </c>
      <c r="M4447" s="1000"/>
      <c r="N4447" s="671" t="s">
        <v>1200</v>
      </c>
      <c r="O4447" s="362"/>
    </row>
    <row r="4448" spans="1:15" s="1323" customFormat="1" ht="15.75" customHeight="1">
      <c r="A4448" s="1314" t="str">
        <f t="array" ref="A4448">IF(C4448&lt;&gt;0,INDEX(CodMat,MATCH(C4448,Materiales,0),),)</f>
        <v>MAT_ELE-103</v>
      </c>
      <c r="B4448" s="1315"/>
      <c r="C4448" s="1316" t="s">
        <v>2631</v>
      </c>
      <c r="D4448" s="1317"/>
      <c r="E4448" s="1317"/>
      <c r="F4448" s="1317"/>
      <c r="G4448" s="1317"/>
      <c r="H4448" s="1317"/>
      <c r="I4448" s="1318"/>
      <c r="J4448" s="1319" t="str">
        <f t="shared" ref="J4448:J4455" si="326">IF($A4448&gt;0,(VLOOKUP($A4448,TablaInsumos,5,FALSE)),"")</f>
        <v>UND</v>
      </c>
      <c r="K4448" s="673">
        <v>1</v>
      </c>
      <c r="L4448" s="1320">
        <f t="shared" ref="L4448:L4455" si="327">IF($A4448&gt;0,(VLOOKUP($A4448,TablaInsumos,7,FALSE)),"")</f>
        <v>26450</v>
      </c>
      <c r="M4448" s="1318"/>
      <c r="N4448" s="1321">
        <f t="shared" ref="N4448:N4455" si="328">IF(K4448&gt;0,L4448*K4448,"")</f>
        <v>26450</v>
      </c>
      <c r="O4448" s="1322"/>
    </row>
    <row r="4449" spans="1:15" ht="15.75" customHeight="1">
      <c r="A4449" s="395" t="str">
        <f t="array" ref="A4449">IF(C4449&lt;&gt;0,INDEX(CodMat,MATCH(C4449,Materiales,0),),)</f>
        <v>MAT_ELE-104</v>
      </c>
      <c r="B4449" s="399"/>
      <c r="C4449" s="1128" t="s">
        <v>2401</v>
      </c>
      <c r="D4449" s="940"/>
      <c r="E4449" s="940"/>
      <c r="F4449" s="940"/>
      <c r="G4449" s="940"/>
      <c r="H4449" s="940"/>
      <c r="I4449" s="941"/>
      <c r="J4449" s="435" t="str">
        <f t="shared" si="326"/>
        <v>UND</v>
      </c>
      <c r="K4449" s="673">
        <v>4</v>
      </c>
      <c r="L4449" s="1134">
        <f t="shared" si="327"/>
        <v>70</v>
      </c>
      <c r="M4449" s="941"/>
      <c r="N4449" s="430">
        <f t="shared" si="328"/>
        <v>280</v>
      </c>
      <c r="O4449" s="362"/>
    </row>
    <row r="4450" spans="1:15" ht="15.75" customHeight="1">
      <c r="A4450" s="395">
        <f t="array" ref="A4450">IF(C4450&lt;&gt;0,INDEX(CodMat,MATCH(C4450,Materiales,0),),)</f>
        <v>0</v>
      </c>
      <c r="B4450" s="399"/>
      <c r="C4450" s="1128"/>
      <c r="D4450" s="940"/>
      <c r="E4450" s="940"/>
      <c r="F4450" s="940"/>
      <c r="G4450" s="940"/>
      <c r="H4450" s="940"/>
      <c r="I4450" s="941"/>
      <c r="J4450" s="435" t="str">
        <f t="shared" si="326"/>
        <v/>
      </c>
      <c r="K4450" s="673"/>
      <c r="L4450" s="1134" t="str">
        <f t="shared" si="327"/>
        <v/>
      </c>
      <c r="M4450" s="941"/>
      <c r="N4450" s="430" t="str">
        <f t="shared" si="328"/>
        <v/>
      </c>
      <c r="O4450" s="362"/>
    </row>
    <row r="4451" spans="1:15" ht="15.75" customHeight="1">
      <c r="A4451" s="395">
        <f t="array" ref="A4451">IF(C4451&lt;&gt;0,INDEX(CodMat,MATCH(C4451,Materiales,0),),)</f>
        <v>0</v>
      </c>
      <c r="B4451" s="399"/>
      <c r="C4451" s="1128"/>
      <c r="D4451" s="940"/>
      <c r="E4451" s="940"/>
      <c r="F4451" s="940"/>
      <c r="G4451" s="940"/>
      <c r="H4451" s="940"/>
      <c r="I4451" s="941"/>
      <c r="J4451" s="435" t="str">
        <f t="shared" si="326"/>
        <v/>
      </c>
      <c r="K4451" s="673"/>
      <c r="L4451" s="1134" t="str">
        <f t="shared" si="327"/>
        <v/>
      </c>
      <c r="M4451" s="941"/>
      <c r="N4451" s="430" t="str">
        <f t="shared" si="328"/>
        <v/>
      </c>
      <c r="O4451" s="362"/>
    </row>
    <row r="4452" spans="1:15" ht="15.75" customHeight="1">
      <c r="A4452" s="395">
        <f t="array" ref="A4452">IF(C4452&lt;&gt;0,INDEX(CodMat,MATCH(C4452,Materiales,0),),)</f>
        <v>0</v>
      </c>
      <c r="B4452" s="399"/>
      <c r="C4452" s="1128"/>
      <c r="D4452" s="940"/>
      <c r="E4452" s="940"/>
      <c r="F4452" s="940"/>
      <c r="G4452" s="940"/>
      <c r="H4452" s="940"/>
      <c r="I4452" s="941"/>
      <c r="J4452" s="435" t="str">
        <f t="shared" si="326"/>
        <v/>
      </c>
      <c r="K4452" s="436"/>
      <c r="L4452" s="1134" t="str">
        <f t="shared" si="327"/>
        <v/>
      </c>
      <c r="M4452" s="941"/>
      <c r="N4452" s="430" t="str">
        <f t="shared" si="328"/>
        <v/>
      </c>
      <c r="O4452" s="362"/>
    </row>
    <row r="4453" spans="1:15" ht="15.75" customHeight="1">
      <c r="A4453" s="395">
        <f t="array" ref="A4453">IF(C4453&lt;&gt;0,INDEX(CodMat,MATCH(C4453,Materiales,0),),)</f>
        <v>0</v>
      </c>
      <c r="B4453" s="399"/>
      <c r="C4453" s="1128"/>
      <c r="D4453" s="940"/>
      <c r="E4453" s="940"/>
      <c r="F4453" s="940"/>
      <c r="G4453" s="940"/>
      <c r="H4453" s="940"/>
      <c r="I4453" s="941"/>
      <c r="J4453" s="435" t="str">
        <f t="shared" si="326"/>
        <v/>
      </c>
      <c r="K4453" s="436"/>
      <c r="L4453" s="1134" t="str">
        <f t="shared" si="327"/>
        <v/>
      </c>
      <c r="M4453" s="941"/>
      <c r="N4453" s="430" t="str">
        <f t="shared" si="328"/>
        <v/>
      </c>
      <c r="O4453" s="362"/>
    </row>
    <row r="4454" spans="1:15" ht="15.75" customHeight="1">
      <c r="A4454" s="395">
        <f t="array" ref="A4454">IF(C4454&lt;&gt;0,INDEX(CodMat,MATCH(C4454,Materiales,0),),)</f>
        <v>0</v>
      </c>
      <c r="B4454" s="399"/>
      <c r="C4454" s="1128"/>
      <c r="D4454" s="940"/>
      <c r="E4454" s="940"/>
      <c r="F4454" s="940"/>
      <c r="G4454" s="940"/>
      <c r="H4454" s="940"/>
      <c r="I4454" s="941"/>
      <c r="J4454" s="435" t="str">
        <f t="shared" si="326"/>
        <v/>
      </c>
      <c r="K4454" s="436"/>
      <c r="L4454" s="1134" t="str">
        <f t="shared" si="327"/>
        <v/>
      </c>
      <c r="M4454" s="941"/>
      <c r="N4454" s="430" t="str">
        <f t="shared" si="328"/>
        <v/>
      </c>
      <c r="O4454" s="362"/>
    </row>
    <row r="4455" spans="1:15" ht="15.75" customHeight="1">
      <c r="A4455" s="395">
        <f t="array" ref="A4455">IF(C4455&lt;&gt;0,INDEX(CodMat,MATCH(C4455,Materiales,0),),)</f>
        <v>0</v>
      </c>
      <c r="B4455" s="399"/>
      <c r="C4455" s="1128"/>
      <c r="D4455" s="940"/>
      <c r="E4455" s="940"/>
      <c r="F4455" s="940"/>
      <c r="G4455" s="940"/>
      <c r="H4455" s="940"/>
      <c r="I4455" s="941"/>
      <c r="J4455" s="435" t="str">
        <f t="shared" si="326"/>
        <v/>
      </c>
      <c r="K4455" s="436"/>
      <c r="L4455" s="1205" t="str">
        <f t="shared" si="327"/>
        <v/>
      </c>
      <c r="M4455" s="1145"/>
      <c r="N4455" s="430" t="str">
        <f t="shared" si="328"/>
        <v/>
      </c>
      <c r="O4455" s="362"/>
    </row>
    <row r="4456" spans="1:15" ht="15.75" customHeight="1">
      <c r="A4456" s="395"/>
      <c r="B4456" s="399"/>
      <c r="C4456" s="1127" t="s">
        <v>1202</v>
      </c>
      <c r="D4456" s="965"/>
      <c r="E4456" s="965"/>
      <c r="F4456" s="965"/>
      <c r="G4456" s="965"/>
      <c r="H4456" s="965"/>
      <c r="I4456" s="965"/>
      <c r="J4456" s="965"/>
      <c r="K4456" s="965"/>
      <c r="L4456" s="965"/>
      <c r="M4456" s="966"/>
      <c r="N4456" s="433">
        <f>+SUM(N4448:N4455)</f>
        <v>26730</v>
      </c>
      <c r="O4456" s="362"/>
    </row>
    <row r="4457" spans="1:15" ht="15.75" customHeight="1">
      <c r="A4457" s="395"/>
      <c r="B4457" s="399"/>
      <c r="C4457" s="1129" t="s">
        <v>1208</v>
      </c>
      <c r="D4457" s="926"/>
      <c r="E4457" s="926"/>
      <c r="F4457" s="926"/>
      <c r="G4457" s="926"/>
      <c r="H4457" s="926"/>
      <c r="I4457" s="926"/>
      <c r="J4457" s="926"/>
      <c r="K4457" s="926"/>
      <c r="L4457" s="926"/>
      <c r="M4457" s="926"/>
      <c r="N4457" s="927"/>
      <c r="O4457" s="362"/>
    </row>
    <row r="4458" spans="1:15" ht="15.75" customHeight="1">
      <c r="A4458" s="395"/>
      <c r="B4458" s="399"/>
      <c r="C4458" s="920"/>
      <c r="D4458" s="922"/>
      <c r="E4458" s="922"/>
      <c r="F4458" s="922"/>
      <c r="G4458" s="922"/>
      <c r="H4458" s="922"/>
      <c r="I4458" s="922"/>
      <c r="J4458" s="922"/>
      <c r="K4458" s="922"/>
      <c r="L4458" s="922"/>
      <c r="M4458" s="922"/>
      <c r="N4458" s="924"/>
      <c r="O4458" s="362"/>
    </row>
    <row r="4459" spans="1:15" ht="15.75" customHeight="1">
      <c r="A4459" s="395"/>
      <c r="B4459" s="399"/>
      <c r="C4459" s="929"/>
      <c r="D4459" s="936"/>
      <c r="E4459" s="936"/>
      <c r="F4459" s="936"/>
      <c r="G4459" s="936"/>
      <c r="H4459" s="936"/>
      <c r="I4459" s="936"/>
      <c r="J4459" s="936"/>
      <c r="K4459" s="936"/>
      <c r="L4459" s="936"/>
      <c r="M4459" s="936"/>
      <c r="N4459" s="938"/>
      <c r="O4459" s="362"/>
    </row>
    <row r="4460" spans="1:15" ht="15.75" customHeight="1">
      <c r="A4460" s="395"/>
      <c r="B4460" s="399"/>
      <c r="C4460" s="1201" t="s">
        <v>1209</v>
      </c>
      <c r="D4460" s="1131"/>
      <c r="E4460" s="1131"/>
      <c r="F4460" s="1131"/>
      <c r="G4460" s="1131"/>
      <c r="H4460" s="1000"/>
      <c r="I4460" s="670" t="s">
        <v>1210</v>
      </c>
      <c r="J4460" s="674" t="s">
        <v>1211</v>
      </c>
      <c r="K4460" s="675" t="s">
        <v>2318</v>
      </c>
      <c r="L4460" s="1204" t="s">
        <v>1213</v>
      </c>
      <c r="M4460" s="1000"/>
      <c r="N4460" s="671" t="s">
        <v>1200</v>
      </c>
      <c r="O4460" s="362"/>
    </row>
    <row r="4461" spans="1:15" ht="15.75" customHeight="1">
      <c r="A4461" s="395">
        <f t="array" ref="A4461">IF(C4461&lt;&gt;0,INDEX(CodTransporte,MATCH(C4461,Transporte,0),),)</f>
        <v>0</v>
      </c>
      <c r="B4461" s="399"/>
      <c r="C4461" s="1128"/>
      <c r="D4461" s="940"/>
      <c r="E4461" s="940"/>
      <c r="F4461" s="940"/>
      <c r="G4461" s="940"/>
      <c r="H4461" s="940"/>
      <c r="I4461" s="440"/>
      <c r="J4461" s="441" t="str">
        <f>IF($A4461&gt;0,(VLOOKUP($A4461,TablaTransporte,6,FALSE)),"")</f>
        <v/>
      </c>
      <c r="K4461" s="442" t="str">
        <f>IF($A4461&gt;0,(VLOOKUP($A4461,TablaTransporte,5,FALSE)),"")</f>
        <v/>
      </c>
      <c r="L4461" s="1134" t="str">
        <f>IF($A4461&gt;0,(VLOOKUP($A4461,TablaTransporte,7,FALSE)),"")</f>
        <v/>
      </c>
      <c r="M4461" s="941"/>
      <c r="N4461" s="430" t="str">
        <f t="shared" ref="N4461:N4465" si="329">IF(I4461&gt;0,J4461*L4461*I4461,"")</f>
        <v/>
      </c>
      <c r="O4461" s="362"/>
    </row>
    <row r="4462" spans="1:15" ht="15.75" customHeight="1">
      <c r="A4462" s="395">
        <f t="array" ref="A4462">IF(C4462&lt;&gt;0,INDEX(CodTransporte,MATCH(C4462,Transporte,0),),)</f>
        <v>0</v>
      </c>
      <c r="B4462" s="399"/>
      <c r="C4462" s="1128"/>
      <c r="D4462" s="940"/>
      <c r="E4462" s="940"/>
      <c r="F4462" s="940"/>
      <c r="G4462" s="940"/>
      <c r="H4462" s="940"/>
      <c r="I4462" s="440"/>
      <c r="J4462" s="441" t="str">
        <f>IF($A4462&gt;0,(VLOOKUP($A4462,TablaTransporte,6,FALSE)),"")</f>
        <v/>
      </c>
      <c r="K4462" s="442" t="str">
        <f>IF($A4462&gt;0,(VLOOKUP($A4462,TablaTransporte,5,FALSE)),"")</f>
        <v/>
      </c>
      <c r="L4462" s="1134" t="str">
        <f>IF($A4462&gt;0,(VLOOKUP($A4462,TablaTransporte,7,FALSE)),"")</f>
        <v/>
      </c>
      <c r="M4462" s="941"/>
      <c r="N4462" s="430" t="str">
        <f t="shared" si="329"/>
        <v/>
      </c>
      <c r="O4462" s="362"/>
    </row>
    <row r="4463" spans="1:15" ht="15.75" customHeight="1">
      <c r="A4463" s="395">
        <f t="array" ref="A4463">IF(C4463&lt;&gt;0,INDEX(CodTransporte,MATCH(C4463,Transporte,0),),)</f>
        <v>0</v>
      </c>
      <c r="B4463" s="399"/>
      <c r="C4463" s="1128"/>
      <c r="D4463" s="940"/>
      <c r="E4463" s="940"/>
      <c r="F4463" s="940"/>
      <c r="G4463" s="940"/>
      <c r="H4463" s="940"/>
      <c r="I4463" s="440"/>
      <c r="J4463" s="441" t="str">
        <f>IF($A4463&gt;0,(VLOOKUP($A4463,TablaTransporte,6,FALSE)),"")</f>
        <v/>
      </c>
      <c r="K4463" s="442" t="str">
        <f>IF($A4463&gt;0,(VLOOKUP($A4463,TablaTransporte,5,FALSE)),"")</f>
        <v/>
      </c>
      <c r="L4463" s="1134" t="str">
        <f>IF($A4463&gt;0,(VLOOKUP($A4463,TablaTransporte,7,FALSE)),"")</f>
        <v/>
      </c>
      <c r="M4463" s="941"/>
      <c r="N4463" s="430" t="str">
        <f t="shared" si="329"/>
        <v/>
      </c>
      <c r="O4463" s="362"/>
    </row>
    <row r="4464" spans="1:15" ht="15.75" customHeight="1">
      <c r="A4464" s="395">
        <f t="array" ref="A4464">IF(C4464&lt;&gt;0,INDEX(CodTransporte,MATCH(C4464,Transporte,0),),)</f>
        <v>0</v>
      </c>
      <c r="B4464" s="399"/>
      <c r="C4464" s="1128"/>
      <c r="D4464" s="940"/>
      <c r="E4464" s="940"/>
      <c r="F4464" s="940"/>
      <c r="G4464" s="940"/>
      <c r="H4464" s="940"/>
      <c r="I4464" s="440"/>
      <c r="J4464" s="441" t="str">
        <f>IF($A4464&gt;0,(VLOOKUP($A4464,TablaTransporte,6,FALSE)),"")</f>
        <v/>
      </c>
      <c r="K4464" s="442" t="str">
        <f>IF($A4464&gt;0,(VLOOKUP($A4464,TablaTransporte,5,FALSE)),"")</f>
        <v/>
      </c>
      <c r="L4464" s="1134" t="str">
        <f>IF($A4464&gt;0,(VLOOKUP($A4464,TablaTransporte,7,FALSE)),"")</f>
        <v/>
      </c>
      <c r="M4464" s="941"/>
      <c r="N4464" s="430" t="str">
        <f t="shared" si="329"/>
        <v/>
      </c>
      <c r="O4464" s="362"/>
    </row>
    <row r="4465" spans="1:18" ht="15.75" customHeight="1">
      <c r="A4465" s="395">
        <f t="array" ref="A4465">IF(C4465&lt;&gt;0,INDEX(CodTransporte,MATCH(C4465,Transporte,0),),)</f>
        <v>0</v>
      </c>
      <c r="B4465" s="399"/>
      <c r="C4465" s="1128"/>
      <c r="D4465" s="940"/>
      <c r="E4465" s="940"/>
      <c r="F4465" s="940"/>
      <c r="G4465" s="940"/>
      <c r="H4465" s="940"/>
      <c r="I4465" s="440"/>
      <c r="J4465" s="441" t="str">
        <f>IF($A4465&gt;0,(VLOOKUP($A4465,TablaTransporte,6,FALSE)),"")</f>
        <v/>
      </c>
      <c r="K4465" s="442" t="str">
        <f>IF($A4465&gt;0,(VLOOKUP($A4465,TablaTransporte,5,FALSE)),"")</f>
        <v/>
      </c>
      <c r="L4465" s="1205" t="str">
        <f>IF($A4465&gt;0,(VLOOKUP($A4465,TablaTransporte,7,FALSE)),"")</f>
        <v/>
      </c>
      <c r="M4465" s="1145"/>
      <c r="N4465" s="430" t="str">
        <f t="shared" si="329"/>
        <v/>
      </c>
      <c r="O4465" s="362"/>
    </row>
    <row r="4466" spans="1:18" ht="15.75" customHeight="1">
      <c r="A4466" s="395"/>
      <c r="B4466" s="399"/>
      <c r="C4466" s="1127" t="s">
        <v>1202</v>
      </c>
      <c r="D4466" s="965"/>
      <c r="E4466" s="965"/>
      <c r="F4466" s="965"/>
      <c r="G4466" s="965"/>
      <c r="H4466" s="965"/>
      <c r="I4466" s="965"/>
      <c r="J4466" s="965"/>
      <c r="K4466" s="965"/>
      <c r="L4466" s="965"/>
      <c r="M4466" s="966"/>
      <c r="N4466" s="433">
        <f>+SUM(N4461:N4465)</f>
        <v>0</v>
      </c>
      <c r="O4466" s="362"/>
    </row>
    <row r="4467" spans="1:18" ht="15.75" customHeight="1">
      <c r="A4467" s="395"/>
      <c r="B4467" s="399"/>
      <c r="C4467" s="1129" t="s">
        <v>1214</v>
      </c>
      <c r="D4467" s="926"/>
      <c r="E4467" s="926"/>
      <c r="F4467" s="926"/>
      <c r="G4467" s="926"/>
      <c r="H4467" s="926"/>
      <c r="I4467" s="926"/>
      <c r="J4467" s="926"/>
      <c r="K4467" s="926"/>
      <c r="L4467" s="926"/>
      <c r="M4467" s="926"/>
      <c r="N4467" s="927"/>
      <c r="O4467" s="362"/>
    </row>
    <row r="4468" spans="1:18" ht="15.75" customHeight="1">
      <c r="A4468" s="395"/>
      <c r="B4468" s="399"/>
      <c r="C4468" s="920"/>
      <c r="D4468" s="922"/>
      <c r="E4468" s="922"/>
      <c r="F4468" s="922"/>
      <c r="G4468" s="922"/>
      <c r="H4468" s="922"/>
      <c r="I4468" s="922"/>
      <c r="J4468" s="922"/>
      <c r="K4468" s="922"/>
      <c r="L4468" s="922"/>
      <c r="M4468" s="922"/>
      <c r="N4468" s="924"/>
      <c r="O4468" s="362"/>
    </row>
    <row r="4469" spans="1:18" ht="15.75" customHeight="1">
      <c r="A4469" s="395"/>
      <c r="B4469" s="399"/>
      <c r="C4469" s="929"/>
      <c r="D4469" s="936"/>
      <c r="E4469" s="936"/>
      <c r="F4469" s="936"/>
      <c r="G4469" s="936"/>
      <c r="H4469" s="936"/>
      <c r="I4469" s="936"/>
      <c r="J4469" s="936"/>
      <c r="K4469" s="936"/>
      <c r="L4469" s="936"/>
      <c r="M4469" s="936"/>
      <c r="N4469" s="938"/>
      <c r="O4469" s="362"/>
    </row>
    <row r="4470" spans="1:18" ht="15.75" customHeight="1">
      <c r="A4470" s="395"/>
      <c r="B4470" s="399"/>
      <c r="C4470" s="1201" t="s">
        <v>1215</v>
      </c>
      <c r="D4470" s="1131"/>
      <c r="E4470" s="1131"/>
      <c r="F4470" s="1131"/>
      <c r="G4470" s="1131"/>
      <c r="H4470" s="1000"/>
      <c r="I4470" s="670" t="s">
        <v>1216</v>
      </c>
      <c r="J4470" s="676" t="s">
        <v>1217</v>
      </c>
      <c r="K4470" s="677" t="s">
        <v>1218</v>
      </c>
      <c r="L4470" s="1206" t="s">
        <v>1199</v>
      </c>
      <c r="M4470" s="1000"/>
      <c r="N4470" s="678" t="s">
        <v>1200</v>
      </c>
      <c r="O4470" s="362"/>
    </row>
    <row r="4471" spans="1:18" ht="15.75" customHeight="1">
      <c r="A4471" s="395" t="str">
        <f t="array" ref="A4471">IF(C4471&lt;&gt;0,INDEX(CodMO,MATCH(C4471,MO,0),),)</f>
        <v>M.O-15</v>
      </c>
      <c r="B4471" s="399"/>
      <c r="C4471" s="1128" t="s">
        <v>2607</v>
      </c>
      <c r="D4471" s="940"/>
      <c r="E4471" s="940"/>
      <c r="F4471" s="940"/>
      <c r="G4471" s="940"/>
      <c r="H4471" s="940"/>
      <c r="I4471" s="447">
        <f>IF($A4471&gt;0,(VLOOKUP($A4471,TablaMO,8,FALSE)),"")</f>
        <v>366787.33333333331</v>
      </c>
      <c r="J4471" s="448">
        <f>IF($A4471&gt;0,(VLOOKUP($A4471,TablaMO,10,FALSE)),"")</f>
        <v>0.67071666666666663</v>
      </c>
      <c r="K4471" s="447">
        <f>IF($A4471&gt;0,(VLOOKUP($A4471,TablaMO,11,FALSE)),"")</f>
        <v>367679</v>
      </c>
      <c r="L4471" s="1146">
        <v>12.770243419546203</v>
      </c>
      <c r="M4471" s="941"/>
      <c r="N4471" s="430">
        <f t="shared" ref="N4471:N4475" si="330">IF(L4471&gt;0,K4471/L4471,"")</f>
        <v>28791.85524664538</v>
      </c>
      <c r="O4471" s="362"/>
    </row>
    <row r="4472" spans="1:18" ht="15.75" customHeight="1">
      <c r="A4472" s="395">
        <f t="array" ref="A4472">IF(C4472&lt;&gt;0,INDEX(CodMO,MATCH(C4472,MO,0),),)</f>
        <v>0</v>
      </c>
      <c r="B4472" s="399"/>
      <c r="C4472" s="1128"/>
      <c r="D4472" s="940"/>
      <c r="E4472" s="940"/>
      <c r="F4472" s="940"/>
      <c r="G4472" s="940"/>
      <c r="H4472" s="940"/>
      <c r="I4472" s="447" t="str">
        <f>IF($A4472&gt;0,(VLOOKUP($A4472,TablaMO,8,FALSE)),"")</f>
        <v/>
      </c>
      <c r="J4472" s="448" t="str">
        <f>IF($A4472&gt;0,(VLOOKUP($A4472,TablaMO,10,FALSE)),"")</f>
        <v/>
      </c>
      <c r="K4472" s="447" t="str">
        <f>IF($A4472&gt;0,(VLOOKUP($A4472,TablaMO,11,FALSE)),"")</f>
        <v/>
      </c>
      <c r="L4472" s="1146"/>
      <c r="M4472" s="941"/>
      <c r="N4472" s="430" t="str">
        <f t="shared" si="330"/>
        <v/>
      </c>
      <c r="O4472" s="362"/>
    </row>
    <row r="4473" spans="1:18" ht="15.75" customHeight="1">
      <c r="A4473" s="395">
        <f t="array" ref="A4473">IF(C4473&lt;&gt;0,INDEX(CodMO,MATCH(C4473,MO,0),),)</f>
        <v>0</v>
      </c>
      <c r="B4473" s="399"/>
      <c r="C4473" s="1128"/>
      <c r="D4473" s="940"/>
      <c r="E4473" s="940"/>
      <c r="F4473" s="940"/>
      <c r="G4473" s="940"/>
      <c r="H4473" s="940"/>
      <c r="I4473" s="447" t="str">
        <f>IF($A4473&gt;0,(VLOOKUP($A4473,TablaMO,8,FALSE)),"")</f>
        <v/>
      </c>
      <c r="J4473" s="448" t="str">
        <f>IF($A4473&gt;0,(VLOOKUP($A4473,TablaMO,10,FALSE)),"")</f>
        <v/>
      </c>
      <c r="K4473" s="447" t="str">
        <f>IF($A4473&gt;0,(VLOOKUP($A4473,TablaMO,11,FALSE)),"")</f>
        <v/>
      </c>
      <c r="L4473" s="1146"/>
      <c r="M4473" s="941"/>
      <c r="N4473" s="430" t="str">
        <f t="shared" si="330"/>
        <v/>
      </c>
      <c r="O4473" s="362"/>
    </row>
    <row r="4474" spans="1:18" ht="15.75" customHeight="1">
      <c r="A4474" s="395">
        <f t="array" ref="A4474">IF(C4474&lt;&gt;0,INDEX(CodMO,MATCH(C4474,MO,0),),)</f>
        <v>0</v>
      </c>
      <c r="B4474" s="399"/>
      <c r="C4474" s="1128"/>
      <c r="D4474" s="940"/>
      <c r="E4474" s="940"/>
      <c r="F4474" s="940"/>
      <c r="G4474" s="940"/>
      <c r="H4474" s="940"/>
      <c r="I4474" s="447" t="str">
        <f>IF($A4474&gt;0,(VLOOKUP($A4474,TablaMO,8,FALSE)),"")</f>
        <v/>
      </c>
      <c r="J4474" s="448" t="str">
        <f>IF($A4474&gt;0,(VLOOKUP($A4474,TablaMO,10,FALSE)),"")</f>
        <v/>
      </c>
      <c r="K4474" s="447" t="str">
        <f>IF($A4474&gt;0,(VLOOKUP($A4474,TablaMO,11,FALSE)),"")</f>
        <v/>
      </c>
      <c r="L4474" s="1146"/>
      <c r="M4474" s="941"/>
      <c r="N4474" s="430" t="str">
        <f t="shared" si="330"/>
        <v/>
      </c>
      <c r="O4474" s="362"/>
    </row>
    <row r="4475" spans="1:18" ht="15.75" customHeight="1">
      <c r="A4475" s="395">
        <f t="array" ref="A4475">IF(C4475&lt;&gt;0,INDEX(CodMO,MATCH(C4475,MO,0),),)</f>
        <v>0</v>
      </c>
      <c r="B4475" s="399"/>
      <c r="C4475" s="1128"/>
      <c r="D4475" s="940"/>
      <c r="E4475" s="940"/>
      <c r="F4475" s="940"/>
      <c r="G4475" s="940"/>
      <c r="H4475" s="940"/>
      <c r="I4475" s="447" t="str">
        <f>IF($A4475&gt;0,(VLOOKUP($A4475,TablaMO,8,FALSE)),"")</f>
        <v/>
      </c>
      <c r="J4475" s="448" t="str">
        <f>IF($A4475&gt;0,(VLOOKUP($A4475,TablaMO,10,FALSE)),"")</f>
        <v/>
      </c>
      <c r="K4475" s="447" t="str">
        <f>IF($A4475&gt;0,(VLOOKUP($A4475,TablaMO,11,FALSE)),"")</f>
        <v/>
      </c>
      <c r="L4475" s="1146"/>
      <c r="M4475" s="941"/>
      <c r="N4475" s="430" t="str">
        <f t="shared" si="330"/>
        <v/>
      </c>
      <c r="O4475" s="362"/>
    </row>
    <row r="4476" spans="1:18" ht="15.75" customHeight="1">
      <c r="A4476" s="395"/>
      <c r="B4476" s="399"/>
      <c r="C4476" s="1127" t="s">
        <v>1202</v>
      </c>
      <c r="D4476" s="965"/>
      <c r="E4476" s="965"/>
      <c r="F4476" s="965"/>
      <c r="G4476" s="965"/>
      <c r="H4476" s="965"/>
      <c r="I4476" s="965"/>
      <c r="J4476" s="965"/>
      <c r="K4476" s="965"/>
      <c r="L4476" s="965"/>
      <c r="M4476" s="966"/>
      <c r="N4476" s="433">
        <f>+SUM(N4471:N4475)</f>
        <v>28791.85524664538</v>
      </c>
      <c r="O4476" s="362"/>
    </row>
    <row r="4477" spans="1:18" ht="15.75" customHeight="1">
      <c r="B4477" s="679"/>
      <c r="O4477" s="362"/>
    </row>
    <row r="4478" spans="1:18" ht="15.75" customHeight="1">
      <c r="B4478" s="679"/>
      <c r="C4478" s="1198" t="s">
        <v>1219</v>
      </c>
      <c r="D4478" s="965"/>
      <c r="E4478" s="965"/>
      <c r="F4478" s="965"/>
      <c r="G4478" s="965"/>
      <c r="H4478" s="965"/>
      <c r="I4478" s="965"/>
      <c r="J4478" s="965"/>
      <c r="K4478" s="965"/>
      <c r="L4478" s="965"/>
      <c r="M4478" s="966"/>
      <c r="N4478" s="680">
        <f>ROUND(SUM(N4476,N4466,N4456,N4443),0)</f>
        <v>56961</v>
      </c>
      <c r="O4478" s="362"/>
      <c r="Q4478" s="681">
        <f>VLOOKUP(C4432,PROPUESTASASERCO,8,FALSE)</f>
        <v>56961</v>
      </c>
      <c r="R4478" s="682">
        <f>Q4478-N4478</f>
        <v>0</v>
      </c>
    </row>
    <row r="4479" spans="1:18" ht="15.75" customHeight="1">
      <c r="B4479" s="679"/>
      <c r="C4479" s="1129" t="s">
        <v>1220</v>
      </c>
      <c r="D4479" s="926"/>
      <c r="E4479" s="926"/>
      <c r="F4479" s="926"/>
      <c r="G4479" s="926"/>
      <c r="H4479" s="926"/>
      <c r="I4479" s="926"/>
      <c r="J4479" s="926"/>
      <c r="K4479" s="926"/>
      <c r="L4479" s="926"/>
      <c r="M4479" s="926"/>
      <c r="N4479" s="927"/>
      <c r="O4479" s="362"/>
    </row>
    <row r="4480" spans="1:18" ht="15.75" customHeight="1">
      <c r="B4480" s="679"/>
      <c r="C4480" s="920"/>
      <c r="D4480" s="922"/>
      <c r="E4480" s="922"/>
      <c r="F4480" s="922"/>
      <c r="G4480" s="922"/>
      <c r="H4480" s="922"/>
      <c r="I4480" s="922"/>
      <c r="J4480" s="922"/>
      <c r="K4480" s="922"/>
      <c r="L4480" s="922"/>
      <c r="M4480" s="922"/>
      <c r="N4480" s="924"/>
      <c r="O4480" s="362"/>
    </row>
    <row r="4481" spans="2:15" ht="15.75" customHeight="1">
      <c r="B4481" s="679"/>
      <c r="C4481" s="929"/>
      <c r="D4481" s="936"/>
      <c r="E4481" s="936"/>
      <c r="F4481" s="936"/>
      <c r="G4481" s="936"/>
      <c r="H4481" s="936"/>
      <c r="I4481" s="936"/>
      <c r="J4481" s="936"/>
      <c r="K4481" s="936"/>
      <c r="L4481" s="936"/>
      <c r="M4481" s="936"/>
      <c r="N4481" s="938"/>
      <c r="O4481" s="362"/>
    </row>
    <row r="4482" spans="2:15" ht="15.75" customHeight="1">
      <c r="B4482" s="679"/>
      <c r="C4482" s="1201" t="s">
        <v>1221</v>
      </c>
      <c r="D4482" s="1131"/>
      <c r="E4482" s="1131"/>
      <c r="F4482" s="1131"/>
      <c r="G4482" s="1131"/>
      <c r="H4482" s="1132"/>
      <c r="I4482" s="674"/>
      <c r="J4482" s="674"/>
      <c r="K4482" s="674"/>
      <c r="L4482" s="1206" t="s">
        <v>1222</v>
      </c>
      <c r="M4482" s="1000"/>
      <c r="N4482" s="678" t="s">
        <v>1223</v>
      </c>
      <c r="O4482" s="362"/>
    </row>
    <row r="4483" spans="2:15" ht="15.75" customHeight="1">
      <c r="B4483" s="679"/>
      <c r="C4483" s="1128" t="s">
        <v>19</v>
      </c>
      <c r="D4483" s="940"/>
      <c r="E4483" s="940"/>
      <c r="F4483" s="940"/>
      <c r="G4483" s="940"/>
      <c r="H4483" s="940"/>
      <c r="I4483" s="452"/>
      <c r="J4483" s="452"/>
      <c r="K4483" s="452"/>
      <c r="L4483" s="1148">
        <f>+Datos!$E$18</f>
        <v>0.25</v>
      </c>
      <c r="M4483" s="941"/>
      <c r="N4483" s="430">
        <f>+L4483*N4478</f>
        <v>14240.25</v>
      </c>
      <c r="O4483" s="362"/>
    </row>
    <row r="4484" spans="2:15" ht="15.75" customHeight="1">
      <c r="B4484" s="679"/>
      <c r="C4484" s="454" t="s">
        <v>20</v>
      </c>
      <c r="D4484" s="455"/>
      <c r="E4484" s="455"/>
      <c r="F4484" s="455"/>
      <c r="G4484" s="455"/>
      <c r="H4484" s="455"/>
      <c r="I4484" s="452"/>
      <c r="J4484" s="452"/>
      <c r="K4484" s="452"/>
      <c r="L4484" s="1148">
        <f>+Datos!$E$19</f>
        <v>0.01</v>
      </c>
      <c r="M4484" s="941"/>
      <c r="N4484" s="430">
        <f>+L4484*N4478</f>
        <v>569.61</v>
      </c>
      <c r="O4484" s="362"/>
    </row>
    <row r="4485" spans="2:15" ht="15.75" customHeight="1">
      <c r="B4485" s="679"/>
      <c r="C4485" s="456" t="s">
        <v>21</v>
      </c>
      <c r="D4485" s="457"/>
      <c r="E4485" s="457"/>
      <c r="F4485" s="457"/>
      <c r="G4485" s="457"/>
      <c r="H4485" s="457"/>
      <c r="I4485" s="458"/>
      <c r="J4485" s="458"/>
      <c r="K4485" s="458"/>
      <c r="L4485" s="1148">
        <f>+Datos!$E$20</f>
        <v>0.05</v>
      </c>
      <c r="M4485" s="941"/>
      <c r="N4485" s="430">
        <f>+L4485*N4478</f>
        <v>2848.05</v>
      </c>
      <c r="O4485" s="362"/>
    </row>
    <row r="4486" spans="2:15" ht="15.75" customHeight="1">
      <c r="B4486" s="679"/>
      <c r="C4486" s="1127" t="s">
        <v>1202</v>
      </c>
      <c r="D4486" s="965"/>
      <c r="E4486" s="965"/>
      <c r="F4486" s="965"/>
      <c r="G4486" s="965"/>
      <c r="H4486" s="965"/>
      <c r="I4486" s="965"/>
      <c r="J4486" s="965"/>
      <c r="K4486" s="965"/>
      <c r="L4486" s="965"/>
      <c r="M4486" s="966"/>
      <c r="N4486" s="433">
        <f>+SUM(N4483:N4485)</f>
        <v>17657.91</v>
      </c>
      <c r="O4486" s="362"/>
    </row>
    <row r="4487" spans="2:15" ht="15.75" customHeight="1">
      <c r="B4487" s="679"/>
      <c r="C4487" s="418"/>
      <c r="D4487" s="39"/>
      <c r="E4487" s="39"/>
      <c r="F4487" s="39"/>
      <c r="G4487" s="39"/>
      <c r="H4487" s="39"/>
      <c r="I4487" s="39"/>
      <c r="J4487" s="39"/>
      <c r="K4487" s="39"/>
      <c r="L4487" s="39"/>
      <c r="M4487" s="39"/>
      <c r="N4487" s="40"/>
      <c r="O4487" s="362"/>
    </row>
    <row r="4488" spans="2:15" ht="15.75" customHeight="1">
      <c r="B4488" s="679"/>
      <c r="C4488" s="1198" t="s">
        <v>1224</v>
      </c>
      <c r="D4488" s="965"/>
      <c r="E4488" s="965"/>
      <c r="F4488" s="965"/>
      <c r="G4488" s="965"/>
      <c r="H4488" s="965"/>
      <c r="I4488" s="965"/>
      <c r="J4488" s="965"/>
      <c r="K4488" s="965"/>
      <c r="L4488" s="965"/>
      <c r="M4488" s="966"/>
      <c r="N4488" s="683">
        <f>+ROUND(SUM(N4486,N4478),0)</f>
        <v>74619</v>
      </c>
      <c r="O4488" s="362"/>
    </row>
    <row r="4489" spans="2:15" ht="15.75" customHeight="1">
      <c r="B4489" s="679"/>
      <c r="C4489" s="418"/>
      <c r="D4489" s="39" t="s">
        <v>1225</v>
      </c>
      <c r="E4489" s="39"/>
      <c r="F4489" s="39"/>
      <c r="G4489" s="184"/>
      <c r="H4489" s="184"/>
      <c r="I4489" s="184"/>
      <c r="J4489" s="39" t="s">
        <v>1225</v>
      </c>
      <c r="K4489" s="39"/>
      <c r="L4489" s="39"/>
      <c r="M4489" s="39"/>
      <c r="N4489" s="40"/>
      <c r="O4489" s="362"/>
    </row>
    <row r="4490" spans="2:15" ht="15.75" customHeight="1">
      <c r="B4490" s="679"/>
      <c r="C4490" s="418"/>
      <c r="D4490" s="39" t="s">
        <v>1226</v>
      </c>
      <c r="E4490" s="39"/>
      <c r="F4490" s="39"/>
      <c r="G4490" s="184"/>
      <c r="H4490" s="184"/>
      <c r="I4490" s="184"/>
      <c r="J4490" s="39" t="s">
        <v>1227</v>
      </c>
      <c r="K4490" s="39"/>
      <c r="L4490" s="39"/>
      <c r="M4490" s="39"/>
      <c r="N4490" s="40"/>
      <c r="O4490" s="362"/>
    </row>
    <row r="4491" spans="2:15" ht="15.75" customHeight="1">
      <c r="B4491" s="679"/>
      <c r="C4491" s="404"/>
      <c r="D4491" s="39" t="s">
        <v>1228</v>
      </c>
      <c r="E4491" s="42"/>
      <c r="F4491" s="42"/>
      <c r="G4491" s="184"/>
      <c r="H4491" s="184"/>
      <c r="I4491" s="184"/>
      <c r="J4491" s="39" t="s">
        <v>1228</v>
      </c>
      <c r="K4491" s="42"/>
      <c r="L4491" s="42"/>
      <c r="M4491" s="42"/>
      <c r="N4491" s="43"/>
      <c r="O4491" s="362"/>
    </row>
    <row r="4492" spans="2:15" ht="15.75" customHeight="1">
      <c r="B4492" s="679"/>
      <c r="C4492" s="418"/>
      <c r="D4492" s="39"/>
      <c r="E4492" s="39"/>
      <c r="F4492" s="39"/>
      <c r="G4492" s="39" t="s">
        <v>1229</v>
      </c>
      <c r="H4492" s="39"/>
      <c r="I4492" s="39"/>
      <c r="J4492" s="39"/>
      <c r="K4492" s="39"/>
      <c r="L4492" s="39"/>
      <c r="M4492" s="39"/>
      <c r="N4492" s="40"/>
      <c r="O4492" s="362"/>
    </row>
    <row r="4493" spans="2:15" ht="15.75" customHeight="1">
      <c r="B4493" s="679"/>
      <c r="C4493" s="466"/>
      <c r="D4493" s="467"/>
      <c r="E4493" s="467"/>
      <c r="F4493" s="39"/>
      <c r="G4493" s="39"/>
      <c r="H4493" s="39"/>
      <c r="I4493" s="39"/>
      <c r="J4493" s="1149"/>
      <c r="K4493" s="922"/>
      <c r="L4493" s="922"/>
      <c r="M4493" s="922"/>
      <c r="N4493" s="924"/>
      <c r="O4493" s="362"/>
    </row>
    <row r="4494" spans="2:15" ht="15.75" customHeight="1">
      <c r="B4494" s="679"/>
      <c r="C4494" s="1150"/>
      <c r="D4494" s="936"/>
      <c r="E4494" s="936"/>
      <c r="F4494" s="416"/>
      <c r="G4494" s="416"/>
      <c r="H4494" s="416"/>
      <c r="I4494" s="416"/>
      <c r="J4494" s="936"/>
      <c r="K4494" s="936"/>
      <c r="L4494" s="936"/>
      <c r="M4494" s="936"/>
      <c r="N4494" s="938"/>
      <c r="O4494" s="362"/>
    </row>
    <row r="4495" spans="2:15" ht="15.75" customHeight="1">
      <c r="B4495" s="684"/>
      <c r="C4495" s="685"/>
      <c r="D4495" s="685"/>
      <c r="E4495" s="685"/>
      <c r="F4495" s="685"/>
      <c r="G4495" s="685"/>
      <c r="H4495" s="685"/>
      <c r="I4495" s="685"/>
      <c r="J4495" s="685"/>
      <c r="K4495" s="685"/>
      <c r="L4495" s="685"/>
      <c r="M4495" s="685"/>
      <c r="N4495" s="685"/>
      <c r="O4495" s="686"/>
    </row>
    <row r="4496" spans="2:15" ht="15.75" customHeight="1"/>
    <row r="4497" spans="1:15" ht="15.75" customHeight="1"/>
    <row r="4498" spans="1:15" ht="15.75" customHeight="1"/>
    <row r="4499" spans="1:15" ht="15.75" customHeight="1">
      <c r="A4499" s="395" t="s">
        <v>941</v>
      </c>
      <c r="B4499" s="184"/>
      <c r="C4499" s="184"/>
      <c r="D4499" s="184"/>
      <c r="E4499" s="184"/>
      <c r="F4499" s="184"/>
      <c r="G4499" s="184"/>
      <c r="H4499" s="184"/>
      <c r="I4499" s="184"/>
      <c r="J4499" s="184"/>
      <c r="K4499" s="184"/>
      <c r="L4499" s="184"/>
      <c r="M4499" s="184"/>
      <c r="N4499" s="184"/>
    </row>
    <row r="4500" spans="1:15" ht="15.75" customHeight="1">
      <c r="A4500" s="395"/>
      <c r="B4500" s="396"/>
      <c r="C4500" s="397"/>
      <c r="D4500" s="397"/>
      <c r="E4500" s="397"/>
      <c r="F4500" s="397"/>
      <c r="G4500" s="397"/>
      <c r="H4500" s="397"/>
      <c r="I4500" s="397"/>
      <c r="J4500" s="397"/>
      <c r="K4500" s="397"/>
      <c r="L4500" s="397"/>
      <c r="M4500" s="397"/>
      <c r="N4500" s="397"/>
      <c r="O4500" s="667"/>
    </row>
    <row r="4501" spans="1:15" ht="15.75" customHeight="1">
      <c r="A4501" s="395"/>
      <c r="B4501" s="399"/>
      <c r="C4501" s="1124"/>
      <c r="D4501" s="927"/>
      <c r="E4501" s="1207" t="str">
        <f>Datos!$C$9</f>
        <v>CONSEJO SUPERIOR  DE  JUDICATURA– DIRECCIÓN  EJECUTIVA  SECCIONAL  DE ADMINISTRACIÓN JUDICIAL DE BUCARAMANGA</v>
      </c>
      <c r="F4501" s="926"/>
      <c r="G4501" s="926"/>
      <c r="H4501" s="926"/>
      <c r="I4501" s="926"/>
      <c r="J4501" s="926"/>
      <c r="K4501" s="927"/>
      <c r="L4501" s="925" t="s">
        <v>1</v>
      </c>
      <c r="M4501" s="931"/>
      <c r="N4501" s="933">
        <v>1</v>
      </c>
      <c r="O4501" s="362"/>
    </row>
    <row r="4502" spans="1:15" ht="15.75" customHeight="1">
      <c r="A4502" s="395"/>
      <c r="B4502" s="399"/>
      <c r="C4502" s="920"/>
      <c r="D4502" s="924"/>
      <c r="E4502" s="920"/>
      <c r="F4502" s="922"/>
      <c r="G4502" s="922"/>
      <c r="H4502" s="922"/>
      <c r="I4502" s="922"/>
      <c r="J4502" s="922"/>
      <c r="K4502" s="924"/>
      <c r="L4502" s="920"/>
      <c r="M4502" s="932"/>
      <c r="N4502" s="934"/>
      <c r="O4502" s="362"/>
    </row>
    <row r="4503" spans="1:15" ht="15.75" customHeight="1">
      <c r="A4503" s="395"/>
      <c r="B4503" s="399"/>
      <c r="C4503" s="920"/>
      <c r="D4503" s="924"/>
      <c r="E4503" s="919" t="str">
        <f>Datos!$C$13</f>
        <v xml:space="preserve">BGA - 030 - 2026 </v>
      </c>
      <c r="F4503" s="922"/>
      <c r="G4503" s="922"/>
      <c r="H4503" s="922"/>
      <c r="I4503" s="922"/>
      <c r="J4503" s="922"/>
      <c r="K4503" s="922"/>
      <c r="L4503" s="925" t="s">
        <v>29</v>
      </c>
      <c r="M4503" s="926"/>
      <c r="N4503" s="927"/>
      <c r="O4503" s="362"/>
    </row>
    <row r="4504" spans="1:15" ht="15.75" customHeight="1">
      <c r="A4504" s="395"/>
      <c r="B4504" s="399"/>
      <c r="C4504" s="920"/>
      <c r="D4504" s="924"/>
      <c r="E4504"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504" s="922"/>
      <c r="G4504" s="922"/>
      <c r="H4504" s="922"/>
      <c r="I4504" s="922"/>
      <c r="J4504" s="922"/>
      <c r="K4504" s="924"/>
      <c r="L4504" s="919">
        <v>1</v>
      </c>
      <c r="M4504" s="921" t="s">
        <v>30</v>
      </c>
      <c r="N4504" s="923">
        <v>1</v>
      </c>
      <c r="O4504" s="362"/>
    </row>
    <row r="4505" spans="1:15" ht="15.75" customHeight="1">
      <c r="A4505" s="395"/>
      <c r="B4505" s="399"/>
      <c r="C4505" s="920"/>
      <c r="D4505" s="924"/>
      <c r="E4505" s="920"/>
      <c r="F4505" s="922"/>
      <c r="G4505" s="922"/>
      <c r="H4505" s="922"/>
      <c r="I4505" s="922"/>
      <c r="J4505" s="922"/>
      <c r="K4505" s="924"/>
      <c r="L4505" s="920"/>
      <c r="M4505" s="922"/>
      <c r="N4505" s="924"/>
      <c r="O4505" s="362"/>
    </row>
    <row r="4506" spans="1:15" ht="15.75" customHeight="1">
      <c r="A4506" s="395"/>
      <c r="B4506" s="399"/>
      <c r="C4506" s="920"/>
      <c r="D4506" s="924"/>
      <c r="E4506" s="920"/>
      <c r="F4506" s="922"/>
      <c r="G4506" s="922"/>
      <c r="H4506" s="922"/>
      <c r="I4506" s="922"/>
      <c r="J4506" s="922"/>
      <c r="K4506" s="924"/>
      <c r="L4506" s="925" t="s">
        <v>2</v>
      </c>
      <c r="M4506" s="926"/>
      <c r="N4506" s="927"/>
      <c r="O4506" s="362"/>
    </row>
    <row r="4507" spans="1:15" ht="15.75" customHeight="1">
      <c r="A4507" s="395"/>
      <c r="B4507" s="399"/>
      <c r="C4507" s="920"/>
      <c r="D4507" s="924"/>
      <c r="E4507" s="407"/>
      <c r="F4507" s="216"/>
      <c r="G4507" s="216"/>
      <c r="H4507" s="216"/>
      <c r="I4507" s="216"/>
      <c r="J4507" s="216"/>
      <c r="K4507" s="216"/>
      <c r="L4507" s="408" t="s">
        <v>3</v>
      </c>
      <c r="M4507" s="409" t="s">
        <v>4</v>
      </c>
      <c r="N4507" s="410" t="s">
        <v>5</v>
      </c>
      <c r="O4507" s="362"/>
    </row>
    <row r="4508" spans="1:15" ht="15.75" customHeight="1">
      <c r="A4508" s="395"/>
      <c r="B4508" s="399"/>
      <c r="C4508" s="920"/>
      <c r="D4508" s="924"/>
      <c r="E4508" s="1125" t="s">
        <v>1186</v>
      </c>
      <c r="F4508" s="945"/>
      <c r="G4508" s="945"/>
      <c r="H4508" s="945"/>
      <c r="I4508" s="945"/>
      <c r="J4508" s="945"/>
      <c r="K4508" s="945"/>
      <c r="L4508" s="928">
        <f>Datos!$C$7</f>
        <v>19</v>
      </c>
      <c r="M4508" s="935">
        <f>Datos!$D$7</f>
        <v>6</v>
      </c>
      <c r="N4508" s="937">
        <f>Datos!$E$7</f>
        <v>2026</v>
      </c>
      <c r="O4508" s="362"/>
    </row>
    <row r="4509" spans="1:15" ht="15.75" customHeight="1">
      <c r="A4509" s="395"/>
      <c r="B4509" s="399"/>
      <c r="C4509" s="929"/>
      <c r="D4509" s="938"/>
      <c r="E4509" s="929"/>
      <c r="F4509" s="936"/>
      <c r="G4509" s="936"/>
      <c r="H4509" s="936"/>
      <c r="I4509" s="936"/>
      <c r="J4509" s="936"/>
      <c r="K4509" s="936"/>
      <c r="L4509" s="929"/>
      <c r="M4509" s="936"/>
      <c r="N4509" s="938"/>
      <c r="O4509" s="362"/>
    </row>
    <row r="4510" spans="1:15" ht="15.75" customHeight="1">
      <c r="A4510" s="395"/>
      <c r="B4510" s="399"/>
      <c r="C4510" s="404"/>
      <c r="D4510" s="38"/>
      <c r="E4510" s="38"/>
      <c r="F4510" s="38"/>
      <c r="G4510" s="38"/>
      <c r="H4510" s="38"/>
      <c r="I4510" s="38"/>
      <c r="J4510" s="38"/>
      <c r="K4510" s="38"/>
      <c r="L4510" s="39"/>
      <c r="M4510" s="39"/>
      <c r="N4510" s="40"/>
      <c r="O4510" s="362"/>
    </row>
    <row r="4511" spans="1:15" ht="15.75" customHeight="1">
      <c r="A4511" s="395"/>
      <c r="B4511" s="399"/>
      <c r="C4511" s="412" t="s">
        <v>1187</v>
      </c>
      <c r="D4511" s="1199" t="str">
        <f>VLOOKUP(C4516,ListaAct,2,0)</f>
        <v>OBRA CIVIL</v>
      </c>
      <c r="E4511" s="922"/>
      <c r="F4511" s="922"/>
      <c r="G4511" s="922"/>
      <c r="H4511" s="922"/>
      <c r="I4511" s="922"/>
      <c r="J4511" s="922"/>
      <c r="K4511" s="922"/>
      <c r="L4511" s="922"/>
      <c r="M4511" s="1"/>
      <c r="N4511" s="413"/>
      <c r="O4511" s="362"/>
    </row>
    <row r="4512" spans="1:15" ht="15.75" customHeight="1">
      <c r="A4512" s="395"/>
      <c r="B4512" s="399"/>
      <c r="C4512" s="412" t="s">
        <v>1189</v>
      </c>
      <c r="D4512" s="1199" t="str">
        <f>VLOOKUP(C4516,ListaAct,3,0)</f>
        <v>ACTIVIDADES ELECTRICAS, DATOS Y DEMAS REQUERIDAS</v>
      </c>
      <c r="E4512" s="922"/>
      <c r="F4512" s="922"/>
      <c r="G4512" s="922"/>
      <c r="H4512" s="922"/>
      <c r="I4512" s="922"/>
      <c r="J4512" s="922"/>
      <c r="K4512" s="922"/>
      <c r="L4512" s="922"/>
      <c r="M4512" s="1"/>
      <c r="N4512" s="413"/>
      <c r="O4512" s="362"/>
    </row>
    <row r="4513" spans="1:15" ht="15.75" customHeight="1">
      <c r="A4513" s="395"/>
      <c r="B4513" s="399"/>
      <c r="C4513" s="925" t="s">
        <v>1191</v>
      </c>
      <c r="D4513" s="926"/>
      <c r="E4513" s="926"/>
      <c r="F4513" s="926"/>
      <c r="G4513" s="926"/>
      <c r="H4513" s="926"/>
      <c r="I4513" s="926"/>
      <c r="J4513" s="926"/>
      <c r="K4513" s="926"/>
      <c r="L4513" s="926"/>
      <c r="M4513" s="926"/>
      <c r="N4513" s="927"/>
      <c r="O4513" s="362"/>
    </row>
    <row r="4514" spans="1:15" ht="15.75" customHeight="1">
      <c r="A4514" s="395"/>
      <c r="B4514" s="399"/>
      <c r="C4514" s="418"/>
      <c r="D4514" s="39"/>
      <c r="E4514" s="39"/>
      <c r="F4514" s="39"/>
      <c r="G4514" s="39"/>
      <c r="H4514" s="39"/>
      <c r="I4514" s="39"/>
      <c r="J4514" s="39"/>
      <c r="K4514" s="39"/>
      <c r="L4514" s="39"/>
      <c r="M4514" s="39"/>
      <c r="N4514" s="40"/>
      <c r="O4514" s="362"/>
    </row>
    <row r="4515" spans="1:15" ht="15.75" customHeight="1">
      <c r="A4515" s="395"/>
      <c r="B4515" s="399"/>
      <c r="C4515" s="668" t="s">
        <v>965</v>
      </c>
      <c r="D4515" s="1200" t="s">
        <v>17</v>
      </c>
      <c r="E4515" s="1131"/>
      <c r="F4515" s="1131"/>
      <c r="G4515" s="1131"/>
      <c r="H4515" s="1131"/>
      <c r="I4515" s="1131"/>
      <c r="J4515" s="1131"/>
      <c r="K4515" s="1137"/>
      <c r="L4515" s="1201" t="s">
        <v>1192</v>
      </c>
      <c r="M4515" s="1137"/>
      <c r="N4515" s="668" t="s">
        <v>950</v>
      </c>
      <c r="O4515" s="362"/>
    </row>
    <row r="4516" spans="1:15" ht="15.75" customHeight="1">
      <c r="A4516" s="395"/>
      <c r="B4516" s="421"/>
      <c r="C4516" s="669" t="s">
        <v>1136</v>
      </c>
      <c r="D4516" s="1202" t="str">
        <f>IF($C4516&gt;0,(VLOOKUP($C4516,ListaAct,4,FALSE)),"")</f>
        <v>Suministro E Instalación De Troquel Metálico Piramidal Sencillo 12 X 5 Blanco</v>
      </c>
      <c r="E4516" s="979"/>
      <c r="F4516" s="979"/>
      <c r="G4516" s="979"/>
      <c r="H4516" s="979"/>
      <c r="I4516" s="979"/>
      <c r="J4516" s="979"/>
      <c r="K4516" s="980"/>
      <c r="L4516" s="1203" t="str">
        <f>IF($C4516&gt;0,(VLOOKUP($C4516,ListaAct,5,FALSE)),"")</f>
        <v>und</v>
      </c>
      <c r="M4516" s="980"/>
      <c r="N4516" s="423">
        <f>IF($C4516&gt;0,(VLOOKUP($C4516,ListaAct,6,FALSE)),"")</f>
        <v>2</v>
      </c>
      <c r="O4516" s="362"/>
    </row>
    <row r="4517" spans="1:15" ht="15.75" customHeight="1">
      <c r="A4517" s="395"/>
      <c r="B4517" s="399"/>
      <c r="C4517" s="1129" t="s">
        <v>1195</v>
      </c>
      <c r="D4517" s="926"/>
      <c r="E4517" s="926"/>
      <c r="F4517" s="926"/>
      <c r="G4517" s="926"/>
      <c r="H4517" s="926"/>
      <c r="I4517" s="926"/>
      <c r="J4517" s="926"/>
      <c r="K4517" s="926"/>
      <c r="L4517" s="926"/>
      <c r="M4517" s="926"/>
      <c r="N4517" s="927"/>
      <c r="O4517" s="362"/>
    </row>
    <row r="4518" spans="1:15" ht="15.75" customHeight="1">
      <c r="A4518" s="395"/>
      <c r="B4518" s="399"/>
      <c r="C4518" s="920"/>
      <c r="D4518" s="922"/>
      <c r="E4518" s="922"/>
      <c r="F4518" s="922"/>
      <c r="G4518" s="922"/>
      <c r="H4518" s="922"/>
      <c r="I4518" s="922"/>
      <c r="J4518" s="922"/>
      <c r="K4518" s="922"/>
      <c r="L4518" s="922"/>
      <c r="M4518" s="922"/>
      <c r="N4518" s="924"/>
      <c r="O4518" s="362"/>
    </row>
    <row r="4519" spans="1:15" ht="15.75" customHeight="1">
      <c r="A4519" s="395"/>
      <c r="B4519" s="399"/>
      <c r="C4519" s="929"/>
      <c r="D4519" s="936"/>
      <c r="E4519" s="936"/>
      <c r="F4519" s="936"/>
      <c r="G4519" s="936"/>
      <c r="H4519" s="936"/>
      <c r="I4519" s="936"/>
      <c r="J4519" s="936"/>
      <c r="K4519" s="936"/>
      <c r="L4519" s="936"/>
      <c r="M4519" s="936"/>
      <c r="N4519" s="938"/>
      <c r="O4519" s="362"/>
    </row>
    <row r="4520" spans="1:15" ht="15.75" customHeight="1">
      <c r="A4520" s="395"/>
      <c r="B4520" s="399"/>
      <c r="C4520" s="1201" t="s">
        <v>17</v>
      </c>
      <c r="D4520" s="1131"/>
      <c r="E4520" s="1131"/>
      <c r="F4520" s="1000"/>
      <c r="G4520" s="1204" t="s">
        <v>1196</v>
      </c>
      <c r="H4520" s="1000"/>
      <c r="I4520" s="1204" t="s">
        <v>1197</v>
      </c>
      <c r="J4520" s="1000"/>
      <c r="K4520" s="670" t="s">
        <v>1213</v>
      </c>
      <c r="L4520" s="1204" t="s">
        <v>1199</v>
      </c>
      <c r="M4520" s="1000"/>
      <c r="N4520" s="671" t="s">
        <v>1200</v>
      </c>
      <c r="O4520" s="362"/>
    </row>
    <row r="4521" spans="1:15" ht="15.75" customHeight="1">
      <c r="A4521" s="395"/>
      <c r="B4521" s="399"/>
      <c r="C4521" s="1128" t="s">
        <v>1201</v>
      </c>
      <c r="D4521" s="940"/>
      <c r="E4521" s="940"/>
      <c r="F4521" s="941"/>
      <c r="G4521" s="1142"/>
      <c r="H4521" s="941"/>
      <c r="I4521" s="1142"/>
      <c r="J4521" s="941"/>
      <c r="K4521" s="429"/>
      <c r="L4521" s="1143">
        <v>0.05</v>
      </c>
      <c r="M4521" s="941"/>
      <c r="N4521" s="430">
        <f>+L4521*N4560</f>
        <v>1365.0010831097488</v>
      </c>
      <c r="O4521" s="362"/>
    </row>
    <row r="4522" spans="1:15" ht="15.75" customHeight="1">
      <c r="A4522" s="395">
        <f t="array" ref="A4522">IF(C4522&lt;&gt;0,INDEX(CodEquipos,MATCH(C4522,Equipos,0),),)</f>
        <v>0</v>
      </c>
      <c r="B4522" s="399"/>
      <c r="C4522" s="1128"/>
      <c r="D4522" s="940"/>
      <c r="E4522" s="940"/>
      <c r="F4522" s="941"/>
      <c r="G4522" s="1142"/>
      <c r="H4522" s="941"/>
      <c r="I4522" s="1142"/>
      <c r="J4522" s="941"/>
      <c r="K4522" s="432" t="str">
        <f>IF($A4522&gt;0,(VLOOKUP($A4522,TablaEquipos,7,FALSE)),"")</f>
        <v/>
      </c>
      <c r="L4522" s="1146"/>
      <c r="M4522" s="941"/>
      <c r="N4522" s="430" t="str">
        <f t="shared" ref="N4522:N4526" si="331">IF(L4522&gt;0,K4522/L4522,"")</f>
        <v/>
      </c>
      <c r="O4522" s="362"/>
    </row>
    <row r="4523" spans="1:15" ht="15.75" customHeight="1">
      <c r="A4523" s="395">
        <f t="array" ref="A4523">IF(C4523&lt;&gt;0,INDEX(CodEquipos,MATCH(C4523,Equipos,0),),)</f>
        <v>0</v>
      </c>
      <c r="B4523" s="399"/>
      <c r="C4523" s="1128"/>
      <c r="D4523" s="940"/>
      <c r="E4523" s="940"/>
      <c r="F4523" s="941"/>
      <c r="G4523" s="1142"/>
      <c r="H4523" s="941"/>
      <c r="I4523" s="1142"/>
      <c r="J4523" s="941"/>
      <c r="K4523" s="432" t="str">
        <f>IF($A4523&gt;0,(VLOOKUP($A4523,TablaEquipos,7,FALSE)),"")</f>
        <v/>
      </c>
      <c r="L4523" s="1146"/>
      <c r="M4523" s="941"/>
      <c r="N4523" s="430" t="str">
        <f t="shared" si="331"/>
        <v/>
      </c>
      <c r="O4523" s="362"/>
    </row>
    <row r="4524" spans="1:15" ht="15.75" customHeight="1">
      <c r="A4524" s="395">
        <f t="array" ref="A4524">IF(C4524&lt;&gt;0,INDEX(CodEquipos,MATCH(C4524,Equipos,0),),)</f>
        <v>0</v>
      </c>
      <c r="B4524" s="399"/>
      <c r="C4524" s="1128"/>
      <c r="D4524" s="940"/>
      <c r="E4524" s="940"/>
      <c r="F4524" s="941"/>
      <c r="G4524" s="1142"/>
      <c r="H4524" s="941"/>
      <c r="I4524" s="1142"/>
      <c r="J4524" s="941"/>
      <c r="K4524" s="432" t="str">
        <f>IF($A4524&gt;0,(VLOOKUP($A4524,TablaEquipos,7,FALSE)),"")</f>
        <v/>
      </c>
      <c r="L4524" s="1146"/>
      <c r="M4524" s="941"/>
      <c r="N4524" s="430" t="str">
        <f t="shared" si="331"/>
        <v/>
      </c>
      <c r="O4524" s="362"/>
    </row>
    <row r="4525" spans="1:15" ht="15.75" customHeight="1">
      <c r="A4525" s="395">
        <f t="array" ref="A4525">IF(C4525&lt;&gt;0,INDEX(CodEquipos,MATCH(C4525,Equipos,0),),)</f>
        <v>0</v>
      </c>
      <c r="B4525" s="399"/>
      <c r="C4525" s="1128"/>
      <c r="D4525" s="940"/>
      <c r="E4525" s="940"/>
      <c r="F4525" s="941"/>
      <c r="G4525" s="1142"/>
      <c r="H4525" s="941"/>
      <c r="I4525" s="1142"/>
      <c r="J4525" s="941"/>
      <c r="K4525" s="432" t="str">
        <f>IF($A4525&gt;0,(VLOOKUP($A4525,TablaEquipos,7,FALSE)),"")</f>
        <v/>
      </c>
      <c r="L4525" s="1141"/>
      <c r="M4525" s="941"/>
      <c r="N4525" s="430" t="str">
        <f t="shared" si="331"/>
        <v/>
      </c>
      <c r="O4525" s="362"/>
    </row>
    <row r="4526" spans="1:15" ht="15.75" customHeight="1">
      <c r="A4526" s="395">
        <f t="array" ref="A4526">IF(C4526&lt;&gt;0,INDEX(CodEquipos,MATCH(C4526,Equipos,0),),)</f>
        <v>0</v>
      </c>
      <c r="B4526" s="399"/>
      <c r="C4526" s="1128"/>
      <c r="D4526" s="940"/>
      <c r="E4526" s="940"/>
      <c r="F4526" s="941"/>
      <c r="G4526" s="1144"/>
      <c r="H4526" s="1145"/>
      <c r="I4526" s="1144"/>
      <c r="J4526" s="1145"/>
      <c r="K4526" s="432" t="str">
        <f>IF($A4526&gt;0,(VLOOKUP($A4526,TablaEquipos,7,FALSE)),"")</f>
        <v/>
      </c>
      <c r="L4526" s="1208"/>
      <c r="M4526" s="1145"/>
      <c r="N4526" s="430" t="str">
        <f t="shared" si="331"/>
        <v/>
      </c>
      <c r="O4526" s="362"/>
    </row>
    <row r="4527" spans="1:15" ht="15.75" customHeight="1">
      <c r="A4527" s="395"/>
      <c r="B4527" s="399"/>
      <c r="C4527" s="1127" t="s">
        <v>1202</v>
      </c>
      <c r="D4527" s="965"/>
      <c r="E4527" s="965"/>
      <c r="F4527" s="965"/>
      <c r="G4527" s="965"/>
      <c r="H4527" s="965"/>
      <c r="I4527" s="965"/>
      <c r="J4527" s="965"/>
      <c r="K4527" s="965"/>
      <c r="L4527" s="965"/>
      <c r="M4527" s="966"/>
      <c r="N4527" s="433">
        <f>+SUM(N4521:N4526)</f>
        <v>1365.0010831097488</v>
      </c>
      <c r="O4527" s="362"/>
    </row>
    <row r="4528" spans="1:15" ht="15.75" customHeight="1">
      <c r="A4528" s="395"/>
      <c r="B4528" s="399"/>
      <c r="C4528" s="1129" t="s">
        <v>1203</v>
      </c>
      <c r="D4528" s="926"/>
      <c r="E4528" s="926"/>
      <c r="F4528" s="926"/>
      <c r="G4528" s="926"/>
      <c r="H4528" s="926"/>
      <c r="I4528" s="926"/>
      <c r="J4528" s="926"/>
      <c r="K4528" s="926"/>
      <c r="L4528" s="926"/>
      <c r="M4528" s="926"/>
      <c r="N4528" s="927"/>
      <c r="O4528" s="362"/>
    </row>
    <row r="4529" spans="1:15" ht="15.75" customHeight="1">
      <c r="A4529" s="395"/>
      <c r="B4529" s="399"/>
      <c r="C4529" s="920"/>
      <c r="D4529" s="922"/>
      <c r="E4529" s="922"/>
      <c r="F4529" s="922"/>
      <c r="G4529" s="922"/>
      <c r="H4529" s="922"/>
      <c r="I4529" s="922"/>
      <c r="J4529" s="922"/>
      <c r="K4529" s="922"/>
      <c r="L4529" s="922"/>
      <c r="M4529" s="922"/>
      <c r="N4529" s="924"/>
      <c r="O4529" s="362"/>
    </row>
    <row r="4530" spans="1:15" ht="15.75" customHeight="1">
      <c r="A4530" s="395"/>
      <c r="B4530" s="399"/>
      <c r="C4530" s="929"/>
      <c r="D4530" s="936"/>
      <c r="E4530" s="936"/>
      <c r="F4530" s="936"/>
      <c r="G4530" s="936"/>
      <c r="H4530" s="936"/>
      <c r="I4530" s="936"/>
      <c r="J4530" s="936"/>
      <c r="K4530" s="936"/>
      <c r="L4530" s="936"/>
      <c r="M4530" s="936"/>
      <c r="N4530" s="938"/>
      <c r="O4530" s="362"/>
    </row>
    <row r="4531" spans="1:15" ht="15.75" customHeight="1">
      <c r="A4531" s="395"/>
      <c r="B4531" s="399"/>
      <c r="C4531" s="1201" t="s">
        <v>17</v>
      </c>
      <c r="D4531" s="1131"/>
      <c r="E4531" s="1131"/>
      <c r="F4531" s="1131"/>
      <c r="G4531" s="1131"/>
      <c r="H4531" s="1131"/>
      <c r="I4531" s="1000"/>
      <c r="J4531" s="672" t="s">
        <v>1192</v>
      </c>
      <c r="K4531" s="670" t="s">
        <v>950</v>
      </c>
      <c r="L4531" s="1204" t="s">
        <v>1204</v>
      </c>
      <c r="M4531" s="1000"/>
      <c r="N4531" s="671" t="s">
        <v>1200</v>
      </c>
      <c r="O4531" s="362"/>
    </row>
    <row r="4532" spans="1:15" ht="15.75" customHeight="1">
      <c r="A4532" s="395" t="str">
        <f t="array" ref="A4532">IF(C4532&lt;&gt;0,INDEX(CodMat,MATCH(C4532,Materiales,0),),)</f>
        <v>MAT_ELE-105</v>
      </c>
      <c r="B4532" s="399"/>
      <c r="C4532" s="1128" t="s">
        <v>2403</v>
      </c>
      <c r="D4532" s="940"/>
      <c r="E4532" s="940"/>
      <c r="F4532" s="940"/>
      <c r="G4532" s="940"/>
      <c r="H4532" s="940"/>
      <c r="I4532" s="941"/>
      <c r="J4532" s="435" t="str">
        <f t="shared" ref="J4532:J4539" si="332">IF($A4532&gt;0,(VLOOKUP($A4532,TablaInsumos,5,FALSE)),"")</f>
        <v>UND</v>
      </c>
      <c r="K4532" s="673">
        <v>1</v>
      </c>
      <c r="L4532" s="1134">
        <f t="shared" ref="L4532:L4539" si="333">IF($A4532&gt;0,(VLOOKUP($A4532,TablaInsumos,7,FALSE)),"")</f>
        <v>24900</v>
      </c>
      <c r="M4532" s="941"/>
      <c r="N4532" s="430">
        <f t="shared" ref="N4532:N4539" si="334">IF(K4532&gt;0,L4532*K4532,"")</f>
        <v>24900</v>
      </c>
      <c r="O4532" s="362"/>
    </row>
    <row r="4533" spans="1:15" ht="15.75" customHeight="1">
      <c r="A4533" s="395" t="str">
        <f t="array" ref="A4533">IF(C4533&lt;&gt;0,INDEX(CodMat,MATCH(C4533,Materiales,0),),)</f>
        <v>MAT_ELE-104</v>
      </c>
      <c r="B4533" s="399"/>
      <c r="C4533" s="1128" t="s">
        <v>2401</v>
      </c>
      <c r="D4533" s="940"/>
      <c r="E4533" s="940"/>
      <c r="F4533" s="940"/>
      <c r="G4533" s="940"/>
      <c r="H4533" s="940"/>
      <c r="I4533" s="941"/>
      <c r="J4533" s="435" t="str">
        <f t="shared" si="332"/>
        <v>UND</v>
      </c>
      <c r="K4533" s="673">
        <v>4</v>
      </c>
      <c r="L4533" s="1134">
        <f t="shared" si="333"/>
        <v>70</v>
      </c>
      <c r="M4533" s="941"/>
      <c r="N4533" s="430">
        <f t="shared" si="334"/>
        <v>280</v>
      </c>
      <c r="O4533" s="362"/>
    </row>
    <row r="4534" spans="1:15" ht="15.75" customHeight="1">
      <c r="A4534" s="395">
        <f t="array" ref="A4534">IF(C4534&lt;&gt;0,INDEX(CodMat,MATCH(C4534,Materiales,0),),)</f>
        <v>0</v>
      </c>
      <c r="B4534" s="399"/>
      <c r="C4534" s="1128"/>
      <c r="D4534" s="940"/>
      <c r="E4534" s="940"/>
      <c r="F4534" s="940"/>
      <c r="G4534" s="940"/>
      <c r="H4534" s="940"/>
      <c r="I4534" s="941"/>
      <c r="J4534" s="435" t="str">
        <f t="shared" si="332"/>
        <v/>
      </c>
      <c r="K4534" s="673"/>
      <c r="L4534" s="1134" t="str">
        <f t="shared" si="333"/>
        <v/>
      </c>
      <c r="M4534" s="941"/>
      <c r="N4534" s="430" t="str">
        <f t="shared" si="334"/>
        <v/>
      </c>
      <c r="O4534" s="362"/>
    </row>
    <row r="4535" spans="1:15" ht="15.75" customHeight="1">
      <c r="A4535" s="395">
        <f t="array" ref="A4535">IF(C4535&lt;&gt;0,INDEX(CodMat,MATCH(C4535,Materiales,0),),)</f>
        <v>0</v>
      </c>
      <c r="B4535" s="399"/>
      <c r="C4535" s="1128"/>
      <c r="D4535" s="940"/>
      <c r="E4535" s="940"/>
      <c r="F4535" s="940"/>
      <c r="G4535" s="940"/>
      <c r="H4535" s="940"/>
      <c r="I4535" s="941"/>
      <c r="J4535" s="435" t="str">
        <f t="shared" si="332"/>
        <v/>
      </c>
      <c r="K4535" s="673"/>
      <c r="L4535" s="1134" t="str">
        <f t="shared" si="333"/>
        <v/>
      </c>
      <c r="M4535" s="941"/>
      <c r="N4535" s="430" t="str">
        <f t="shared" si="334"/>
        <v/>
      </c>
      <c r="O4535" s="362"/>
    </row>
    <row r="4536" spans="1:15" ht="15.75" customHeight="1">
      <c r="A4536" s="395">
        <f t="array" ref="A4536">IF(C4536&lt;&gt;0,INDEX(CodMat,MATCH(C4536,Materiales,0),),)</f>
        <v>0</v>
      </c>
      <c r="B4536" s="399"/>
      <c r="C4536" s="1128"/>
      <c r="D4536" s="940"/>
      <c r="E4536" s="940"/>
      <c r="F4536" s="940"/>
      <c r="G4536" s="940"/>
      <c r="H4536" s="940"/>
      <c r="I4536" s="941"/>
      <c r="J4536" s="435" t="str">
        <f t="shared" si="332"/>
        <v/>
      </c>
      <c r="K4536" s="436"/>
      <c r="L4536" s="1134" t="str">
        <f t="shared" si="333"/>
        <v/>
      </c>
      <c r="M4536" s="941"/>
      <c r="N4536" s="430" t="str">
        <f t="shared" si="334"/>
        <v/>
      </c>
      <c r="O4536" s="362"/>
    </row>
    <row r="4537" spans="1:15" ht="15.75" customHeight="1">
      <c r="A4537" s="395">
        <f t="array" ref="A4537">IF(C4537&lt;&gt;0,INDEX(CodMat,MATCH(C4537,Materiales,0),),)</f>
        <v>0</v>
      </c>
      <c r="B4537" s="399"/>
      <c r="C4537" s="1128"/>
      <c r="D4537" s="940"/>
      <c r="E4537" s="940"/>
      <c r="F4537" s="940"/>
      <c r="G4537" s="940"/>
      <c r="H4537" s="940"/>
      <c r="I4537" s="941"/>
      <c r="J4537" s="435" t="str">
        <f t="shared" si="332"/>
        <v/>
      </c>
      <c r="K4537" s="436"/>
      <c r="L4537" s="1134" t="str">
        <f t="shared" si="333"/>
        <v/>
      </c>
      <c r="M4537" s="941"/>
      <c r="N4537" s="430" t="str">
        <f t="shared" si="334"/>
        <v/>
      </c>
      <c r="O4537" s="362"/>
    </row>
    <row r="4538" spans="1:15" ht="15.75" customHeight="1">
      <c r="A4538" s="395">
        <f t="array" ref="A4538">IF(C4538&lt;&gt;0,INDEX(CodMat,MATCH(C4538,Materiales,0),),)</f>
        <v>0</v>
      </c>
      <c r="B4538" s="399"/>
      <c r="C4538" s="1128"/>
      <c r="D4538" s="940"/>
      <c r="E4538" s="940"/>
      <c r="F4538" s="940"/>
      <c r="G4538" s="940"/>
      <c r="H4538" s="940"/>
      <c r="I4538" s="941"/>
      <c r="J4538" s="435" t="str">
        <f t="shared" si="332"/>
        <v/>
      </c>
      <c r="K4538" s="436"/>
      <c r="L4538" s="1134" t="str">
        <f t="shared" si="333"/>
        <v/>
      </c>
      <c r="M4538" s="941"/>
      <c r="N4538" s="430" t="str">
        <f t="shared" si="334"/>
        <v/>
      </c>
      <c r="O4538" s="362"/>
    </row>
    <row r="4539" spans="1:15" ht="15.75" customHeight="1">
      <c r="A4539" s="395">
        <f t="array" ref="A4539">IF(C4539&lt;&gt;0,INDEX(CodMat,MATCH(C4539,Materiales,0),),)</f>
        <v>0</v>
      </c>
      <c r="B4539" s="399"/>
      <c r="C4539" s="1128"/>
      <c r="D4539" s="940"/>
      <c r="E4539" s="940"/>
      <c r="F4539" s="940"/>
      <c r="G4539" s="940"/>
      <c r="H4539" s="940"/>
      <c r="I4539" s="941"/>
      <c r="J4539" s="435" t="str">
        <f t="shared" si="332"/>
        <v/>
      </c>
      <c r="K4539" s="436"/>
      <c r="L4539" s="1205" t="str">
        <f t="shared" si="333"/>
        <v/>
      </c>
      <c r="M4539" s="1145"/>
      <c r="N4539" s="430" t="str">
        <f t="shared" si="334"/>
        <v/>
      </c>
      <c r="O4539" s="362"/>
    </row>
    <row r="4540" spans="1:15" ht="15.75" customHeight="1">
      <c r="A4540" s="395"/>
      <c r="B4540" s="399"/>
      <c r="C4540" s="1127" t="s">
        <v>1202</v>
      </c>
      <c r="D4540" s="965"/>
      <c r="E4540" s="965"/>
      <c r="F4540" s="965"/>
      <c r="G4540" s="965"/>
      <c r="H4540" s="965"/>
      <c r="I4540" s="965"/>
      <c r="J4540" s="965"/>
      <c r="K4540" s="965"/>
      <c r="L4540" s="965"/>
      <c r="M4540" s="966"/>
      <c r="N4540" s="433">
        <f>+SUM(N4532:N4539)</f>
        <v>25180</v>
      </c>
      <c r="O4540" s="362"/>
    </row>
    <row r="4541" spans="1:15" ht="15.75" customHeight="1">
      <c r="A4541" s="395"/>
      <c r="B4541" s="399"/>
      <c r="C4541" s="1129" t="s">
        <v>1208</v>
      </c>
      <c r="D4541" s="926"/>
      <c r="E4541" s="926"/>
      <c r="F4541" s="926"/>
      <c r="G4541" s="926"/>
      <c r="H4541" s="926"/>
      <c r="I4541" s="926"/>
      <c r="J4541" s="926"/>
      <c r="K4541" s="926"/>
      <c r="L4541" s="926"/>
      <c r="M4541" s="926"/>
      <c r="N4541" s="927"/>
      <c r="O4541" s="362"/>
    </row>
    <row r="4542" spans="1:15" ht="15.75" customHeight="1">
      <c r="A4542" s="395"/>
      <c r="B4542" s="399"/>
      <c r="C4542" s="920"/>
      <c r="D4542" s="922"/>
      <c r="E4542" s="922"/>
      <c r="F4542" s="922"/>
      <c r="G4542" s="922"/>
      <c r="H4542" s="922"/>
      <c r="I4542" s="922"/>
      <c r="J4542" s="922"/>
      <c r="K4542" s="922"/>
      <c r="L4542" s="922"/>
      <c r="M4542" s="922"/>
      <c r="N4542" s="924"/>
      <c r="O4542" s="362"/>
    </row>
    <row r="4543" spans="1:15" ht="15.75" customHeight="1">
      <c r="A4543" s="395"/>
      <c r="B4543" s="399"/>
      <c r="C4543" s="929"/>
      <c r="D4543" s="936"/>
      <c r="E4543" s="936"/>
      <c r="F4543" s="936"/>
      <c r="G4543" s="936"/>
      <c r="H4543" s="936"/>
      <c r="I4543" s="936"/>
      <c r="J4543" s="936"/>
      <c r="K4543" s="936"/>
      <c r="L4543" s="936"/>
      <c r="M4543" s="936"/>
      <c r="N4543" s="938"/>
      <c r="O4543" s="362"/>
    </row>
    <row r="4544" spans="1:15" ht="15.75" customHeight="1">
      <c r="A4544" s="395"/>
      <c r="B4544" s="399"/>
      <c r="C4544" s="1201" t="s">
        <v>1209</v>
      </c>
      <c r="D4544" s="1131"/>
      <c r="E4544" s="1131"/>
      <c r="F4544" s="1131"/>
      <c r="G4544" s="1131"/>
      <c r="H4544" s="1000"/>
      <c r="I4544" s="670" t="s">
        <v>1210</v>
      </c>
      <c r="J4544" s="674" t="s">
        <v>1211</v>
      </c>
      <c r="K4544" s="675" t="s">
        <v>2318</v>
      </c>
      <c r="L4544" s="1204" t="s">
        <v>1213</v>
      </c>
      <c r="M4544" s="1000"/>
      <c r="N4544" s="671" t="s">
        <v>1200</v>
      </c>
      <c r="O4544" s="362"/>
    </row>
    <row r="4545" spans="1:15" ht="15.75" customHeight="1">
      <c r="A4545" s="395">
        <f t="array" ref="A4545">IF(C4545&lt;&gt;0,INDEX(CodTransporte,MATCH(C4545,Transporte,0),),)</f>
        <v>0</v>
      </c>
      <c r="B4545" s="399"/>
      <c r="C4545" s="1128"/>
      <c r="D4545" s="940"/>
      <c r="E4545" s="940"/>
      <c r="F4545" s="940"/>
      <c r="G4545" s="940"/>
      <c r="H4545" s="940"/>
      <c r="I4545" s="440"/>
      <c r="J4545" s="441" t="str">
        <f>IF($A4545&gt;0,(VLOOKUP($A4545,TablaTransporte,6,FALSE)),"")</f>
        <v/>
      </c>
      <c r="K4545" s="442" t="str">
        <f>IF($A4545&gt;0,(VLOOKUP($A4545,TablaTransporte,5,FALSE)),"")</f>
        <v/>
      </c>
      <c r="L4545" s="1134" t="str">
        <f>IF($A4545&gt;0,(VLOOKUP($A4545,TablaTransporte,7,FALSE)),"")</f>
        <v/>
      </c>
      <c r="M4545" s="941"/>
      <c r="N4545" s="430" t="str">
        <f t="shared" ref="N4545:N4549" si="335">IF(I4545&gt;0,J4545*L4545*I4545,"")</f>
        <v/>
      </c>
      <c r="O4545" s="362"/>
    </row>
    <row r="4546" spans="1:15" ht="15.75" customHeight="1">
      <c r="A4546" s="395">
        <f t="array" ref="A4546">IF(C4546&lt;&gt;0,INDEX(CodTransporte,MATCH(C4546,Transporte,0),),)</f>
        <v>0</v>
      </c>
      <c r="B4546" s="399"/>
      <c r="C4546" s="1128"/>
      <c r="D4546" s="940"/>
      <c r="E4546" s="940"/>
      <c r="F4546" s="940"/>
      <c r="G4546" s="940"/>
      <c r="H4546" s="940"/>
      <c r="I4546" s="440"/>
      <c r="J4546" s="441" t="str">
        <f>IF($A4546&gt;0,(VLOOKUP($A4546,TablaTransporte,6,FALSE)),"")</f>
        <v/>
      </c>
      <c r="K4546" s="442" t="str">
        <f>IF($A4546&gt;0,(VLOOKUP($A4546,TablaTransporte,5,FALSE)),"")</f>
        <v/>
      </c>
      <c r="L4546" s="1134" t="str">
        <f>IF($A4546&gt;0,(VLOOKUP($A4546,TablaTransporte,7,FALSE)),"")</f>
        <v/>
      </c>
      <c r="M4546" s="941"/>
      <c r="N4546" s="430" t="str">
        <f t="shared" si="335"/>
        <v/>
      </c>
      <c r="O4546" s="362"/>
    </row>
    <row r="4547" spans="1:15" ht="15.75" customHeight="1">
      <c r="A4547" s="395">
        <f t="array" ref="A4547">IF(C4547&lt;&gt;0,INDEX(CodTransporte,MATCH(C4547,Transporte,0),),)</f>
        <v>0</v>
      </c>
      <c r="B4547" s="399"/>
      <c r="C4547" s="1128"/>
      <c r="D4547" s="940"/>
      <c r="E4547" s="940"/>
      <c r="F4547" s="940"/>
      <c r="G4547" s="940"/>
      <c r="H4547" s="940"/>
      <c r="I4547" s="440"/>
      <c r="J4547" s="441" t="str">
        <f>IF($A4547&gt;0,(VLOOKUP($A4547,TablaTransporte,6,FALSE)),"")</f>
        <v/>
      </c>
      <c r="K4547" s="442" t="str">
        <f>IF($A4547&gt;0,(VLOOKUP($A4547,TablaTransporte,5,FALSE)),"")</f>
        <v/>
      </c>
      <c r="L4547" s="1134" t="str">
        <f>IF($A4547&gt;0,(VLOOKUP($A4547,TablaTransporte,7,FALSE)),"")</f>
        <v/>
      </c>
      <c r="M4547" s="941"/>
      <c r="N4547" s="430" t="str">
        <f t="shared" si="335"/>
        <v/>
      </c>
      <c r="O4547" s="362"/>
    </row>
    <row r="4548" spans="1:15" ht="15.75" customHeight="1">
      <c r="A4548" s="395">
        <f t="array" ref="A4548">IF(C4548&lt;&gt;0,INDEX(CodTransporte,MATCH(C4548,Transporte,0),),)</f>
        <v>0</v>
      </c>
      <c r="B4548" s="399"/>
      <c r="C4548" s="1128"/>
      <c r="D4548" s="940"/>
      <c r="E4548" s="940"/>
      <c r="F4548" s="940"/>
      <c r="G4548" s="940"/>
      <c r="H4548" s="940"/>
      <c r="I4548" s="440"/>
      <c r="J4548" s="441" t="str">
        <f>IF($A4548&gt;0,(VLOOKUP($A4548,TablaTransporte,6,FALSE)),"")</f>
        <v/>
      </c>
      <c r="K4548" s="442" t="str">
        <f>IF($A4548&gt;0,(VLOOKUP($A4548,TablaTransporte,5,FALSE)),"")</f>
        <v/>
      </c>
      <c r="L4548" s="1134" t="str">
        <f>IF($A4548&gt;0,(VLOOKUP($A4548,TablaTransporte,7,FALSE)),"")</f>
        <v/>
      </c>
      <c r="M4548" s="941"/>
      <c r="N4548" s="430" t="str">
        <f t="shared" si="335"/>
        <v/>
      </c>
      <c r="O4548" s="362"/>
    </row>
    <row r="4549" spans="1:15" ht="15.75" customHeight="1">
      <c r="A4549" s="395">
        <f t="array" ref="A4549">IF(C4549&lt;&gt;0,INDEX(CodTransporte,MATCH(C4549,Transporte,0),),)</f>
        <v>0</v>
      </c>
      <c r="B4549" s="399"/>
      <c r="C4549" s="1128"/>
      <c r="D4549" s="940"/>
      <c r="E4549" s="940"/>
      <c r="F4549" s="940"/>
      <c r="G4549" s="940"/>
      <c r="H4549" s="940"/>
      <c r="I4549" s="440"/>
      <c r="J4549" s="441" t="str">
        <f>IF($A4549&gt;0,(VLOOKUP($A4549,TablaTransporte,6,FALSE)),"")</f>
        <v/>
      </c>
      <c r="K4549" s="442" t="str">
        <f>IF($A4549&gt;0,(VLOOKUP($A4549,TablaTransporte,5,FALSE)),"")</f>
        <v/>
      </c>
      <c r="L4549" s="1205" t="str">
        <f>IF($A4549&gt;0,(VLOOKUP($A4549,TablaTransporte,7,FALSE)),"")</f>
        <v/>
      </c>
      <c r="M4549" s="1145"/>
      <c r="N4549" s="430" t="str">
        <f t="shared" si="335"/>
        <v/>
      </c>
      <c r="O4549" s="362"/>
    </row>
    <row r="4550" spans="1:15" ht="15.75" customHeight="1">
      <c r="A4550" s="395"/>
      <c r="B4550" s="399"/>
      <c r="C4550" s="1127" t="s">
        <v>1202</v>
      </c>
      <c r="D4550" s="965"/>
      <c r="E4550" s="965"/>
      <c r="F4550" s="965"/>
      <c r="G4550" s="965"/>
      <c r="H4550" s="965"/>
      <c r="I4550" s="965"/>
      <c r="J4550" s="965"/>
      <c r="K4550" s="965"/>
      <c r="L4550" s="965"/>
      <c r="M4550" s="966"/>
      <c r="N4550" s="433">
        <f>+SUM(N4545:N4549)</f>
        <v>0</v>
      </c>
      <c r="O4550" s="362"/>
    </row>
    <row r="4551" spans="1:15" ht="15.75" customHeight="1">
      <c r="A4551" s="395"/>
      <c r="B4551" s="399"/>
      <c r="C4551" s="1129" t="s">
        <v>1214</v>
      </c>
      <c r="D4551" s="926"/>
      <c r="E4551" s="926"/>
      <c r="F4551" s="926"/>
      <c r="G4551" s="926"/>
      <c r="H4551" s="926"/>
      <c r="I4551" s="926"/>
      <c r="J4551" s="926"/>
      <c r="K4551" s="926"/>
      <c r="L4551" s="926"/>
      <c r="M4551" s="926"/>
      <c r="N4551" s="927"/>
      <c r="O4551" s="362"/>
    </row>
    <row r="4552" spans="1:15" ht="15.75" customHeight="1">
      <c r="A4552" s="395"/>
      <c r="B4552" s="399"/>
      <c r="C4552" s="920"/>
      <c r="D4552" s="922"/>
      <c r="E4552" s="922"/>
      <c r="F4552" s="922"/>
      <c r="G4552" s="922"/>
      <c r="H4552" s="922"/>
      <c r="I4552" s="922"/>
      <c r="J4552" s="922"/>
      <c r="K4552" s="922"/>
      <c r="L4552" s="922"/>
      <c r="M4552" s="922"/>
      <c r="N4552" s="924"/>
      <c r="O4552" s="362"/>
    </row>
    <row r="4553" spans="1:15" ht="15.75" customHeight="1">
      <c r="A4553" s="395"/>
      <c r="B4553" s="399"/>
      <c r="C4553" s="929"/>
      <c r="D4553" s="936"/>
      <c r="E4553" s="936"/>
      <c r="F4553" s="936"/>
      <c r="G4553" s="936"/>
      <c r="H4553" s="936"/>
      <c r="I4553" s="936"/>
      <c r="J4553" s="936"/>
      <c r="K4553" s="936"/>
      <c r="L4553" s="936"/>
      <c r="M4553" s="936"/>
      <c r="N4553" s="938"/>
      <c r="O4553" s="362"/>
    </row>
    <row r="4554" spans="1:15" ht="15.75" customHeight="1">
      <c r="A4554" s="395"/>
      <c r="B4554" s="399"/>
      <c r="C4554" s="1201" t="s">
        <v>1215</v>
      </c>
      <c r="D4554" s="1131"/>
      <c r="E4554" s="1131"/>
      <c r="F4554" s="1131"/>
      <c r="G4554" s="1131"/>
      <c r="H4554" s="1000"/>
      <c r="I4554" s="670" t="s">
        <v>1216</v>
      </c>
      <c r="J4554" s="676" t="s">
        <v>1217</v>
      </c>
      <c r="K4554" s="677" t="s">
        <v>1218</v>
      </c>
      <c r="L4554" s="1206" t="s">
        <v>1199</v>
      </c>
      <c r="M4554" s="1000"/>
      <c r="N4554" s="678" t="s">
        <v>1200</v>
      </c>
      <c r="O4554" s="362"/>
    </row>
    <row r="4555" spans="1:15" ht="15.75" customHeight="1">
      <c r="A4555" s="395" t="str">
        <f t="array" ref="A4555">IF(C4555&lt;&gt;0,INDEX(CodMO,MATCH(C4555,MO,0),),)</f>
        <v>M.O-15</v>
      </c>
      <c r="B4555" s="399"/>
      <c r="C4555" s="1128" t="s">
        <v>2607</v>
      </c>
      <c r="D4555" s="940"/>
      <c r="E4555" s="940"/>
      <c r="F4555" s="940"/>
      <c r="G4555" s="940"/>
      <c r="H4555" s="940"/>
      <c r="I4555" s="447">
        <f>IF($A4555&gt;0,(VLOOKUP($A4555,TablaMO,8,FALSE)),"")</f>
        <v>366787.33333333331</v>
      </c>
      <c r="J4555" s="448">
        <f>IF($A4555&gt;0,(VLOOKUP($A4555,TablaMO,10,FALSE)),"")</f>
        <v>0.67071666666666663</v>
      </c>
      <c r="K4555" s="447">
        <f>IF($A4555&gt;0,(VLOOKUP($A4555,TablaMO,11,FALSE)),"")</f>
        <v>367679</v>
      </c>
      <c r="L4555" s="1146">
        <v>13.468084551345292</v>
      </c>
      <c r="M4555" s="941"/>
      <c r="N4555" s="430">
        <f t="shared" ref="N4555:N4559" si="336">IF(L4555&gt;0,K4555/L4555,"")</f>
        <v>27300.021662194977</v>
      </c>
      <c r="O4555" s="362"/>
    </row>
    <row r="4556" spans="1:15" ht="15.75" customHeight="1">
      <c r="A4556" s="395">
        <f t="array" ref="A4556">IF(C4556&lt;&gt;0,INDEX(CodMO,MATCH(C4556,MO,0),),)</f>
        <v>0</v>
      </c>
      <c r="B4556" s="399"/>
      <c r="C4556" s="1128"/>
      <c r="D4556" s="940"/>
      <c r="E4556" s="940"/>
      <c r="F4556" s="940"/>
      <c r="G4556" s="940"/>
      <c r="H4556" s="940"/>
      <c r="I4556" s="447" t="str">
        <f>IF($A4556&gt;0,(VLOOKUP($A4556,TablaMO,8,FALSE)),"")</f>
        <v/>
      </c>
      <c r="J4556" s="448" t="str">
        <f>IF($A4556&gt;0,(VLOOKUP($A4556,TablaMO,10,FALSE)),"")</f>
        <v/>
      </c>
      <c r="K4556" s="447" t="str">
        <f>IF($A4556&gt;0,(VLOOKUP($A4556,TablaMO,11,FALSE)),"")</f>
        <v/>
      </c>
      <c r="L4556" s="1146"/>
      <c r="M4556" s="941"/>
      <c r="N4556" s="430" t="str">
        <f t="shared" si="336"/>
        <v/>
      </c>
      <c r="O4556" s="362"/>
    </row>
    <row r="4557" spans="1:15" ht="15.75" customHeight="1">
      <c r="A4557" s="395">
        <f t="array" ref="A4557">IF(C4557&lt;&gt;0,INDEX(CodMO,MATCH(C4557,MO,0),),)</f>
        <v>0</v>
      </c>
      <c r="B4557" s="399"/>
      <c r="C4557" s="1128"/>
      <c r="D4557" s="940"/>
      <c r="E4557" s="940"/>
      <c r="F4557" s="940"/>
      <c r="G4557" s="940"/>
      <c r="H4557" s="940"/>
      <c r="I4557" s="447" t="str">
        <f>IF($A4557&gt;0,(VLOOKUP($A4557,TablaMO,8,FALSE)),"")</f>
        <v/>
      </c>
      <c r="J4557" s="448" t="str">
        <f>IF($A4557&gt;0,(VLOOKUP($A4557,TablaMO,10,FALSE)),"")</f>
        <v/>
      </c>
      <c r="K4557" s="447" t="str">
        <f>IF($A4557&gt;0,(VLOOKUP($A4557,TablaMO,11,FALSE)),"")</f>
        <v/>
      </c>
      <c r="L4557" s="1146"/>
      <c r="M4557" s="941"/>
      <c r="N4557" s="430" t="str">
        <f t="shared" si="336"/>
        <v/>
      </c>
      <c r="O4557" s="362"/>
    </row>
    <row r="4558" spans="1:15" ht="15.75" customHeight="1">
      <c r="A4558" s="395">
        <f t="array" ref="A4558">IF(C4558&lt;&gt;0,INDEX(CodMO,MATCH(C4558,MO,0),),)</f>
        <v>0</v>
      </c>
      <c r="B4558" s="399"/>
      <c r="C4558" s="1128"/>
      <c r="D4558" s="940"/>
      <c r="E4558" s="940"/>
      <c r="F4558" s="940"/>
      <c r="G4558" s="940"/>
      <c r="H4558" s="940"/>
      <c r="I4558" s="447" t="str">
        <f>IF($A4558&gt;0,(VLOOKUP($A4558,TablaMO,8,FALSE)),"")</f>
        <v/>
      </c>
      <c r="J4558" s="448" t="str">
        <f>IF($A4558&gt;0,(VLOOKUP($A4558,TablaMO,10,FALSE)),"")</f>
        <v/>
      </c>
      <c r="K4558" s="447" t="str">
        <f>IF($A4558&gt;0,(VLOOKUP($A4558,TablaMO,11,FALSE)),"")</f>
        <v/>
      </c>
      <c r="L4558" s="1146"/>
      <c r="M4558" s="941"/>
      <c r="N4558" s="430" t="str">
        <f t="shared" si="336"/>
        <v/>
      </c>
      <c r="O4558" s="362"/>
    </row>
    <row r="4559" spans="1:15" ht="15.75" customHeight="1">
      <c r="A4559" s="395">
        <f t="array" ref="A4559">IF(C4559&lt;&gt;0,INDEX(CodMO,MATCH(C4559,MO,0),),)</f>
        <v>0</v>
      </c>
      <c r="B4559" s="399"/>
      <c r="C4559" s="1128"/>
      <c r="D4559" s="940"/>
      <c r="E4559" s="940"/>
      <c r="F4559" s="940"/>
      <c r="G4559" s="940"/>
      <c r="H4559" s="940"/>
      <c r="I4559" s="447" t="str">
        <f>IF($A4559&gt;0,(VLOOKUP($A4559,TablaMO,8,FALSE)),"")</f>
        <v/>
      </c>
      <c r="J4559" s="448" t="str">
        <f>IF($A4559&gt;0,(VLOOKUP($A4559,TablaMO,10,FALSE)),"")</f>
        <v/>
      </c>
      <c r="K4559" s="447" t="str">
        <f>IF($A4559&gt;0,(VLOOKUP($A4559,TablaMO,11,FALSE)),"")</f>
        <v/>
      </c>
      <c r="L4559" s="1146"/>
      <c r="M4559" s="941"/>
      <c r="N4559" s="430" t="str">
        <f t="shared" si="336"/>
        <v/>
      </c>
      <c r="O4559" s="362"/>
    </row>
    <row r="4560" spans="1:15" ht="15.75" customHeight="1">
      <c r="A4560" s="395"/>
      <c r="B4560" s="399"/>
      <c r="C4560" s="1127" t="s">
        <v>1202</v>
      </c>
      <c r="D4560" s="965"/>
      <c r="E4560" s="965"/>
      <c r="F4560" s="965"/>
      <c r="G4560" s="965"/>
      <c r="H4560" s="965"/>
      <c r="I4560" s="965"/>
      <c r="J4560" s="965"/>
      <c r="K4560" s="965"/>
      <c r="L4560" s="965"/>
      <c r="M4560" s="966"/>
      <c r="N4560" s="433">
        <f>+SUM(N4555:N4559)</f>
        <v>27300.021662194977</v>
      </c>
      <c r="O4560" s="362"/>
    </row>
    <row r="4561" spans="2:18" ht="15.75" customHeight="1">
      <c r="B4561" s="679"/>
      <c r="O4561" s="362"/>
    </row>
    <row r="4562" spans="2:18" ht="15.75" customHeight="1">
      <c r="B4562" s="679"/>
      <c r="C4562" s="1198" t="s">
        <v>1219</v>
      </c>
      <c r="D4562" s="965"/>
      <c r="E4562" s="965"/>
      <c r="F4562" s="965"/>
      <c r="G4562" s="965"/>
      <c r="H4562" s="965"/>
      <c r="I4562" s="965"/>
      <c r="J4562" s="965"/>
      <c r="K4562" s="965"/>
      <c r="L4562" s="965"/>
      <c r="M4562" s="966"/>
      <c r="N4562" s="680">
        <f>ROUND(SUM(N4560,N4550,N4540,N4527),0)</f>
        <v>53845</v>
      </c>
      <c r="O4562" s="362"/>
      <c r="Q4562" s="681">
        <f>VLOOKUP(C4516,PROPUESTASASERCO,8,FALSE)</f>
        <v>53845</v>
      </c>
      <c r="R4562" s="682">
        <f>Q4562-N4562</f>
        <v>0</v>
      </c>
    </row>
    <row r="4563" spans="2:18" ht="15.75" customHeight="1">
      <c r="B4563" s="679"/>
      <c r="C4563" s="1129" t="s">
        <v>1220</v>
      </c>
      <c r="D4563" s="926"/>
      <c r="E4563" s="926"/>
      <c r="F4563" s="926"/>
      <c r="G4563" s="926"/>
      <c r="H4563" s="926"/>
      <c r="I4563" s="926"/>
      <c r="J4563" s="926"/>
      <c r="K4563" s="926"/>
      <c r="L4563" s="926"/>
      <c r="M4563" s="926"/>
      <c r="N4563" s="927"/>
      <c r="O4563" s="362"/>
    </row>
    <row r="4564" spans="2:18" ht="15.75" customHeight="1">
      <c r="B4564" s="679"/>
      <c r="C4564" s="920"/>
      <c r="D4564" s="922"/>
      <c r="E4564" s="922"/>
      <c r="F4564" s="922"/>
      <c r="G4564" s="922"/>
      <c r="H4564" s="922"/>
      <c r="I4564" s="922"/>
      <c r="J4564" s="922"/>
      <c r="K4564" s="922"/>
      <c r="L4564" s="922"/>
      <c r="M4564" s="922"/>
      <c r="N4564" s="924"/>
      <c r="O4564" s="362"/>
    </row>
    <row r="4565" spans="2:18" ht="15.75" customHeight="1">
      <c r="B4565" s="679"/>
      <c r="C4565" s="929"/>
      <c r="D4565" s="936"/>
      <c r="E4565" s="936"/>
      <c r="F4565" s="936"/>
      <c r="G4565" s="936"/>
      <c r="H4565" s="936"/>
      <c r="I4565" s="936"/>
      <c r="J4565" s="936"/>
      <c r="K4565" s="936"/>
      <c r="L4565" s="936"/>
      <c r="M4565" s="936"/>
      <c r="N4565" s="938"/>
      <c r="O4565" s="362"/>
    </row>
    <row r="4566" spans="2:18" ht="15.75" customHeight="1">
      <c r="B4566" s="679"/>
      <c r="C4566" s="1201" t="s">
        <v>1221</v>
      </c>
      <c r="D4566" s="1131"/>
      <c r="E4566" s="1131"/>
      <c r="F4566" s="1131"/>
      <c r="G4566" s="1131"/>
      <c r="H4566" s="1132"/>
      <c r="I4566" s="674"/>
      <c r="J4566" s="674"/>
      <c r="K4566" s="674"/>
      <c r="L4566" s="1206" t="s">
        <v>1222</v>
      </c>
      <c r="M4566" s="1000"/>
      <c r="N4566" s="678" t="s">
        <v>1223</v>
      </c>
      <c r="O4566" s="362"/>
    </row>
    <row r="4567" spans="2:18" ht="15.75" customHeight="1">
      <c r="B4567" s="679"/>
      <c r="C4567" s="1128" t="s">
        <v>19</v>
      </c>
      <c r="D4567" s="940"/>
      <c r="E4567" s="940"/>
      <c r="F4567" s="940"/>
      <c r="G4567" s="940"/>
      <c r="H4567" s="940"/>
      <c r="I4567" s="452"/>
      <c r="J4567" s="452"/>
      <c r="K4567" s="452"/>
      <c r="L4567" s="1148">
        <f>+Datos!$E$18</f>
        <v>0.25</v>
      </c>
      <c r="M4567" s="941"/>
      <c r="N4567" s="430">
        <f>+L4567*N4562</f>
        <v>13461.25</v>
      </c>
      <c r="O4567" s="362"/>
    </row>
    <row r="4568" spans="2:18" ht="15.75" customHeight="1">
      <c r="B4568" s="679"/>
      <c r="C4568" s="454" t="s">
        <v>20</v>
      </c>
      <c r="D4568" s="455"/>
      <c r="E4568" s="455"/>
      <c r="F4568" s="455"/>
      <c r="G4568" s="455"/>
      <c r="H4568" s="455"/>
      <c r="I4568" s="452"/>
      <c r="J4568" s="452"/>
      <c r="K4568" s="452"/>
      <c r="L4568" s="1148">
        <f>+Datos!$E$19</f>
        <v>0.01</v>
      </c>
      <c r="M4568" s="941"/>
      <c r="N4568" s="430">
        <f>+L4568*N4562</f>
        <v>538.45000000000005</v>
      </c>
      <c r="O4568" s="362"/>
    </row>
    <row r="4569" spans="2:18" ht="15.75" customHeight="1">
      <c r="B4569" s="679"/>
      <c r="C4569" s="456" t="s">
        <v>21</v>
      </c>
      <c r="D4569" s="457"/>
      <c r="E4569" s="457"/>
      <c r="F4569" s="457"/>
      <c r="G4569" s="457"/>
      <c r="H4569" s="457"/>
      <c r="I4569" s="458"/>
      <c r="J4569" s="458"/>
      <c r="K4569" s="458"/>
      <c r="L4569" s="1148">
        <f>+Datos!$E$20</f>
        <v>0.05</v>
      </c>
      <c r="M4569" s="941"/>
      <c r="N4569" s="430">
        <f>+L4569*N4562</f>
        <v>2692.25</v>
      </c>
      <c r="O4569" s="362"/>
    </row>
    <row r="4570" spans="2:18" ht="15.75" customHeight="1">
      <c r="B4570" s="679"/>
      <c r="C4570" s="1127" t="s">
        <v>1202</v>
      </c>
      <c r="D4570" s="965"/>
      <c r="E4570" s="965"/>
      <c r="F4570" s="965"/>
      <c r="G4570" s="965"/>
      <c r="H4570" s="965"/>
      <c r="I4570" s="965"/>
      <c r="J4570" s="965"/>
      <c r="K4570" s="965"/>
      <c r="L4570" s="965"/>
      <c r="M4570" s="966"/>
      <c r="N4570" s="433">
        <f>+SUM(N4567:N4569)</f>
        <v>16691.95</v>
      </c>
      <c r="O4570" s="362"/>
    </row>
    <row r="4571" spans="2:18" ht="15.75" customHeight="1">
      <c r="B4571" s="679"/>
      <c r="C4571" s="418"/>
      <c r="D4571" s="39"/>
      <c r="E4571" s="39"/>
      <c r="F4571" s="39"/>
      <c r="G4571" s="39"/>
      <c r="H4571" s="39"/>
      <c r="I4571" s="39"/>
      <c r="J4571" s="39"/>
      <c r="K4571" s="39"/>
      <c r="L4571" s="39"/>
      <c r="M4571" s="39"/>
      <c r="N4571" s="40"/>
      <c r="O4571" s="362"/>
    </row>
    <row r="4572" spans="2:18" ht="15.75" customHeight="1">
      <c r="B4572" s="679"/>
      <c r="C4572" s="1198" t="s">
        <v>1224</v>
      </c>
      <c r="D4572" s="965"/>
      <c r="E4572" s="965"/>
      <c r="F4572" s="965"/>
      <c r="G4572" s="965"/>
      <c r="H4572" s="965"/>
      <c r="I4572" s="965"/>
      <c r="J4572" s="965"/>
      <c r="K4572" s="965"/>
      <c r="L4572" s="965"/>
      <c r="M4572" s="966"/>
      <c r="N4572" s="683">
        <f>+ROUND(SUM(N4570,N4562),0)</f>
        <v>70537</v>
      </c>
      <c r="O4572" s="362"/>
    </row>
    <row r="4573" spans="2:18" ht="15.75" customHeight="1">
      <c r="B4573" s="679"/>
      <c r="C4573" s="418"/>
      <c r="D4573" s="39" t="s">
        <v>1225</v>
      </c>
      <c r="E4573" s="39"/>
      <c r="F4573" s="39"/>
      <c r="G4573" s="184"/>
      <c r="H4573" s="184"/>
      <c r="I4573" s="184"/>
      <c r="J4573" s="39" t="s">
        <v>1225</v>
      </c>
      <c r="K4573" s="39"/>
      <c r="L4573" s="39"/>
      <c r="M4573" s="39"/>
      <c r="N4573" s="40"/>
      <c r="O4573" s="362"/>
    </row>
    <row r="4574" spans="2:18" ht="15.75" customHeight="1">
      <c r="B4574" s="679"/>
      <c r="C4574" s="418"/>
      <c r="D4574" s="39" t="s">
        <v>1226</v>
      </c>
      <c r="E4574" s="39"/>
      <c r="F4574" s="39"/>
      <c r="G4574" s="184"/>
      <c r="H4574" s="184"/>
      <c r="I4574" s="184"/>
      <c r="J4574" s="39" t="s">
        <v>1227</v>
      </c>
      <c r="K4574" s="39"/>
      <c r="L4574" s="39"/>
      <c r="M4574" s="39"/>
      <c r="N4574" s="40"/>
      <c r="O4574" s="362"/>
    </row>
    <row r="4575" spans="2:18" ht="15.75" customHeight="1">
      <c r="B4575" s="679"/>
      <c r="C4575" s="404"/>
      <c r="D4575" s="39" t="s">
        <v>1228</v>
      </c>
      <c r="E4575" s="42"/>
      <c r="F4575" s="42"/>
      <c r="G4575" s="184"/>
      <c r="H4575" s="184"/>
      <c r="I4575" s="184"/>
      <c r="J4575" s="39" t="s">
        <v>1228</v>
      </c>
      <c r="K4575" s="42"/>
      <c r="L4575" s="42"/>
      <c r="M4575" s="42"/>
      <c r="N4575" s="43"/>
      <c r="O4575" s="362"/>
    </row>
    <row r="4576" spans="2:18" ht="15.75" customHeight="1">
      <c r="B4576" s="679"/>
      <c r="C4576" s="418"/>
      <c r="D4576" s="39"/>
      <c r="E4576" s="39"/>
      <c r="F4576" s="39"/>
      <c r="G4576" s="39" t="s">
        <v>1229</v>
      </c>
      <c r="H4576" s="39"/>
      <c r="I4576" s="39"/>
      <c r="J4576" s="39"/>
      <c r="K4576" s="39"/>
      <c r="L4576" s="39"/>
      <c r="M4576" s="39"/>
      <c r="N4576" s="40"/>
      <c r="O4576" s="362"/>
    </row>
    <row r="4577" spans="1:15" ht="15.75" customHeight="1">
      <c r="B4577" s="679"/>
      <c r="C4577" s="466"/>
      <c r="D4577" s="467"/>
      <c r="E4577" s="467"/>
      <c r="F4577" s="39"/>
      <c r="G4577" s="39"/>
      <c r="H4577" s="39"/>
      <c r="I4577" s="39"/>
      <c r="J4577" s="1149"/>
      <c r="K4577" s="922"/>
      <c r="L4577" s="922"/>
      <c r="M4577" s="922"/>
      <c r="N4577" s="924"/>
      <c r="O4577" s="362"/>
    </row>
    <row r="4578" spans="1:15" ht="15.75" customHeight="1">
      <c r="B4578" s="679"/>
      <c r="C4578" s="1150"/>
      <c r="D4578" s="936"/>
      <c r="E4578" s="936"/>
      <c r="F4578" s="416"/>
      <c r="G4578" s="416"/>
      <c r="H4578" s="416"/>
      <c r="I4578" s="416"/>
      <c r="J4578" s="936"/>
      <c r="K4578" s="936"/>
      <c r="L4578" s="936"/>
      <c r="M4578" s="936"/>
      <c r="N4578" s="938"/>
      <c r="O4578" s="362"/>
    </row>
    <row r="4579" spans="1:15" ht="15.75" customHeight="1">
      <c r="B4579" s="684"/>
      <c r="C4579" s="685"/>
      <c r="D4579" s="685"/>
      <c r="E4579" s="685"/>
      <c r="F4579" s="685"/>
      <c r="G4579" s="685"/>
      <c r="H4579" s="685"/>
      <c r="I4579" s="685"/>
      <c r="J4579" s="685"/>
      <c r="K4579" s="685"/>
      <c r="L4579" s="685"/>
      <c r="M4579" s="685"/>
      <c r="N4579" s="685"/>
      <c r="O4579" s="686"/>
    </row>
    <row r="4580" spans="1:15" ht="15.75" customHeight="1"/>
    <row r="4581" spans="1:15" ht="15.75" customHeight="1"/>
    <row r="4582" spans="1:15" ht="15.75" customHeight="1"/>
    <row r="4583" spans="1:15" ht="15.75" customHeight="1"/>
    <row r="4584" spans="1:15" ht="15.75" customHeight="1">
      <c r="A4584" s="395" t="s">
        <v>941</v>
      </c>
      <c r="B4584" s="184"/>
      <c r="C4584" s="184"/>
      <c r="D4584" s="184"/>
      <c r="E4584" s="184"/>
      <c r="F4584" s="184"/>
      <c r="G4584" s="184"/>
      <c r="H4584" s="184"/>
      <c r="I4584" s="184"/>
      <c r="J4584" s="184"/>
      <c r="K4584" s="184"/>
      <c r="L4584" s="184"/>
      <c r="M4584" s="184"/>
      <c r="N4584" s="184"/>
    </row>
    <row r="4585" spans="1:15" ht="15.75" customHeight="1">
      <c r="A4585" s="395"/>
      <c r="B4585" s="396"/>
      <c r="C4585" s="397"/>
      <c r="D4585" s="397"/>
      <c r="E4585" s="397"/>
      <c r="F4585" s="397"/>
      <c r="G4585" s="397"/>
      <c r="H4585" s="397"/>
      <c r="I4585" s="397"/>
      <c r="J4585" s="397"/>
      <c r="K4585" s="397"/>
      <c r="L4585" s="397"/>
      <c r="M4585" s="397"/>
      <c r="N4585" s="397"/>
      <c r="O4585" s="667"/>
    </row>
    <row r="4586" spans="1:15" ht="15.75" customHeight="1">
      <c r="A4586" s="395"/>
      <c r="B4586" s="399"/>
      <c r="C4586" s="1124"/>
      <c r="D4586" s="927"/>
      <c r="E4586" s="1207" t="str">
        <f>Datos!$C$9</f>
        <v>CONSEJO SUPERIOR  DE  JUDICATURA– DIRECCIÓN  EJECUTIVA  SECCIONAL  DE ADMINISTRACIÓN JUDICIAL DE BUCARAMANGA</v>
      </c>
      <c r="F4586" s="926"/>
      <c r="G4586" s="926"/>
      <c r="H4586" s="926"/>
      <c r="I4586" s="926"/>
      <c r="J4586" s="926"/>
      <c r="K4586" s="927"/>
      <c r="L4586" s="925" t="s">
        <v>1</v>
      </c>
      <c r="M4586" s="931"/>
      <c r="N4586" s="933">
        <v>1</v>
      </c>
      <c r="O4586" s="362"/>
    </row>
    <row r="4587" spans="1:15" ht="15.75" customHeight="1">
      <c r="A4587" s="395"/>
      <c r="B4587" s="399"/>
      <c r="C4587" s="920"/>
      <c r="D4587" s="924"/>
      <c r="E4587" s="920"/>
      <c r="F4587" s="922"/>
      <c r="G4587" s="922"/>
      <c r="H4587" s="922"/>
      <c r="I4587" s="922"/>
      <c r="J4587" s="922"/>
      <c r="K4587" s="924"/>
      <c r="L4587" s="920"/>
      <c r="M4587" s="932"/>
      <c r="N4587" s="934"/>
      <c r="O4587" s="362"/>
    </row>
    <row r="4588" spans="1:15" ht="15.75" customHeight="1">
      <c r="A4588" s="395"/>
      <c r="B4588" s="399"/>
      <c r="C4588" s="920"/>
      <c r="D4588" s="924"/>
      <c r="E4588" s="919" t="str">
        <f>Datos!$C$13</f>
        <v xml:space="preserve">BGA - 030 - 2026 </v>
      </c>
      <c r="F4588" s="922"/>
      <c r="G4588" s="922"/>
      <c r="H4588" s="922"/>
      <c r="I4588" s="922"/>
      <c r="J4588" s="922"/>
      <c r="K4588" s="922"/>
      <c r="L4588" s="925" t="s">
        <v>29</v>
      </c>
      <c r="M4588" s="926"/>
      <c r="N4588" s="927"/>
      <c r="O4588" s="362"/>
    </row>
    <row r="4589" spans="1:15" ht="15.75" customHeight="1">
      <c r="A4589" s="395"/>
      <c r="B4589" s="399"/>
      <c r="C4589" s="920"/>
      <c r="D4589" s="924"/>
      <c r="E4589"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589" s="922"/>
      <c r="G4589" s="922"/>
      <c r="H4589" s="922"/>
      <c r="I4589" s="922"/>
      <c r="J4589" s="922"/>
      <c r="K4589" s="924"/>
      <c r="L4589" s="919">
        <v>1</v>
      </c>
      <c r="M4589" s="921" t="s">
        <v>30</v>
      </c>
      <c r="N4589" s="923">
        <v>1</v>
      </c>
      <c r="O4589" s="362"/>
    </row>
    <row r="4590" spans="1:15" ht="15.75" customHeight="1">
      <c r="A4590" s="395"/>
      <c r="B4590" s="399"/>
      <c r="C4590" s="920"/>
      <c r="D4590" s="924"/>
      <c r="E4590" s="920"/>
      <c r="F4590" s="922"/>
      <c r="G4590" s="922"/>
      <c r="H4590" s="922"/>
      <c r="I4590" s="922"/>
      <c r="J4590" s="922"/>
      <c r="K4590" s="924"/>
      <c r="L4590" s="920"/>
      <c r="M4590" s="922"/>
      <c r="N4590" s="924"/>
      <c r="O4590" s="362"/>
    </row>
    <row r="4591" spans="1:15" ht="15.75" customHeight="1">
      <c r="A4591" s="395"/>
      <c r="B4591" s="399"/>
      <c r="C4591" s="920"/>
      <c r="D4591" s="924"/>
      <c r="E4591" s="920"/>
      <c r="F4591" s="922"/>
      <c r="G4591" s="922"/>
      <c r="H4591" s="922"/>
      <c r="I4591" s="922"/>
      <c r="J4591" s="922"/>
      <c r="K4591" s="924"/>
      <c r="L4591" s="925" t="s">
        <v>2</v>
      </c>
      <c r="M4591" s="926"/>
      <c r="N4591" s="927"/>
      <c r="O4591" s="362"/>
    </row>
    <row r="4592" spans="1:15" ht="15.75" customHeight="1">
      <c r="A4592" s="395"/>
      <c r="B4592" s="399"/>
      <c r="C4592" s="920"/>
      <c r="D4592" s="924"/>
      <c r="E4592" s="407"/>
      <c r="F4592" s="216"/>
      <c r="G4592" s="216"/>
      <c r="H4592" s="216"/>
      <c r="I4592" s="216"/>
      <c r="J4592" s="216"/>
      <c r="K4592" s="216"/>
      <c r="L4592" s="408" t="s">
        <v>3</v>
      </c>
      <c r="M4592" s="409" t="s">
        <v>4</v>
      </c>
      <c r="N4592" s="410" t="s">
        <v>5</v>
      </c>
      <c r="O4592" s="362"/>
    </row>
    <row r="4593" spans="1:15" ht="15.75" customHeight="1">
      <c r="A4593" s="395"/>
      <c r="B4593" s="399"/>
      <c r="C4593" s="920"/>
      <c r="D4593" s="924"/>
      <c r="E4593" s="1125" t="s">
        <v>1186</v>
      </c>
      <c r="F4593" s="945"/>
      <c r="G4593" s="945"/>
      <c r="H4593" s="945"/>
      <c r="I4593" s="945"/>
      <c r="J4593" s="945"/>
      <c r="K4593" s="945"/>
      <c r="L4593" s="928">
        <f>Datos!$C$7</f>
        <v>19</v>
      </c>
      <c r="M4593" s="935">
        <f>Datos!$D$7</f>
        <v>6</v>
      </c>
      <c r="N4593" s="937">
        <f>Datos!$E$7</f>
        <v>2026</v>
      </c>
      <c r="O4593" s="362"/>
    </row>
    <row r="4594" spans="1:15" ht="15.75" customHeight="1">
      <c r="A4594" s="395"/>
      <c r="B4594" s="399"/>
      <c r="C4594" s="929"/>
      <c r="D4594" s="938"/>
      <c r="E4594" s="929"/>
      <c r="F4594" s="936"/>
      <c r="G4594" s="936"/>
      <c r="H4594" s="936"/>
      <c r="I4594" s="936"/>
      <c r="J4594" s="936"/>
      <c r="K4594" s="936"/>
      <c r="L4594" s="929"/>
      <c r="M4594" s="936"/>
      <c r="N4594" s="938"/>
      <c r="O4594" s="362"/>
    </row>
    <row r="4595" spans="1:15" ht="15.75" customHeight="1">
      <c r="A4595" s="395"/>
      <c r="B4595" s="399"/>
      <c r="C4595" s="404"/>
      <c r="D4595" s="38"/>
      <c r="E4595" s="38"/>
      <c r="F4595" s="38"/>
      <c r="G4595" s="38"/>
      <c r="H4595" s="38"/>
      <c r="I4595" s="38"/>
      <c r="J4595" s="38"/>
      <c r="K4595" s="38"/>
      <c r="L4595" s="39"/>
      <c r="M4595" s="39"/>
      <c r="N4595" s="40"/>
      <c r="O4595" s="362"/>
    </row>
    <row r="4596" spans="1:15" ht="15.75" customHeight="1">
      <c r="A4596" s="395"/>
      <c r="B4596" s="399"/>
      <c r="C4596" s="412" t="s">
        <v>1187</v>
      </c>
      <c r="D4596" s="1199" t="str">
        <f>VLOOKUP(C4601,ListaAct,2,0)</f>
        <v>OBRA CIVIL</v>
      </c>
      <c r="E4596" s="922"/>
      <c r="F4596" s="922"/>
      <c r="G4596" s="922"/>
      <c r="H4596" s="922"/>
      <c r="I4596" s="922"/>
      <c r="J4596" s="922"/>
      <c r="K4596" s="922"/>
      <c r="L4596" s="922"/>
      <c r="M4596" s="1"/>
      <c r="N4596" s="413"/>
      <c r="O4596" s="362"/>
    </row>
    <row r="4597" spans="1:15" ht="15.75" customHeight="1">
      <c r="A4597" s="395"/>
      <c r="B4597" s="399"/>
      <c r="C4597" s="412" t="s">
        <v>1189</v>
      </c>
      <c r="D4597" s="1199" t="str">
        <f>VLOOKUP(C4601,ListaAct,3,0)</f>
        <v>ACTIVIDADES ELECTRICAS, DATOS Y DEMAS REQUERIDAS</v>
      </c>
      <c r="E4597" s="922"/>
      <c r="F4597" s="922"/>
      <c r="G4597" s="922"/>
      <c r="H4597" s="922"/>
      <c r="I4597" s="922"/>
      <c r="J4597" s="922"/>
      <c r="K4597" s="922"/>
      <c r="L4597" s="922"/>
      <c r="M4597" s="1"/>
      <c r="N4597" s="413"/>
      <c r="O4597" s="362"/>
    </row>
    <row r="4598" spans="1:15" ht="15.75" customHeight="1">
      <c r="A4598" s="395"/>
      <c r="B4598" s="399"/>
      <c r="C4598" s="925" t="s">
        <v>1191</v>
      </c>
      <c r="D4598" s="926"/>
      <c r="E4598" s="926"/>
      <c r="F4598" s="926"/>
      <c r="G4598" s="926"/>
      <c r="H4598" s="926"/>
      <c r="I4598" s="926"/>
      <c r="J4598" s="926"/>
      <c r="K4598" s="926"/>
      <c r="L4598" s="926"/>
      <c r="M4598" s="926"/>
      <c r="N4598" s="927"/>
      <c r="O4598" s="362"/>
    </row>
    <row r="4599" spans="1:15" ht="15.75" customHeight="1">
      <c r="A4599" s="395"/>
      <c r="B4599" s="399"/>
      <c r="C4599" s="418"/>
      <c r="D4599" s="39"/>
      <c r="E4599" s="39"/>
      <c r="F4599" s="39"/>
      <c r="G4599" s="39"/>
      <c r="H4599" s="39"/>
      <c r="I4599" s="39"/>
      <c r="J4599" s="39"/>
      <c r="K4599" s="39"/>
      <c r="L4599" s="39"/>
      <c r="M4599" s="39"/>
      <c r="N4599" s="40"/>
      <c r="O4599" s="362"/>
    </row>
    <row r="4600" spans="1:15" ht="15.75" customHeight="1">
      <c r="A4600" s="395"/>
      <c r="B4600" s="399"/>
      <c r="C4600" s="668" t="s">
        <v>965</v>
      </c>
      <c r="D4600" s="1200" t="s">
        <v>17</v>
      </c>
      <c r="E4600" s="1131"/>
      <c r="F4600" s="1131"/>
      <c r="G4600" s="1131"/>
      <c r="H4600" s="1131"/>
      <c r="I4600" s="1131"/>
      <c r="J4600" s="1131"/>
      <c r="K4600" s="1137"/>
      <c r="L4600" s="1201" t="s">
        <v>1192</v>
      </c>
      <c r="M4600" s="1137"/>
      <c r="N4600" s="668" t="s">
        <v>950</v>
      </c>
      <c r="O4600" s="362"/>
    </row>
    <row r="4601" spans="1:15" ht="15.75" customHeight="1">
      <c r="A4601" s="395"/>
      <c r="B4601" s="421"/>
      <c r="C4601" s="669" t="s">
        <v>1139</v>
      </c>
      <c r="D4601" s="1202" t="str">
        <f>IF($C4601&gt;0,(VLOOKUP($C4601,ListaAct,4,FALSE)),"")</f>
        <v xml:space="preserve"> Suministro  e  instalación  de persiana en  aluminio Incluye  marco </v>
      </c>
      <c r="E4601" s="979"/>
      <c r="F4601" s="979"/>
      <c r="G4601" s="979"/>
      <c r="H4601" s="979"/>
      <c r="I4601" s="979"/>
      <c r="J4601" s="979"/>
      <c r="K4601" s="980"/>
      <c r="L4601" s="1203" t="str">
        <f>IF($C4601&gt;0,(VLOOKUP($C4601,ListaAct,5,FALSE)),"")</f>
        <v>m2</v>
      </c>
      <c r="M4601" s="980"/>
      <c r="N4601" s="423">
        <f>IF($C4601&gt;0,(VLOOKUP($C4601,ListaAct,6,FALSE)),"")</f>
        <v>1.53</v>
      </c>
      <c r="O4601" s="362"/>
    </row>
    <row r="4602" spans="1:15" ht="15.75" customHeight="1">
      <c r="A4602" s="395"/>
      <c r="B4602" s="399"/>
      <c r="C4602" s="1129" t="s">
        <v>1195</v>
      </c>
      <c r="D4602" s="926"/>
      <c r="E4602" s="926"/>
      <c r="F4602" s="926"/>
      <c r="G4602" s="926"/>
      <c r="H4602" s="926"/>
      <c r="I4602" s="926"/>
      <c r="J4602" s="926"/>
      <c r="K4602" s="926"/>
      <c r="L4602" s="926"/>
      <c r="M4602" s="926"/>
      <c r="N4602" s="927"/>
      <c r="O4602" s="362"/>
    </row>
    <row r="4603" spans="1:15" ht="15.75" customHeight="1">
      <c r="A4603" s="395"/>
      <c r="B4603" s="399"/>
      <c r="C4603" s="920"/>
      <c r="D4603" s="922"/>
      <c r="E4603" s="922"/>
      <c r="F4603" s="922"/>
      <c r="G4603" s="922"/>
      <c r="H4603" s="922"/>
      <c r="I4603" s="922"/>
      <c r="J4603" s="922"/>
      <c r="K4603" s="922"/>
      <c r="L4603" s="922"/>
      <c r="M4603" s="922"/>
      <c r="N4603" s="924"/>
      <c r="O4603" s="362"/>
    </row>
    <row r="4604" spans="1:15" ht="15.75" customHeight="1">
      <c r="A4604" s="395"/>
      <c r="B4604" s="399"/>
      <c r="C4604" s="929"/>
      <c r="D4604" s="936"/>
      <c r="E4604" s="936"/>
      <c r="F4604" s="936"/>
      <c r="G4604" s="936"/>
      <c r="H4604" s="936"/>
      <c r="I4604" s="936"/>
      <c r="J4604" s="936"/>
      <c r="K4604" s="936"/>
      <c r="L4604" s="936"/>
      <c r="M4604" s="936"/>
      <c r="N4604" s="938"/>
      <c r="O4604" s="362"/>
    </row>
    <row r="4605" spans="1:15" ht="15.75" customHeight="1">
      <c r="A4605" s="395"/>
      <c r="B4605" s="399"/>
      <c r="C4605" s="1201" t="s">
        <v>17</v>
      </c>
      <c r="D4605" s="1131"/>
      <c r="E4605" s="1131"/>
      <c r="F4605" s="1000"/>
      <c r="G4605" s="1204" t="s">
        <v>1196</v>
      </c>
      <c r="H4605" s="1000"/>
      <c r="I4605" s="1204" t="s">
        <v>1197</v>
      </c>
      <c r="J4605" s="1000"/>
      <c r="K4605" s="670" t="s">
        <v>1213</v>
      </c>
      <c r="L4605" s="1204" t="s">
        <v>1199</v>
      </c>
      <c r="M4605" s="1000"/>
      <c r="N4605" s="671" t="s">
        <v>1200</v>
      </c>
      <c r="O4605" s="362"/>
    </row>
    <row r="4606" spans="1:15" ht="15.75" customHeight="1">
      <c r="A4606" s="395"/>
      <c r="B4606" s="399"/>
      <c r="C4606" s="1128" t="s">
        <v>1201</v>
      </c>
      <c r="D4606" s="940"/>
      <c r="E4606" s="940"/>
      <c r="F4606" s="941"/>
      <c r="G4606" s="1142"/>
      <c r="H4606" s="941"/>
      <c r="I4606" s="1142"/>
      <c r="J4606" s="941"/>
      <c r="K4606" s="429"/>
      <c r="L4606" s="1143">
        <v>0.05</v>
      </c>
      <c r="M4606" s="941"/>
      <c r="N4606" s="430">
        <f>+L4606*N4645</f>
        <v>2019.1334647769302</v>
      </c>
      <c r="O4606" s="362"/>
    </row>
    <row r="4607" spans="1:15" ht="15.75" customHeight="1">
      <c r="A4607" s="395">
        <f t="array" ref="A4607">IF(C4607&lt;&gt;0,INDEX(CodEquipos,MATCH(C4607,Equipos,0),),)</f>
        <v>0</v>
      </c>
      <c r="B4607" s="399"/>
      <c r="C4607" s="1128"/>
      <c r="D4607" s="940"/>
      <c r="E4607" s="940"/>
      <c r="F4607" s="941"/>
      <c r="G4607" s="1142"/>
      <c r="H4607" s="941"/>
      <c r="I4607" s="1142"/>
      <c r="J4607" s="941"/>
      <c r="K4607" s="432" t="str">
        <f>IF($A4607&gt;0,(VLOOKUP($A4607,TablaEquipos,7,FALSE)),"")</f>
        <v/>
      </c>
      <c r="L4607" s="1146"/>
      <c r="M4607" s="941"/>
      <c r="N4607" s="430" t="str">
        <f t="shared" ref="N4607:N4611" si="337">IF(L4607&gt;0,K4607/L4607,"")</f>
        <v/>
      </c>
      <c r="O4607" s="362"/>
    </row>
    <row r="4608" spans="1:15" ht="15.75" customHeight="1">
      <c r="A4608" s="395">
        <f t="array" ref="A4608">IF(C4608&lt;&gt;0,INDEX(CodEquipos,MATCH(C4608,Equipos,0),),)</f>
        <v>0</v>
      </c>
      <c r="B4608" s="399"/>
      <c r="C4608" s="1128"/>
      <c r="D4608" s="940"/>
      <c r="E4608" s="940"/>
      <c r="F4608" s="941"/>
      <c r="G4608" s="1142"/>
      <c r="H4608" s="941"/>
      <c r="I4608" s="1142"/>
      <c r="J4608" s="941"/>
      <c r="K4608" s="432" t="str">
        <f>IF($A4608&gt;0,(VLOOKUP($A4608,TablaEquipos,7,FALSE)),"")</f>
        <v/>
      </c>
      <c r="L4608" s="1146"/>
      <c r="M4608" s="941"/>
      <c r="N4608" s="430" t="str">
        <f t="shared" si="337"/>
        <v/>
      </c>
      <c r="O4608" s="362"/>
    </row>
    <row r="4609" spans="1:15" ht="15.75" customHeight="1">
      <c r="A4609" s="395">
        <f t="array" ref="A4609">IF(C4609&lt;&gt;0,INDEX(CodEquipos,MATCH(C4609,Equipos,0),),)</f>
        <v>0</v>
      </c>
      <c r="B4609" s="399"/>
      <c r="C4609" s="1128"/>
      <c r="D4609" s="940"/>
      <c r="E4609" s="940"/>
      <c r="F4609" s="941"/>
      <c r="G4609" s="1142"/>
      <c r="H4609" s="941"/>
      <c r="I4609" s="1142"/>
      <c r="J4609" s="941"/>
      <c r="K4609" s="432" t="str">
        <f>IF($A4609&gt;0,(VLOOKUP($A4609,TablaEquipos,7,FALSE)),"")</f>
        <v/>
      </c>
      <c r="L4609" s="1146"/>
      <c r="M4609" s="941"/>
      <c r="N4609" s="430" t="str">
        <f t="shared" si="337"/>
        <v/>
      </c>
      <c r="O4609" s="362"/>
    </row>
    <row r="4610" spans="1:15" ht="15.75" customHeight="1">
      <c r="A4610" s="395">
        <f t="array" ref="A4610">IF(C4610&lt;&gt;0,INDEX(CodEquipos,MATCH(C4610,Equipos,0),),)</f>
        <v>0</v>
      </c>
      <c r="B4610" s="399"/>
      <c r="C4610" s="1128"/>
      <c r="D4610" s="940"/>
      <c r="E4610" s="940"/>
      <c r="F4610" s="941"/>
      <c r="G4610" s="1142"/>
      <c r="H4610" s="941"/>
      <c r="I4610" s="1142"/>
      <c r="J4610" s="941"/>
      <c r="K4610" s="432" t="str">
        <f>IF($A4610&gt;0,(VLOOKUP($A4610,TablaEquipos,7,FALSE)),"")</f>
        <v/>
      </c>
      <c r="L4610" s="1141"/>
      <c r="M4610" s="941"/>
      <c r="N4610" s="430" t="str">
        <f t="shared" si="337"/>
        <v/>
      </c>
      <c r="O4610" s="362"/>
    </row>
    <row r="4611" spans="1:15" ht="15.75" customHeight="1">
      <c r="A4611" s="395">
        <f t="array" ref="A4611">IF(C4611&lt;&gt;0,INDEX(CodEquipos,MATCH(C4611,Equipos,0),),)</f>
        <v>0</v>
      </c>
      <c r="B4611" s="399"/>
      <c r="C4611" s="1128"/>
      <c r="D4611" s="940"/>
      <c r="E4611" s="940"/>
      <c r="F4611" s="941"/>
      <c r="G4611" s="1144"/>
      <c r="H4611" s="1145"/>
      <c r="I4611" s="1144"/>
      <c r="J4611" s="1145"/>
      <c r="K4611" s="432" t="str">
        <f>IF($A4611&gt;0,(VLOOKUP($A4611,TablaEquipos,7,FALSE)),"")</f>
        <v/>
      </c>
      <c r="L4611" s="1208"/>
      <c r="M4611" s="1145"/>
      <c r="N4611" s="430" t="str">
        <f t="shared" si="337"/>
        <v/>
      </c>
      <c r="O4611" s="362"/>
    </row>
    <row r="4612" spans="1:15" ht="15.75" customHeight="1">
      <c r="A4612" s="395"/>
      <c r="B4612" s="399"/>
      <c r="C4612" s="1127" t="s">
        <v>1202</v>
      </c>
      <c r="D4612" s="965"/>
      <c r="E4612" s="965"/>
      <c r="F4612" s="965"/>
      <c r="G4612" s="965"/>
      <c r="H4612" s="965"/>
      <c r="I4612" s="965"/>
      <c r="J4612" s="965"/>
      <c r="K4612" s="965"/>
      <c r="L4612" s="965"/>
      <c r="M4612" s="966"/>
      <c r="N4612" s="433">
        <f>+SUM(N4606:N4611)</f>
        <v>2019.1334647769302</v>
      </c>
      <c r="O4612" s="362"/>
    </row>
    <row r="4613" spans="1:15" ht="15.75" customHeight="1">
      <c r="A4613" s="395"/>
      <c r="B4613" s="399"/>
      <c r="C4613" s="1129" t="s">
        <v>1203</v>
      </c>
      <c r="D4613" s="926"/>
      <c r="E4613" s="926"/>
      <c r="F4613" s="926"/>
      <c r="G4613" s="926"/>
      <c r="H4613" s="926"/>
      <c r="I4613" s="926"/>
      <c r="J4613" s="926"/>
      <c r="K4613" s="926"/>
      <c r="L4613" s="926"/>
      <c r="M4613" s="926"/>
      <c r="N4613" s="927"/>
      <c r="O4613" s="362"/>
    </row>
    <row r="4614" spans="1:15" ht="15.75" customHeight="1">
      <c r="A4614" s="395"/>
      <c r="B4614" s="399"/>
      <c r="C4614" s="920"/>
      <c r="D4614" s="922"/>
      <c r="E4614" s="922"/>
      <c r="F4614" s="922"/>
      <c r="G4614" s="922"/>
      <c r="H4614" s="922"/>
      <c r="I4614" s="922"/>
      <c r="J4614" s="922"/>
      <c r="K4614" s="922"/>
      <c r="L4614" s="922"/>
      <c r="M4614" s="922"/>
      <c r="N4614" s="924"/>
      <c r="O4614" s="362"/>
    </row>
    <row r="4615" spans="1:15" ht="15.75" customHeight="1">
      <c r="A4615" s="395"/>
      <c r="B4615" s="399"/>
      <c r="C4615" s="929"/>
      <c r="D4615" s="936"/>
      <c r="E4615" s="936"/>
      <c r="F4615" s="936"/>
      <c r="G4615" s="936"/>
      <c r="H4615" s="936"/>
      <c r="I4615" s="936"/>
      <c r="J4615" s="936"/>
      <c r="K4615" s="936"/>
      <c r="L4615" s="936"/>
      <c r="M4615" s="936"/>
      <c r="N4615" s="938"/>
      <c r="O4615" s="362"/>
    </row>
    <row r="4616" spans="1:15" ht="15.75" customHeight="1">
      <c r="A4616" s="395"/>
      <c r="B4616" s="399"/>
      <c r="C4616" s="1201" t="s">
        <v>17</v>
      </c>
      <c r="D4616" s="1131"/>
      <c r="E4616" s="1131"/>
      <c r="F4616" s="1131"/>
      <c r="G4616" s="1131"/>
      <c r="H4616" s="1131"/>
      <c r="I4616" s="1000"/>
      <c r="J4616" s="672" t="s">
        <v>1192</v>
      </c>
      <c r="K4616" s="670" t="s">
        <v>950</v>
      </c>
      <c r="L4616" s="1204" t="s">
        <v>1204</v>
      </c>
      <c r="M4616" s="1000"/>
      <c r="N4616" s="671" t="s">
        <v>1200</v>
      </c>
      <c r="O4616" s="362"/>
    </row>
    <row r="4617" spans="1:15" ht="15.75" customHeight="1">
      <c r="A4617" s="395" t="str">
        <f t="array" ref="A4617">IF(C4617&lt;&gt;0,INDEX(CodMat,MATCH(C4617,Materiales,0),),)</f>
        <v>MAT_V-02</v>
      </c>
      <c r="B4617" s="399"/>
      <c r="C4617" s="1128" t="s">
        <v>1896</v>
      </c>
      <c r="D4617" s="940"/>
      <c r="E4617" s="940"/>
      <c r="F4617" s="940"/>
      <c r="G4617" s="940"/>
      <c r="H4617" s="940"/>
      <c r="I4617" s="941"/>
      <c r="J4617" s="435" t="str">
        <f t="shared" ref="J4617:J4624" si="338">IF($A4617&gt;0,(VLOOKUP($A4617,TablaInsumos,5,FALSE)),"")</f>
        <v>M2</v>
      </c>
      <c r="K4617" s="673">
        <v>1.05</v>
      </c>
      <c r="L4617" s="1134">
        <f t="shared" ref="L4617:L4624" si="339">IF($A4617&gt;0,(VLOOKUP($A4617,TablaInsumos,7,FALSE)),"")</f>
        <v>295000</v>
      </c>
      <c r="M4617" s="941"/>
      <c r="N4617" s="430">
        <f t="shared" ref="N4617:N4624" si="340">IF(K4617&gt;0,L4617*K4617,"")</f>
        <v>309750</v>
      </c>
      <c r="O4617" s="362"/>
    </row>
    <row r="4618" spans="1:15" ht="15.75" customHeight="1">
      <c r="A4618" s="395">
        <f t="array" ref="A4618">IF(C4618&lt;&gt;0,INDEX(CodMat,MATCH(C4618,Materiales,0),),)</f>
        <v>0</v>
      </c>
      <c r="B4618" s="399"/>
      <c r="C4618" s="1128"/>
      <c r="D4618" s="940"/>
      <c r="E4618" s="940"/>
      <c r="F4618" s="940"/>
      <c r="G4618" s="940"/>
      <c r="H4618" s="940"/>
      <c r="I4618" s="941"/>
      <c r="J4618" s="435" t="str">
        <f t="shared" si="338"/>
        <v/>
      </c>
      <c r="K4618" s="673"/>
      <c r="L4618" s="1134" t="str">
        <f t="shared" si="339"/>
        <v/>
      </c>
      <c r="M4618" s="941"/>
      <c r="N4618" s="430" t="str">
        <f t="shared" si="340"/>
        <v/>
      </c>
      <c r="O4618" s="362"/>
    </row>
    <row r="4619" spans="1:15" ht="15.75" customHeight="1">
      <c r="A4619" s="395">
        <f t="array" ref="A4619">IF(C4619&lt;&gt;0,INDEX(CodMat,MATCH(C4619,Materiales,0),),)</f>
        <v>0</v>
      </c>
      <c r="B4619" s="399"/>
      <c r="C4619" s="1128"/>
      <c r="D4619" s="940"/>
      <c r="E4619" s="940"/>
      <c r="F4619" s="940"/>
      <c r="G4619" s="940"/>
      <c r="H4619" s="940"/>
      <c r="I4619" s="941"/>
      <c r="J4619" s="435" t="str">
        <f t="shared" si="338"/>
        <v/>
      </c>
      <c r="K4619" s="673"/>
      <c r="L4619" s="1134" t="str">
        <f t="shared" si="339"/>
        <v/>
      </c>
      <c r="M4619" s="941"/>
      <c r="N4619" s="430" t="str">
        <f t="shared" si="340"/>
        <v/>
      </c>
      <c r="O4619" s="362"/>
    </row>
    <row r="4620" spans="1:15" ht="15.75" customHeight="1">
      <c r="A4620" s="395">
        <f t="array" ref="A4620">IF(C4620&lt;&gt;0,INDEX(CodMat,MATCH(C4620,Materiales,0),),)</f>
        <v>0</v>
      </c>
      <c r="B4620" s="399"/>
      <c r="C4620" s="1128"/>
      <c r="D4620" s="940"/>
      <c r="E4620" s="940"/>
      <c r="F4620" s="940"/>
      <c r="G4620" s="940"/>
      <c r="H4620" s="940"/>
      <c r="I4620" s="941"/>
      <c r="J4620" s="435" t="str">
        <f t="shared" si="338"/>
        <v/>
      </c>
      <c r="K4620" s="673"/>
      <c r="L4620" s="1134" t="str">
        <f t="shared" si="339"/>
        <v/>
      </c>
      <c r="M4620" s="941"/>
      <c r="N4620" s="430" t="str">
        <f t="shared" si="340"/>
        <v/>
      </c>
      <c r="O4620" s="362"/>
    </row>
    <row r="4621" spans="1:15" ht="15.75" customHeight="1">
      <c r="A4621" s="395">
        <f t="array" ref="A4621">IF(C4621&lt;&gt;0,INDEX(CodMat,MATCH(C4621,Materiales,0),),)</f>
        <v>0</v>
      </c>
      <c r="B4621" s="399"/>
      <c r="C4621" s="1128"/>
      <c r="D4621" s="940"/>
      <c r="E4621" s="940"/>
      <c r="F4621" s="940"/>
      <c r="G4621" s="940"/>
      <c r="H4621" s="940"/>
      <c r="I4621" s="941"/>
      <c r="J4621" s="435" t="str">
        <f t="shared" si="338"/>
        <v/>
      </c>
      <c r="K4621" s="436"/>
      <c r="L4621" s="1134" t="str">
        <f t="shared" si="339"/>
        <v/>
      </c>
      <c r="M4621" s="941"/>
      <c r="N4621" s="430" t="str">
        <f t="shared" si="340"/>
        <v/>
      </c>
      <c r="O4621" s="362"/>
    </row>
    <row r="4622" spans="1:15" ht="15.75" customHeight="1">
      <c r="A4622" s="395">
        <f t="array" ref="A4622">IF(C4622&lt;&gt;0,INDEX(CodMat,MATCH(C4622,Materiales,0),),)</f>
        <v>0</v>
      </c>
      <c r="B4622" s="399"/>
      <c r="C4622" s="1128"/>
      <c r="D4622" s="940"/>
      <c r="E4622" s="940"/>
      <c r="F4622" s="940"/>
      <c r="G4622" s="940"/>
      <c r="H4622" s="940"/>
      <c r="I4622" s="941"/>
      <c r="J4622" s="435" t="str">
        <f t="shared" si="338"/>
        <v/>
      </c>
      <c r="K4622" s="436"/>
      <c r="L4622" s="1134" t="str">
        <f t="shared" si="339"/>
        <v/>
      </c>
      <c r="M4622" s="941"/>
      <c r="N4622" s="430" t="str">
        <f t="shared" si="340"/>
        <v/>
      </c>
      <c r="O4622" s="362"/>
    </row>
    <row r="4623" spans="1:15" ht="15.75" customHeight="1">
      <c r="A4623" s="395">
        <f t="array" ref="A4623">IF(C4623&lt;&gt;0,INDEX(CodMat,MATCH(C4623,Materiales,0),),)</f>
        <v>0</v>
      </c>
      <c r="B4623" s="399"/>
      <c r="C4623" s="1128"/>
      <c r="D4623" s="940"/>
      <c r="E4623" s="940"/>
      <c r="F4623" s="940"/>
      <c r="G4623" s="940"/>
      <c r="H4623" s="940"/>
      <c r="I4623" s="941"/>
      <c r="J4623" s="435" t="str">
        <f t="shared" si="338"/>
        <v/>
      </c>
      <c r="K4623" s="436"/>
      <c r="L4623" s="1134" t="str">
        <f t="shared" si="339"/>
        <v/>
      </c>
      <c r="M4623" s="941"/>
      <c r="N4623" s="430" t="str">
        <f t="shared" si="340"/>
        <v/>
      </c>
      <c r="O4623" s="362"/>
    </row>
    <row r="4624" spans="1:15" ht="15.75" customHeight="1">
      <c r="A4624" s="395">
        <f t="array" ref="A4624">IF(C4624&lt;&gt;0,INDEX(CodMat,MATCH(C4624,Materiales,0),),)</f>
        <v>0</v>
      </c>
      <c r="B4624" s="399"/>
      <c r="C4624" s="1128"/>
      <c r="D4624" s="940"/>
      <c r="E4624" s="940"/>
      <c r="F4624" s="940"/>
      <c r="G4624" s="940"/>
      <c r="H4624" s="940"/>
      <c r="I4624" s="941"/>
      <c r="J4624" s="435" t="str">
        <f t="shared" si="338"/>
        <v/>
      </c>
      <c r="K4624" s="436"/>
      <c r="L4624" s="1205" t="str">
        <f t="shared" si="339"/>
        <v/>
      </c>
      <c r="M4624" s="1145"/>
      <c r="N4624" s="430" t="str">
        <f t="shared" si="340"/>
        <v/>
      </c>
      <c r="O4624" s="362"/>
    </row>
    <row r="4625" spans="1:15" ht="15.75" customHeight="1">
      <c r="A4625" s="395"/>
      <c r="B4625" s="399"/>
      <c r="C4625" s="1127" t="s">
        <v>1202</v>
      </c>
      <c r="D4625" s="965"/>
      <c r="E4625" s="965"/>
      <c r="F4625" s="965"/>
      <c r="G4625" s="965"/>
      <c r="H4625" s="965"/>
      <c r="I4625" s="965"/>
      <c r="J4625" s="965"/>
      <c r="K4625" s="965"/>
      <c r="L4625" s="965"/>
      <c r="M4625" s="966"/>
      <c r="N4625" s="433">
        <f>+SUM(N4617:N4624)</f>
        <v>309750</v>
      </c>
      <c r="O4625" s="362"/>
    </row>
    <row r="4626" spans="1:15" ht="15.75" customHeight="1">
      <c r="A4626" s="395"/>
      <c r="B4626" s="399"/>
      <c r="C4626" s="1129" t="s">
        <v>1208</v>
      </c>
      <c r="D4626" s="926"/>
      <c r="E4626" s="926"/>
      <c r="F4626" s="926"/>
      <c r="G4626" s="926"/>
      <c r="H4626" s="926"/>
      <c r="I4626" s="926"/>
      <c r="J4626" s="926"/>
      <c r="K4626" s="926"/>
      <c r="L4626" s="926"/>
      <c r="M4626" s="926"/>
      <c r="N4626" s="927"/>
      <c r="O4626" s="362"/>
    </row>
    <row r="4627" spans="1:15" ht="15.75" customHeight="1">
      <c r="A4627" s="395"/>
      <c r="B4627" s="399"/>
      <c r="C4627" s="920"/>
      <c r="D4627" s="922"/>
      <c r="E4627" s="922"/>
      <c r="F4627" s="922"/>
      <c r="G4627" s="922"/>
      <c r="H4627" s="922"/>
      <c r="I4627" s="922"/>
      <c r="J4627" s="922"/>
      <c r="K4627" s="922"/>
      <c r="L4627" s="922"/>
      <c r="M4627" s="922"/>
      <c r="N4627" s="924"/>
      <c r="O4627" s="362"/>
    </row>
    <row r="4628" spans="1:15" ht="15.75" customHeight="1">
      <c r="A4628" s="395"/>
      <c r="B4628" s="399"/>
      <c r="C4628" s="929"/>
      <c r="D4628" s="936"/>
      <c r="E4628" s="936"/>
      <c r="F4628" s="936"/>
      <c r="G4628" s="936"/>
      <c r="H4628" s="936"/>
      <c r="I4628" s="936"/>
      <c r="J4628" s="936"/>
      <c r="K4628" s="936"/>
      <c r="L4628" s="936"/>
      <c r="M4628" s="936"/>
      <c r="N4628" s="938"/>
      <c r="O4628" s="362"/>
    </row>
    <row r="4629" spans="1:15" ht="15.75" customHeight="1">
      <c r="A4629" s="395"/>
      <c r="B4629" s="399"/>
      <c r="C4629" s="1201" t="s">
        <v>1209</v>
      </c>
      <c r="D4629" s="1131"/>
      <c r="E4629" s="1131"/>
      <c r="F4629" s="1131"/>
      <c r="G4629" s="1131"/>
      <c r="H4629" s="1000"/>
      <c r="I4629" s="670" t="s">
        <v>1210</v>
      </c>
      <c r="J4629" s="674" t="s">
        <v>1211</v>
      </c>
      <c r="K4629" s="675" t="s">
        <v>2318</v>
      </c>
      <c r="L4629" s="1204" t="s">
        <v>1213</v>
      </c>
      <c r="M4629" s="1000"/>
      <c r="N4629" s="671" t="s">
        <v>1200</v>
      </c>
      <c r="O4629" s="362"/>
    </row>
    <row r="4630" spans="1:15" ht="15.75" customHeight="1">
      <c r="A4630" s="395">
        <f t="array" ref="A4630">IF(C4630&lt;&gt;0,INDEX(CodTransporte,MATCH(C4630,Transporte,0),),)</f>
        <v>0</v>
      </c>
      <c r="B4630" s="399"/>
      <c r="C4630" s="1128"/>
      <c r="D4630" s="940"/>
      <c r="E4630" s="940"/>
      <c r="F4630" s="940"/>
      <c r="G4630" s="940"/>
      <c r="H4630" s="940"/>
      <c r="I4630" s="440"/>
      <c r="J4630" s="441" t="str">
        <f>IF($A4630&gt;0,(VLOOKUP($A4630,TablaTransporte,6,FALSE)),"")</f>
        <v/>
      </c>
      <c r="K4630" s="442" t="str">
        <f>IF($A4630&gt;0,(VLOOKUP($A4630,TablaTransporte,5,FALSE)),"")</f>
        <v/>
      </c>
      <c r="L4630" s="1134" t="str">
        <f>IF($A4630&gt;0,(VLOOKUP($A4630,TablaTransporte,7,FALSE)),"")</f>
        <v/>
      </c>
      <c r="M4630" s="941"/>
      <c r="N4630" s="430" t="str">
        <f t="shared" ref="N4630:N4634" si="341">IF(I4630&gt;0,J4630*L4630*I4630,"")</f>
        <v/>
      </c>
      <c r="O4630" s="362"/>
    </row>
    <row r="4631" spans="1:15" ht="15.75" customHeight="1">
      <c r="A4631" s="395">
        <f t="array" ref="A4631">IF(C4631&lt;&gt;0,INDEX(CodTransporte,MATCH(C4631,Transporte,0),),)</f>
        <v>0</v>
      </c>
      <c r="B4631" s="399"/>
      <c r="C4631" s="1128"/>
      <c r="D4631" s="940"/>
      <c r="E4631" s="940"/>
      <c r="F4631" s="940"/>
      <c r="G4631" s="940"/>
      <c r="H4631" s="940"/>
      <c r="I4631" s="440"/>
      <c r="J4631" s="441" t="str">
        <f>IF($A4631&gt;0,(VLOOKUP($A4631,TablaTransporte,6,FALSE)),"")</f>
        <v/>
      </c>
      <c r="K4631" s="442" t="str">
        <f>IF($A4631&gt;0,(VLOOKUP($A4631,TablaTransporte,5,FALSE)),"")</f>
        <v/>
      </c>
      <c r="L4631" s="1134" t="str">
        <f>IF($A4631&gt;0,(VLOOKUP($A4631,TablaTransporte,7,FALSE)),"")</f>
        <v/>
      </c>
      <c r="M4631" s="941"/>
      <c r="N4631" s="430" t="str">
        <f t="shared" si="341"/>
        <v/>
      </c>
      <c r="O4631" s="362"/>
    </row>
    <row r="4632" spans="1:15" ht="15.75" customHeight="1">
      <c r="A4632" s="395">
        <f t="array" ref="A4632">IF(C4632&lt;&gt;0,INDEX(CodTransporte,MATCH(C4632,Transporte,0),),)</f>
        <v>0</v>
      </c>
      <c r="B4632" s="399"/>
      <c r="C4632" s="1128"/>
      <c r="D4632" s="940"/>
      <c r="E4632" s="940"/>
      <c r="F4632" s="940"/>
      <c r="G4632" s="940"/>
      <c r="H4632" s="940"/>
      <c r="I4632" s="440"/>
      <c r="J4632" s="441" t="str">
        <f>IF($A4632&gt;0,(VLOOKUP($A4632,TablaTransporte,6,FALSE)),"")</f>
        <v/>
      </c>
      <c r="K4632" s="442" t="str">
        <f>IF($A4632&gt;0,(VLOOKUP($A4632,TablaTransporte,5,FALSE)),"")</f>
        <v/>
      </c>
      <c r="L4632" s="1134" t="str">
        <f>IF($A4632&gt;0,(VLOOKUP($A4632,TablaTransporte,7,FALSE)),"")</f>
        <v/>
      </c>
      <c r="M4632" s="941"/>
      <c r="N4632" s="430" t="str">
        <f t="shared" si="341"/>
        <v/>
      </c>
      <c r="O4632" s="362"/>
    </row>
    <row r="4633" spans="1:15" ht="15.75" customHeight="1">
      <c r="A4633" s="395">
        <f t="array" ref="A4633">IF(C4633&lt;&gt;0,INDEX(CodTransporte,MATCH(C4633,Transporte,0),),)</f>
        <v>0</v>
      </c>
      <c r="B4633" s="399"/>
      <c r="C4633" s="1128"/>
      <c r="D4633" s="940"/>
      <c r="E4633" s="940"/>
      <c r="F4633" s="940"/>
      <c r="G4633" s="940"/>
      <c r="H4633" s="940"/>
      <c r="I4633" s="440"/>
      <c r="J4633" s="441" t="str">
        <f>IF($A4633&gt;0,(VLOOKUP($A4633,TablaTransporte,6,FALSE)),"")</f>
        <v/>
      </c>
      <c r="K4633" s="442" t="str">
        <f>IF($A4633&gt;0,(VLOOKUP($A4633,TablaTransporte,5,FALSE)),"")</f>
        <v/>
      </c>
      <c r="L4633" s="1134" t="str">
        <f>IF($A4633&gt;0,(VLOOKUP($A4633,TablaTransporte,7,FALSE)),"")</f>
        <v/>
      </c>
      <c r="M4633" s="941"/>
      <c r="N4633" s="430" t="str">
        <f t="shared" si="341"/>
        <v/>
      </c>
      <c r="O4633" s="362"/>
    </row>
    <row r="4634" spans="1:15" ht="15.75" customHeight="1">
      <c r="A4634" s="395">
        <f t="array" ref="A4634">IF(C4634&lt;&gt;0,INDEX(CodTransporte,MATCH(C4634,Transporte,0),),)</f>
        <v>0</v>
      </c>
      <c r="B4634" s="399"/>
      <c r="C4634" s="1128"/>
      <c r="D4634" s="940"/>
      <c r="E4634" s="940"/>
      <c r="F4634" s="940"/>
      <c r="G4634" s="940"/>
      <c r="H4634" s="940"/>
      <c r="I4634" s="440"/>
      <c r="J4634" s="441" t="str">
        <f>IF($A4634&gt;0,(VLOOKUP($A4634,TablaTransporte,6,FALSE)),"")</f>
        <v/>
      </c>
      <c r="K4634" s="442" t="str">
        <f>IF($A4634&gt;0,(VLOOKUP($A4634,TablaTransporte,5,FALSE)),"")</f>
        <v/>
      </c>
      <c r="L4634" s="1205" t="str">
        <f>IF($A4634&gt;0,(VLOOKUP($A4634,TablaTransporte,7,FALSE)),"")</f>
        <v/>
      </c>
      <c r="M4634" s="1145"/>
      <c r="N4634" s="430" t="str">
        <f t="shared" si="341"/>
        <v/>
      </c>
      <c r="O4634" s="362"/>
    </row>
    <row r="4635" spans="1:15" ht="15.75" customHeight="1">
      <c r="A4635" s="395"/>
      <c r="B4635" s="399"/>
      <c r="C4635" s="1127" t="s">
        <v>1202</v>
      </c>
      <c r="D4635" s="965"/>
      <c r="E4635" s="965"/>
      <c r="F4635" s="965"/>
      <c r="G4635" s="965"/>
      <c r="H4635" s="965"/>
      <c r="I4635" s="965"/>
      <c r="J4635" s="965"/>
      <c r="K4635" s="965"/>
      <c r="L4635" s="965"/>
      <c r="M4635" s="966"/>
      <c r="N4635" s="433">
        <f>+SUM(N4630:N4634)</f>
        <v>0</v>
      </c>
      <c r="O4635" s="362"/>
    </row>
    <row r="4636" spans="1:15" ht="15.75" customHeight="1">
      <c r="A4636" s="395"/>
      <c r="B4636" s="399"/>
      <c r="C4636" s="1129" t="s">
        <v>1214</v>
      </c>
      <c r="D4636" s="926"/>
      <c r="E4636" s="926"/>
      <c r="F4636" s="926"/>
      <c r="G4636" s="926"/>
      <c r="H4636" s="926"/>
      <c r="I4636" s="926"/>
      <c r="J4636" s="926"/>
      <c r="K4636" s="926"/>
      <c r="L4636" s="926"/>
      <c r="M4636" s="926"/>
      <c r="N4636" s="927"/>
      <c r="O4636" s="362"/>
    </row>
    <row r="4637" spans="1:15" ht="15.75" customHeight="1">
      <c r="A4637" s="395"/>
      <c r="B4637" s="399"/>
      <c r="C4637" s="920"/>
      <c r="D4637" s="922"/>
      <c r="E4637" s="922"/>
      <c r="F4637" s="922"/>
      <c r="G4637" s="922"/>
      <c r="H4637" s="922"/>
      <c r="I4637" s="922"/>
      <c r="J4637" s="922"/>
      <c r="K4637" s="922"/>
      <c r="L4637" s="922"/>
      <c r="M4637" s="922"/>
      <c r="N4637" s="924"/>
      <c r="O4637" s="362"/>
    </row>
    <row r="4638" spans="1:15" ht="15.75" customHeight="1">
      <c r="A4638" s="395"/>
      <c r="B4638" s="399"/>
      <c r="C4638" s="929"/>
      <c r="D4638" s="936"/>
      <c r="E4638" s="936"/>
      <c r="F4638" s="936"/>
      <c r="G4638" s="936"/>
      <c r="H4638" s="936"/>
      <c r="I4638" s="936"/>
      <c r="J4638" s="936"/>
      <c r="K4638" s="936"/>
      <c r="L4638" s="936"/>
      <c r="M4638" s="936"/>
      <c r="N4638" s="938"/>
      <c r="O4638" s="362"/>
    </row>
    <row r="4639" spans="1:15" ht="15.75" customHeight="1">
      <c r="A4639" s="395"/>
      <c r="B4639" s="399"/>
      <c r="C4639" s="1201" t="s">
        <v>1215</v>
      </c>
      <c r="D4639" s="1131"/>
      <c r="E4639" s="1131"/>
      <c r="F4639" s="1131"/>
      <c r="G4639" s="1131"/>
      <c r="H4639" s="1000"/>
      <c r="I4639" s="670" t="s">
        <v>1216</v>
      </c>
      <c r="J4639" s="676" t="s">
        <v>1217</v>
      </c>
      <c r="K4639" s="677" t="s">
        <v>1218</v>
      </c>
      <c r="L4639" s="1206" t="s">
        <v>1199</v>
      </c>
      <c r="M4639" s="1000"/>
      <c r="N4639" s="678" t="s">
        <v>1200</v>
      </c>
      <c r="O4639" s="362"/>
    </row>
    <row r="4640" spans="1:15" ht="15.75" customHeight="1">
      <c r="A4640" s="395" t="str">
        <f t="array" ref="A4640">IF(C4640&lt;&gt;0,INDEX(CodMO,MATCH(C4640,MO,0),),)</f>
        <v>M.O-22</v>
      </c>
      <c r="B4640" s="399"/>
      <c r="C4640" s="1128" t="s">
        <v>249</v>
      </c>
      <c r="D4640" s="940"/>
      <c r="E4640" s="940"/>
      <c r="F4640" s="940"/>
      <c r="G4640" s="940"/>
      <c r="H4640" s="940"/>
      <c r="I4640" s="447">
        <f>IF($A4640&gt;0,(VLOOKUP($A4640,TablaMO,8,FALSE)),"")</f>
        <v>250060.33333333334</v>
      </c>
      <c r="J4640" s="448">
        <f>IF($A4640&gt;0,(VLOOKUP($A4640,TablaMO,10,FALSE)),"")</f>
        <v>0.67071666666666663</v>
      </c>
      <c r="K4640" s="447">
        <f>IF($A4640&gt;0,(VLOOKUP($A4640,TablaMO,11,FALSE)),"")</f>
        <v>417780</v>
      </c>
      <c r="L4640" s="1146">
        <v>10.345527110714187</v>
      </c>
      <c r="M4640" s="941"/>
      <c r="N4640" s="430">
        <f t="shared" ref="N4640:N4644" si="342">IF(L4640&gt;0,K4640/L4640,"")</f>
        <v>40382.669295538602</v>
      </c>
      <c r="O4640" s="362"/>
    </row>
    <row r="4641" spans="1:18" ht="15.75" customHeight="1">
      <c r="A4641" s="395">
        <f t="array" ref="A4641">IF(C4641&lt;&gt;0,INDEX(CodMO,MATCH(C4641,MO,0),),)</f>
        <v>0</v>
      </c>
      <c r="B4641" s="399"/>
      <c r="C4641" s="1128"/>
      <c r="D4641" s="940"/>
      <c r="E4641" s="940"/>
      <c r="F4641" s="940"/>
      <c r="G4641" s="940"/>
      <c r="H4641" s="940"/>
      <c r="I4641" s="447" t="str">
        <f>IF($A4641&gt;0,(VLOOKUP($A4641,TablaMO,8,FALSE)),"")</f>
        <v/>
      </c>
      <c r="J4641" s="448" t="str">
        <f>IF($A4641&gt;0,(VLOOKUP($A4641,TablaMO,10,FALSE)),"")</f>
        <v/>
      </c>
      <c r="K4641" s="447" t="str">
        <f>IF($A4641&gt;0,(VLOOKUP($A4641,TablaMO,11,FALSE)),"")</f>
        <v/>
      </c>
      <c r="L4641" s="1146"/>
      <c r="M4641" s="941"/>
      <c r="N4641" s="430" t="str">
        <f t="shared" si="342"/>
        <v/>
      </c>
      <c r="O4641" s="362"/>
    </row>
    <row r="4642" spans="1:18" ht="15.75" customHeight="1">
      <c r="A4642" s="395">
        <f t="array" ref="A4642">IF(C4642&lt;&gt;0,INDEX(CodMO,MATCH(C4642,MO,0),),)</f>
        <v>0</v>
      </c>
      <c r="B4642" s="399"/>
      <c r="C4642" s="1128"/>
      <c r="D4642" s="940"/>
      <c r="E4642" s="940"/>
      <c r="F4642" s="940"/>
      <c r="G4642" s="940"/>
      <c r="H4642" s="940"/>
      <c r="I4642" s="447" t="str">
        <f>IF($A4642&gt;0,(VLOOKUP($A4642,TablaMO,8,FALSE)),"")</f>
        <v/>
      </c>
      <c r="J4642" s="448" t="str">
        <f>IF($A4642&gt;0,(VLOOKUP($A4642,TablaMO,10,FALSE)),"")</f>
        <v/>
      </c>
      <c r="K4642" s="447" t="str">
        <f>IF($A4642&gt;0,(VLOOKUP($A4642,TablaMO,11,FALSE)),"")</f>
        <v/>
      </c>
      <c r="L4642" s="1146"/>
      <c r="M4642" s="941"/>
      <c r="N4642" s="430" t="str">
        <f t="shared" si="342"/>
        <v/>
      </c>
      <c r="O4642" s="362"/>
    </row>
    <row r="4643" spans="1:18" ht="15.75" customHeight="1">
      <c r="A4643" s="395">
        <f t="array" ref="A4643">IF(C4643&lt;&gt;0,INDEX(CodMO,MATCH(C4643,MO,0),),)</f>
        <v>0</v>
      </c>
      <c r="B4643" s="399"/>
      <c r="C4643" s="1128"/>
      <c r="D4643" s="940"/>
      <c r="E4643" s="940"/>
      <c r="F4643" s="940"/>
      <c r="G4643" s="940"/>
      <c r="H4643" s="940"/>
      <c r="I4643" s="447" t="str">
        <f>IF($A4643&gt;0,(VLOOKUP($A4643,TablaMO,8,FALSE)),"")</f>
        <v/>
      </c>
      <c r="J4643" s="448" t="str">
        <f>IF($A4643&gt;0,(VLOOKUP($A4643,TablaMO,10,FALSE)),"")</f>
        <v/>
      </c>
      <c r="K4643" s="447" t="str">
        <f>IF($A4643&gt;0,(VLOOKUP($A4643,TablaMO,11,FALSE)),"")</f>
        <v/>
      </c>
      <c r="L4643" s="1146"/>
      <c r="M4643" s="941"/>
      <c r="N4643" s="430" t="str">
        <f t="shared" si="342"/>
        <v/>
      </c>
      <c r="O4643" s="362"/>
    </row>
    <row r="4644" spans="1:18" ht="15.75" customHeight="1">
      <c r="A4644" s="395">
        <f t="array" ref="A4644">IF(C4644&lt;&gt;0,INDEX(CodMO,MATCH(C4644,MO,0),),)</f>
        <v>0</v>
      </c>
      <c r="B4644" s="399"/>
      <c r="C4644" s="1128"/>
      <c r="D4644" s="940"/>
      <c r="E4644" s="940"/>
      <c r="F4644" s="940"/>
      <c r="G4644" s="940"/>
      <c r="H4644" s="940"/>
      <c r="I4644" s="447" t="str">
        <f>IF($A4644&gt;0,(VLOOKUP($A4644,TablaMO,8,FALSE)),"")</f>
        <v/>
      </c>
      <c r="J4644" s="448" t="str">
        <f>IF($A4644&gt;0,(VLOOKUP($A4644,TablaMO,10,FALSE)),"")</f>
        <v/>
      </c>
      <c r="K4644" s="447" t="str">
        <f>IF($A4644&gt;0,(VLOOKUP($A4644,TablaMO,11,FALSE)),"")</f>
        <v/>
      </c>
      <c r="L4644" s="1146"/>
      <c r="M4644" s="941"/>
      <c r="N4644" s="430" t="str">
        <f t="shared" si="342"/>
        <v/>
      </c>
      <c r="O4644" s="362"/>
    </row>
    <row r="4645" spans="1:18" ht="15.75" customHeight="1">
      <c r="A4645" s="395"/>
      <c r="B4645" s="399"/>
      <c r="C4645" s="1127" t="s">
        <v>1202</v>
      </c>
      <c r="D4645" s="965"/>
      <c r="E4645" s="965"/>
      <c r="F4645" s="965"/>
      <c r="G4645" s="965"/>
      <c r="H4645" s="965"/>
      <c r="I4645" s="965"/>
      <c r="J4645" s="965"/>
      <c r="K4645" s="965"/>
      <c r="L4645" s="965"/>
      <c r="M4645" s="966"/>
      <c r="N4645" s="433">
        <f>+SUM(N4640:N4644)</f>
        <v>40382.669295538602</v>
      </c>
      <c r="O4645" s="362"/>
    </row>
    <row r="4646" spans="1:18" ht="15.75" customHeight="1">
      <c r="B4646" s="679"/>
      <c r="O4646" s="362"/>
    </row>
    <row r="4647" spans="1:18" ht="15.75" customHeight="1">
      <c r="B4647" s="679"/>
      <c r="C4647" s="1198" t="s">
        <v>1219</v>
      </c>
      <c r="D4647" s="965"/>
      <c r="E4647" s="965"/>
      <c r="F4647" s="965"/>
      <c r="G4647" s="965"/>
      <c r="H4647" s="965"/>
      <c r="I4647" s="965"/>
      <c r="J4647" s="965"/>
      <c r="K4647" s="965"/>
      <c r="L4647" s="965"/>
      <c r="M4647" s="966"/>
      <c r="N4647" s="680">
        <f>ROUND(SUM(N4645,N4635,N4625,N4612),0)</f>
        <v>352152</v>
      </c>
      <c r="O4647" s="362"/>
      <c r="Q4647" s="681">
        <f>VLOOKUP(C4601,PROPUESTASASERCO,8,FALSE)</f>
        <v>352152</v>
      </c>
      <c r="R4647" s="682">
        <f>Q4647-N4647</f>
        <v>0</v>
      </c>
    </row>
    <row r="4648" spans="1:18" ht="15.75" customHeight="1">
      <c r="B4648" s="679"/>
      <c r="C4648" s="1129" t="s">
        <v>1220</v>
      </c>
      <c r="D4648" s="926"/>
      <c r="E4648" s="926"/>
      <c r="F4648" s="926"/>
      <c r="G4648" s="926"/>
      <c r="H4648" s="926"/>
      <c r="I4648" s="926"/>
      <c r="J4648" s="926"/>
      <c r="K4648" s="926"/>
      <c r="L4648" s="926"/>
      <c r="M4648" s="926"/>
      <c r="N4648" s="927"/>
      <c r="O4648" s="362"/>
    </row>
    <row r="4649" spans="1:18" ht="15.75" customHeight="1">
      <c r="B4649" s="679"/>
      <c r="C4649" s="920"/>
      <c r="D4649" s="922"/>
      <c r="E4649" s="922"/>
      <c r="F4649" s="922"/>
      <c r="G4649" s="922"/>
      <c r="H4649" s="922"/>
      <c r="I4649" s="922"/>
      <c r="J4649" s="922"/>
      <c r="K4649" s="922"/>
      <c r="L4649" s="922"/>
      <c r="M4649" s="922"/>
      <c r="N4649" s="924"/>
      <c r="O4649" s="362"/>
    </row>
    <row r="4650" spans="1:18" ht="15.75" customHeight="1">
      <c r="B4650" s="679"/>
      <c r="C4650" s="929"/>
      <c r="D4650" s="936"/>
      <c r="E4650" s="936"/>
      <c r="F4650" s="936"/>
      <c r="G4650" s="936"/>
      <c r="H4650" s="936"/>
      <c r="I4650" s="936"/>
      <c r="J4650" s="936"/>
      <c r="K4650" s="936"/>
      <c r="L4650" s="936"/>
      <c r="M4650" s="936"/>
      <c r="N4650" s="938"/>
      <c r="O4650" s="362"/>
    </row>
    <row r="4651" spans="1:18" ht="15.75" customHeight="1">
      <c r="B4651" s="679"/>
      <c r="C4651" s="1201" t="s">
        <v>1221</v>
      </c>
      <c r="D4651" s="1131"/>
      <c r="E4651" s="1131"/>
      <c r="F4651" s="1131"/>
      <c r="G4651" s="1131"/>
      <c r="H4651" s="1132"/>
      <c r="I4651" s="674"/>
      <c r="J4651" s="674"/>
      <c r="K4651" s="674"/>
      <c r="L4651" s="1206" t="s">
        <v>1222</v>
      </c>
      <c r="M4651" s="1000"/>
      <c r="N4651" s="678" t="s">
        <v>1223</v>
      </c>
      <c r="O4651" s="362"/>
    </row>
    <row r="4652" spans="1:18" ht="15.75" customHeight="1">
      <c r="B4652" s="679"/>
      <c r="C4652" s="1128" t="s">
        <v>19</v>
      </c>
      <c r="D4652" s="940"/>
      <c r="E4652" s="940"/>
      <c r="F4652" s="940"/>
      <c r="G4652" s="940"/>
      <c r="H4652" s="940"/>
      <c r="I4652" s="452"/>
      <c r="J4652" s="452"/>
      <c r="K4652" s="452"/>
      <c r="L4652" s="1148">
        <f>+Datos!$E$18</f>
        <v>0.25</v>
      </c>
      <c r="M4652" s="941"/>
      <c r="N4652" s="430">
        <f>+L4652*N4647</f>
        <v>88038</v>
      </c>
      <c r="O4652" s="362"/>
    </row>
    <row r="4653" spans="1:18" ht="15.75" customHeight="1">
      <c r="B4653" s="679"/>
      <c r="C4653" s="454" t="s">
        <v>20</v>
      </c>
      <c r="D4653" s="455"/>
      <c r="E4653" s="455"/>
      <c r="F4653" s="455"/>
      <c r="G4653" s="455"/>
      <c r="H4653" s="455"/>
      <c r="I4653" s="452"/>
      <c r="J4653" s="452"/>
      <c r="K4653" s="452"/>
      <c r="L4653" s="1148">
        <f>+Datos!$E$19</f>
        <v>0.01</v>
      </c>
      <c r="M4653" s="941"/>
      <c r="N4653" s="430">
        <f>+L4653*N4647</f>
        <v>3521.52</v>
      </c>
      <c r="O4653" s="362"/>
    </row>
    <row r="4654" spans="1:18" ht="15.75" customHeight="1">
      <c r="B4654" s="679"/>
      <c r="C4654" s="456" t="s">
        <v>21</v>
      </c>
      <c r="D4654" s="457"/>
      <c r="E4654" s="457"/>
      <c r="F4654" s="457"/>
      <c r="G4654" s="457"/>
      <c r="H4654" s="457"/>
      <c r="I4654" s="458"/>
      <c r="J4654" s="458"/>
      <c r="K4654" s="458"/>
      <c r="L4654" s="1148">
        <f>+Datos!$E$20</f>
        <v>0.05</v>
      </c>
      <c r="M4654" s="941"/>
      <c r="N4654" s="430">
        <f>+L4654*N4647</f>
        <v>17607.600000000002</v>
      </c>
      <c r="O4654" s="362"/>
    </row>
    <row r="4655" spans="1:18" ht="15.75" customHeight="1">
      <c r="B4655" s="679"/>
      <c r="C4655" s="1127" t="s">
        <v>1202</v>
      </c>
      <c r="D4655" s="965"/>
      <c r="E4655" s="965"/>
      <c r="F4655" s="965"/>
      <c r="G4655" s="965"/>
      <c r="H4655" s="965"/>
      <c r="I4655" s="965"/>
      <c r="J4655" s="965"/>
      <c r="K4655" s="965"/>
      <c r="L4655" s="965"/>
      <c r="M4655" s="966"/>
      <c r="N4655" s="433">
        <f>+SUM(N4652:N4654)</f>
        <v>109167.12000000001</v>
      </c>
      <c r="O4655" s="362"/>
    </row>
    <row r="4656" spans="1:18" ht="15.75" customHeight="1">
      <c r="B4656" s="679"/>
      <c r="C4656" s="418"/>
      <c r="D4656" s="39"/>
      <c r="E4656" s="39"/>
      <c r="F4656" s="39"/>
      <c r="G4656" s="39"/>
      <c r="H4656" s="39"/>
      <c r="I4656" s="39"/>
      <c r="J4656" s="39"/>
      <c r="K4656" s="39"/>
      <c r="L4656" s="39"/>
      <c r="M4656" s="39"/>
      <c r="N4656" s="40"/>
      <c r="O4656" s="362"/>
    </row>
    <row r="4657" spans="1:15" ht="15.75" customHeight="1">
      <c r="B4657" s="679"/>
      <c r="C4657" s="1198" t="s">
        <v>1224</v>
      </c>
      <c r="D4657" s="965"/>
      <c r="E4657" s="965"/>
      <c r="F4657" s="965"/>
      <c r="G4657" s="965"/>
      <c r="H4657" s="965"/>
      <c r="I4657" s="965"/>
      <c r="J4657" s="965"/>
      <c r="K4657" s="965"/>
      <c r="L4657" s="965"/>
      <c r="M4657" s="966"/>
      <c r="N4657" s="683">
        <f>+ROUND(SUM(N4655,N4647),0)</f>
        <v>461319</v>
      </c>
      <c r="O4657" s="362"/>
    </row>
    <row r="4658" spans="1:15" ht="15.75" customHeight="1">
      <c r="B4658" s="679"/>
      <c r="C4658" s="418"/>
      <c r="D4658" s="39" t="s">
        <v>1225</v>
      </c>
      <c r="E4658" s="39"/>
      <c r="F4658" s="39"/>
      <c r="G4658" s="184"/>
      <c r="H4658" s="184"/>
      <c r="I4658" s="184"/>
      <c r="J4658" s="39" t="s">
        <v>1225</v>
      </c>
      <c r="K4658" s="39"/>
      <c r="L4658" s="39"/>
      <c r="M4658" s="39"/>
      <c r="N4658" s="40"/>
      <c r="O4658" s="362"/>
    </row>
    <row r="4659" spans="1:15" ht="15.75" customHeight="1">
      <c r="B4659" s="679"/>
      <c r="C4659" s="418"/>
      <c r="D4659" s="39" t="s">
        <v>1226</v>
      </c>
      <c r="E4659" s="39"/>
      <c r="F4659" s="39"/>
      <c r="G4659" s="184"/>
      <c r="H4659" s="184"/>
      <c r="I4659" s="184"/>
      <c r="J4659" s="39" t="s">
        <v>1227</v>
      </c>
      <c r="K4659" s="39"/>
      <c r="L4659" s="39"/>
      <c r="M4659" s="39"/>
      <c r="N4659" s="40"/>
      <c r="O4659" s="362"/>
    </row>
    <row r="4660" spans="1:15" ht="15.75" customHeight="1">
      <c r="B4660" s="679"/>
      <c r="C4660" s="404"/>
      <c r="D4660" s="39" t="s">
        <v>1228</v>
      </c>
      <c r="E4660" s="42"/>
      <c r="F4660" s="42"/>
      <c r="G4660" s="184"/>
      <c r="H4660" s="184"/>
      <c r="I4660" s="184"/>
      <c r="J4660" s="39" t="s">
        <v>1228</v>
      </c>
      <c r="K4660" s="42"/>
      <c r="L4660" s="42"/>
      <c r="M4660" s="42"/>
      <c r="N4660" s="43"/>
      <c r="O4660" s="362"/>
    </row>
    <row r="4661" spans="1:15" ht="15.75" customHeight="1">
      <c r="B4661" s="679"/>
      <c r="C4661" s="418"/>
      <c r="D4661" s="39"/>
      <c r="E4661" s="39"/>
      <c r="F4661" s="39"/>
      <c r="G4661" s="39" t="s">
        <v>1229</v>
      </c>
      <c r="H4661" s="39"/>
      <c r="I4661" s="39"/>
      <c r="J4661" s="39"/>
      <c r="K4661" s="39"/>
      <c r="L4661" s="39"/>
      <c r="M4661" s="39"/>
      <c r="N4661" s="40"/>
      <c r="O4661" s="362"/>
    </row>
    <row r="4662" spans="1:15" ht="15.75" customHeight="1">
      <c r="B4662" s="679"/>
      <c r="C4662" s="466"/>
      <c r="D4662" s="467"/>
      <c r="E4662" s="467"/>
      <c r="F4662" s="39"/>
      <c r="G4662" s="39"/>
      <c r="H4662" s="39"/>
      <c r="I4662" s="39"/>
      <c r="J4662" s="1149"/>
      <c r="K4662" s="922"/>
      <c r="L4662" s="922"/>
      <c r="M4662" s="922"/>
      <c r="N4662" s="924"/>
      <c r="O4662" s="362"/>
    </row>
    <row r="4663" spans="1:15" ht="15.75" customHeight="1">
      <c r="B4663" s="679"/>
      <c r="C4663" s="1150"/>
      <c r="D4663" s="936"/>
      <c r="E4663" s="936"/>
      <c r="F4663" s="416"/>
      <c r="G4663" s="416"/>
      <c r="H4663" s="416"/>
      <c r="I4663" s="416"/>
      <c r="J4663" s="936"/>
      <c r="K4663" s="936"/>
      <c r="L4663" s="936"/>
      <c r="M4663" s="936"/>
      <c r="N4663" s="938"/>
      <c r="O4663" s="362"/>
    </row>
    <row r="4664" spans="1:15" ht="15.75" customHeight="1">
      <c r="B4664" s="684"/>
      <c r="C4664" s="685"/>
      <c r="D4664" s="685"/>
      <c r="E4664" s="685"/>
      <c r="F4664" s="685"/>
      <c r="G4664" s="685"/>
      <c r="H4664" s="685"/>
      <c r="I4664" s="685"/>
      <c r="J4664" s="685"/>
      <c r="K4664" s="685"/>
      <c r="L4664" s="685"/>
      <c r="M4664" s="685"/>
      <c r="N4664" s="685"/>
      <c r="O4664" s="686"/>
    </row>
    <row r="4665" spans="1:15" ht="15.75" customHeight="1"/>
    <row r="4666" spans="1:15" ht="15.75" customHeight="1"/>
    <row r="4667" spans="1:15" ht="15.75" customHeight="1"/>
    <row r="4668" spans="1:15" ht="15.75" customHeight="1">
      <c r="A4668" s="395" t="s">
        <v>941</v>
      </c>
      <c r="B4668" s="184"/>
      <c r="C4668" s="184"/>
      <c r="D4668" s="184"/>
      <c r="E4668" s="184"/>
      <c r="F4668" s="184"/>
      <c r="G4668" s="184"/>
      <c r="H4668" s="184"/>
      <c r="I4668" s="184"/>
      <c r="J4668" s="184"/>
      <c r="K4668" s="184"/>
      <c r="L4668" s="184"/>
      <c r="M4668" s="184"/>
      <c r="N4668" s="184"/>
    </row>
    <row r="4669" spans="1:15" ht="15.75" customHeight="1">
      <c r="A4669" s="395"/>
      <c r="B4669" s="396"/>
      <c r="C4669" s="397"/>
      <c r="D4669" s="397"/>
      <c r="E4669" s="397"/>
      <c r="F4669" s="397"/>
      <c r="G4669" s="397"/>
      <c r="H4669" s="397"/>
      <c r="I4669" s="397"/>
      <c r="J4669" s="397"/>
      <c r="K4669" s="397"/>
      <c r="L4669" s="397"/>
      <c r="M4669" s="397"/>
      <c r="N4669" s="397"/>
      <c r="O4669" s="667"/>
    </row>
    <row r="4670" spans="1:15" ht="15.75" customHeight="1">
      <c r="A4670" s="395"/>
      <c r="B4670" s="399"/>
      <c r="C4670" s="1124"/>
      <c r="D4670" s="927"/>
      <c r="E4670" s="1207" t="str">
        <f>Datos!$C$9</f>
        <v>CONSEJO SUPERIOR  DE  JUDICATURA– DIRECCIÓN  EJECUTIVA  SECCIONAL  DE ADMINISTRACIÓN JUDICIAL DE BUCARAMANGA</v>
      </c>
      <c r="F4670" s="926"/>
      <c r="G4670" s="926"/>
      <c r="H4670" s="926"/>
      <c r="I4670" s="926"/>
      <c r="J4670" s="926"/>
      <c r="K4670" s="927"/>
      <c r="L4670" s="925" t="s">
        <v>1</v>
      </c>
      <c r="M4670" s="931"/>
      <c r="N4670" s="933">
        <v>1</v>
      </c>
      <c r="O4670" s="362"/>
    </row>
    <row r="4671" spans="1:15" ht="15.75" customHeight="1">
      <c r="A4671" s="395"/>
      <c r="B4671" s="399"/>
      <c r="C4671" s="920"/>
      <c r="D4671" s="924"/>
      <c r="E4671" s="920"/>
      <c r="F4671" s="922"/>
      <c r="G4671" s="922"/>
      <c r="H4671" s="922"/>
      <c r="I4671" s="922"/>
      <c r="J4671" s="922"/>
      <c r="K4671" s="924"/>
      <c r="L4671" s="920"/>
      <c r="M4671" s="932"/>
      <c r="N4671" s="934"/>
      <c r="O4671" s="362"/>
    </row>
    <row r="4672" spans="1:15" ht="15.75" customHeight="1">
      <c r="A4672" s="395"/>
      <c r="B4672" s="399"/>
      <c r="C4672" s="920"/>
      <c r="D4672" s="924"/>
      <c r="E4672" s="919" t="str">
        <f>Datos!$C$13</f>
        <v xml:space="preserve">BGA - 030 - 2026 </v>
      </c>
      <c r="F4672" s="922"/>
      <c r="G4672" s="922"/>
      <c r="H4672" s="922"/>
      <c r="I4672" s="922"/>
      <c r="J4672" s="922"/>
      <c r="K4672" s="922"/>
      <c r="L4672" s="925" t="s">
        <v>29</v>
      </c>
      <c r="M4672" s="926"/>
      <c r="N4672" s="927"/>
      <c r="O4672" s="362"/>
    </row>
    <row r="4673" spans="1:15" ht="15.75" customHeight="1">
      <c r="A4673" s="395"/>
      <c r="B4673" s="399"/>
      <c r="C4673" s="920"/>
      <c r="D4673" s="924"/>
      <c r="E4673"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673" s="922"/>
      <c r="G4673" s="922"/>
      <c r="H4673" s="922"/>
      <c r="I4673" s="922"/>
      <c r="J4673" s="922"/>
      <c r="K4673" s="924"/>
      <c r="L4673" s="919">
        <v>1</v>
      </c>
      <c r="M4673" s="921" t="s">
        <v>30</v>
      </c>
      <c r="N4673" s="923">
        <v>1</v>
      </c>
      <c r="O4673" s="362"/>
    </row>
    <row r="4674" spans="1:15" ht="15.75" customHeight="1">
      <c r="A4674" s="395"/>
      <c r="B4674" s="399"/>
      <c r="C4674" s="920"/>
      <c r="D4674" s="924"/>
      <c r="E4674" s="920"/>
      <c r="F4674" s="922"/>
      <c r="G4674" s="922"/>
      <c r="H4674" s="922"/>
      <c r="I4674" s="922"/>
      <c r="J4674" s="922"/>
      <c r="K4674" s="924"/>
      <c r="L4674" s="920"/>
      <c r="M4674" s="922"/>
      <c r="N4674" s="924"/>
      <c r="O4674" s="362"/>
    </row>
    <row r="4675" spans="1:15" ht="15.75" customHeight="1">
      <c r="A4675" s="395"/>
      <c r="B4675" s="399"/>
      <c r="C4675" s="920"/>
      <c r="D4675" s="924"/>
      <c r="E4675" s="920"/>
      <c r="F4675" s="922"/>
      <c r="G4675" s="922"/>
      <c r="H4675" s="922"/>
      <c r="I4675" s="922"/>
      <c r="J4675" s="922"/>
      <c r="K4675" s="924"/>
      <c r="L4675" s="925" t="s">
        <v>2</v>
      </c>
      <c r="M4675" s="926"/>
      <c r="N4675" s="927"/>
      <c r="O4675" s="362"/>
    </row>
    <row r="4676" spans="1:15" ht="15.75" customHeight="1">
      <c r="A4676" s="395"/>
      <c r="B4676" s="399"/>
      <c r="C4676" s="920"/>
      <c r="D4676" s="924"/>
      <c r="E4676" s="407"/>
      <c r="F4676" s="216"/>
      <c r="G4676" s="216"/>
      <c r="H4676" s="216"/>
      <c r="I4676" s="216"/>
      <c r="J4676" s="216"/>
      <c r="K4676" s="216"/>
      <c r="L4676" s="408" t="s">
        <v>3</v>
      </c>
      <c r="M4676" s="409" t="s">
        <v>4</v>
      </c>
      <c r="N4676" s="410" t="s">
        <v>5</v>
      </c>
      <c r="O4676" s="362"/>
    </row>
    <row r="4677" spans="1:15" ht="15.75" customHeight="1">
      <c r="A4677" s="395"/>
      <c r="B4677" s="399"/>
      <c r="C4677" s="920"/>
      <c r="D4677" s="924"/>
      <c r="E4677" s="1125" t="s">
        <v>1186</v>
      </c>
      <c r="F4677" s="945"/>
      <c r="G4677" s="945"/>
      <c r="H4677" s="945"/>
      <c r="I4677" s="945"/>
      <c r="J4677" s="945"/>
      <c r="K4677" s="945"/>
      <c r="L4677" s="928">
        <f>Datos!$C$7</f>
        <v>19</v>
      </c>
      <c r="M4677" s="935">
        <f>Datos!$D$7</f>
        <v>6</v>
      </c>
      <c r="N4677" s="937">
        <f>Datos!$E$7</f>
        <v>2026</v>
      </c>
      <c r="O4677" s="362"/>
    </row>
    <row r="4678" spans="1:15" ht="15.75" customHeight="1">
      <c r="A4678" s="395"/>
      <c r="B4678" s="399"/>
      <c r="C4678" s="929"/>
      <c r="D4678" s="938"/>
      <c r="E4678" s="929"/>
      <c r="F4678" s="936"/>
      <c r="G4678" s="936"/>
      <c r="H4678" s="936"/>
      <c r="I4678" s="936"/>
      <c r="J4678" s="936"/>
      <c r="K4678" s="936"/>
      <c r="L4678" s="929"/>
      <c r="M4678" s="936"/>
      <c r="N4678" s="938"/>
      <c r="O4678" s="362"/>
    </row>
    <row r="4679" spans="1:15" ht="15.75" customHeight="1">
      <c r="A4679" s="395"/>
      <c r="B4679" s="399"/>
      <c r="C4679" s="404"/>
      <c r="D4679" s="38"/>
      <c r="E4679" s="38"/>
      <c r="F4679" s="38"/>
      <c r="G4679" s="38"/>
      <c r="H4679" s="38"/>
      <c r="I4679" s="38"/>
      <c r="J4679" s="38"/>
      <c r="K4679" s="38"/>
      <c r="L4679" s="39"/>
      <c r="M4679" s="39"/>
      <c r="N4679" s="40"/>
      <c r="O4679" s="362"/>
    </row>
    <row r="4680" spans="1:15" ht="15.75" customHeight="1">
      <c r="A4680" s="395"/>
      <c r="B4680" s="399"/>
      <c r="C4680" s="412" t="s">
        <v>1187</v>
      </c>
      <c r="D4680" s="1199" t="str">
        <f>VLOOKUP(C4685,ListaAct,2,0)</f>
        <v>OBRA CIVIL</v>
      </c>
      <c r="E4680" s="922"/>
      <c r="F4680" s="922"/>
      <c r="G4680" s="922"/>
      <c r="H4680" s="922"/>
      <c r="I4680" s="922"/>
      <c r="J4680" s="922"/>
      <c r="K4680" s="922"/>
      <c r="L4680" s="922"/>
      <c r="M4680" s="1"/>
      <c r="N4680" s="413"/>
      <c r="O4680" s="362"/>
    </row>
    <row r="4681" spans="1:15" ht="15.75" customHeight="1">
      <c r="A4681" s="395"/>
      <c r="B4681" s="399"/>
      <c r="C4681" s="412" t="s">
        <v>1189</v>
      </c>
      <c r="D4681" s="1199" t="str">
        <f>VLOOKUP(C4685,ListaAct,3,0)</f>
        <v>ACTIVIDADES ELECTRICAS, DATOS Y DEMAS REQUERIDAS</v>
      </c>
      <c r="E4681" s="922"/>
      <c r="F4681" s="922"/>
      <c r="G4681" s="922"/>
      <c r="H4681" s="922"/>
      <c r="I4681" s="922"/>
      <c r="J4681" s="922"/>
      <c r="K4681" s="922"/>
      <c r="L4681" s="922"/>
      <c r="M4681" s="1"/>
      <c r="N4681" s="413"/>
      <c r="O4681" s="362"/>
    </row>
    <row r="4682" spans="1:15" ht="15.75" customHeight="1">
      <c r="A4682" s="395"/>
      <c r="B4682" s="399"/>
      <c r="C4682" s="925" t="s">
        <v>1191</v>
      </c>
      <c r="D4682" s="926"/>
      <c r="E4682" s="926"/>
      <c r="F4682" s="926"/>
      <c r="G4682" s="926"/>
      <c r="H4682" s="926"/>
      <c r="I4682" s="926"/>
      <c r="J4682" s="926"/>
      <c r="K4682" s="926"/>
      <c r="L4682" s="926"/>
      <c r="M4682" s="926"/>
      <c r="N4682" s="927"/>
      <c r="O4682" s="362"/>
    </row>
    <row r="4683" spans="1:15" ht="15.75" customHeight="1">
      <c r="A4683" s="395"/>
      <c r="B4683" s="399"/>
      <c r="C4683" s="418"/>
      <c r="D4683" s="39"/>
      <c r="E4683" s="39"/>
      <c r="F4683" s="39"/>
      <c r="G4683" s="39"/>
      <c r="H4683" s="39"/>
      <c r="I4683" s="39"/>
      <c r="J4683" s="39"/>
      <c r="K4683" s="39"/>
      <c r="L4683" s="39"/>
      <c r="M4683" s="39"/>
      <c r="N4683" s="40"/>
      <c r="O4683" s="362"/>
    </row>
    <row r="4684" spans="1:15" ht="15.75" customHeight="1">
      <c r="A4684" s="395"/>
      <c r="B4684" s="399"/>
      <c r="C4684" s="668" t="s">
        <v>965</v>
      </c>
      <c r="D4684" s="1200" t="s">
        <v>17</v>
      </c>
      <c r="E4684" s="1131"/>
      <c r="F4684" s="1131"/>
      <c r="G4684" s="1131"/>
      <c r="H4684" s="1131"/>
      <c r="I4684" s="1131"/>
      <c r="J4684" s="1131"/>
      <c r="K4684" s="1137"/>
      <c r="L4684" s="1201" t="s">
        <v>1192</v>
      </c>
      <c r="M4684" s="1137"/>
      <c r="N4684" s="668" t="s">
        <v>950</v>
      </c>
      <c r="O4684" s="362"/>
    </row>
    <row r="4685" spans="1:15" ht="15.75" customHeight="1">
      <c r="A4685" s="395"/>
      <c r="B4685" s="421"/>
      <c r="C4685" s="669" t="s">
        <v>1142</v>
      </c>
      <c r="D4685" s="1202" t="str">
        <f>IF($C4685&gt;0,(VLOOKUP($C4685,ListaAct,4,FALSE)),"")</f>
        <v>Desmonte, suministro e instalacion de cerradura metalica</v>
      </c>
      <c r="E4685" s="979"/>
      <c r="F4685" s="979"/>
      <c r="G4685" s="979"/>
      <c r="H4685" s="979"/>
      <c r="I4685" s="979"/>
      <c r="J4685" s="979"/>
      <c r="K4685" s="980"/>
      <c r="L4685" s="1203" t="str">
        <f>IF($C4685&gt;0,(VLOOKUP($C4685,ListaAct,5,FALSE)),"")</f>
        <v>und</v>
      </c>
      <c r="M4685" s="980"/>
      <c r="N4685" s="423">
        <f>IF($C4685&gt;0,(VLOOKUP($C4685,ListaAct,6,FALSE)),"")</f>
        <v>3</v>
      </c>
      <c r="O4685" s="362"/>
    </row>
    <row r="4686" spans="1:15" ht="15.75" customHeight="1">
      <c r="A4686" s="395"/>
      <c r="B4686" s="399"/>
      <c r="C4686" s="1129" t="s">
        <v>1195</v>
      </c>
      <c r="D4686" s="926"/>
      <c r="E4686" s="926"/>
      <c r="F4686" s="926"/>
      <c r="G4686" s="926"/>
      <c r="H4686" s="926"/>
      <c r="I4686" s="926"/>
      <c r="J4686" s="926"/>
      <c r="K4686" s="926"/>
      <c r="L4686" s="926"/>
      <c r="M4686" s="926"/>
      <c r="N4686" s="927"/>
      <c r="O4686" s="362"/>
    </row>
    <row r="4687" spans="1:15" ht="15.75" customHeight="1">
      <c r="A4687" s="395"/>
      <c r="B4687" s="399"/>
      <c r="C4687" s="920"/>
      <c r="D4687" s="922"/>
      <c r="E4687" s="922"/>
      <c r="F4687" s="922"/>
      <c r="G4687" s="922"/>
      <c r="H4687" s="922"/>
      <c r="I4687" s="922"/>
      <c r="J4687" s="922"/>
      <c r="K4687" s="922"/>
      <c r="L4687" s="922"/>
      <c r="M4687" s="922"/>
      <c r="N4687" s="924"/>
      <c r="O4687" s="362"/>
    </row>
    <row r="4688" spans="1:15" ht="15.75" customHeight="1">
      <c r="A4688" s="395"/>
      <c r="B4688" s="399"/>
      <c r="C4688" s="929"/>
      <c r="D4688" s="936"/>
      <c r="E4688" s="936"/>
      <c r="F4688" s="936"/>
      <c r="G4688" s="936"/>
      <c r="H4688" s="936"/>
      <c r="I4688" s="936"/>
      <c r="J4688" s="936"/>
      <c r="K4688" s="936"/>
      <c r="L4688" s="936"/>
      <c r="M4688" s="936"/>
      <c r="N4688" s="938"/>
      <c r="O4688" s="362"/>
    </row>
    <row r="4689" spans="1:15" ht="15.75" customHeight="1">
      <c r="A4689" s="395"/>
      <c r="B4689" s="399"/>
      <c r="C4689" s="1201" t="s">
        <v>17</v>
      </c>
      <c r="D4689" s="1131"/>
      <c r="E4689" s="1131"/>
      <c r="F4689" s="1000"/>
      <c r="G4689" s="1204" t="s">
        <v>1196</v>
      </c>
      <c r="H4689" s="1000"/>
      <c r="I4689" s="1204" t="s">
        <v>1197</v>
      </c>
      <c r="J4689" s="1000"/>
      <c r="K4689" s="670" t="s">
        <v>1213</v>
      </c>
      <c r="L4689" s="1204" t="s">
        <v>1199</v>
      </c>
      <c r="M4689" s="1000"/>
      <c r="N4689" s="671" t="s">
        <v>1200</v>
      </c>
      <c r="O4689" s="362"/>
    </row>
    <row r="4690" spans="1:15" ht="15.75" customHeight="1">
      <c r="A4690" s="395"/>
      <c r="B4690" s="399"/>
      <c r="C4690" s="1128" t="s">
        <v>1201</v>
      </c>
      <c r="D4690" s="940"/>
      <c r="E4690" s="940"/>
      <c r="F4690" s="941"/>
      <c r="G4690" s="1142"/>
      <c r="H4690" s="941"/>
      <c r="I4690" s="1142"/>
      <c r="J4690" s="941"/>
      <c r="K4690" s="429"/>
      <c r="L4690" s="1143">
        <v>0.05</v>
      </c>
      <c r="M4690" s="941"/>
      <c r="N4690" s="430">
        <f>+L4690*N4729</f>
        <v>988.65321478626129</v>
      </c>
      <c r="O4690" s="362"/>
    </row>
    <row r="4691" spans="1:15" ht="15.75" customHeight="1">
      <c r="A4691" s="395">
        <f t="array" ref="A4691">IF(C4691&lt;&gt;0,INDEX(CodEquipos,MATCH(C4691,Equipos,0),),)</f>
        <v>0</v>
      </c>
      <c r="B4691" s="399"/>
      <c r="C4691" s="1128"/>
      <c r="D4691" s="940"/>
      <c r="E4691" s="940"/>
      <c r="F4691" s="941"/>
      <c r="G4691" s="1142"/>
      <c r="H4691" s="941"/>
      <c r="I4691" s="1142"/>
      <c r="J4691" s="941"/>
      <c r="K4691" s="432" t="str">
        <f>IF($A4691&gt;0,(VLOOKUP($A4691,TablaEquipos,7,FALSE)),"")</f>
        <v/>
      </c>
      <c r="L4691" s="1146"/>
      <c r="M4691" s="941"/>
      <c r="N4691" s="430" t="str">
        <f t="shared" ref="N4691:N4695" si="343">IF(L4691&gt;0,K4691/L4691,"")</f>
        <v/>
      </c>
      <c r="O4691" s="362"/>
    </row>
    <row r="4692" spans="1:15" ht="15.75" customHeight="1">
      <c r="A4692" s="395">
        <f t="array" ref="A4692">IF(C4692&lt;&gt;0,INDEX(CodEquipos,MATCH(C4692,Equipos,0),),)</f>
        <v>0</v>
      </c>
      <c r="B4692" s="399"/>
      <c r="C4692" s="1128"/>
      <c r="D4692" s="940"/>
      <c r="E4692" s="940"/>
      <c r="F4692" s="941"/>
      <c r="G4692" s="1142"/>
      <c r="H4692" s="941"/>
      <c r="I4692" s="1142"/>
      <c r="J4692" s="941"/>
      <c r="K4692" s="432" t="str">
        <f>IF($A4692&gt;0,(VLOOKUP($A4692,TablaEquipos,7,FALSE)),"")</f>
        <v/>
      </c>
      <c r="L4692" s="1146"/>
      <c r="M4692" s="941"/>
      <c r="N4692" s="430" t="str">
        <f t="shared" si="343"/>
        <v/>
      </c>
      <c r="O4692" s="362"/>
    </row>
    <row r="4693" spans="1:15" ht="15.75" customHeight="1">
      <c r="A4693" s="395">
        <f t="array" ref="A4693">IF(C4693&lt;&gt;0,INDEX(CodEquipos,MATCH(C4693,Equipos,0),),)</f>
        <v>0</v>
      </c>
      <c r="B4693" s="399"/>
      <c r="C4693" s="1128"/>
      <c r="D4693" s="940"/>
      <c r="E4693" s="940"/>
      <c r="F4693" s="941"/>
      <c r="G4693" s="1142"/>
      <c r="H4693" s="941"/>
      <c r="I4693" s="1142"/>
      <c r="J4693" s="941"/>
      <c r="K4693" s="432" t="str">
        <f>IF($A4693&gt;0,(VLOOKUP($A4693,TablaEquipos,7,FALSE)),"")</f>
        <v/>
      </c>
      <c r="L4693" s="1146"/>
      <c r="M4693" s="941"/>
      <c r="N4693" s="430" t="str">
        <f t="shared" si="343"/>
        <v/>
      </c>
      <c r="O4693" s="362"/>
    </row>
    <row r="4694" spans="1:15" ht="15.75" customHeight="1">
      <c r="A4694" s="395">
        <f t="array" ref="A4694">IF(C4694&lt;&gt;0,INDEX(CodEquipos,MATCH(C4694,Equipos,0),),)</f>
        <v>0</v>
      </c>
      <c r="B4694" s="399"/>
      <c r="C4694" s="1128"/>
      <c r="D4694" s="940"/>
      <c r="E4694" s="940"/>
      <c r="F4694" s="941"/>
      <c r="G4694" s="1142"/>
      <c r="H4694" s="941"/>
      <c r="I4694" s="1142"/>
      <c r="J4694" s="941"/>
      <c r="K4694" s="432" t="str">
        <f>IF($A4694&gt;0,(VLOOKUP($A4694,TablaEquipos,7,FALSE)),"")</f>
        <v/>
      </c>
      <c r="L4694" s="1141"/>
      <c r="M4694" s="941"/>
      <c r="N4694" s="430" t="str">
        <f t="shared" si="343"/>
        <v/>
      </c>
      <c r="O4694" s="362"/>
    </row>
    <row r="4695" spans="1:15" ht="15.75" customHeight="1">
      <c r="A4695" s="395">
        <f t="array" ref="A4695">IF(C4695&lt;&gt;0,INDEX(CodEquipos,MATCH(C4695,Equipos,0),),)</f>
        <v>0</v>
      </c>
      <c r="B4695" s="399"/>
      <c r="C4695" s="1128"/>
      <c r="D4695" s="940"/>
      <c r="E4695" s="940"/>
      <c r="F4695" s="941"/>
      <c r="G4695" s="1144"/>
      <c r="H4695" s="1145"/>
      <c r="I4695" s="1144"/>
      <c r="J4695" s="1145"/>
      <c r="K4695" s="432" t="str">
        <f>IF($A4695&gt;0,(VLOOKUP($A4695,TablaEquipos,7,FALSE)),"")</f>
        <v/>
      </c>
      <c r="L4695" s="1208"/>
      <c r="M4695" s="1145"/>
      <c r="N4695" s="430" t="str">
        <f t="shared" si="343"/>
        <v/>
      </c>
      <c r="O4695" s="362"/>
    </row>
    <row r="4696" spans="1:15" ht="15.75" customHeight="1">
      <c r="A4696" s="395"/>
      <c r="B4696" s="399"/>
      <c r="C4696" s="1127" t="s">
        <v>1202</v>
      </c>
      <c r="D4696" s="965"/>
      <c r="E4696" s="965"/>
      <c r="F4696" s="965"/>
      <c r="G4696" s="965"/>
      <c r="H4696" s="965"/>
      <c r="I4696" s="965"/>
      <c r="J4696" s="965"/>
      <c r="K4696" s="965"/>
      <c r="L4696" s="965"/>
      <c r="M4696" s="966"/>
      <c r="N4696" s="433">
        <f>+SUM(N4690:N4695)</f>
        <v>988.65321478626129</v>
      </c>
      <c r="O4696" s="362"/>
    </row>
    <row r="4697" spans="1:15" ht="15.75" customHeight="1">
      <c r="A4697" s="395"/>
      <c r="B4697" s="399"/>
      <c r="C4697" s="1129" t="s">
        <v>1203</v>
      </c>
      <c r="D4697" s="926"/>
      <c r="E4697" s="926"/>
      <c r="F4697" s="926"/>
      <c r="G4697" s="926"/>
      <c r="H4697" s="926"/>
      <c r="I4697" s="926"/>
      <c r="J4697" s="926"/>
      <c r="K4697" s="926"/>
      <c r="L4697" s="926"/>
      <c r="M4697" s="926"/>
      <c r="N4697" s="927"/>
      <c r="O4697" s="362"/>
    </row>
    <row r="4698" spans="1:15" ht="15.75" customHeight="1">
      <c r="A4698" s="395"/>
      <c r="B4698" s="399"/>
      <c r="C4698" s="920"/>
      <c r="D4698" s="922"/>
      <c r="E4698" s="922"/>
      <c r="F4698" s="922"/>
      <c r="G4698" s="922"/>
      <c r="H4698" s="922"/>
      <c r="I4698" s="922"/>
      <c r="J4698" s="922"/>
      <c r="K4698" s="922"/>
      <c r="L4698" s="922"/>
      <c r="M4698" s="922"/>
      <c r="N4698" s="924"/>
      <c r="O4698" s="362"/>
    </row>
    <row r="4699" spans="1:15" ht="15.75" customHeight="1">
      <c r="A4699" s="395"/>
      <c r="B4699" s="399"/>
      <c r="C4699" s="929"/>
      <c r="D4699" s="936"/>
      <c r="E4699" s="936"/>
      <c r="F4699" s="936"/>
      <c r="G4699" s="936"/>
      <c r="H4699" s="936"/>
      <c r="I4699" s="936"/>
      <c r="J4699" s="936"/>
      <c r="K4699" s="936"/>
      <c r="L4699" s="936"/>
      <c r="M4699" s="936"/>
      <c r="N4699" s="938"/>
      <c r="O4699" s="362"/>
    </row>
    <row r="4700" spans="1:15" ht="15.75" customHeight="1">
      <c r="A4700" s="395"/>
      <c r="B4700" s="399"/>
      <c r="C4700" s="1201" t="s">
        <v>17</v>
      </c>
      <c r="D4700" s="1131"/>
      <c r="E4700" s="1131"/>
      <c r="F4700" s="1131"/>
      <c r="G4700" s="1131"/>
      <c r="H4700" s="1131"/>
      <c r="I4700" s="1000"/>
      <c r="J4700" s="672" t="s">
        <v>1192</v>
      </c>
      <c r="K4700" s="670" t="s">
        <v>950</v>
      </c>
      <c r="L4700" s="1204" t="s">
        <v>1204</v>
      </c>
      <c r="M4700" s="1000"/>
      <c r="N4700" s="671" t="s">
        <v>1200</v>
      </c>
      <c r="O4700" s="362"/>
    </row>
    <row r="4701" spans="1:15" ht="15.75" customHeight="1">
      <c r="A4701" s="395" t="str">
        <f t="array" ref="A4701">IF(C4701&lt;&gt;0,INDEX(CodMat,MATCH(C4701,Materiales,0),),)</f>
        <v>MAT_CA-11</v>
      </c>
      <c r="B4701" s="399"/>
      <c r="C4701" s="1128" t="s">
        <v>2408</v>
      </c>
      <c r="D4701" s="940"/>
      <c r="E4701" s="940"/>
      <c r="F4701" s="940"/>
      <c r="G4701" s="940"/>
      <c r="H4701" s="940"/>
      <c r="I4701" s="941"/>
      <c r="J4701" s="435" t="str">
        <f t="shared" ref="J4701:J4708" si="344">IF($A4701&gt;0,(VLOOKUP($A4701,TablaInsumos,5,FALSE)),"")</f>
        <v>UND</v>
      </c>
      <c r="K4701" s="673">
        <v>1</v>
      </c>
      <c r="L4701" s="1134">
        <f t="shared" ref="L4701:L4708" si="345">IF($A4701&gt;0,(VLOOKUP($A4701,TablaInsumos,7,FALSE)),"")</f>
        <v>172900</v>
      </c>
      <c r="M4701" s="941"/>
      <c r="N4701" s="430">
        <f t="shared" ref="N4701:N4708" si="346">IF(K4701&gt;0,L4701*K4701,"")</f>
        <v>172900</v>
      </c>
      <c r="O4701" s="362"/>
    </row>
    <row r="4702" spans="1:15" ht="15.75" customHeight="1">
      <c r="A4702" s="395">
        <f t="array" ref="A4702">IF(C4702&lt;&gt;0,INDEX(CodMat,MATCH(C4702,Materiales,0),),)</f>
        <v>0</v>
      </c>
      <c r="B4702" s="399"/>
      <c r="C4702" s="1128"/>
      <c r="D4702" s="940"/>
      <c r="E4702" s="940"/>
      <c r="F4702" s="940"/>
      <c r="G4702" s="940"/>
      <c r="H4702" s="940"/>
      <c r="I4702" s="941"/>
      <c r="J4702" s="435" t="str">
        <f t="shared" si="344"/>
        <v/>
      </c>
      <c r="K4702" s="673"/>
      <c r="L4702" s="1134" t="str">
        <f t="shared" si="345"/>
        <v/>
      </c>
      <c r="M4702" s="941"/>
      <c r="N4702" s="430" t="str">
        <f t="shared" si="346"/>
        <v/>
      </c>
      <c r="O4702" s="362"/>
    </row>
    <row r="4703" spans="1:15" ht="15.75" customHeight="1">
      <c r="A4703" s="395">
        <f t="array" ref="A4703">IF(C4703&lt;&gt;0,INDEX(CodMat,MATCH(C4703,Materiales,0),),)</f>
        <v>0</v>
      </c>
      <c r="B4703" s="399"/>
      <c r="C4703" s="1128"/>
      <c r="D4703" s="940"/>
      <c r="E4703" s="940"/>
      <c r="F4703" s="940"/>
      <c r="G4703" s="940"/>
      <c r="H4703" s="940"/>
      <c r="I4703" s="941"/>
      <c r="J4703" s="435" t="str">
        <f t="shared" si="344"/>
        <v/>
      </c>
      <c r="K4703" s="673"/>
      <c r="L4703" s="1134" t="str">
        <f t="shared" si="345"/>
        <v/>
      </c>
      <c r="M4703" s="941"/>
      <c r="N4703" s="430" t="str">
        <f t="shared" si="346"/>
        <v/>
      </c>
      <c r="O4703" s="362"/>
    </row>
    <row r="4704" spans="1:15" ht="15.75" customHeight="1">
      <c r="A4704" s="395">
        <f t="array" ref="A4704">IF(C4704&lt;&gt;0,INDEX(CodMat,MATCH(C4704,Materiales,0),),)</f>
        <v>0</v>
      </c>
      <c r="B4704" s="399"/>
      <c r="C4704" s="1128"/>
      <c r="D4704" s="940"/>
      <c r="E4704" s="940"/>
      <c r="F4704" s="940"/>
      <c r="G4704" s="940"/>
      <c r="H4704" s="940"/>
      <c r="I4704" s="941"/>
      <c r="J4704" s="435" t="str">
        <f t="shared" si="344"/>
        <v/>
      </c>
      <c r="K4704" s="673"/>
      <c r="L4704" s="1134" t="str">
        <f t="shared" si="345"/>
        <v/>
      </c>
      <c r="M4704" s="941"/>
      <c r="N4704" s="430" t="str">
        <f t="shared" si="346"/>
        <v/>
      </c>
      <c r="O4704" s="362"/>
    </row>
    <row r="4705" spans="1:15" ht="15.75" customHeight="1">
      <c r="A4705" s="395">
        <f t="array" ref="A4705">IF(C4705&lt;&gt;0,INDEX(CodMat,MATCH(C4705,Materiales,0),),)</f>
        <v>0</v>
      </c>
      <c r="B4705" s="399"/>
      <c r="C4705" s="1128"/>
      <c r="D4705" s="940"/>
      <c r="E4705" s="940"/>
      <c r="F4705" s="940"/>
      <c r="G4705" s="940"/>
      <c r="H4705" s="940"/>
      <c r="I4705" s="941"/>
      <c r="J4705" s="435" t="str">
        <f t="shared" si="344"/>
        <v/>
      </c>
      <c r="K4705" s="436"/>
      <c r="L4705" s="1134" t="str">
        <f t="shared" si="345"/>
        <v/>
      </c>
      <c r="M4705" s="941"/>
      <c r="N4705" s="430" t="str">
        <f t="shared" si="346"/>
        <v/>
      </c>
      <c r="O4705" s="362"/>
    </row>
    <row r="4706" spans="1:15" ht="15.75" customHeight="1">
      <c r="A4706" s="395">
        <f t="array" ref="A4706">IF(C4706&lt;&gt;0,INDEX(CodMat,MATCH(C4706,Materiales,0),),)</f>
        <v>0</v>
      </c>
      <c r="B4706" s="399"/>
      <c r="C4706" s="1128"/>
      <c r="D4706" s="940"/>
      <c r="E4706" s="940"/>
      <c r="F4706" s="940"/>
      <c r="G4706" s="940"/>
      <c r="H4706" s="940"/>
      <c r="I4706" s="941"/>
      <c r="J4706" s="435" t="str">
        <f t="shared" si="344"/>
        <v/>
      </c>
      <c r="K4706" s="436"/>
      <c r="L4706" s="1134" t="str">
        <f t="shared" si="345"/>
        <v/>
      </c>
      <c r="M4706" s="941"/>
      <c r="N4706" s="430" t="str">
        <f t="shared" si="346"/>
        <v/>
      </c>
      <c r="O4706" s="362"/>
    </row>
    <row r="4707" spans="1:15" ht="15.75" customHeight="1">
      <c r="A4707" s="395">
        <f t="array" ref="A4707">IF(C4707&lt;&gt;0,INDEX(CodMat,MATCH(C4707,Materiales,0),),)</f>
        <v>0</v>
      </c>
      <c r="B4707" s="399"/>
      <c r="C4707" s="1128"/>
      <c r="D4707" s="940"/>
      <c r="E4707" s="940"/>
      <c r="F4707" s="940"/>
      <c r="G4707" s="940"/>
      <c r="H4707" s="940"/>
      <c r="I4707" s="941"/>
      <c r="J4707" s="435" t="str">
        <f t="shared" si="344"/>
        <v/>
      </c>
      <c r="K4707" s="436"/>
      <c r="L4707" s="1134" t="str">
        <f t="shared" si="345"/>
        <v/>
      </c>
      <c r="M4707" s="941"/>
      <c r="N4707" s="430" t="str">
        <f t="shared" si="346"/>
        <v/>
      </c>
      <c r="O4707" s="362"/>
    </row>
    <row r="4708" spans="1:15" ht="15.75" customHeight="1">
      <c r="A4708" s="395">
        <f t="array" ref="A4708">IF(C4708&lt;&gt;0,INDEX(CodMat,MATCH(C4708,Materiales,0),),)</f>
        <v>0</v>
      </c>
      <c r="B4708" s="399"/>
      <c r="C4708" s="1128"/>
      <c r="D4708" s="940"/>
      <c r="E4708" s="940"/>
      <c r="F4708" s="940"/>
      <c r="G4708" s="940"/>
      <c r="H4708" s="940"/>
      <c r="I4708" s="941"/>
      <c r="J4708" s="435" t="str">
        <f t="shared" si="344"/>
        <v/>
      </c>
      <c r="K4708" s="436"/>
      <c r="L4708" s="1205" t="str">
        <f t="shared" si="345"/>
        <v/>
      </c>
      <c r="M4708" s="1145"/>
      <c r="N4708" s="430" t="str">
        <f t="shared" si="346"/>
        <v/>
      </c>
      <c r="O4708" s="362"/>
    </row>
    <row r="4709" spans="1:15" ht="15.75" customHeight="1">
      <c r="A4709" s="395"/>
      <c r="B4709" s="399"/>
      <c r="C4709" s="1127" t="s">
        <v>1202</v>
      </c>
      <c r="D4709" s="965"/>
      <c r="E4709" s="965"/>
      <c r="F4709" s="965"/>
      <c r="G4709" s="965"/>
      <c r="H4709" s="965"/>
      <c r="I4709" s="965"/>
      <c r="J4709" s="965"/>
      <c r="K4709" s="965"/>
      <c r="L4709" s="965"/>
      <c r="M4709" s="966"/>
      <c r="N4709" s="433">
        <f>+SUM(N4701:N4708)</f>
        <v>172900</v>
      </c>
      <c r="O4709" s="362"/>
    </row>
    <row r="4710" spans="1:15" ht="15.75" customHeight="1">
      <c r="A4710" s="395"/>
      <c r="B4710" s="399"/>
      <c r="C4710" s="1129" t="s">
        <v>1208</v>
      </c>
      <c r="D4710" s="926"/>
      <c r="E4710" s="926"/>
      <c r="F4710" s="926"/>
      <c r="G4710" s="926"/>
      <c r="H4710" s="926"/>
      <c r="I4710" s="926"/>
      <c r="J4710" s="926"/>
      <c r="K4710" s="926"/>
      <c r="L4710" s="926"/>
      <c r="M4710" s="926"/>
      <c r="N4710" s="927"/>
      <c r="O4710" s="362"/>
    </row>
    <row r="4711" spans="1:15" ht="15.75" customHeight="1">
      <c r="A4711" s="395"/>
      <c r="B4711" s="399"/>
      <c r="C4711" s="920"/>
      <c r="D4711" s="922"/>
      <c r="E4711" s="922"/>
      <c r="F4711" s="922"/>
      <c r="G4711" s="922"/>
      <c r="H4711" s="922"/>
      <c r="I4711" s="922"/>
      <c r="J4711" s="922"/>
      <c r="K4711" s="922"/>
      <c r="L4711" s="922"/>
      <c r="M4711" s="922"/>
      <c r="N4711" s="924"/>
      <c r="O4711" s="362"/>
    </row>
    <row r="4712" spans="1:15" ht="15.75" customHeight="1">
      <c r="A4712" s="395"/>
      <c r="B4712" s="399"/>
      <c r="C4712" s="929"/>
      <c r="D4712" s="936"/>
      <c r="E4712" s="936"/>
      <c r="F4712" s="936"/>
      <c r="G4712" s="936"/>
      <c r="H4712" s="936"/>
      <c r="I4712" s="936"/>
      <c r="J4712" s="936"/>
      <c r="K4712" s="936"/>
      <c r="L4712" s="936"/>
      <c r="M4712" s="936"/>
      <c r="N4712" s="938"/>
      <c r="O4712" s="362"/>
    </row>
    <row r="4713" spans="1:15" ht="15.75" customHeight="1">
      <c r="A4713" s="395"/>
      <c r="B4713" s="399"/>
      <c r="C4713" s="1201" t="s">
        <v>1209</v>
      </c>
      <c r="D4713" s="1131"/>
      <c r="E4713" s="1131"/>
      <c r="F4713" s="1131"/>
      <c r="G4713" s="1131"/>
      <c r="H4713" s="1000"/>
      <c r="I4713" s="670" t="s">
        <v>1210</v>
      </c>
      <c r="J4713" s="674" t="s">
        <v>1211</v>
      </c>
      <c r="K4713" s="675" t="s">
        <v>2318</v>
      </c>
      <c r="L4713" s="1204" t="s">
        <v>1213</v>
      </c>
      <c r="M4713" s="1000"/>
      <c r="N4713" s="671" t="s">
        <v>1200</v>
      </c>
      <c r="O4713" s="362"/>
    </row>
    <row r="4714" spans="1:15" ht="15.75" customHeight="1">
      <c r="A4714" s="395">
        <f t="array" ref="A4714">IF(C4714&lt;&gt;0,INDEX(CodTransporte,MATCH(C4714,Transporte,0),),)</f>
        <v>0</v>
      </c>
      <c r="B4714" s="399"/>
      <c r="C4714" s="1128"/>
      <c r="D4714" s="940"/>
      <c r="E4714" s="940"/>
      <c r="F4714" s="940"/>
      <c r="G4714" s="940"/>
      <c r="H4714" s="940"/>
      <c r="I4714" s="440"/>
      <c r="J4714" s="441" t="str">
        <f>IF($A4714&gt;0,(VLOOKUP($A4714,TablaTransporte,6,FALSE)),"")</f>
        <v/>
      </c>
      <c r="K4714" s="442" t="str">
        <f>IF($A4714&gt;0,(VLOOKUP($A4714,TablaTransporte,5,FALSE)),"")</f>
        <v/>
      </c>
      <c r="L4714" s="1134" t="str">
        <f>IF($A4714&gt;0,(VLOOKUP($A4714,TablaTransporte,7,FALSE)),"")</f>
        <v/>
      </c>
      <c r="M4714" s="941"/>
      <c r="N4714" s="430" t="str">
        <f t="shared" ref="N4714:N4718" si="347">IF(I4714&gt;0,J4714*L4714*I4714,"")</f>
        <v/>
      </c>
      <c r="O4714" s="362"/>
    </row>
    <row r="4715" spans="1:15" ht="15.75" customHeight="1">
      <c r="A4715" s="395">
        <f t="array" ref="A4715">IF(C4715&lt;&gt;0,INDEX(CodTransporte,MATCH(C4715,Transporte,0),),)</f>
        <v>0</v>
      </c>
      <c r="B4715" s="399"/>
      <c r="C4715" s="1128"/>
      <c r="D4715" s="940"/>
      <c r="E4715" s="940"/>
      <c r="F4715" s="940"/>
      <c r="G4715" s="940"/>
      <c r="H4715" s="940"/>
      <c r="I4715" s="440"/>
      <c r="J4715" s="441" t="str">
        <f>IF($A4715&gt;0,(VLOOKUP($A4715,TablaTransporte,6,FALSE)),"")</f>
        <v/>
      </c>
      <c r="K4715" s="442" t="str">
        <f>IF($A4715&gt;0,(VLOOKUP($A4715,TablaTransporte,5,FALSE)),"")</f>
        <v/>
      </c>
      <c r="L4715" s="1134" t="str">
        <f>IF($A4715&gt;0,(VLOOKUP($A4715,TablaTransporte,7,FALSE)),"")</f>
        <v/>
      </c>
      <c r="M4715" s="941"/>
      <c r="N4715" s="430" t="str">
        <f t="shared" si="347"/>
        <v/>
      </c>
      <c r="O4715" s="362"/>
    </row>
    <row r="4716" spans="1:15" ht="15.75" customHeight="1">
      <c r="A4716" s="395">
        <f t="array" ref="A4716">IF(C4716&lt;&gt;0,INDEX(CodTransporte,MATCH(C4716,Transporte,0),),)</f>
        <v>0</v>
      </c>
      <c r="B4716" s="399"/>
      <c r="C4716" s="1128"/>
      <c r="D4716" s="940"/>
      <c r="E4716" s="940"/>
      <c r="F4716" s="940"/>
      <c r="G4716" s="940"/>
      <c r="H4716" s="940"/>
      <c r="I4716" s="440"/>
      <c r="J4716" s="441" t="str">
        <f>IF($A4716&gt;0,(VLOOKUP($A4716,TablaTransporte,6,FALSE)),"")</f>
        <v/>
      </c>
      <c r="K4716" s="442" t="str">
        <f>IF($A4716&gt;0,(VLOOKUP($A4716,TablaTransporte,5,FALSE)),"")</f>
        <v/>
      </c>
      <c r="L4716" s="1134" t="str">
        <f>IF($A4716&gt;0,(VLOOKUP($A4716,TablaTransporte,7,FALSE)),"")</f>
        <v/>
      </c>
      <c r="M4716" s="941"/>
      <c r="N4716" s="430" t="str">
        <f t="shared" si="347"/>
        <v/>
      </c>
      <c r="O4716" s="362"/>
    </row>
    <row r="4717" spans="1:15" ht="15.75" customHeight="1">
      <c r="A4717" s="395">
        <f t="array" ref="A4717">IF(C4717&lt;&gt;0,INDEX(CodTransporte,MATCH(C4717,Transporte,0),),)</f>
        <v>0</v>
      </c>
      <c r="B4717" s="399"/>
      <c r="C4717" s="1128"/>
      <c r="D4717" s="940"/>
      <c r="E4717" s="940"/>
      <c r="F4717" s="940"/>
      <c r="G4717" s="940"/>
      <c r="H4717" s="940"/>
      <c r="I4717" s="440"/>
      <c r="J4717" s="441" t="str">
        <f>IF($A4717&gt;0,(VLOOKUP($A4717,TablaTransporte,6,FALSE)),"")</f>
        <v/>
      </c>
      <c r="K4717" s="442" t="str">
        <f>IF($A4717&gt;0,(VLOOKUP($A4717,TablaTransporte,5,FALSE)),"")</f>
        <v/>
      </c>
      <c r="L4717" s="1134" t="str">
        <f>IF($A4717&gt;0,(VLOOKUP($A4717,TablaTransporte,7,FALSE)),"")</f>
        <v/>
      </c>
      <c r="M4717" s="941"/>
      <c r="N4717" s="430" t="str">
        <f t="shared" si="347"/>
        <v/>
      </c>
      <c r="O4717" s="362"/>
    </row>
    <row r="4718" spans="1:15" ht="15.75" customHeight="1">
      <c r="A4718" s="395">
        <f t="array" ref="A4718">IF(C4718&lt;&gt;0,INDEX(CodTransporte,MATCH(C4718,Transporte,0),),)</f>
        <v>0</v>
      </c>
      <c r="B4718" s="399"/>
      <c r="C4718" s="1128"/>
      <c r="D4718" s="940"/>
      <c r="E4718" s="940"/>
      <c r="F4718" s="940"/>
      <c r="G4718" s="940"/>
      <c r="H4718" s="940"/>
      <c r="I4718" s="440"/>
      <c r="J4718" s="441" t="str">
        <f>IF($A4718&gt;0,(VLOOKUP($A4718,TablaTransporte,6,FALSE)),"")</f>
        <v/>
      </c>
      <c r="K4718" s="442" t="str">
        <f>IF($A4718&gt;0,(VLOOKUP($A4718,TablaTransporte,5,FALSE)),"")</f>
        <v/>
      </c>
      <c r="L4718" s="1205" t="str">
        <f>IF($A4718&gt;0,(VLOOKUP($A4718,TablaTransporte,7,FALSE)),"")</f>
        <v/>
      </c>
      <c r="M4718" s="1145"/>
      <c r="N4718" s="430" t="str">
        <f t="shared" si="347"/>
        <v/>
      </c>
      <c r="O4718" s="362"/>
    </row>
    <row r="4719" spans="1:15" ht="15.75" customHeight="1">
      <c r="A4719" s="395"/>
      <c r="B4719" s="399"/>
      <c r="C4719" s="1127" t="s">
        <v>1202</v>
      </c>
      <c r="D4719" s="965"/>
      <c r="E4719" s="965"/>
      <c r="F4719" s="965"/>
      <c r="G4719" s="965"/>
      <c r="H4719" s="965"/>
      <c r="I4719" s="965"/>
      <c r="J4719" s="965"/>
      <c r="K4719" s="965"/>
      <c r="L4719" s="965"/>
      <c r="M4719" s="966"/>
      <c r="N4719" s="433">
        <f>+SUM(N4714:N4718)</f>
        <v>0</v>
      </c>
      <c r="O4719" s="362"/>
    </row>
    <row r="4720" spans="1:15" ht="15.75" customHeight="1">
      <c r="A4720" s="395"/>
      <c r="B4720" s="399"/>
      <c r="C4720" s="1129" t="s">
        <v>1214</v>
      </c>
      <c r="D4720" s="926"/>
      <c r="E4720" s="926"/>
      <c r="F4720" s="926"/>
      <c r="G4720" s="926"/>
      <c r="H4720" s="926"/>
      <c r="I4720" s="926"/>
      <c r="J4720" s="926"/>
      <c r="K4720" s="926"/>
      <c r="L4720" s="926"/>
      <c r="M4720" s="926"/>
      <c r="N4720" s="927"/>
      <c r="O4720" s="362"/>
    </row>
    <row r="4721" spans="1:18" ht="15.75" customHeight="1">
      <c r="A4721" s="395"/>
      <c r="B4721" s="399"/>
      <c r="C4721" s="920"/>
      <c r="D4721" s="922"/>
      <c r="E4721" s="922"/>
      <c r="F4721" s="922"/>
      <c r="G4721" s="922"/>
      <c r="H4721" s="922"/>
      <c r="I4721" s="922"/>
      <c r="J4721" s="922"/>
      <c r="K4721" s="922"/>
      <c r="L4721" s="922"/>
      <c r="M4721" s="922"/>
      <c r="N4721" s="924"/>
      <c r="O4721" s="362"/>
    </row>
    <row r="4722" spans="1:18" ht="15.75" customHeight="1">
      <c r="A4722" s="395"/>
      <c r="B4722" s="399"/>
      <c r="C4722" s="929"/>
      <c r="D4722" s="936"/>
      <c r="E4722" s="936"/>
      <c r="F4722" s="936"/>
      <c r="G4722" s="936"/>
      <c r="H4722" s="936"/>
      <c r="I4722" s="936"/>
      <c r="J4722" s="936"/>
      <c r="K4722" s="936"/>
      <c r="L4722" s="936"/>
      <c r="M4722" s="936"/>
      <c r="N4722" s="938"/>
      <c r="O4722" s="362"/>
    </row>
    <row r="4723" spans="1:18" ht="15.75" customHeight="1">
      <c r="A4723" s="395"/>
      <c r="B4723" s="399"/>
      <c r="C4723" s="1201" t="s">
        <v>1215</v>
      </c>
      <c r="D4723" s="1131"/>
      <c r="E4723" s="1131"/>
      <c r="F4723" s="1131"/>
      <c r="G4723" s="1131"/>
      <c r="H4723" s="1000"/>
      <c r="I4723" s="670" t="s">
        <v>1216</v>
      </c>
      <c r="J4723" s="676" t="s">
        <v>1217</v>
      </c>
      <c r="K4723" s="677" t="s">
        <v>1218</v>
      </c>
      <c r="L4723" s="1206" t="s">
        <v>1199</v>
      </c>
      <c r="M4723" s="1000"/>
      <c r="N4723" s="678" t="s">
        <v>1200</v>
      </c>
      <c r="O4723" s="362"/>
    </row>
    <row r="4724" spans="1:18" ht="15.75" customHeight="1">
      <c r="A4724" s="395" t="str">
        <f t="array" ref="A4724">IF(C4724&lt;&gt;0,INDEX(CodMO,MATCH(C4724,MO,0),),)</f>
        <v>M.O-05</v>
      </c>
      <c r="B4724" s="399"/>
      <c r="C4724" s="1128" t="s">
        <v>139</v>
      </c>
      <c r="D4724" s="940"/>
      <c r="E4724" s="940"/>
      <c r="F4724" s="940"/>
      <c r="G4724" s="940"/>
      <c r="H4724" s="940"/>
      <c r="I4724" s="447">
        <f>IF($A4724&gt;0,(VLOOKUP($A4724,TablaMO,8,FALSE)),"")</f>
        <v>125030.16666666667</v>
      </c>
      <c r="J4724" s="448">
        <f>IF($A4724&gt;0,(VLOOKUP($A4724,TablaMO,10,FALSE)),"")</f>
        <v>0.67071666666666663</v>
      </c>
      <c r="K4724" s="447">
        <f>IF($A4724&gt;0,(VLOOKUP($A4724,TablaMO,11,FALSE)),"")</f>
        <v>208890</v>
      </c>
      <c r="L4724" s="1146">
        <v>16.690483329452789</v>
      </c>
      <c r="M4724" s="941"/>
      <c r="N4724" s="430">
        <f t="shared" ref="N4724:N4728" si="348">IF(L4724&gt;0,K4724/L4724,"")</f>
        <v>12515.515331505299</v>
      </c>
      <c r="O4724" s="362"/>
    </row>
    <row r="4725" spans="1:18" ht="15.75" customHeight="1">
      <c r="A4725" s="395" t="str">
        <f t="array" ref="A4725">IF(C4725&lt;&gt;0,INDEX(CodMO,MATCH(C4725,MO,0),),)</f>
        <v>M.O-01</v>
      </c>
      <c r="B4725" s="399"/>
      <c r="C4725" s="1128" t="s">
        <v>130</v>
      </c>
      <c r="D4725" s="940"/>
      <c r="E4725" s="940"/>
      <c r="F4725" s="940"/>
      <c r="G4725" s="940"/>
      <c r="H4725" s="940"/>
      <c r="I4725" s="447">
        <f>IF($A4725&gt;0,(VLOOKUP($A4725,TablaMO,8,FALSE)),"")</f>
        <v>72503.016666666677</v>
      </c>
      <c r="J4725" s="448">
        <f>IF($A4725&gt;0,(VLOOKUP($A4725,TablaMO,10,FALSE)),"")</f>
        <v>0.67071666666666663</v>
      </c>
      <c r="K4725" s="447">
        <f>IF($A4725&gt;0,(VLOOKUP($A4725,TablaMO,11,FALSE)),"")</f>
        <v>121132</v>
      </c>
      <c r="L4725" s="1146">
        <f>L4724</f>
        <v>16.690483329452789</v>
      </c>
      <c r="M4725" s="941"/>
      <c r="N4725" s="430">
        <f t="shared" si="348"/>
        <v>7257.5489642199245</v>
      </c>
      <c r="O4725" s="362"/>
    </row>
    <row r="4726" spans="1:18" ht="15.75" customHeight="1">
      <c r="A4726" s="395">
        <f t="array" ref="A4726">IF(C4726&lt;&gt;0,INDEX(CodMO,MATCH(C4726,MO,0),),)</f>
        <v>0</v>
      </c>
      <c r="B4726" s="399"/>
      <c r="C4726" s="1128"/>
      <c r="D4726" s="940"/>
      <c r="E4726" s="940"/>
      <c r="F4726" s="940"/>
      <c r="G4726" s="940"/>
      <c r="H4726" s="940"/>
      <c r="I4726" s="447" t="str">
        <f>IF($A4726&gt;0,(VLOOKUP($A4726,TablaMO,8,FALSE)),"")</f>
        <v/>
      </c>
      <c r="J4726" s="448" t="str">
        <f>IF($A4726&gt;0,(VLOOKUP($A4726,TablaMO,10,FALSE)),"")</f>
        <v/>
      </c>
      <c r="K4726" s="447" t="str">
        <f>IF($A4726&gt;0,(VLOOKUP($A4726,TablaMO,11,FALSE)),"")</f>
        <v/>
      </c>
      <c r="L4726" s="1146"/>
      <c r="M4726" s="941"/>
      <c r="N4726" s="430" t="str">
        <f t="shared" si="348"/>
        <v/>
      </c>
      <c r="O4726" s="362"/>
    </row>
    <row r="4727" spans="1:18" ht="15.75" customHeight="1">
      <c r="A4727" s="395">
        <f t="array" ref="A4727">IF(C4727&lt;&gt;0,INDEX(CodMO,MATCH(C4727,MO,0),),)</f>
        <v>0</v>
      </c>
      <c r="B4727" s="399"/>
      <c r="C4727" s="1128"/>
      <c r="D4727" s="940"/>
      <c r="E4727" s="940"/>
      <c r="F4727" s="940"/>
      <c r="G4727" s="940"/>
      <c r="H4727" s="940"/>
      <c r="I4727" s="447" t="str">
        <f>IF($A4727&gt;0,(VLOOKUP($A4727,TablaMO,8,FALSE)),"")</f>
        <v/>
      </c>
      <c r="J4727" s="448" t="str">
        <f>IF($A4727&gt;0,(VLOOKUP($A4727,TablaMO,10,FALSE)),"")</f>
        <v/>
      </c>
      <c r="K4727" s="447" t="str">
        <f>IF($A4727&gt;0,(VLOOKUP($A4727,TablaMO,11,FALSE)),"")</f>
        <v/>
      </c>
      <c r="L4727" s="1146"/>
      <c r="M4727" s="941"/>
      <c r="N4727" s="430" t="str">
        <f t="shared" si="348"/>
        <v/>
      </c>
      <c r="O4727" s="362"/>
    </row>
    <row r="4728" spans="1:18" ht="15.75" customHeight="1">
      <c r="A4728" s="395">
        <f t="array" ref="A4728">IF(C4728&lt;&gt;0,INDEX(CodMO,MATCH(C4728,MO,0),),)</f>
        <v>0</v>
      </c>
      <c r="B4728" s="399"/>
      <c r="C4728" s="1128"/>
      <c r="D4728" s="940"/>
      <c r="E4728" s="940"/>
      <c r="F4728" s="940"/>
      <c r="G4728" s="940"/>
      <c r="H4728" s="940"/>
      <c r="I4728" s="447" t="str">
        <f>IF($A4728&gt;0,(VLOOKUP($A4728,TablaMO,8,FALSE)),"")</f>
        <v/>
      </c>
      <c r="J4728" s="448" t="str">
        <f>IF($A4728&gt;0,(VLOOKUP($A4728,TablaMO,10,FALSE)),"")</f>
        <v/>
      </c>
      <c r="K4728" s="447" t="str">
        <f>IF($A4728&gt;0,(VLOOKUP($A4728,TablaMO,11,FALSE)),"")</f>
        <v/>
      </c>
      <c r="L4728" s="1146"/>
      <c r="M4728" s="941"/>
      <c r="N4728" s="430" t="str">
        <f t="shared" si="348"/>
        <v/>
      </c>
      <c r="O4728" s="362"/>
    </row>
    <row r="4729" spans="1:18" ht="15.75" customHeight="1">
      <c r="A4729" s="395"/>
      <c r="B4729" s="399"/>
      <c r="C4729" s="1127" t="s">
        <v>1202</v>
      </c>
      <c r="D4729" s="965"/>
      <c r="E4729" s="965"/>
      <c r="F4729" s="965"/>
      <c r="G4729" s="965"/>
      <c r="H4729" s="965"/>
      <c r="I4729" s="965"/>
      <c r="J4729" s="965"/>
      <c r="K4729" s="965"/>
      <c r="L4729" s="965"/>
      <c r="M4729" s="966"/>
      <c r="N4729" s="433">
        <f>+SUM(N4724:N4728)</f>
        <v>19773.064295725224</v>
      </c>
      <c r="O4729" s="362"/>
    </row>
    <row r="4730" spans="1:18" ht="15.75" customHeight="1">
      <c r="B4730" s="679"/>
      <c r="O4730" s="362"/>
    </row>
    <row r="4731" spans="1:18" ht="15.75" customHeight="1">
      <c r="B4731" s="679"/>
      <c r="C4731" s="1198" t="s">
        <v>1219</v>
      </c>
      <c r="D4731" s="965"/>
      <c r="E4731" s="965"/>
      <c r="F4731" s="965"/>
      <c r="G4731" s="965"/>
      <c r="H4731" s="965"/>
      <c r="I4731" s="965"/>
      <c r="J4731" s="965"/>
      <c r="K4731" s="965"/>
      <c r="L4731" s="965"/>
      <c r="M4731" s="966"/>
      <c r="N4731" s="680">
        <f>ROUND(SUM(N4729,N4719,N4709,N4696),0)</f>
        <v>193662</v>
      </c>
      <c r="O4731" s="362"/>
      <c r="Q4731" s="681">
        <f>VLOOKUP(C4685,PROPUESTASASERCO,8,FALSE)</f>
        <v>193662</v>
      </c>
      <c r="R4731" s="682">
        <f>Q4731-N4731</f>
        <v>0</v>
      </c>
    </row>
    <row r="4732" spans="1:18" ht="15.75" customHeight="1">
      <c r="B4732" s="679"/>
      <c r="C4732" s="1129" t="s">
        <v>1220</v>
      </c>
      <c r="D4732" s="926"/>
      <c r="E4732" s="926"/>
      <c r="F4732" s="926"/>
      <c r="G4732" s="926"/>
      <c r="H4732" s="926"/>
      <c r="I4732" s="926"/>
      <c r="J4732" s="926"/>
      <c r="K4732" s="926"/>
      <c r="L4732" s="926"/>
      <c r="M4732" s="926"/>
      <c r="N4732" s="927"/>
      <c r="O4732" s="362"/>
    </row>
    <row r="4733" spans="1:18" ht="15.75" customHeight="1">
      <c r="B4733" s="679"/>
      <c r="C4733" s="920"/>
      <c r="D4733" s="922"/>
      <c r="E4733" s="922"/>
      <c r="F4733" s="922"/>
      <c r="G4733" s="922"/>
      <c r="H4733" s="922"/>
      <c r="I4733" s="922"/>
      <c r="J4733" s="922"/>
      <c r="K4733" s="922"/>
      <c r="L4733" s="922"/>
      <c r="M4733" s="922"/>
      <c r="N4733" s="924"/>
      <c r="O4733" s="362"/>
    </row>
    <row r="4734" spans="1:18" ht="15.75" customHeight="1">
      <c r="B4734" s="679"/>
      <c r="C4734" s="929"/>
      <c r="D4734" s="936"/>
      <c r="E4734" s="936"/>
      <c r="F4734" s="936"/>
      <c r="G4734" s="936"/>
      <c r="H4734" s="936"/>
      <c r="I4734" s="936"/>
      <c r="J4734" s="936"/>
      <c r="K4734" s="936"/>
      <c r="L4734" s="936"/>
      <c r="M4734" s="936"/>
      <c r="N4734" s="938"/>
      <c r="O4734" s="362"/>
    </row>
    <row r="4735" spans="1:18" ht="15.75" customHeight="1">
      <c r="B4735" s="679"/>
      <c r="C4735" s="1201" t="s">
        <v>1221</v>
      </c>
      <c r="D4735" s="1131"/>
      <c r="E4735" s="1131"/>
      <c r="F4735" s="1131"/>
      <c r="G4735" s="1131"/>
      <c r="H4735" s="1132"/>
      <c r="I4735" s="674"/>
      <c r="J4735" s="674"/>
      <c r="K4735" s="674"/>
      <c r="L4735" s="1206" t="s">
        <v>1222</v>
      </c>
      <c r="M4735" s="1000"/>
      <c r="N4735" s="678" t="s">
        <v>1223</v>
      </c>
      <c r="O4735" s="362"/>
    </row>
    <row r="4736" spans="1:18" ht="15.75" customHeight="1">
      <c r="B4736" s="679"/>
      <c r="C4736" s="1128" t="s">
        <v>19</v>
      </c>
      <c r="D4736" s="940"/>
      <c r="E4736" s="940"/>
      <c r="F4736" s="940"/>
      <c r="G4736" s="940"/>
      <c r="H4736" s="940"/>
      <c r="I4736" s="452"/>
      <c r="J4736" s="452"/>
      <c r="K4736" s="452"/>
      <c r="L4736" s="1148">
        <f>+Datos!$E$18</f>
        <v>0.25</v>
      </c>
      <c r="M4736" s="941"/>
      <c r="N4736" s="430">
        <f>+L4736*N4731</f>
        <v>48415.5</v>
      </c>
      <c r="O4736" s="362"/>
    </row>
    <row r="4737" spans="2:15" ht="15.75" customHeight="1">
      <c r="B4737" s="679"/>
      <c r="C4737" s="454" t="s">
        <v>20</v>
      </c>
      <c r="D4737" s="455"/>
      <c r="E4737" s="455"/>
      <c r="F4737" s="455"/>
      <c r="G4737" s="455"/>
      <c r="H4737" s="455"/>
      <c r="I4737" s="452"/>
      <c r="J4737" s="452"/>
      <c r="K4737" s="452"/>
      <c r="L4737" s="1148">
        <f>+Datos!$E$19</f>
        <v>0.01</v>
      </c>
      <c r="M4737" s="941"/>
      <c r="N4737" s="430">
        <f>+L4737*N4731</f>
        <v>1936.6200000000001</v>
      </c>
      <c r="O4737" s="362"/>
    </row>
    <row r="4738" spans="2:15" ht="15.75" customHeight="1">
      <c r="B4738" s="679"/>
      <c r="C4738" s="456" t="s">
        <v>21</v>
      </c>
      <c r="D4738" s="457"/>
      <c r="E4738" s="457"/>
      <c r="F4738" s="457"/>
      <c r="G4738" s="457"/>
      <c r="H4738" s="457"/>
      <c r="I4738" s="458"/>
      <c r="J4738" s="458"/>
      <c r="K4738" s="458"/>
      <c r="L4738" s="1148">
        <f>+Datos!$E$20</f>
        <v>0.05</v>
      </c>
      <c r="M4738" s="941"/>
      <c r="N4738" s="430">
        <f>+L4738*N4731</f>
        <v>9683.1</v>
      </c>
      <c r="O4738" s="362"/>
    </row>
    <row r="4739" spans="2:15" ht="15.75" customHeight="1">
      <c r="B4739" s="679"/>
      <c r="C4739" s="1127" t="s">
        <v>1202</v>
      </c>
      <c r="D4739" s="965"/>
      <c r="E4739" s="965"/>
      <c r="F4739" s="965"/>
      <c r="G4739" s="965"/>
      <c r="H4739" s="965"/>
      <c r="I4739" s="965"/>
      <c r="J4739" s="965"/>
      <c r="K4739" s="965"/>
      <c r="L4739" s="965"/>
      <c r="M4739" s="966"/>
      <c r="N4739" s="433">
        <f>+SUM(N4736:N4738)</f>
        <v>60035.22</v>
      </c>
      <c r="O4739" s="362"/>
    </row>
    <row r="4740" spans="2:15" ht="15.75" customHeight="1">
      <c r="B4740" s="679"/>
      <c r="C4740" s="418"/>
      <c r="D4740" s="39"/>
      <c r="E4740" s="39"/>
      <c r="F4740" s="39"/>
      <c r="G4740" s="39"/>
      <c r="H4740" s="39"/>
      <c r="I4740" s="39"/>
      <c r="J4740" s="39"/>
      <c r="K4740" s="39"/>
      <c r="L4740" s="39"/>
      <c r="M4740" s="39"/>
      <c r="N4740" s="40"/>
      <c r="O4740" s="362"/>
    </row>
    <row r="4741" spans="2:15" ht="15.75" customHeight="1">
      <c r="B4741" s="679"/>
      <c r="C4741" s="1198" t="s">
        <v>1224</v>
      </c>
      <c r="D4741" s="965"/>
      <c r="E4741" s="965"/>
      <c r="F4741" s="965"/>
      <c r="G4741" s="965"/>
      <c r="H4741" s="965"/>
      <c r="I4741" s="965"/>
      <c r="J4741" s="965"/>
      <c r="K4741" s="965"/>
      <c r="L4741" s="965"/>
      <c r="M4741" s="966"/>
      <c r="N4741" s="683">
        <f>+ROUND(SUM(N4739,N4731),0)</f>
        <v>253697</v>
      </c>
      <c r="O4741" s="362"/>
    </row>
    <row r="4742" spans="2:15" ht="15.75" customHeight="1">
      <c r="B4742" s="679"/>
      <c r="C4742" s="418"/>
      <c r="D4742" s="39" t="s">
        <v>1225</v>
      </c>
      <c r="E4742" s="39"/>
      <c r="F4742" s="39"/>
      <c r="G4742" s="184"/>
      <c r="H4742" s="184"/>
      <c r="I4742" s="184"/>
      <c r="J4742" s="39" t="s">
        <v>1225</v>
      </c>
      <c r="K4742" s="39"/>
      <c r="L4742" s="39"/>
      <c r="M4742" s="39"/>
      <c r="N4742" s="40"/>
      <c r="O4742" s="362"/>
    </row>
    <row r="4743" spans="2:15" ht="15.75" customHeight="1">
      <c r="B4743" s="679"/>
      <c r="C4743" s="418"/>
      <c r="D4743" s="39" t="s">
        <v>1226</v>
      </c>
      <c r="E4743" s="39"/>
      <c r="F4743" s="39"/>
      <c r="G4743" s="184"/>
      <c r="H4743" s="184"/>
      <c r="I4743" s="184"/>
      <c r="J4743" s="39" t="s">
        <v>1227</v>
      </c>
      <c r="K4743" s="39"/>
      <c r="L4743" s="39"/>
      <c r="M4743" s="39"/>
      <c r="N4743" s="40"/>
      <c r="O4743" s="362"/>
    </row>
    <row r="4744" spans="2:15" ht="15.75" customHeight="1">
      <c r="B4744" s="679"/>
      <c r="C4744" s="404"/>
      <c r="D4744" s="39" t="s">
        <v>1228</v>
      </c>
      <c r="E4744" s="42"/>
      <c r="F4744" s="42"/>
      <c r="G4744" s="184"/>
      <c r="H4744" s="184"/>
      <c r="I4744" s="184"/>
      <c r="J4744" s="39" t="s">
        <v>1228</v>
      </c>
      <c r="K4744" s="42"/>
      <c r="L4744" s="42"/>
      <c r="M4744" s="42"/>
      <c r="N4744" s="43"/>
      <c r="O4744" s="362"/>
    </row>
    <row r="4745" spans="2:15" ht="15.75" customHeight="1">
      <c r="B4745" s="679"/>
      <c r="C4745" s="418"/>
      <c r="D4745" s="39"/>
      <c r="E4745" s="39"/>
      <c r="F4745" s="39"/>
      <c r="G4745" s="39" t="s">
        <v>1229</v>
      </c>
      <c r="H4745" s="39"/>
      <c r="I4745" s="39"/>
      <c r="J4745" s="39"/>
      <c r="K4745" s="39"/>
      <c r="L4745" s="39"/>
      <c r="M4745" s="39"/>
      <c r="N4745" s="40"/>
      <c r="O4745" s="362"/>
    </row>
    <row r="4746" spans="2:15" ht="15.75" customHeight="1">
      <c r="B4746" s="679"/>
      <c r="C4746" s="466"/>
      <c r="D4746" s="467"/>
      <c r="E4746" s="467"/>
      <c r="F4746" s="39"/>
      <c r="G4746" s="39"/>
      <c r="H4746" s="39"/>
      <c r="I4746" s="39"/>
      <c r="J4746" s="1149"/>
      <c r="K4746" s="922"/>
      <c r="L4746" s="922"/>
      <c r="M4746" s="922"/>
      <c r="N4746" s="924"/>
      <c r="O4746" s="362"/>
    </row>
    <row r="4747" spans="2:15" ht="15.75" customHeight="1">
      <c r="B4747" s="679"/>
      <c r="C4747" s="1150"/>
      <c r="D4747" s="936"/>
      <c r="E4747" s="936"/>
      <c r="F4747" s="416"/>
      <c r="G4747" s="416"/>
      <c r="H4747" s="416"/>
      <c r="I4747" s="416"/>
      <c r="J4747" s="936"/>
      <c r="K4747" s="936"/>
      <c r="L4747" s="936"/>
      <c r="M4747" s="936"/>
      <c r="N4747" s="938"/>
      <c r="O4747" s="362"/>
    </row>
    <row r="4748" spans="2:15" ht="15.75" customHeight="1">
      <c r="B4748" s="684"/>
      <c r="C4748" s="685"/>
      <c r="D4748" s="685"/>
      <c r="E4748" s="685"/>
      <c r="F4748" s="685"/>
      <c r="G4748" s="685"/>
      <c r="H4748" s="685"/>
      <c r="I4748" s="685"/>
      <c r="J4748" s="685"/>
      <c r="K4748" s="685"/>
      <c r="L4748" s="685"/>
      <c r="M4748" s="685"/>
      <c r="N4748" s="685"/>
      <c r="O4748" s="686"/>
    </row>
    <row r="4749" spans="2:15" ht="15.75" customHeight="1"/>
    <row r="4750" spans="2:15" ht="15.75" customHeight="1"/>
    <row r="4751" spans="2:15" ht="15.75" customHeight="1"/>
    <row r="4752" spans="2:15" ht="15.75" customHeight="1"/>
    <row r="4753" spans="1:15" ht="15.75" customHeight="1">
      <c r="A4753" s="395" t="s">
        <v>941</v>
      </c>
      <c r="B4753" s="184"/>
      <c r="C4753" s="184"/>
      <c r="D4753" s="184"/>
      <c r="E4753" s="184"/>
      <c r="F4753" s="184"/>
      <c r="G4753" s="184"/>
      <c r="H4753" s="184"/>
      <c r="I4753" s="184"/>
      <c r="J4753" s="184"/>
      <c r="K4753" s="184"/>
      <c r="L4753" s="184"/>
      <c r="M4753" s="184"/>
      <c r="N4753" s="184"/>
    </row>
    <row r="4754" spans="1:15" ht="15.75" customHeight="1">
      <c r="A4754" s="395"/>
      <c r="B4754" s="396"/>
      <c r="C4754" s="397"/>
      <c r="D4754" s="397"/>
      <c r="E4754" s="397"/>
      <c r="F4754" s="397"/>
      <c r="G4754" s="397"/>
      <c r="H4754" s="397"/>
      <c r="I4754" s="397"/>
      <c r="J4754" s="397"/>
      <c r="K4754" s="397"/>
      <c r="L4754" s="397"/>
      <c r="M4754" s="397"/>
      <c r="N4754" s="397"/>
      <c r="O4754" s="667"/>
    </row>
    <row r="4755" spans="1:15" ht="15.75" customHeight="1">
      <c r="A4755" s="395"/>
      <c r="B4755" s="399"/>
      <c r="C4755" s="1124"/>
      <c r="D4755" s="927"/>
      <c r="E4755" s="1207" t="str">
        <f>Datos!$C$9</f>
        <v>CONSEJO SUPERIOR  DE  JUDICATURA– DIRECCIÓN  EJECUTIVA  SECCIONAL  DE ADMINISTRACIÓN JUDICIAL DE BUCARAMANGA</v>
      </c>
      <c r="F4755" s="926"/>
      <c r="G4755" s="926"/>
      <c r="H4755" s="926"/>
      <c r="I4755" s="926"/>
      <c r="J4755" s="926"/>
      <c r="K4755" s="927"/>
      <c r="L4755" s="925" t="s">
        <v>1</v>
      </c>
      <c r="M4755" s="931"/>
      <c r="N4755" s="933">
        <v>1</v>
      </c>
      <c r="O4755" s="362"/>
    </row>
    <row r="4756" spans="1:15" ht="15.75" customHeight="1">
      <c r="A4756" s="395"/>
      <c r="B4756" s="399"/>
      <c r="C4756" s="920"/>
      <c r="D4756" s="924"/>
      <c r="E4756" s="920"/>
      <c r="F4756" s="922"/>
      <c r="G4756" s="922"/>
      <c r="H4756" s="922"/>
      <c r="I4756" s="922"/>
      <c r="J4756" s="922"/>
      <c r="K4756" s="924"/>
      <c r="L4756" s="920"/>
      <c r="M4756" s="932"/>
      <c r="N4756" s="934"/>
      <c r="O4756" s="362"/>
    </row>
    <row r="4757" spans="1:15" ht="15.75" customHeight="1">
      <c r="A4757" s="395"/>
      <c r="B4757" s="399"/>
      <c r="C4757" s="920"/>
      <c r="D4757" s="924"/>
      <c r="E4757" s="919" t="str">
        <f>Datos!$C$13</f>
        <v xml:space="preserve">BGA - 030 - 2026 </v>
      </c>
      <c r="F4757" s="922"/>
      <c r="G4757" s="922"/>
      <c r="H4757" s="922"/>
      <c r="I4757" s="922"/>
      <c r="J4757" s="922"/>
      <c r="K4757" s="922"/>
      <c r="L4757" s="925" t="s">
        <v>29</v>
      </c>
      <c r="M4757" s="926"/>
      <c r="N4757" s="927"/>
      <c r="O4757" s="362"/>
    </row>
    <row r="4758" spans="1:15" ht="15.75" customHeight="1">
      <c r="A4758" s="395"/>
      <c r="B4758" s="399"/>
      <c r="C4758" s="920"/>
      <c r="D4758" s="924"/>
      <c r="E4758"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758" s="922"/>
      <c r="G4758" s="922"/>
      <c r="H4758" s="922"/>
      <c r="I4758" s="922"/>
      <c r="J4758" s="922"/>
      <c r="K4758" s="924"/>
      <c r="L4758" s="919">
        <v>1</v>
      </c>
      <c r="M4758" s="921" t="s">
        <v>30</v>
      </c>
      <c r="N4758" s="923">
        <v>1</v>
      </c>
      <c r="O4758" s="362"/>
    </row>
    <row r="4759" spans="1:15" ht="15.75" customHeight="1">
      <c r="A4759" s="395"/>
      <c r="B4759" s="399"/>
      <c r="C4759" s="920"/>
      <c r="D4759" s="924"/>
      <c r="E4759" s="920"/>
      <c r="F4759" s="922"/>
      <c r="G4759" s="922"/>
      <c r="H4759" s="922"/>
      <c r="I4759" s="922"/>
      <c r="J4759" s="922"/>
      <c r="K4759" s="924"/>
      <c r="L4759" s="920"/>
      <c r="M4759" s="922"/>
      <c r="N4759" s="924"/>
      <c r="O4759" s="362"/>
    </row>
    <row r="4760" spans="1:15" ht="15.75" customHeight="1">
      <c r="A4760" s="395"/>
      <c r="B4760" s="399"/>
      <c r="C4760" s="920"/>
      <c r="D4760" s="924"/>
      <c r="E4760" s="920"/>
      <c r="F4760" s="922"/>
      <c r="G4760" s="922"/>
      <c r="H4760" s="922"/>
      <c r="I4760" s="922"/>
      <c r="J4760" s="922"/>
      <c r="K4760" s="924"/>
      <c r="L4760" s="925" t="s">
        <v>2</v>
      </c>
      <c r="M4760" s="926"/>
      <c r="N4760" s="927"/>
      <c r="O4760" s="362"/>
    </row>
    <row r="4761" spans="1:15" ht="15.75" customHeight="1">
      <c r="A4761" s="395"/>
      <c r="B4761" s="399"/>
      <c r="C4761" s="920"/>
      <c r="D4761" s="924"/>
      <c r="E4761" s="407"/>
      <c r="F4761" s="216"/>
      <c r="G4761" s="216"/>
      <c r="H4761" s="216"/>
      <c r="I4761" s="216"/>
      <c r="J4761" s="216"/>
      <c r="K4761" s="216"/>
      <c r="L4761" s="408" t="s">
        <v>3</v>
      </c>
      <c r="M4761" s="409" t="s">
        <v>4</v>
      </c>
      <c r="N4761" s="410" t="s">
        <v>5</v>
      </c>
      <c r="O4761" s="362"/>
    </row>
    <row r="4762" spans="1:15" ht="15.75" customHeight="1">
      <c r="A4762" s="395"/>
      <c r="B4762" s="399"/>
      <c r="C4762" s="920"/>
      <c r="D4762" s="924"/>
      <c r="E4762" s="1125" t="s">
        <v>1186</v>
      </c>
      <c r="F4762" s="945"/>
      <c r="G4762" s="945"/>
      <c r="H4762" s="945"/>
      <c r="I4762" s="945"/>
      <c r="J4762" s="945"/>
      <c r="K4762" s="945"/>
      <c r="L4762" s="928">
        <f>Datos!$C$7</f>
        <v>19</v>
      </c>
      <c r="M4762" s="935">
        <f>Datos!$D$7</f>
        <v>6</v>
      </c>
      <c r="N4762" s="937">
        <f>Datos!$E$7</f>
        <v>2026</v>
      </c>
      <c r="O4762" s="362"/>
    </row>
    <row r="4763" spans="1:15" ht="15.75" customHeight="1">
      <c r="A4763" s="395"/>
      <c r="B4763" s="399"/>
      <c r="C4763" s="929"/>
      <c r="D4763" s="938"/>
      <c r="E4763" s="929"/>
      <c r="F4763" s="936"/>
      <c r="G4763" s="936"/>
      <c r="H4763" s="936"/>
      <c r="I4763" s="936"/>
      <c r="J4763" s="936"/>
      <c r="K4763" s="936"/>
      <c r="L4763" s="929"/>
      <c r="M4763" s="936"/>
      <c r="N4763" s="938"/>
      <c r="O4763" s="362"/>
    </row>
    <row r="4764" spans="1:15" ht="15.75" customHeight="1">
      <c r="A4764" s="395"/>
      <c r="B4764" s="399"/>
      <c r="C4764" s="404"/>
      <c r="D4764" s="38"/>
      <c r="E4764" s="38"/>
      <c r="F4764" s="38"/>
      <c r="G4764" s="38"/>
      <c r="H4764" s="38"/>
      <c r="I4764" s="38"/>
      <c r="J4764" s="38"/>
      <c r="K4764" s="38"/>
      <c r="L4764" s="39"/>
      <c r="M4764" s="39"/>
      <c r="N4764" s="40"/>
      <c r="O4764" s="362"/>
    </row>
    <row r="4765" spans="1:15" ht="15.75" customHeight="1">
      <c r="A4765" s="395"/>
      <c r="B4765" s="399"/>
      <c r="C4765" s="412" t="s">
        <v>1187</v>
      </c>
      <c r="D4765" s="1199" t="str">
        <f>VLOOKUP(C4770,ListaAct,2,0)</f>
        <v>OBRA CIVIL</v>
      </c>
      <c r="E4765" s="922"/>
      <c r="F4765" s="922"/>
      <c r="G4765" s="922"/>
      <c r="H4765" s="922"/>
      <c r="I4765" s="922"/>
      <c r="J4765" s="922"/>
      <c r="K4765" s="922"/>
      <c r="L4765" s="922"/>
      <c r="M4765" s="1"/>
      <c r="N4765" s="413"/>
      <c r="O4765" s="362"/>
    </row>
    <row r="4766" spans="1:15" ht="15.75" customHeight="1">
      <c r="A4766" s="395"/>
      <c r="B4766" s="399"/>
      <c r="C4766" s="412" t="s">
        <v>1189</v>
      </c>
      <c r="D4766" s="1199" t="str">
        <f>VLOOKUP(C4770,ListaAct,3,0)</f>
        <v>ACTIVIDADES ELECTRICAS, DATOS Y DEMAS REQUERIDAS</v>
      </c>
      <c r="E4766" s="922"/>
      <c r="F4766" s="922"/>
      <c r="G4766" s="922"/>
      <c r="H4766" s="922"/>
      <c r="I4766" s="922"/>
      <c r="J4766" s="922"/>
      <c r="K4766" s="922"/>
      <c r="L4766" s="922"/>
      <c r="M4766" s="1"/>
      <c r="N4766" s="413"/>
      <c r="O4766" s="362"/>
    </row>
    <row r="4767" spans="1:15" ht="15.75" customHeight="1">
      <c r="A4767" s="395"/>
      <c r="B4767" s="399"/>
      <c r="C4767" s="925" t="s">
        <v>1191</v>
      </c>
      <c r="D4767" s="926"/>
      <c r="E4767" s="926"/>
      <c r="F4767" s="926"/>
      <c r="G4767" s="926"/>
      <c r="H4767" s="926"/>
      <c r="I4767" s="926"/>
      <c r="J4767" s="926"/>
      <c r="K4767" s="926"/>
      <c r="L4767" s="926"/>
      <c r="M4767" s="926"/>
      <c r="N4767" s="927"/>
      <c r="O4767" s="362"/>
    </row>
    <row r="4768" spans="1:15" ht="15.75" customHeight="1">
      <c r="A4768" s="395"/>
      <c r="B4768" s="399"/>
      <c r="C4768" s="418"/>
      <c r="D4768" s="39"/>
      <c r="E4768" s="39"/>
      <c r="F4768" s="39"/>
      <c r="G4768" s="39"/>
      <c r="H4768" s="39"/>
      <c r="I4768" s="39"/>
      <c r="J4768" s="39"/>
      <c r="K4768" s="39"/>
      <c r="L4768" s="39"/>
      <c r="M4768" s="39"/>
      <c r="N4768" s="40"/>
      <c r="O4768" s="362"/>
    </row>
    <row r="4769" spans="1:15" ht="15.75" customHeight="1">
      <c r="A4769" s="395"/>
      <c r="B4769" s="399"/>
      <c r="C4769" s="668" t="s">
        <v>965</v>
      </c>
      <c r="D4769" s="1200" t="s">
        <v>17</v>
      </c>
      <c r="E4769" s="1131"/>
      <c r="F4769" s="1131"/>
      <c r="G4769" s="1131"/>
      <c r="H4769" s="1131"/>
      <c r="I4769" s="1131"/>
      <c r="J4769" s="1131"/>
      <c r="K4769" s="1137"/>
      <c r="L4769" s="1201" t="s">
        <v>1192</v>
      </c>
      <c r="M4769" s="1137"/>
      <c r="N4769" s="668" t="s">
        <v>950</v>
      </c>
      <c r="O4769" s="362"/>
    </row>
    <row r="4770" spans="1:15" ht="15.75" customHeight="1">
      <c r="A4770" s="395"/>
      <c r="B4770" s="421"/>
      <c r="C4770" s="669" t="s">
        <v>1145</v>
      </c>
      <c r="D4770" s="1202" t="str">
        <f>IF($C4770&gt;0,(VLOOKUP($C4770,ListaAct,4,FALSE)),"")</f>
        <v>Desmonte y reintalacion de placa informativa</v>
      </c>
      <c r="E4770" s="979"/>
      <c r="F4770" s="979"/>
      <c r="G4770" s="979"/>
      <c r="H4770" s="979"/>
      <c r="I4770" s="979"/>
      <c r="J4770" s="979"/>
      <c r="K4770" s="980"/>
      <c r="L4770" s="1203" t="str">
        <f>IF($C4770&gt;0,(VLOOKUP($C4770,ListaAct,5,FALSE)),"")</f>
        <v>und</v>
      </c>
      <c r="M4770" s="980"/>
      <c r="N4770" s="423">
        <f>IF($C4770&gt;0,(VLOOKUP($C4770,ListaAct,6,FALSE)),"")</f>
        <v>1</v>
      </c>
      <c r="O4770" s="362"/>
    </row>
    <row r="4771" spans="1:15" ht="15.75" customHeight="1">
      <c r="A4771" s="395"/>
      <c r="B4771" s="399"/>
      <c r="C4771" s="1129" t="s">
        <v>1195</v>
      </c>
      <c r="D4771" s="926"/>
      <c r="E4771" s="926"/>
      <c r="F4771" s="926"/>
      <c r="G4771" s="926"/>
      <c r="H4771" s="926"/>
      <c r="I4771" s="926"/>
      <c r="J4771" s="926"/>
      <c r="K4771" s="926"/>
      <c r="L4771" s="926"/>
      <c r="M4771" s="926"/>
      <c r="N4771" s="927"/>
      <c r="O4771" s="362"/>
    </row>
    <row r="4772" spans="1:15" ht="15.75" customHeight="1">
      <c r="A4772" s="395"/>
      <c r="B4772" s="399"/>
      <c r="C4772" s="920"/>
      <c r="D4772" s="922"/>
      <c r="E4772" s="922"/>
      <c r="F4772" s="922"/>
      <c r="G4772" s="922"/>
      <c r="H4772" s="922"/>
      <c r="I4772" s="922"/>
      <c r="J4772" s="922"/>
      <c r="K4772" s="922"/>
      <c r="L4772" s="922"/>
      <c r="M4772" s="922"/>
      <c r="N4772" s="924"/>
      <c r="O4772" s="362"/>
    </row>
    <row r="4773" spans="1:15" ht="15.75" customHeight="1">
      <c r="A4773" s="395"/>
      <c r="B4773" s="399"/>
      <c r="C4773" s="929"/>
      <c r="D4773" s="936"/>
      <c r="E4773" s="936"/>
      <c r="F4773" s="936"/>
      <c r="G4773" s="936"/>
      <c r="H4773" s="936"/>
      <c r="I4773" s="936"/>
      <c r="J4773" s="936"/>
      <c r="K4773" s="936"/>
      <c r="L4773" s="936"/>
      <c r="M4773" s="936"/>
      <c r="N4773" s="938"/>
      <c r="O4773" s="362"/>
    </row>
    <row r="4774" spans="1:15" ht="15.75" customHeight="1">
      <c r="A4774" s="395"/>
      <c r="B4774" s="399"/>
      <c r="C4774" s="1201" t="s">
        <v>17</v>
      </c>
      <c r="D4774" s="1131"/>
      <c r="E4774" s="1131"/>
      <c r="F4774" s="1000"/>
      <c r="G4774" s="1204" t="s">
        <v>1196</v>
      </c>
      <c r="H4774" s="1000"/>
      <c r="I4774" s="1204" t="s">
        <v>1197</v>
      </c>
      <c r="J4774" s="1000"/>
      <c r="K4774" s="670" t="s">
        <v>1213</v>
      </c>
      <c r="L4774" s="1204" t="s">
        <v>1199</v>
      </c>
      <c r="M4774" s="1000"/>
      <c r="N4774" s="671" t="s">
        <v>1200</v>
      </c>
      <c r="O4774" s="362"/>
    </row>
    <row r="4775" spans="1:15" ht="15.75" customHeight="1">
      <c r="A4775" s="395"/>
      <c r="B4775" s="399"/>
      <c r="C4775" s="1128" t="s">
        <v>1201</v>
      </c>
      <c r="D4775" s="940"/>
      <c r="E4775" s="940"/>
      <c r="F4775" s="941"/>
      <c r="G4775" s="1142"/>
      <c r="H4775" s="941"/>
      <c r="I4775" s="1142"/>
      <c r="J4775" s="941"/>
      <c r="K4775" s="429"/>
      <c r="L4775" s="1143">
        <v>0.05</v>
      </c>
      <c r="M4775" s="941"/>
      <c r="N4775" s="430">
        <f>+L4775*N4814</f>
        <v>1930.1998480314605</v>
      </c>
      <c r="O4775" s="362"/>
    </row>
    <row r="4776" spans="1:15" ht="15.75" customHeight="1">
      <c r="A4776" s="395">
        <f t="array" ref="A4776">IF(C4776&lt;&gt;0,INDEX(CodEquipos,MATCH(C4776,Equipos,0),),)</f>
        <v>0</v>
      </c>
      <c r="B4776" s="399"/>
      <c r="C4776" s="1128"/>
      <c r="D4776" s="940"/>
      <c r="E4776" s="940"/>
      <c r="F4776" s="941"/>
      <c r="G4776" s="1142"/>
      <c r="H4776" s="941"/>
      <c r="I4776" s="1142"/>
      <c r="J4776" s="941"/>
      <c r="K4776" s="432" t="str">
        <f>IF($A4776&gt;0,(VLOOKUP($A4776,TablaEquipos,7,FALSE)),"")</f>
        <v/>
      </c>
      <c r="L4776" s="1146"/>
      <c r="M4776" s="941"/>
      <c r="N4776" s="430" t="str">
        <f t="shared" ref="N4776:N4780" si="349">IF(L4776&gt;0,K4776/L4776,"")</f>
        <v/>
      </c>
      <c r="O4776" s="362"/>
    </row>
    <row r="4777" spans="1:15" ht="15.75" customHeight="1">
      <c r="A4777" s="395">
        <f t="array" ref="A4777">IF(C4777&lt;&gt;0,INDEX(CodEquipos,MATCH(C4777,Equipos,0),),)</f>
        <v>0</v>
      </c>
      <c r="B4777" s="399"/>
      <c r="C4777" s="1128"/>
      <c r="D4777" s="940"/>
      <c r="E4777" s="940"/>
      <c r="F4777" s="941"/>
      <c r="G4777" s="1142"/>
      <c r="H4777" s="941"/>
      <c r="I4777" s="1142"/>
      <c r="J4777" s="941"/>
      <c r="K4777" s="432" t="str">
        <f>IF($A4777&gt;0,(VLOOKUP($A4777,TablaEquipos,7,FALSE)),"")</f>
        <v/>
      </c>
      <c r="L4777" s="1146"/>
      <c r="M4777" s="941"/>
      <c r="N4777" s="430" t="str">
        <f t="shared" si="349"/>
        <v/>
      </c>
      <c r="O4777" s="362"/>
    </row>
    <row r="4778" spans="1:15" ht="15.75" customHeight="1">
      <c r="A4778" s="395">
        <f t="array" ref="A4778">IF(C4778&lt;&gt;0,INDEX(CodEquipos,MATCH(C4778,Equipos,0),),)</f>
        <v>0</v>
      </c>
      <c r="B4778" s="399"/>
      <c r="C4778" s="1128"/>
      <c r="D4778" s="940"/>
      <c r="E4778" s="940"/>
      <c r="F4778" s="941"/>
      <c r="G4778" s="1142"/>
      <c r="H4778" s="941"/>
      <c r="I4778" s="1142"/>
      <c r="J4778" s="941"/>
      <c r="K4778" s="432" t="str">
        <f>IF($A4778&gt;0,(VLOOKUP($A4778,TablaEquipos,7,FALSE)),"")</f>
        <v/>
      </c>
      <c r="L4778" s="1146"/>
      <c r="M4778" s="941"/>
      <c r="N4778" s="430" t="str">
        <f t="shared" si="349"/>
        <v/>
      </c>
      <c r="O4778" s="362"/>
    </row>
    <row r="4779" spans="1:15" ht="15.75" customHeight="1">
      <c r="A4779" s="395">
        <f t="array" ref="A4779">IF(C4779&lt;&gt;0,INDEX(CodEquipos,MATCH(C4779,Equipos,0),),)</f>
        <v>0</v>
      </c>
      <c r="B4779" s="399"/>
      <c r="C4779" s="1128"/>
      <c r="D4779" s="940"/>
      <c r="E4779" s="940"/>
      <c r="F4779" s="941"/>
      <c r="G4779" s="1142"/>
      <c r="H4779" s="941"/>
      <c r="I4779" s="1142"/>
      <c r="J4779" s="941"/>
      <c r="K4779" s="432" t="str">
        <f>IF($A4779&gt;0,(VLOOKUP($A4779,TablaEquipos,7,FALSE)),"")</f>
        <v/>
      </c>
      <c r="L4779" s="1141"/>
      <c r="M4779" s="941"/>
      <c r="N4779" s="430" t="str">
        <f t="shared" si="349"/>
        <v/>
      </c>
      <c r="O4779" s="362"/>
    </row>
    <row r="4780" spans="1:15" ht="15.75" customHeight="1">
      <c r="A4780" s="395">
        <f t="array" ref="A4780">IF(C4780&lt;&gt;0,INDEX(CodEquipos,MATCH(C4780,Equipos,0),),)</f>
        <v>0</v>
      </c>
      <c r="B4780" s="399"/>
      <c r="C4780" s="1128"/>
      <c r="D4780" s="940"/>
      <c r="E4780" s="940"/>
      <c r="F4780" s="941"/>
      <c r="G4780" s="1144"/>
      <c r="H4780" s="1145"/>
      <c r="I4780" s="1144"/>
      <c r="J4780" s="1145"/>
      <c r="K4780" s="432" t="str">
        <f>IF($A4780&gt;0,(VLOOKUP($A4780,TablaEquipos,7,FALSE)),"")</f>
        <v/>
      </c>
      <c r="L4780" s="1208"/>
      <c r="M4780" s="1145"/>
      <c r="N4780" s="430" t="str">
        <f t="shared" si="349"/>
        <v/>
      </c>
      <c r="O4780" s="362"/>
    </row>
    <row r="4781" spans="1:15" ht="15.75" customHeight="1">
      <c r="A4781" s="395"/>
      <c r="B4781" s="399"/>
      <c r="C4781" s="1127" t="s">
        <v>1202</v>
      </c>
      <c r="D4781" s="965"/>
      <c r="E4781" s="965"/>
      <c r="F4781" s="965"/>
      <c r="G4781" s="965"/>
      <c r="H4781" s="965"/>
      <c r="I4781" s="965"/>
      <c r="J4781" s="965"/>
      <c r="K4781" s="965"/>
      <c r="L4781" s="965"/>
      <c r="M4781" s="966"/>
      <c r="N4781" s="433">
        <f>+SUM(N4775:N4780)</f>
        <v>1930.1998480314605</v>
      </c>
      <c r="O4781" s="362"/>
    </row>
    <row r="4782" spans="1:15" ht="15.75" customHeight="1">
      <c r="A4782" s="395"/>
      <c r="B4782" s="399"/>
      <c r="C4782" s="1129" t="s">
        <v>1203</v>
      </c>
      <c r="D4782" s="926"/>
      <c r="E4782" s="926"/>
      <c r="F4782" s="926"/>
      <c r="G4782" s="926"/>
      <c r="H4782" s="926"/>
      <c r="I4782" s="926"/>
      <c r="J4782" s="926"/>
      <c r="K4782" s="926"/>
      <c r="L4782" s="926"/>
      <c r="M4782" s="926"/>
      <c r="N4782" s="927"/>
      <c r="O4782" s="362"/>
    </row>
    <row r="4783" spans="1:15" ht="15.75" customHeight="1">
      <c r="A4783" s="395"/>
      <c r="B4783" s="399"/>
      <c r="C4783" s="920"/>
      <c r="D4783" s="922"/>
      <c r="E4783" s="922"/>
      <c r="F4783" s="922"/>
      <c r="G4783" s="922"/>
      <c r="H4783" s="922"/>
      <c r="I4783" s="922"/>
      <c r="J4783" s="922"/>
      <c r="K4783" s="922"/>
      <c r="L4783" s="922"/>
      <c r="M4783" s="922"/>
      <c r="N4783" s="924"/>
      <c r="O4783" s="362"/>
    </row>
    <row r="4784" spans="1:15" ht="15.75" customHeight="1">
      <c r="A4784" s="395"/>
      <c r="B4784" s="399"/>
      <c r="C4784" s="929"/>
      <c r="D4784" s="936"/>
      <c r="E4784" s="936"/>
      <c r="F4784" s="936"/>
      <c r="G4784" s="936"/>
      <c r="H4784" s="936"/>
      <c r="I4784" s="936"/>
      <c r="J4784" s="936"/>
      <c r="K4784" s="936"/>
      <c r="L4784" s="936"/>
      <c r="M4784" s="936"/>
      <c r="N4784" s="938"/>
      <c r="O4784" s="362"/>
    </row>
    <row r="4785" spans="1:15" ht="15.75" customHeight="1">
      <c r="A4785" s="395"/>
      <c r="B4785" s="399"/>
      <c r="C4785" s="1201" t="s">
        <v>17</v>
      </c>
      <c r="D4785" s="1131"/>
      <c r="E4785" s="1131"/>
      <c r="F4785" s="1131"/>
      <c r="G4785" s="1131"/>
      <c r="H4785" s="1131"/>
      <c r="I4785" s="1000"/>
      <c r="J4785" s="672" t="s">
        <v>1192</v>
      </c>
      <c r="K4785" s="670" t="s">
        <v>950</v>
      </c>
      <c r="L4785" s="1204" t="s">
        <v>1204</v>
      </c>
      <c r="M4785" s="1000"/>
      <c r="N4785" s="671" t="s">
        <v>1200</v>
      </c>
      <c r="O4785" s="362"/>
    </row>
    <row r="4786" spans="1:15" ht="15.75" customHeight="1">
      <c r="A4786" s="395" t="str">
        <f t="array" ref="A4786">IF(C4786&lt;&gt;0,INDEX(CodMat,MATCH(C4786,Materiales,0),),)</f>
        <v>MAT_CB-16</v>
      </c>
      <c r="B4786" s="399"/>
      <c r="C4786" s="1128" t="s">
        <v>2622</v>
      </c>
      <c r="D4786" s="940"/>
      <c r="E4786" s="940"/>
      <c r="F4786" s="940"/>
      <c r="G4786" s="940"/>
      <c r="H4786" s="940"/>
      <c r="I4786" s="941"/>
      <c r="J4786" s="435" t="str">
        <f t="shared" ref="J4786:J4793" si="350">IF($A4786&gt;0,(VLOOKUP($A4786,TablaInsumos,5,FALSE)),"")</f>
        <v xml:space="preserve">UND </v>
      </c>
      <c r="K4786" s="673">
        <v>0.8</v>
      </c>
      <c r="L4786" s="1134">
        <f t="shared" ref="L4786:L4793" si="351">IF($A4786&gt;0,(VLOOKUP($A4786,TablaInsumos,7,FALSE)),"")</f>
        <v>38526</v>
      </c>
      <c r="M4786" s="941"/>
      <c r="N4786" s="430">
        <f t="shared" ref="N4786:N4793" si="352">IF(K4786&gt;0,L4786*K4786,"")</f>
        <v>30820.800000000003</v>
      </c>
      <c r="O4786" s="362"/>
    </row>
    <row r="4787" spans="1:15" ht="15.75" customHeight="1">
      <c r="A4787" s="395" t="str">
        <f t="array" ref="A4787">IF(C4787&lt;&gt;0,INDEX(CodMat,MATCH(C4787,Materiales,0),),)</f>
        <v>MAT_EPYE-19</v>
      </c>
      <c r="B4787" s="399"/>
      <c r="C4787" s="1128" t="s">
        <v>2410</v>
      </c>
      <c r="D4787" s="940"/>
      <c r="E4787" s="940"/>
      <c r="F4787" s="940"/>
      <c r="G4787" s="940"/>
      <c r="H4787" s="940"/>
      <c r="I4787" s="941"/>
      <c r="J4787" s="435" t="str">
        <f t="shared" si="350"/>
        <v>UND</v>
      </c>
      <c r="K4787" s="673">
        <v>0.06</v>
      </c>
      <c r="L4787" s="1134">
        <f t="shared" si="351"/>
        <v>388247</v>
      </c>
      <c r="M4787" s="941"/>
      <c r="N4787" s="430">
        <f t="shared" si="352"/>
        <v>23294.82</v>
      </c>
      <c r="O4787" s="362"/>
    </row>
    <row r="4788" spans="1:15" ht="15.75" customHeight="1">
      <c r="A4788" s="395" t="str">
        <f t="array" ref="A4788">IF(C4788&lt;&gt;0,INDEX(CodMat,MATCH(C4788,Materiales,0),),)</f>
        <v>MAT_EPYE-20</v>
      </c>
      <c r="B4788" s="399"/>
      <c r="C4788" s="1128" t="s">
        <v>2411</v>
      </c>
      <c r="D4788" s="940"/>
      <c r="E4788" s="940"/>
      <c r="F4788" s="940"/>
      <c r="G4788" s="940"/>
      <c r="H4788" s="940"/>
      <c r="I4788" s="941"/>
      <c r="J4788" s="435" t="str">
        <f t="shared" si="350"/>
        <v>UND</v>
      </c>
      <c r="K4788" s="673">
        <v>0.2</v>
      </c>
      <c r="L4788" s="1134">
        <f t="shared" si="351"/>
        <v>41900</v>
      </c>
      <c r="M4788" s="941"/>
      <c r="N4788" s="430">
        <f t="shared" si="352"/>
        <v>8380</v>
      </c>
      <c r="O4788" s="362"/>
    </row>
    <row r="4789" spans="1:15" ht="15.75" customHeight="1">
      <c r="A4789" s="395">
        <f t="array" ref="A4789">IF(C4789&lt;&gt;0,INDEX(CodMat,MATCH(C4789,Materiales,0),),)</f>
        <v>0</v>
      </c>
      <c r="B4789" s="399"/>
      <c r="C4789" s="1128"/>
      <c r="D4789" s="940"/>
      <c r="E4789" s="940"/>
      <c r="F4789" s="940"/>
      <c r="G4789" s="940"/>
      <c r="H4789" s="940"/>
      <c r="I4789" s="941"/>
      <c r="J4789" s="435" t="str">
        <f t="shared" si="350"/>
        <v/>
      </c>
      <c r="K4789" s="673"/>
      <c r="L4789" s="1134" t="str">
        <f t="shared" si="351"/>
        <v/>
      </c>
      <c r="M4789" s="941"/>
      <c r="N4789" s="430" t="str">
        <f t="shared" si="352"/>
        <v/>
      </c>
      <c r="O4789" s="362"/>
    </row>
    <row r="4790" spans="1:15" ht="15.75" customHeight="1">
      <c r="A4790" s="395">
        <f t="array" ref="A4790">IF(C4790&lt;&gt;0,INDEX(CodMat,MATCH(C4790,Materiales,0),),)</f>
        <v>0</v>
      </c>
      <c r="B4790" s="399"/>
      <c r="C4790" s="1128"/>
      <c r="D4790" s="940"/>
      <c r="E4790" s="940"/>
      <c r="F4790" s="940"/>
      <c r="G4790" s="940"/>
      <c r="H4790" s="940"/>
      <c r="I4790" s="941"/>
      <c r="J4790" s="435" t="str">
        <f t="shared" si="350"/>
        <v/>
      </c>
      <c r="K4790" s="436"/>
      <c r="L4790" s="1134" t="str">
        <f t="shared" si="351"/>
        <v/>
      </c>
      <c r="M4790" s="941"/>
      <c r="N4790" s="430" t="str">
        <f t="shared" si="352"/>
        <v/>
      </c>
      <c r="O4790" s="362"/>
    </row>
    <row r="4791" spans="1:15" ht="15.75" customHeight="1">
      <c r="A4791" s="395">
        <f t="array" ref="A4791">IF(C4791&lt;&gt;0,INDEX(CodMat,MATCH(C4791,Materiales,0),),)</f>
        <v>0</v>
      </c>
      <c r="B4791" s="399"/>
      <c r="C4791" s="1128"/>
      <c r="D4791" s="940"/>
      <c r="E4791" s="940"/>
      <c r="F4791" s="940"/>
      <c r="G4791" s="940"/>
      <c r="H4791" s="940"/>
      <c r="I4791" s="941"/>
      <c r="J4791" s="435" t="str">
        <f t="shared" si="350"/>
        <v/>
      </c>
      <c r="K4791" s="436"/>
      <c r="L4791" s="1134" t="str">
        <f t="shared" si="351"/>
        <v/>
      </c>
      <c r="M4791" s="941"/>
      <c r="N4791" s="430" t="str">
        <f t="shared" si="352"/>
        <v/>
      </c>
      <c r="O4791" s="362"/>
    </row>
    <row r="4792" spans="1:15" ht="15.75" customHeight="1">
      <c r="A4792" s="395">
        <f t="array" ref="A4792">IF(C4792&lt;&gt;0,INDEX(CodMat,MATCH(C4792,Materiales,0),),)</f>
        <v>0</v>
      </c>
      <c r="B4792" s="399"/>
      <c r="C4792" s="1128"/>
      <c r="D4792" s="940"/>
      <c r="E4792" s="940"/>
      <c r="F4792" s="940"/>
      <c r="G4792" s="940"/>
      <c r="H4792" s="940"/>
      <c r="I4792" s="941"/>
      <c r="J4792" s="435" t="str">
        <f t="shared" si="350"/>
        <v/>
      </c>
      <c r="K4792" s="436"/>
      <c r="L4792" s="1134" t="str">
        <f t="shared" si="351"/>
        <v/>
      </c>
      <c r="M4792" s="941"/>
      <c r="N4792" s="430" t="str">
        <f t="shared" si="352"/>
        <v/>
      </c>
      <c r="O4792" s="362"/>
    </row>
    <row r="4793" spans="1:15" ht="15.75" customHeight="1">
      <c r="A4793" s="395">
        <f t="array" ref="A4793">IF(C4793&lt;&gt;0,INDEX(CodMat,MATCH(C4793,Materiales,0),),)</f>
        <v>0</v>
      </c>
      <c r="B4793" s="399"/>
      <c r="C4793" s="1128"/>
      <c r="D4793" s="940"/>
      <c r="E4793" s="940"/>
      <c r="F4793" s="940"/>
      <c r="G4793" s="940"/>
      <c r="H4793" s="940"/>
      <c r="I4793" s="941"/>
      <c r="J4793" s="435" t="str">
        <f t="shared" si="350"/>
        <v/>
      </c>
      <c r="K4793" s="436"/>
      <c r="L4793" s="1205" t="str">
        <f t="shared" si="351"/>
        <v/>
      </c>
      <c r="M4793" s="1145"/>
      <c r="N4793" s="430" t="str">
        <f t="shared" si="352"/>
        <v/>
      </c>
      <c r="O4793" s="362"/>
    </row>
    <row r="4794" spans="1:15" ht="15.75" customHeight="1">
      <c r="A4794" s="395"/>
      <c r="B4794" s="399"/>
      <c r="C4794" s="1127" t="s">
        <v>1202</v>
      </c>
      <c r="D4794" s="965"/>
      <c r="E4794" s="965"/>
      <c r="F4794" s="965"/>
      <c r="G4794" s="965"/>
      <c r="H4794" s="965"/>
      <c r="I4794" s="965"/>
      <c r="J4794" s="965"/>
      <c r="K4794" s="965"/>
      <c r="L4794" s="965"/>
      <c r="M4794" s="966"/>
      <c r="N4794" s="433">
        <f>+SUM(N4786:N4793)</f>
        <v>62495.62</v>
      </c>
      <c r="O4794" s="362"/>
    </row>
    <row r="4795" spans="1:15" ht="15.75" customHeight="1">
      <c r="A4795" s="395"/>
      <c r="B4795" s="399"/>
      <c r="C4795" s="1129" t="s">
        <v>1208</v>
      </c>
      <c r="D4795" s="926"/>
      <c r="E4795" s="926"/>
      <c r="F4795" s="926"/>
      <c r="G4795" s="926"/>
      <c r="H4795" s="926"/>
      <c r="I4795" s="926"/>
      <c r="J4795" s="926"/>
      <c r="K4795" s="926"/>
      <c r="L4795" s="926"/>
      <c r="M4795" s="926"/>
      <c r="N4795" s="927"/>
      <c r="O4795" s="362"/>
    </row>
    <row r="4796" spans="1:15" ht="15.75" customHeight="1">
      <c r="A4796" s="395"/>
      <c r="B4796" s="399"/>
      <c r="C4796" s="920"/>
      <c r="D4796" s="922"/>
      <c r="E4796" s="922"/>
      <c r="F4796" s="922"/>
      <c r="G4796" s="922"/>
      <c r="H4796" s="922"/>
      <c r="I4796" s="922"/>
      <c r="J4796" s="922"/>
      <c r="K4796" s="922"/>
      <c r="L4796" s="922"/>
      <c r="M4796" s="922"/>
      <c r="N4796" s="924"/>
      <c r="O4796" s="362"/>
    </row>
    <row r="4797" spans="1:15" ht="15.75" customHeight="1">
      <c r="A4797" s="395"/>
      <c r="B4797" s="399"/>
      <c r="C4797" s="929"/>
      <c r="D4797" s="936"/>
      <c r="E4797" s="936"/>
      <c r="F4797" s="936"/>
      <c r="G4797" s="936"/>
      <c r="H4797" s="936"/>
      <c r="I4797" s="936"/>
      <c r="J4797" s="936"/>
      <c r="K4797" s="936"/>
      <c r="L4797" s="936"/>
      <c r="M4797" s="936"/>
      <c r="N4797" s="938"/>
      <c r="O4797" s="362"/>
    </row>
    <row r="4798" spans="1:15" ht="15.75" customHeight="1">
      <c r="A4798" s="395"/>
      <c r="B4798" s="399"/>
      <c r="C4798" s="1201" t="s">
        <v>1209</v>
      </c>
      <c r="D4798" s="1131"/>
      <c r="E4798" s="1131"/>
      <c r="F4798" s="1131"/>
      <c r="G4798" s="1131"/>
      <c r="H4798" s="1000"/>
      <c r="I4798" s="670" t="s">
        <v>1210</v>
      </c>
      <c r="J4798" s="674" t="s">
        <v>1211</v>
      </c>
      <c r="K4798" s="675" t="s">
        <v>2318</v>
      </c>
      <c r="L4798" s="1204" t="s">
        <v>1213</v>
      </c>
      <c r="M4798" s="1000"/>
      <c r="N4798" s="671" t="s">
        <v>1200</v>
      </c>
      <c r="O4798" s="362"/>
    </row>
    <row r="4799" spans="1:15" ht="15.75" customHeight="1">
      <c r="A4799" s="395">
        <f t="array" ref="A4799">IF(C4799&lt;&gt;0,INDEX(CodTransporte,MATCH(C4799,Transporte,0),),)</f>
        <v>0</v>
      </c>
      <c r="B4799" s="399"/>
      <c r="C4799" s="1128"/>
      <c r="D4799" s="940"/>
      <c r="E4799" s="940"/>
      <c r="F4799" s="940"/>
      <c r="G4799" s="940"/>
      <c r="H4799" s="940"/>
      <c r="I4799" s="440"/>
      <c r="J4799" s="441" t="str">
        <f>IF($A4799&gt;0,(VLOOKUP($A4799,TablaTransporte,6,FALSE)),"")</f>
        <v/>
      </c>
      <c r="K4799" s="442" t="str">
        <f>IF($A4799&gt;0,(VLOOKUP($A4799,TablaTransporte,5,FALSE)),"")</f>
        <v/>
      </c>
      <c r="L4799" s="1134" t="str">
        <f>IF($A4799&gt;0,(VLOOKUP($A4799,TablaTransporte,7,FALSE)),"")</f>
        <v/>
      </c>
      <c r="M4799" s="941"/>
      <c r="N4799" s="430" t="str">
        <f t="shared" ref="N4799:N4803" si="353">IF(I4799&gt;0,J4799*L4799*I4799,"")</f>
        <v/>
      </c>
      <c r="O4799" s="362"/>
    </row>
    <row r="4800" spans="1:15" ht="15.75" customHeight="1">
      <c r="A4800" s="395">
        <f t="array" ref="A4800">IF(C4800&lt;&gt;0,INDEX(CodTransporte,MATCH(C4800,Transporte,0),),)</f>
        <v>0</v>
      </c>
      <c r="B4800" s="399"/>
      <c r="C4800" s="1128"/>
      <c r="D4800" s="940"/>
      <c r="E4800" s="940"/>
      <c r="F4800" s="940"/>
      <c r="G4800" s="940"/>
      <c r="H4800" s="940"/>
      <c r="I4800" s="440"/>
      <c r="J4800" s="441" t="str">
        <f>IF($A4800&gt;0,(VLOOKUP($A4800,TablaTransporte,6,FALSE)),"")</f>
        <v/>
      </c>
      <c r="K4800" s="442" t="str">
        <f>IF($A4800&gt;0,(VLOOKUP($A4800,TablaTransporte,5,FALSE)),"")</f>
        <v/>
      </c>
      <c r="L4800" s="1134" t="str">
        <f>IF($A4800&gt;0,(VLOOKUP($A4800,TablaTransporte,7,FALSE)),"")</f>
        <v/>
      </c>
      <c r="M4800" s="941"/>
      <c r="N4800" s="430" t="str">
        <f t="shared" si="353"/>
        <v/>
      </c>
      <c r="O4800" s="362"/>
    </row>
    <row r="4801" spans="1:18" ht="15.75" customHeight="1">
      <c r="A4801" s="395">
        <f t="array" ref="A4801">IF(C4801&lt;&gt;0,INDEX(CodTransporte,MATCH(C4801,Transporte,0),),)</f>
        <v>0</v>
      </c>
      <c r="B4801" s="399"/>
      <c r="C4801" s="1128"/>
      <c r="D4801" s="940"/>
      <c r="E4801" s="940"/>
      <c r="F4801" s="940"/>
      <c r="G4801" s="940"/>
      <c r="H4801" s="940"/>
      <c r="I4801" s="440"/>
      <c r="J4801" s="441" t="str">
        <f>IF($A4801&gt;0,(VLOOKUP($A4801,TablaTransporte,6,FALSE)),"")</f>
        <v/>
      </c>
      <c r="K4801" s="442" t="str">
        <f>IF($A4801&gt;0,(VLOOKUP($A4801,TablaTransporte,5,FALSE)),"")</f>
        <v/>
      </c>
      <c r="L4801" s="1134" t="str">
        <f>IF($A4801&gt;0,(VLOOKUP($A4801,TablaTransporte,7,FALSE)),"")</f>
        <v/>
      </c>
      <c r="M4801" s="941"/>
      <c r="N4801" s="430" t="str">
        <f t="shared" si="353"/>
        <v/>
      </c>
      <c r="O4801" s="362"/>
    </row>
    <row r="4802" spans="1:18" ht="15.75" customHeight="1">
      <c r="A4802" s="395">
        <f t="array" ref="A4802">IF(C4802&lt;&gt;0,INDEX(CodTransporte,MATCH(C4802,Transporte,0),),)</f>
        <v>0</v>
      </c>
      <c r="B4802" s="399"/>
      <c r="C4802" s="1128"/>
      <c r="D4802" s="940"/>
      <c r="E4802" s="940"/>
      <c r="F4802" s="940"/>
      <c r="G4802" s="940"/>
      <c r="H4802" s="940"/>
      <c r="I4802" s="440"/>
      <c r="J4802" s="441" t="str">
        <f>IF($A4802&gt;0,(VLOOKUP($A4802,TablaTransporte,6,FALSE)),"")</f>
        <v/>
      </c>
      <c r="K4802" s="442" t="str">
        <f>IF($A4802&gt;0,(VLOOKUP($A4802,TablaTransporte,5,FALSE)),"")</f>
        <v/>
      </c>
      <c r="L4802" s="1134" t="str">
        <f>IF($A4802&gt;0,(VLOOKUP($A4802,TablaTransporte,7,FALSE)),"")</f>
        <v/>
      </c>
      <c r="M4802" s="941"/>
      <c r="N4802" s="430" t="str">
        <f t="shared" si="353"/>
        <v/>
      </c>
      <c r="O4802" s="362"/>
    </row>
    <row r="4803" spans="1:18" ht="15.75" customHeight="1">
      <c r="A4803" s="395">
        <f t="array" ref="A4803">IF(C4803&lt;&gt;0,INDEX(CodTransporte,MATCH(C4803,Transporte,0),),)</f>
        <v>0</v>
      </c>
      <c r="B4803" s="399"/>
      <c r="C4803" s="1128"/>
      <c r="D4803" s="940"/>
      <c r="E4803" s="940"/>
      <c r="F4803" s="940"/>
      <c r="G4803" s="940"/>
      <c r="H4803" s="940"/>
      <c r="I4803" s="440"/>
      <c r="J4803" s="441" t="str">
        <f>IF($A4803&gt;0,(VLOOKUP($A4803,TablaTransporte,6,FALSE)),"")</f>
        <v/>
      </c>
      <c r="K4803" s="442" t="str">
        <f>IF($A4803&gt;0,(VLOOKUP($A4803,TablaTransporte,5,FALSE)),"")</f>
        <v/>
      </c>
      <c r="L4803" s="1205" t="str">
        <f>IF($A4803&gt;0,(VLOOKUP($A4803,TablaTransporte,7,FALSE)),"")</f>
        <v/>
      </c>
      <c r="M4803" s="1145"/>
      <c r="N4803" s="430" t="str">
        <f t="shared" si="353"/>
        <v/>
      </c>
      <c r="O4803" s="362"/>
    </row>
    <row r="4804" spans="1:18" ht="15.75" customHeight="1">
      <c r="A4804" s="395"/>
      <c r="B4804" s="399"/>
      <c r="C4804" s="1127" t="s">
        <v>1202</v>
      </c>
      <c r="D4804" s="965"/>
      <c r="E4804" s="965"/>
      <c r="F4804" s="965"/>
      <c r="G4804" s="965"/>
      <c r="H4804" s="965"/>
      <c r="I4804" s="965"/>
      <c r="J4804" s="965"/>
      <c r="K4804" s="965"/>
      <c r="L4804" s="965"/>
      <c r="M4804" s="966"/>
      <c r="N4804" s="433">
        <f>+SUM(N4799:N4803)</f>
        <v>0</v>
      </c>
      <c r="O4804" s="362"/>
    </row>
    <row r="4805" spans="1:18" ht="15.75" customHeight="1">
      <c r="A4805" s="395"/>
      <c r="B4805" s="399"/>
      <c r="C4805" s="1129" t="s">
        <v>1214</v>
      </c>
      <c r="D4805" s="926"/>
      <c r="E4805" s="926"/>
      <c r="F4805" s="926"/>
      <c r="G4805" s="926"/>
      <c r="H4805" s="926"/>
      <c r="I4805" s="926"/>
      <c r="J4805" s="926"/>
      <c r="K4805" s="926"/>
      <c r="L4805" s="926"/>
      <c r="M4805" s="926"/>
      <c r="N4805" s="927"/>
      <c r="O4805" s="362"/>
    </row>
    <row r="4806" spans="1:18" ht="15.75" customHeight="1">
      <c r="A4806" s="395"/>
      <c r="B4806" s="399"/>
      <c r="C4806" s="920"/>
      <c r="D4806" s="922"/>
      <c r="E4806" s="922"/>
      <c r="F4806" s="922"/>
      <c r="G4806" s="922"/>
      <c r="H4806" s="922"/>
      <c r="I4806" s="922"/>
      <c r="J4806" s="922"/>
      <c r="K4806" s="922"/>
      <c r="L4806" s="922"/>
      <c r="M4806" s="922"/>
      <c r="N4806" s="924"/>
      <c r="O4806" s="362"/>
    </row>
    <row r="4807" spans="1:18" ht="15.75" customHeight="1">
      <c r="A4807" s="395"/>
      <c r="B4807" s="399"/>
      <c r="C4807" s="929"/>
      <c r="D4807" s="936"/>
      <c r="E4807" s="936"/>
      <c r="F4807" s="936"/>
      <c r="G4807" s="936"/>
      <c r="H4807" s="936"/>
      <c r="I4807" s="936"/>
      <c r="J4807" s="936"/>
      <c r="K4807" s="936"/>
      <c r="L4807" s="936"/>
      <c r="M4807" s="936"/>
      <c r="N4807" s="938"/>
      <c r="O4807" s="362"/>
    </row>
    <row r="4808" spans="1:18" ht="15.75" customHeight="1">
      <c r="A4808" s="395"/>
      <c r="B4808" s="399"/>
      <c r="C4808" s="1201" t="s">
        <v>1215</v>
      </c>
      <c r="D4808" s="1131"/>
      <c r="E4808" s="1131"/>
      <c r="F4808" s="1131"/>
      <c r="G4808" s="1131"/>
      <c r="H4808" s="1000"/>
      <c r="I4808" s="670" t="s">
        <v>1216</v>
      </c>
      <c r="J4808" s="676" t="s">
        <v>1217</v>
      </c>
      <c r="K4808" s="677" t="s">
        <v>1218</v>
      </c>
      <c r="L4808" s="1206" t="s">
        <v>1199</v>
      </c>
      <c r="M4808" s="1000"/>
      <c r="N4808" s="678" t="s">
        <v>1200</v>
      </c>
      <c r="O4808" s="362"/>
    </row>
    <row r="4809" spans="1:18" ht="15.75" customHeight="1">
      <c r="A4809" s="395" t="str">
        <f t="array" ref="A4809">IF(C4809&lt;&gt;0,INDEX(CodMO,MATCH(C4809,MO,0),),)</f>
        <v>M.O-05</v>
      </c>
      <c r="B4809" s="399"/>
      <c r="C4809" s="1128" t="s">
        <v>139</v>
      </c>
      <c r="D4809" s="940"/>
      <c r="E4809" s="940"/>
      <c r="F4809" s="940"/>
      <c r="G4809" s="940"/>
      <c r="H4809" s="940"/>
      <c r="I4809" s="447">
        <f>IF($A4809&gt;0,(VLOOKUP($A4809,TablaMO,8,FALSE)),"")</f>
        <v>125030.16666666667</v>
      </c>
      <c r="J4809" s="448">
        <f>IF($A4809&gt;0,(VLOOKUP($A4809,TablaMO,10,FALSE)),"")</f>
        <v>0.67071666666666663</v>
      </c>
      <c r="K4809" s="447">
        <f>IF($A4809&gt;0,(VLOOKUP($A4809,TablaMO,11,FALSE)),"")</f>
        <v>208890</v>
      </c>
      <c r="L4809" s="1146">
        <v>8.5489075221039226</v>
      </c>
      <c r="M4809" s="941"/>
      <c r="N4809" s="430">
        <f t="shared" ref="N4809:N4813" si="354">IF(L4809&gt;0,K4809/L4809,"")</f>
        <v>24434.701096005221</v>
      </c>
      <c r="O4809" s="362"/>
    </row>
    <row r="4810" spans="1:18" ht="15.75" customHeight="1">
      <c r="A4810" s="395" t="str">
        <f t="array" ref="A4810">IF(C4810&lt;&gt;0,INDEX(CodMO,MATCH(C4810,MO,0),),)</f>
        <v>M.O-01</v>
      </c>
      <c r="B4810" s="399"/>
      <c r="C4810" s="1128" t="s">
        <v>130</v>
      </c>
      <c r="D4810" s="940"/>
      <c r="E4810" s="940"/>
      <c r="F4810" s="940"/>
      <c r="G4810" s="940"/>
      <c r="H4810" s="940"/>
      <c r="I4810" s="447">
        <f>IF($A4810&gt;0,(VLOOKUP($A4810,TablaMO,8,FALSE)),"")</f>
        <v>72503.016666666677</v>
      </c>
      <c r="J4810" s="448">
        <f>IF($A4810&gt;0,(VLOOKUP($A4810,TablaMO,10,FALSE)),"")</f>
        <v>0.67071666666666663</v>
      </c>
      <c r="K4810" s="447">
        <f>IF($A4810&gt;0,(VLOOKUP($A4810,TablaMO,11,FALSE)),"")</f>
        <v>121132</v>
      </c>
      <c r="L4810" s="1146">
        <f>L4809</f>
        <v>8.5489075221039226</v>
      </c>
      <c r="M4810" s="941"/>
      <c r="N4810" s="430">
        <f t="shared" si="354"/>
        <v>14169.295864623986</v>
      </c>
      <c r="O4810" s="362"/>
    </row>
    <row r="4811" spans="1:18" ht="15.75" customHeight="1">
      <c r="A4811" s="395">
        <f t="array" ref="A4811">IF(C4811&lt;&gt;0,INDEX(CodMO,MATCH(C4811,MO,0),),)</f>
        <v>0</v>
      </c>
      <c r="B4811" s="399"/>
      <c r="C4811" s="1128"/>
      <c r="D4811" s="940"/>
      <c r="E4811" s="940"/>
      <c r="F4811" s="940"/>
      <c r="G4811" s="940"/>
      <c r="H4811" s="940"/>
      <c r="I4811" s="447" t="str">
        <f>IF($A4811&gt;0,(VLOOKUP($A4811,TablaMO,8,FALSE)),"")</f>
        <v/>
      </c>
      <c r="J4811" s="448" t="str">
        <f>IF($A4811&gt;0,(VLOOKUP($A4811,TablaMO,10,FALSE)),"")</f>
        <v/>
      </c>
      <c r="K4811" s="447" t="str">
        <f>IF($A4811&gt;0,(VLOOKUP($A4811,TablaMO,11,FALSE)),"")</f>
        <v/>
      </c>
      <c r="L4811" s="1146"/>
      <c r="M4811" s="941"/>
      <c r="N4811" s="430" t="str">
        <f t="shared" si="354"/>
        <v/>
      </c>
      <c r="O4811" s="362"/>
    </row>
    <row r="4812" spans="1:18" ht="15.75" customHeight="1">
      <c r="A4812" s="395">
        <f t="array" ref="A4812">IF(C4812&lt;&gt;0,INDEX(CodMO,MATCH(C4812,MO,0),),)</f>
        <v>0</v>
      </c>
      <c r="B4812" s="399"/>
      <c r="C4812" s="1128"/>
      <c r="D4812" s="940"/>
      <c r="E4812" s="940"/>
      <c r="F4812" s="940"/>
      <c r="G4812" s="940"/>
      <c r="H4812" s="940"/>
      <c r="I4812" s="447" t="str">
        <f>IF($A4812&gt;0,(VLOOKUP($A4812,TablaMO,8,FALSE)),"")</f>
        <v/>
      </c>
      <c r="J4812" s="448" t="str">
        <f>IF($A4812&gt;0,(VLOOKUP($A4812,TablaMO,10,FALSE)),"")</f>
        <v/>
      </c>
      <c r="K4812" s="447" t="str">
        <f>IF($A4812&gt;0,(VLOOKUP($A4812,TablaMO,11,FALSE)),"")</f>
        <v/>
      </c>
      <c r="L4812" s="1146"/>
      <c r="M4812" s="941"/>
      <c r="N4812" s="430" t="str">
        <f t="shared" si="354"/>
        <v/>
      </c>
      <c r="O4812" s="362"/>
    </row>
    <row r="4813" spans="1:18" ht="15.75" customHeight="1">
      <c r="A4813" s="395">
        <f t="array" ref="A4813">IF(C4813&lt;&gt;0,INDEX(CodMO,MATCH(C4813,MO,0),),)</f>
        <v>0</v>
      </c>
      <c r="B4813" s="399"/>
      <c r="C4813" s="1128"/>
      <c r="D4813" s="940"/>
      <c r="E4813" s="940"/>
      <c r="F4813" s="940"/>
      <c r="G4813" s="940"/>
      <c r="H4813" s="940"/>
      <c r="I4813" s="447" t="str">
        <f>IF($A4813&gt;0,(VLOOKUP($A4813,TablaMO,8,FALSE)),"")</f>
        <v/>
      </c>
      <c r="J4813" s="448" t="str">
        <f>IF($A4813&gt;0,(VLOOKUP($A4813,TablaMO,10,FALSE)),"")</f>
        <v/>
      </c>
      <c r="K4813" s="447" t="str">
        <f>IF($A4813&gt;0,(VLOOKUP($A4813,TablaMO,11,FALSE)),"")</f>
        <v/>
      </c>
      <c r="L4813" s="1146"/>
      <c r="M4813" s="941"/>
      <c r="N4813" s="430" t="str">
        <f t="shared" si="354"/>
        <v/>
      </c>
      <c r="O4813" s="362"/>
    </row>
    <row r="4814" spans="1:18" ht="15.75" customHeight="1">
      <c r="A4814" s="395"/>
      <c r="B4814" s="399"/>
      <c r="C4814" s="1127" t="s">
        <v>1202</v>
      </c>
      <c r="D4814" s="965"/>
      <c r="E4814" s="965"/>
      <c r="F4814" s="965"/>
      <c r="G4814" s="965"/>
      <c r="H4814" s="965"/>
      <c r="I4814" s="965"/>
      <c r="J4814" s="965"/>
      <c r="K4814" s="965"/>
      <c r="L4814" s="965"/>
      <c r="M4814" s="966"/>
      <c r="N4814" s="433">
        <f>+SUM(N4809:N4813)</f>
        <v>38603.996960629207</v>
      </c>
      <c r="O4814" s="362"/>
    </row>
    <row r="4815" spans="1:18" ht="15.75" customHeight="1">
      <c r="B4815" s="679"/>
      <c r="O4815" s="362"/>
    </row>
    <row r="4816" spans="1:18" ht="15.75" customHeight="1">
      <c r="B4816" s="679"/>
      <c r="C4816" s="1198" t="s">
        <v>1219</v>
      </c>
      <c r="D4816" s="965"/>
      <c r="E4816" s="965"/>
      <c r="F4816" s="965"/>
      <c r="G4816" s="965"/>
      <c r="H4816" s="965"/>
      <c r="I4816" s="965"/>
      <c r="J4816" s="965"/>
      <c r="K4816" s="965"/>
      <c r="L4816" s="965"/>
      <c r="M4816" s="966"/>
      <c r="N4816" s="680">
        <f>ROUND(SUM(N4814,N4804,N4794,N4781),0)</f>
        <v>103030</v>
      </c>
      <c r="O4816" s="362"/>
      <c r="Q4816" s="681">
        <f>VLOOKUP(C4770,PROPUESTASASERCO,8,FALSE)</f>
        <v>103030</v>
      </c>
      <c r="R4816" s="682">
        <f>Q4816-N4816</f>
        <v>0</v>
      </c>
    </row>
    <row r="4817" spans="2:15" ht="15.75" customHeight="1">
      <c r="B4817" s="679"/>
      <c r="C4817" s="1129" t="s">
        <v>1220</v>
      </c>
      <c r="D4817" s="926"/>
      <c r="E4817" s="926"/>
      <c r="F4817" s="926"/>
      <c r="G4817" s="926"/>
      <c r="H4817" s="926"/>
      <c r="I4817" s="926"/>
      <c r="J4817" s="926"/>
      <c r="K4817" s="926"/>
      <c r="L4817" s="926"/>
      <c r="M4817" s="926"/>
      <c r="N4817" s="927"/>
      <c r="O4817" s="362"/>
    </row>
    <row r="4818" spans="2:15" ht="15.75" customHeight="1">
      <c r="B4818" s="679"/>
      <c r="C4818" s="920"/>
      <c r="D4818" s="922"/>
      <c r="E4818" s="922"/>
      <c r="F4818" s="922"/>
      <c r="G4818" s="922"/>
      <c r="H4818" s="922"/>
      <c r="I4818" s="922"/>
      <c r="J4818" s="922"/>
      <c r="K4818" s="922"/>
      <c r="L4818" s="922"/>
      <c r="M4818" s="922"/>
      <c r="N4818" s="924"/>
      <c r="O4818" s="362"/>
    </row>
    <row r="4819" spans="2:15" ht="15.75" customHeight="1">
      <c r="B4819" s="679"/>
      <c r="C4819" s="929"/>
      <c r="D4819" s="936"/>
      <c r="E4819" s="936"/>
      <c r="F4819" s="936"/>
      <c r="G4819" s="936"/>
      <c r="H4819" s="936"/>
      <c r="I4819" s="936"/>
      <c r="J4819" s="936"/>
      <c r="K4819" s="936"/>
      <c r="L4819" s="936"/>
      <c r="M4819" s="936"/>
      <c r="N4819" s="938"/>
      <c r="O4819" s="362"/>
    </row>
    <row r="4820" spans="2:15" ht="15.75" customHeight="1">
      <c r="B4820" s="679"/>
      <c r="C4820" s="1201" t="s">
        <v>1221</v>
      </c>
      <c r="D4820" s="1131"/>
      <c r="E4820" s="1131"/>
      <c r="F4820" s="1131"/>
      <c r="G4820" s="1131"/>
      <c r="H4820" s="1132"/>
      <c r="I4820" s="674"/>
      <c r="J4820" s="674"/>
      <c r="K4820" s="674"/>
      <c r="L4820" s="1206" t="s">
        <v>1222</v>
      </c>
      <c r="M4820" s="1000"/>
      <c r="N4820" s="678" t="s">
        <v>1223</v>
      </c>
      <c r="O4820" s="362"/>
    </row>
    <row r="4821" spans="2:15" ht="15.75" customHeight="1">
      <c r="B4821" s="679"/>
      <c r="C4821" s="1128" t="s">
        <v>19</v>
      </c>
      <c r="D4821" s="940"/>
      <c r="E4821" s="940"/>
      <c r="F4821" s="940"/>
      <c r="G4821" s="940"/>
      <c r="H4821" s="940"/>
      <c r="I4821" s="452"/>
      <c r="J4821" s="452"/>
      <c r="K4821" s="452"/>
      <c r="L4821" s="1148">
        <f>+Datos!$E$18</f>
        <v>0.25</v>
      </c>
      <c r="M4821" s="941"/>
      <c r="N4821" s="430">
        <f>+L4821*N4816</f>
        <v>25757.5</v>
      </c>
      <c r="O4821" s="362"/>
    </row>
    <row r="4822" spans="2:15" ht="15.75" customHeight="1">
      <c r="B4822" s="679"/>
      <c r="C4822" s="454" t="s">
        <v>20</v>
      </c>
      <c r="D4822" s="455"/>
      <c r="E4822" s="455"/>
      <c r="F4822" s="455"/>
      <c r="G4822" s="455"/>
      <c r="H4822" s="455"/>
      <c r="I4822" s="452"/>
      <c r="J4822" s="452"/>
      <c r="K4822" s="452"/>
      <c r="L4822" s="1148">
        <f>+Datos!$E$19</f>
        <v>0.01</v>
      </c>
      <c r="M4822" s="941"/>
      <c r="N4822" s="430">
        <f>+L4822*N4816</f>
        <v>1030.3</v>
      </c>
      <c r="O4822" s="362"/>
    </row>
    <row r="4823" spans="2:15" ht="15.75" customHeight="1">
      <c r="B4823" s="679"/>
      <c r="C4823" s="456" t="s">
        <v>21</v>
      </c>
      <c r="D4823" s="457"/>
      <c r="E4823" s="457"/>
      <c r="F4823" s="457"/>
      <c r="G4823" s="457"/>
      <c r="H4823" s="457"/>
      <c r="I4823" s="458"/>
      <c r="J4823" s="458"/>
      <c r="K4823" s="458"/>
      <c r="L4823" s="1148">
        <f>+Datos!$E$20</f>
        <v>0.05</v>
      </c>
      <c r="M4823" s="941"/>
      <c r="N4823" s="430">
        <f>+L4823*N4816</f>
        <v>5151.5</v>
      </c>
      <c r="O4823" s="362"/>
    </row>
    <row r="4824" spans="2:15" ht="15.75" customHeight="1">
      <c r="B4824" s="679"/>
      <c r="C4824" s="1127" t="s">
        <v>1202</v>
      </c>
      <c r="D4824" s="965"/>
      <c r="E4824" s="965"/>
      <c r="F4824" s="965"/>
      <c r="G4824" s="965"/>
      <c r="H4824" s="965"/>
      <c r="I4824" s="965"/>
      <c r="J4824" s="965"/>
      <c r="K4824" s="965"/>
      <c r="L4824" s="965"/>
      <c r="M4824" s="966"/>
      <c r="N4824" s="433">
        <f>+SUM(N4821:N4823)</f>
        <v>31939.3</v>
      </c>
      <c r="O4824" s="362"/>
    </row>
    <row r="4825" spans="2:15" ht="15.75" customHeight="1">
      <c r="B4825" s="679"/>
      <c r="C4825" s="418"/>
      <c r="D4825" s="39"/>
      <c r="E4825" s="39"/>
      <c r="F4825" s="39"/>
      <c r="G4825" s="39"/>
      <c r="H4825" s="39"/>
      <c r="I4825" s="39"/>
      <c r="J4825" s="39"/>
      <c r="K4825" s="39"/>
      <c r="L4825" s="39"/>
      <c r="M4825" s="39"/>
      <c r="N4825" s="40"/>
      <c r="O4825" s="362"/>
    </row>
    <row r="4826" spans="2:15" ht="15.75" customHeight="1">
      <c r="B4826" s="679"/>
      <c r="C4826" s="1198" t="s">
        <v>1224</v>
      </c>
      <c r="D4826" s="965"/>
      <c r="E4826" s="965"/>
      <c r="F4826" s="965"/>
      <c r="G4826" s="965"/>
      <c r="H4826" s="965"/>
      <c r="I4826" s="965"/>
      <c r="J4826" s="965"/>
      <c r="K4826" s="965"/>
      <c r="L4826" s="965"/>
      <c r="M4826" s="966"/>
      <c r="N4826" s="683">
        <f>+ROUND(SUM(N4824,N4816),0)</f>
        <v>134969</v>
      </c>
      <c r="O4826" s="362"/>
    </row>
    <row r="4827" spans="2:15" ht="15.75" customHeight="1">
      <c r="B4827" s="679"/>
      <c r="C4827" s="418"/>
      <c r="D4827" s="39" t="s">
        <v>1225</v>
      </c>
      <c r="E4827" s="39"/>
      <c r="F4827" s="39"/>
      <c r="G4827" s="184"/>
      <c r="H4827" s="184"/>
      <c r="I4827" s="184"/>
      <c r="J4827" s="39" t="s">
        <v>1225</v>
      </c>
      <c r="K4827" s="39"/>
      <c r="L4827" s="39"/>
      <c r="M4827" s="39"/>
      <c r="N4827" s="40"/>
      <c r="O4827" s="362"/>
    </row>
    <row r="4828" spans="2:15" ht="15.75" customHeight="1">
      <c r="B4828" s="679"/>
      <c r="C4828" s="418"/>
      <c r="D4828" s="39" t="s">
        <v>1226</v>
      </c>
      <c r="E4828" s="39"/>
      <c r="F4828" s="39"/>
      <c r="G4828" s="184"/>
      <c r="H4828" s="184"/>
      <c r="I4828" s="184"/>
      <c r="J4828" s="39" t="s">
        <v>1227</v>
      </c>
      <c r="K4828" s="39"/>
      <c r="L4828" s="39"/>
      <c r="M4828" s="39"/>
      <c r="N4828" s="40"/>
      <c r="O4828" s="362"/>
    </row>
    <row r="4829" spans="2:15" ht="15.75" customHeight="1">
      <c r="B4829" s="679"/>
      <c r="C4829" s="404"/>
      <c r="D4829" s="39" t="s">
        <v>1228</v>
      </c>
      <c r="E4829" s="42"/>
      <c r="F4829" s="42"/>
      <c r="G4829" s="184"/>
      <c r="H4829" s="184"/>
      <c r="I4829" s="184"/>
      <c r="J4829" s="39" t="s">
        <v>1228</v>
      </c>
      <c r="K4829" s="42"/>
      <c r="L4829" s="42"/>
      <c r="M4829" s="42"/>
      <c r="N4829" s="43"/>
      <c r="O4829" s="362"/>
    </row>
    <row r="4830" spans="2:15" ht="15.75" customHeight="1">
      <c r="B4830" s="679"/>
      <c r="C4830" s="418"/>
      <c r="D4830" s="39"/>
      <c r="E4830" s="39"/>
      <c r="F4830" s="39"/>
      <c r="G4830" s="39" t="s">
        <v>1229</v>
      </c>
      <c r="H4830" s="39"/>
      <c r="I4830" s="39"/>
      <c r="J4830" s="39"/>
      <c r="K4830" s="39"/>
      <c r="L4830" s="39"/>
      <c r="M4830" s="39"/>
      <c r="N4830" s="40"/>
      <c r="O4830" s="362"/>
    </row>
    <row r="4831" spans="2:15" ht="15.75" customHeight="1">
      <c r="B4831" s="679"/>
      <c r="C4831" s="466"/>
      <c r="D4831" s="467"/>
      <c r="E4831" s="467"/>
      <c r="F4831" s="39"/>
      <c r="G4831" s="39"/>
      <c r="H4831" s="39"/>
      <c r="I4831" s="39"/>
      <c r="J4831" s="1149"/>
      <c r="K4831" s="922"/>
      <c r="L4831" s="922"/>
      <c r="M4831" s="922"/>
      <c r="N4831" s="924"/>
      <c r="O4831" s="362"/>
    </row>
    <row r="4832" spans="2:15" ht="15.75" customHeight="1">
      <c r="B4832" s="679"/>
      <c r="C4832" s="1150"/>
      <c r="D4832" s="936"/>
      <c r="E4832" s="936"/>
      <c r="F4832" s="416"/>
      <c r="G4832" s="416"/>
      <c r="H4832" s="416"/>
      <c r="I4832" s="416"/>
      <c r="J4832" s="936"/>
      <c r="K4832" s="936"/>
      <c r="L4832" s="936"/>
      <c r="M4832" s="936"/>
      <c r="N4832" s="938"/>
      <c r="O4832" s="362"/>
    </row>
    <row r="4833" spans="1:15" ht="15.75" customHeight="1">
      <c r="B4833" s="684"/>
      <c r="C4833" s="685"/>
      <c r="D4833" s="685"/>
      <c r="E4833" s="685"/>
      <c r="F4833" s="685"/>
      <c r="G4833" s="685"/>
      <c r="H4833" s="685"/>
      <c r="I4833" s="685"/>
      <c r="J4833" s="685"/>
      <c r="K4833" s="685"/>
      <c r="L4833" s="685"/>
      <c r="M4833" s="685"/>
      <c r="N4833" s="685"/>
      <c r="O4833" s="686"/>
    </row>
    <row r="4834" spans="1:15" ht="15.75" customHeight="1"/>
    <row r="4835" spans="1:15" ht="15.75" customHeight="1"/>
    <row r="4836" spans="1:15" ht="15.75" customHeight="1"/>
    <row r="4837" spans="1:15" ht="15.75" customHeight="1"/>
    <row r="4838" spans="1:15" ht="15.75" customHeight="1"/>
    <row r="4839" spans="1:15" ht="15.75" customHeight="1">
      <c r="A4839" s="395" t="s">
        <v>941</v>
      </c>
      <c r="B4839" s="184"/>
      <c r="C4839" s="184"/>
      <c r="D4839" s="184"/>
      <c r="E4839" s="184"/>
      <c r="F4839" s="184"/>
      <c r="G4839" s="184"/>
      <c r="H4839" s="184"/>
      <c r="I4839" s="184"/>
      <c r="J4839" s="184"/>
      <c r="K4839" s="184"/>
      <c r="L4839" s="184"/>
      <c r="M4839" s="184"/>
      <c r="N4839" s="184"/>
    </row>
    <row r="4840" spans="1:15" ht="15.75" customHeight="1">
      <c r="A4840" s="395"/>
      <c r="B4840" s="396"/>
      <c r="C4840" s="397"/>
      <c r="D4840" s="397"/>
      <c r="E4840" s="397"/>
      <c r="F4840" s="397"/>
      <c r="G4840" s="397"/>
      <c r="H4840" s="397"/>
      <c r="I4840" s="397"/>
      <c r="J4840" s="397"/>
      <c r="K4840" s="397"/>
      <c r="L4840" s="397"/>
      <c r="M4840" s="397"/>
      <c r="N4840" s="397"/>
      <c r="O4840" s="667"/>
    </row>
    <row r="4841" spans="1:15" ht="15.75" customHeight="1">
      <c r="A4841" s="395"/>
      <c r="B4841" s="399"/>
      <c r="C4841" s="1124"/>
      <c r="D4841" s="927"/>
      <c r="E4841" s="1207" t="str">
        <f>Datos!$C$9</f>
        <v>CONSEJO SUPERIOR  DE  JUDICATURA– DIRECCIÓN  EJECUTIVA  SECCIONAL  DE ADMINISTRACIÓN JUDICIAL DE BUCARAMANGA</v>
      </c>
      <c r="F4841" s="926"/>
      <c r="G4841" s="926"/>
      <c r="H4841" s="926"/>
      <c r="I4841" s="926"/>
      <c r="J4841" s="926"/>
      <c r="K4841" s="927"/>
      <c r="L4841" s="925" t="s">
        <v>1</v>
      </c>
      <c r="M4841" s="931"/>
      <c r="N4841" s="933">
        <v>1</v>
      </c>
      <c r="O4841" s="362"/>
    </row>
    <row r="4842" spans="1:15" ht="15.75" customHeight="1">
      <c r="A4842" s="395"/>
      <c r="B4842" s="399"/>
      <c r="C4842" s="920"/>
      <c r="D4842" s="924"/>
      <c r="E4842" s="920"/>
      <c r="F4842" s="922"/>
      <c r="G4842" s="922"/>
      <c r="H4842" s="922"/>
      <c r="I4842" s="922"/>
      <c r="J4842" s="922"/>
      <c r="K4842" s="924"/>
      <c r="L4842" s="920"/>
      <c r="M4842" s="932"/>
      <c r="N4842" s="934"/>
      <c r="O4842" s="362"/>
    </row>
    <row r="4843" spans="1:15" ht="15.75" customHeight="1">
      <c r="A4843" s="395"/>
      <c r="B4843" s="399"/>
      <c r="C4843" s="920"/>
      <c r="D4843" s="924"/>
      <c r="E4843" s="919" t="str">
        <f>Datos!$C$13</f>
        <v xml:space="preserve">BGA - 030 - 2026 </v>
      </c>
      <c r="F4843" s="922"/>
      <c r="G4843" s="922"/>
      <c r="H4843" s="922"/>
      <c r="I4843" s="922"/>
      <c r="J4843" s="922"/>
      <c r="K4843" s="922"/>
      <c r="L4843" s="925" t="s">
        <v>29</v>
      </c>
      <c r="M4843" s="926"/>
      <c r="N4843" s="927"/>
      <c r="O4843" s="362"/>
    </row>
    <row r="4844" spans="1:15" ht="15.75" customHeight="1">
      <c r="A4844" s="395"/>
      <c r="B4844" s="399"/>
      <c r="C4844" s="920"/>
      <c r="D4844" s="924"/>
      <c r="E4844"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844" s="922"/>
      <c r="G4844" s="922"/>
      <c r="H4844" s="922"/>
      <c r="I4844" s="922"/>
      <c r="J4844" s="922"/>
      <c r="K4844" s="924"/>
      <c r="L4844" s="919">
        <v>1</v>
      </c>
      <c r="M4844" s="921" t="s">
        <v>30</v>
      </c>
      <c r="N4844" s="923">
        <v>1</v>
      </c>
      <c r="O4844" s="362"/>
    </row>
    <row r="4845" spans="1:15" ht="15.75" customHeight="1">
      <c r="A4845" s="395"/>
      <c r="B4845" s="399"/>
      <c r="C4845" s="920"/>
      <c r="D4845" s="924"/>
      <c r="E4845" s="920"/>
      <c r="F4845" s="922"/>
      <c r="G4845" s="922"/>
      <c r="H4845" s="922"/>
      <c r="I4845" s="922"/>
      <c r="J4845" s="922"/>
      <c r="K4845" s="924"/>
      <c r="L4845" s="920"/>
      <c r="M4845" s="922"/>
      <c r="N4845" s="924"/>
      <c r="O4845" s="362"/>
    </row>
    <row r="4846" spans="1:15" ht="15.75" customHeight="1">
      <c r="A4846" s="395"/>
      <c r="B4846" s="399"/>
      <c r="C4846" s="920"/>
      <c r="D4846" s="924"/>
      <c r="E4846" s="920"/>
      <c r="F4846" s="922"/>
      <c r="G4846" s="922"/>
      <c r="H4846" s="922"/>
      <c r="I4846" s="922"/>
      <c r="J4846" s="922"/>
      <c r="K4846" s="924"/>
      <c r="L4846" s="925" t="s">
        <v>2</v>
      </c>
      <c r="M4846" s="926"/>
      <c r="N4846" s="927"/>
      <c r="O4846" s="362"/>
    </row>
    <row r="4847" spans="1:15" ht="15.75" customHeight="1">
      <c r="A4847" s="395"/>
      <c r="B4847" s="399"/>
      <c r="C4847" s="920"/>
      <c r="D4847" s="924"/>
      <c r="E4847" s="407"/>
      <c r="F4847" s="216"/>
      <c r="G4847" s="216"/>
      <c r="H4847" s="216"/>
      <c r="I4847" s="216"/>
      <c r="J4847" s="216"/>
      <c r="K4847" s="216"/>
      <c r="L4847" s="408" t="s">
        <v>3</v>
      </c>
      <c r="M4847" s="409" t="s">
        <v>4</v>
      </c>
      <c r="N4847" s="410" t="s">
        <v>5</v>
      </c>
      <c r="O4847" s="362"/>
    </row>
    <row r="4848" spans="1:15" ht="15.75" customHeight="1">
      <c r="A4848" s="395"/>
      <c r="B4848" s="399"/>
      <c r="C4848" s="920"/>
      <c r="D4848" s="924"/>
      <c r="E4848" s="1125" t="s">
        <v>1186</v>
      </c>
      <c r="F4848" s="945"/>
      <c r="G4848" s="945"/>
      <c r="H4848" s="945"/>
      <c r="I4848" s="945"/>
      <c r="J4848" s="945"/>
      <c r="K4848" s="945"/>
      <c r="L4848" s="928">
        <f>Datos!$C$7</f>
        <v>19</v>
      </c>
      <c r="M4848" s="935">
        <f>Datos!$D$7</f>
        <v>6</v>
      </c>
      <c r="N4848" s="937">
        <f>Datos!$E$7</f>
        <v>2026</v>
      </c>
      <c r="O4848" s="362"/>
    </row>
    <row r="4849" spans="1:15" ht="15.75" customHeight="1">
      <c r="A4849" s="395"/>
      <c r="B4849" s="399"/>
      <c r="C4849" s="929"/>
      <c r="D4849" s="938"/>
      <c r="E4849" s="929"/>
      <c r="F4849" s="936"/>
      <c r="G4849" s="936"/>
      <c r="H4849" s="936"/>
      <c r="I4849" s="936"/>
      <c r="J4849" s="936"/>
      <c r="K4849" s="936"/>
      <c r="L4849" s="929"/>
      <c r="M4849" s="936"/>
      <c r="N4849" s="938"/>
      <c r="O4849" s="362"/>
    </row>
    <row r="4850" spans="1:15" ht="15.75" customHeight="1">
      <c r="A4850" s="395"/>
      <c r="B4850" s="399"/>
      <c r="C4850" s="404"/>
      <c r="D4850" s="38"/>
      <c r="E4850" s="38"/>
      <c r="F4850" s="38"/>
      <c r="G4850" s="38"/>
      <c r="H4850" s="38"/>
      <c r="I4850" s="38"/>
      <c r="J4850" s="38"/>
      <c r="K4850" s="38"/>
      <c r="L4850" s="39"/>
      <c r="M4850" s="39"/>
      <c r="N4850" s="40"/>
      <c r="O4850" s="362"/>
    </row>
    <row r="4851" spans="1:15" ht="15.75" customHeight="1">
      <c r="A4851" s="395"/>
      <c r="B4851" s="399"/>
      <c r="C4851" s="412" t="s">
        <v>1187</v>
      </c>
      <c r="D4851" s="1199" t="str">
        <f>VLOOKUP(C4856,ListaAct,2,0)</f>
        <v>OBRA CIVIL</v>
      </c>
      <c r="E4851" s="922"/>
      <c r="F4851" s="922"/>
      <c r="G4851" s="922"/>
      <c r="H4851" s="922"/>
      <c r="I4851" s="922"/>
      <c r="J4851" s="922"/>
      <c r="K4851" s="922"/>
      <c r="L4851" s="922"/>
      <c r="M4851" s="1"/>
      <c r="N4851" s="413"/>
      <c r="O4851" s="362"/>
    </row>
    <row r="4852" spans="1:15" ht="15.75" customHeight="1">
      <c r="A4852" s="395"/>
      <c r="B4852" s="399"/>
      <c r="C4852" s="412" t="s">
        <v>1189</v>
      </c>
      <c r="D4852" s="1199" t="str">
        <f>VLOOKUP(C4856,ListaAct,3,0)</f>
        <v>ACTIVIDADES ELECTRICAS, DATOS Y DEMAS REQUERIDAS</v>
      </c>
      <c r="E4852" s="922"/>
      <c r="F4852" s="922"/>
      <c r="G4852" s="922"/>
      <c r="H4852" s="922"/>
      <c r="I4852" s="922"/>
      <c r="J4852" s="922"/>
      <c r="K4852" s="922"/>
      <c r="L4852" s="922"/>
      <c r="M4852" s="1"/>
      <c r="N4852" s="413"/>
      <c r="O4852" s="362"/>
    </row>
    <row r="4853" spans="1:15" ht="15.75" customHeight="1">
      <c r="A4853" s="395"/>
      <c r="B4853" s="399"/>
      <c r="C4853" s="925" t="s">
        <v>1191</v>
      </c>
      <c r="D4853" s="926"/>
      <c r="E4853" s="926"/>
      <c r="F4853" s="926"/>
      <c r="G4853" s="926"/>
      <c r="H4853" s="926"/>
      <c r="I4853" s="926"/>
      <c r="J4853" s="926"/>
      <c r="K4853" s="926"/>
      <c r="L4853" s="926"/>
      <c r="M4853" s="926"/>
      <c r="N4853" s="927"/>
      <c r="O4853" s="362"/>
    </row>
    <row r="4854" spans="1:15" ht="15.75" customHeight="1">
      <c r="A4854" s="395"/>
      <c r="B4854" s="399"/>
      <c r="C4854" s="418"/>
      <c r="D4854" s="39"/>
      <c r="E4854" s="39"/>
      <c r="F4854" s="39"/>
      <c r="G4854" s="39"/>
      <c r="H4854" s="39"/>
      <c r="I4854" s="39"/>
      <c r="J4854" s="39"/>
      <c r="K4854" s="39"/>
      <c r="L4854" s="39"/>
      <c r="M4854" s="39"/>
      <c r="N4854" s="40"/>
      <c r="O4854" s="362"/>
    </row>
    <row r="4855" spans="1:15" ht="15.75" customHeight="1">
      <c r="A4855" s="395"/>
      <c r="B4855" s="399"/>
      <c r="C4855" s="668" t="s">
        <v>965</v>
      </c>
      <c r="D4855" s="1200" t="s">
        <v>17</v>
      </c>
      <c r="E4855" s="1131"/>
      <c r="F4855" s="1131"/>
      <c r="G4855" s="1131"/>
      <c r="H4855" s="1131"/>
      <c r="I4855" s="1131"/>
      <c r="J4855" s="1131"/>
      <c r="K4855" s="1137"/>
      <c r="L4855" s="1201" t="s">
        <v>1192</v>
      </c>
      <c r="M4855" s="1137"/>
      <c r="N4855" s="668" t="s">
        <v>950</v>
      </c>
      <c r="O4855" s="362"/>
    </row>
    <row r="4856" spans="1:15" ht="15.75" customHeight="1">
      <c r="A4856" s="395"/>
      <c r="B4856" s="421"/>
      <c r="C4856" s="669" t="s">
        <v>1148</v>
      </c>
      <c r="D4856" s="1202" t="str">
        <f>IF($C4856&gt;0,(VLOOKUP($C4856,ListaAct,4,FALSE)),"")</f>
        <v xml:space="preserve">Desmonte, Suministro e instalacion de tapa para gabinte metalico de medidor electrico </v>
      </c>
      <c r="E4856" s="979"/>
      <c r="F4856" s="979"/>
      <c r="G4856" s="979"/>
      <c r="H4856" s="979"/>
      <c r="I4856" s="979"/>
      <c r="J4856" s="979"/>
      <c r="K4856" s="980"/>
      <c r="L4856" s="1203" t="str">
        <f>IF($C4856&gt;0,(VLOOKUP($C4856,ListaAct,5,FALSE)),"")</f>
        <v>und</v>
      </c>
      <c r="M4856" s="980"/>
      <c r="N4856" s="423">
        <f>IF($C4856&gt;0,(VLOOKUP($C4856,ListaAct,6,FALSE)),"")</f>
        <v>1</v>
      </c>
      <c r="O4856" s="362"/>
    </row>
    <row r="4857" spans="1:15" ht="15.75" customHeight="1">
      <c r="A4857" s="395"/>
      <c r="B4857" s="399"/>
      <c r="C4857" s="1129" t="s">
        <v>1195</v>
      </c>
      <c r="D4857" s="926"/>
      <c r="E4857" s="926"/>
      <c r="F4857" s="926"/>
      <c r="G4857" s="926"/>
      <c r="H4857" s="926"/>
      <c r="I4857" s="926"/>
      <c r="J4857" s="926"/>
      <c r="K4857" s="926"/>
      <c r="L4857" s="926"/>
      <c r="M4857" s="926"/>
      <c r="N4857" s="927"/>
      <c r="O4857" s="362"/>
    </row>
    <row r="4858" spans="1:15" ht="15.75" customHeight="1">
      <c r="A4858" s="395"/>
      <c r="B4858" s="399"/>
      <c r="C4858" s="920"/>
      <c r="D4858" s="922"/>
      <c r="E4858" s="922"/>
      <c r="F4858" s="922"/>
      <c r="G4858" s="922"/>
      <c r="H4858" s="922"/>
      <c r="I4858" s="922"/>
      <c r="J4858" s="922"/>
      <c r="K4858" s="922"/>
      <c r="L4858" s="922"/>
      <c r="M4858" s="922"/>
      <c r="N4858" s="924"/>
      <c r="O4858" s="362"/>
    </row>
    <row r="4859" spans="1:15" ht="15.75" customHeight="1">
      <c r="A4859" s="395"/>
      <c r="B4859" s="399"/>
      <c r="C4859" s="929"/>
      <c r="D4859" s="936"/>
      <c r="E4859" s="936"/>
      <c r="F4859" s="936"/>
      <c r="G4859" s="936"/>
      <c r="H4859" s="936"/>
      <c r="I4859" s="936"/>
      <c r="J4859" s="936"/>
      <c r="K4859" s="936"/>
      <c r="L4859" s="936"/>
      <c r="M4859" s="936"/>
      <c r="N4859" s="938"/>
      <c r="O4859" s="362"/>
    </row>
    <row r="4860" spans="1:15" ht="15.75" customHeight="1">
      <c r="A4860" s="395"/>
      <c r="B4860" s="399"/>
      <c r="C4860" s="1201" t="s">
        <v>17</v>
      </c>
      <c r="D4860" s="1131"/>
      <c r="E4860" s="1131"/>
      <c r="F4860" s="1000"/>
      <c r="G4860" s="1204" t="s">
        <v>1196</v>
      </c>
      <c r="H4860" s="1000"/>
      <c r="I4860" s="1204" t="s">
        <v>1197</v>
      </c>
      <c r="J4860" s="1000"/>
      <c r="K4860" s="670" t="s">
        <v>1213</v>
      </c>
      <c r="L4860" s="1204" t="s">
        <v>1199</v>
      </c>
      <c r="M4860" s="1000"/>
      <c r="N4860" s="671" t="s">
        <v>1200</v>
      </c>
      <c r="O4860" s="362"/>
    </row>
    <row r="4861" spans="1:15" ht="15.75" customHeight="1">
      <c r="A4861" s="395"/>
      <c r="B4861" s="399"/>
      <c r="C4861" s="1128" t="s">
        <v>1201</v>
      </c>
      <c r="D4861" s="940"/>
      <c r="E4861" s="940"/>
      <c r="F4861" s="941"/>
      <c r="G4861" s="1142"/>
      <c r="H4861" s="941"/>
      <c r="I4861" s="1142"/>
      <c r="J4861" s="941"/>
      <c r="K4861" s="429"/>
      <c r="L4861" s="1143">
        <v>0.05</v>
      </c>
      <c r="M4861" s="941"/>
      <c r="N4861" s="430">
        <f>+L4861*N4900</f>
        <v>3164.3892759148675</v>
      </c>
      <c r="O4861" s="362"/>
    </row>
    <row r="4862" spans="1:15" ht="15.75" customHeight="1">
      <c r="A4862" s="395">
        <f t="array" ref="A4862">IF(C4862&lt;&gt;0,INDEX(CodEquipos,MATCH(C4862,Equipos,0),),)</f>
        <v>0</v>
      </c>
      <c r="B4862" s="399"/>
      <c r="C4862" s="1128"/>
      <c r="D4862" s="940"/>
      <c r="E4862" s="940"/>
      <c r="F4862" s="941"/>
      <c r="G4862" s="1142"/>
      <c r="H4862" s="941"/>
      <c r="I4862" s="1142"/>
      <c r="J4862" s="941"/>
      <c r="K4862" s="432" t="str">
        <f>IF($A4862&gt;0,(VLOOKUP($A4862,TablaEquipos,7,FALSE)),"")</f>
        <v/>
      </c>
      <c r="L4862" s="1146"/>
      <c r="M4862" s="941"/>
      <c r="N4862" s="430" t="str">
        <f t="shared" ref="N4862:N4866" si="355">IF(L4862&gt;0,K4862/L4862,"")</f>
        <v/>
      </c>
      <c r="O4862" s="362"/>
    </row>
    <row r="4863" spans="1:15" ht="15.75" customHeight="1">
      <c r="A4863" s="395">
        <f t="array" ref="A4863">IF(C4863&lt;&gt;0,INDEX(CodEquipos,MATCH(C4863,Equipos,0),),)</f>
        <v>0</v>
      </c>
      <c r="B4863" s="399"/>
      <c r="C4863" s="1128"/>
      <c r="D4863" s="940"/>
      <c r="E4863" s="940"/>
      <c r="F4863" s="941"/>
      <c r="G4863" s="1142"/>
      <c r="H4863" s="941"/>
      <c r="I4863" s="1142"/>
      <c r="J4863" s="941"/>
      <c r="K4863" s="432" t="str">
        <f>IF($A4863&gt;0,(VLOOKUP($A4863,TablaEquipos,7,FALSE)),"")</f>
        <v/>
      </c>
      <c r="L4863" s="1146"/>
      <c r="M4863" s="941"/>
      <c r="N4863" s="430" t="str">
        <f t="shared" si="355"/>
        <v/>
      </c>
      <c r="O4863" s="362"/>
    </row>
    <row r="4864" spans="1:15" ht="15.75" customHeight="1">
      <c r="A4864" s="395">
        <f t="array" ref="A4864">IF(C4864&lt;&gt;0,INDEX(CodEquipos,MATCH(C4864,Equipos,0),),)</f>
        <v>0</v>
      </c>
      <c r="B4864" s="399"/>
      <c r="C4864" s="1128"/>
      <c r="D4864" s="940"/>
      <c r="E4864" s="940"/>
      <c r="F4864" s="941"/>
      <c r="G4864" s="1142"/>
      <c r="H4864" s="941"/>
      <c r="I4864" s="1142"/>
      <c r="J4864" s="941"/>
      <c r="K4864" s="432" t="str">
        <f>IF($A4864&gt;0,(VLOOKUP($A4864,TablaEquipos,7,FALSE)),"")</f>
        <v/>
      </c>
      <c r="L4864" s="1146"/>
      <c r="M4864" s="941"/>
      <c r="N4864" s="430" t="str">
        <f t="shared" si="355"/>
        <v/>
      </c>
      <c r="O4864" s="362"/>
    </row>
    <row r="4865" spans="1:15" ht="15.75" customHeight="1">
      <c r="A4865" s="395">
        <f t="array" ref="A4865">IF(C4865&lt;&gt;0,INDEX(CodEquipos,MATCH(C4865,Equipos,0),),)</f>
        <v>0</v>
      </c>
      <c r="B4865" s="399"/>
      <c r="C4865" s="1128"/>
      <c r="D4865" s="940"/>
      <c r="E4865" s="940"/>
      <c r="F4865" s="941"/>
      <c r="G4865" s="1142"/>
      <c r="H4865" s="941"/>
      <c r="I4865" s="1142"/>
      <c r="J4865" s="941"/>
      <c r="K4865" s="432" t="str">
        <f>IF($A4865&gt;0,(VLOOKUP($A4865,TablaEquipos,7,FALSE)),"")</f>
        <v/>
      </c>
      <c r="L4865" s="1141"/>
      <c r="M4865" s="941"/>
      <c r="N4865" s="430" t="str">
        <f t="shared" si="355"/>
        <v/>
      </c>
      <c r="O4865" s="362"/>
    </row>
    <row r="4866" spans="1:15" ht="15.75" customHeight="1">
      <c r="A4866" s="395">
        <f t="array" ref="A4866">IF(C4866&lt;&gt;0,INDEX(CodEquipos,MATCH(C4866,Equipos,0),),)</f>
        <v>0</v>
      </c>
      <c r="B4866" s="399"/>
      <c r="C4866" s="1128"/>
      <c r="D4866" s="940"/>
      <c r="E4866" s="940"/>
      <c r="F4866" s="941"/>
      <c r="G4866" s="1144"/>
      <c r="H4866" s="1145"/>
      <c r="I4866" s="1144"/>
      <c r="J4866" s="1145"/>
      <c r="K4866" s="432" t="str">
        <f>IF($A4866&gt;0,(VLOOKUP($A4866,TablaEquipos,7,FALSE)),"")</f>
        <v/>
      </c>
      <c r="L4866" s="1208"/>
      <c r="M4866" s="1145"/>
      <c r="N4866" s="430" t="str">
        <f t="shared" si="355"/>
        <v/>
      </c>
      <c r="O4866" s="362"/>
    </row>
    <row r="4867" spans="1:15" ht="15.75" customHeight="1">
      <c r="A4867" s="395"/>
      <c r="B4867" s="399"/>
      <c r="C4867" s="1127" t="s">
        <v>1202</v>
      </c>
      <c r="D4867" s="965"/>
      <c r="E4867" s="965"/>
      <c r="F4867" s="965"/>
      <c r="G4867" s="965"/>
      <c r="H4867" s="965"/>
      <c r="I4867" s="965"/>
      <c r="J4867" s="965"/>
      <c r="K4867" s="965"/>
      <c r="L4867" s="965"/>
      <c r="M4867" s="966"/>
      <c r="N4867" s="433">
        <f>+SUM(N4861:N4866)</f>
        <v>3164.3892759148675</v>
      </c>
      <c r="O4867" s="362"/>
    </row>
    <row r="4868" spans="1:15" ht="15.75" customHeight="1">
      <c r="A4868" s="395"/>
      <c r="B4868" s="399"/>
      <c r="C4868" s="1129" t="s">
        <v>1203</v>
      </c>
      <c r="D4868" s="926"/>
      <c r="E4868" s="926"/>
      <c r="F4868" s="926"/>
      <c r="G4868" s="926"/>
      <c r="H4868" s="926"/>
      <c r="I4868" s="926"/>
      <c r="J4868" s="926"/>
      <c r="K4868" s="926"/>
      <c r="L4868" s="926"/>
      <c r="M4868" s="926"/>
      <c r="N4868" s="927"/>
      <c r="O4868" s="362"/>
    </row>
    <row r="4869" spans="1:15" ht="15.75" customHeight="1">
      <c r="A4869" s="395"/>
      <c r="B4869" s="399"/>
      <c r="C4869" s="920"/>
      <c r="D4869" s="922"/>
      <c r="E4869" s="922"/>
      <c r="F4869" s="922"/>
      <c r="G4869" s="922"/>
      <c r="H4869" s="922"/>
      <c r="I4869" s="922"/>
      <c r="J4869" s="922"/>
      <c r="K4869" s="922"/>
      <c r="L4869" s="922"/>
      <c r="M4869" s="922"/>
      <c r="N4869" s="924"/>
      <c r="O4869" s="362"/>
    </row>
    <row r="4870" spans="1:15" ht="15.75" customHeight="1">
      <c r="A4870" s="395"/>
      <c r="B4870" s="399"/>
      <c r="C4870" s="929"/>
      <c r="D4870" s="936"/>
      <c r="E4870" s="936"/>
      <c r="F4870" s="936"/>
      <c r="G4870" s="936"/>
      <c r="H4870" s="936"/>
      <c r="I4870" s="936"/>
      <c r="J4870" s="936"/>
      <c r="K4870" s="936"/>
      <c r="L4870" s="936"/>
      <c r="M4870" s="936"/>
      <c r="N4870" s="938"/>
      <c r="O4870" s="362"/>
    </row>
    <row r="4871" spans="1:15" ht="15.75" customHeight="1">
      <c r="A4871" s="395"/>
      <c r="B4871" s="399"/>
      <c r="C4871" s="1201" t="s">
        <v>17</v>
      </c>
      <c r="D4871" s="1131"/>
      <c r="E4871" s="1131"/>
      <c r="F4871" s="1131"/>
      <c r="G4871" s="1131"/>
      <c r="H4871" s="1131"/>
      <c r="I4871" s="1000"/>
      <c r="J4871" s="672" t="s">
        <v>1192</v>
      </c>
      <c r="K4871" s="670" t="s">
        <v>950</v>
      </c>
      <c r="L4871" s="1204" t="s">
        <v>1204</v>
      </c>
      <c r="M4871" s="1000"/>
      <c r="N4871" s="671" t="s">
        <v>1200</v>
      </c>
      <c r="O4871" s="362"/>
    </row>
    <row r="4872" spans="1:15" ht="15.75" customHeight="1">
      <c r="A4872" s="395" t="str">
        <f t="array" ref="A4872">IF(C4872&lt;&gt;0,INDEX(CodMat,MATCH(C4872,Materiales,0),),)</f>
        <v>MAT_M-30</v>
      </c>
      <c r="B4872" s="399"/>
      <c r="C4872" s="1128" t="s">
        <v>2412</v>
      </c>
      <c r="D4872" s="940"/>
      <c r="E4872" s="940"/>
      <c r="F4872" s="940"/>
      <c r="G4872" s="940"/>
      <c r="H4872" s="940"/>
      <c r="I4872" s="941"/>
      <c r="J4872" s="435" t="str">
        <f t="shared" ref="J4872:J4879" si="356">IF($A4872&gt;0,(VLOOKUP($A4872,TablaInsumos,5,FALSE)),"")</f>
        <v>UND</v>
      </c>
      <c r="K4872" s="673">
        <v>0.09</v>
      </c>
      <c r="L4872" s="1134">
        <f t="shared" ref="L4872:L4879" si="357">IF($A4872&gt;0,(VLOOKUP($A4872,TablaInsumos,7,FALSE)),"")</f>
        <v>262363</v>
      </c>
      <c r="M4872" s="941"/>
      <c r="N4872" s="430">
        <f t="shared" ref="N4872:N4879" si="358">IF(K4872&gt;0,L4872*K4872,"")</f>
        <v>23612.67</v>
      </c>
      <c r="O4872" s="362"/>
    </row>
    <row r="4873" spans="1:15" ht="15.75" customHeight="1">
      <c r="A4873" s="395" t="str">
        <f t="array" ref="A4873">IF(C4873&lt;&gt;0,INDEX(CodMat,MATCH(C4873,Materiales,0),),)</f>
        <v>MAT_M-20</v>
      </c>
      <c r="B4873" s="399"/>
      <c r="C4873" s="1128" t="s">
        <v>1491</v>
      </c>
      <c r="D4873" s="940"/>
      <c r="E4873" s="940"/>
      <c r="F4873" s="940"/>
      <c r="G4873" s="940"/>
      <c r="H4873" s="940"/>
      <c r="I4873" s="941"/>
      <c r="J4873" s="435" t="str">
        <f t="shared" si="356"/>
        <v>KG</v>
      </c>
      <c r="K4873" s="673">
        <v>0.2</v>
      </c>
      <c r="L4873" s="1134">
        <f t="shared" si="357"/>
        <v>27900</v>
      </c>
      <c r="M4873" s="941"/>
      <c r="N4873" s="430">
        <f t="shared" si="358"/>
        <v>5580</v>
      </c>
      <c r="O4873" s="362"/>
    </row>
    <row r="4874" spans="1:15" ht="15.75" customHeight="1">
      <c r="A4874" s="395" t="str">
        <f t="array" ref="A4874">IF(C4874&lt;&gt;0,INDEX(CodMat,MATCH(C4874,Materiales,0),),)</f>
        <v>MAT_P-07</v>
      </c>
      <c r="B4874" s="399"/>
      <c r="C4874" s="1128" t="s">
        <v>2630</v>
      </c>
      <c r="D4874" s="940"/>
      <c r="E4874" s="940"/>
      <c r="F4874" s="940"/>
      <c r="G4874" s="940"/>
      <c r="H4874" s="940"/>
      <c r="I4874" s="941"/>
      <c r="J4874" s="435" t="str">
        <f t="shared" si="356"/>
        <v>GLN</v>
      </c>
      <c r="K4874" s="673">
        <v>0.1</v>
      </c>
      <c r="L4874" s="1134">
        <f t="shared" si="357"/>
        <v>80900</v>
      </c>
      <c r="M4874" s="941"/>
      <c r="N4874" s="430">
        <f t="shared" si="358"/>
        <v>8090</v>
      </c>
      <c r="O4874" s="362"/>
    </row>
    <row r="4875" spans="1:15" ht="15.75" customHeight="1">
      <c r="A4875" s="395" t="str">
        <f t="array" ref="A4875">IF(C4875&lt;&gt;0,INDEX(CodMat,MATCH(C4875,Materiales,0),),)</f>
        <v>MAT_P-11</v>
      </c>
      <c r="B4875" s="399"/>
      <c r="C4875" s="1128" t="s">
        <v>2618</v>
      </c>
      <c r="D4875" s="940"/>
      <c r="E4875" s="940"/>
      <c r="F4875" s="940"/>
      <c r="G4875" s="940"/>
      <c r="H4875" s="940"/>
      <c r="I4875" s="941"/>
      <c r="J4875" s="435" t="str">
        <f t="shared" si="356"/>
        <v>GLN</v>
      </c>
      <c r="K4875" s="673">
        <v>0.1</v>
      </c>
      <c r="L4875" s="1134">
        <f t="shared" si="357"/>
        <v>139900</v>
      </c>
      <c r="M4875" s="941"/>
      <c r="N4875" s="430">
        <f t="shared" si="358"/>
        <v>13990</v>
      </c>
      <c r="O4875" s="362"/>
    </row>
    <row r="4876" spans="1:15" ht="15.75" customHeight="1">
      <c r="A4876" s="395" t="str">
        <f t="array" ref="A4876">IF(C4876&lt;&gt;0,INDEX(CodMat,MATCH(C4876,Materiales,0),),)</f>
        <v>MAT_M-31</v>
      </c>
      <c r="B4876" s="399"/>
      <c r="C4876" s="1128" t="s">
        <v>2416</v>
      </c>
      <c r="D4876" s="940"/>
      <c r="E4876" s="940"/>
      <c r="F4876" s="940"/>
      <c r="G4876" s="940"/>
      <c r="H4876" s="940"/>
      <c r="I4876" s="941"/>
      <c r="J4876" s="435" t="str">
        <f t="shared" si="356"/>
        <v>UND</v>
      </c>
      <c r="K4876" s="673">
        <v>8.0000000000000002E-3</v>
      </c>
      <c r="L4876" s="1134">
        <f t="shared" si="357"/>
        <v>1655392</v>
      </c>
      <c r="M4876" s="941"/>
      <c r="N4876" s="430">
        <f t="shared" si="358"/>
        <v>13243.136</v>
      </c>
      <c r="O4876" s="362"/>
    </row>
    <row r="4877" spans="1:15" ht="15.75" customHeight="1">
      <c r="A4877" s="395">
        <f t="array" ref="A4877">IF(C4877&lt;&gt;0,INDEX(CodMat,MATCH(C4877,Materiales,0),),)</f>
        <v>0</v>
      </c>
      <c r="B4877" s="399"/>
      <c r="C4877" s="1128"/>
      <c r="D4877" s="940"/>
      <c r="E4877" s="940"/>
      <c r="F4877" s="940"/>
      <c r="G4877" s="940"/>
      <c r="H4877" s="940"/>
      <c r="I4877" s="941"/>
      <c r="J4877" s="435" t="str">
        <f t="shared" si="356"/>
        <v/>
      </c>
      <c r="K4877" s="436"/>
      <c r="L4877" s="1134" t="str">
        <f t="shared" si="357"/>
        <v/>
      </c>
      <c r="M4877" s="941"/>
      <c r="N4877" s="430" t="str">
        <f t="shared" si="358"/>
        <v/>
      </c>
      <c r="O4877" s="362"/>
    </row>
    <row r="4878" spans="1:15" ht="15.75" customHeight="1">
      <c r="A4878" s="395">
        <f t="array" ref="A4878">IF(C4878&lt;&gt;0,INDEX(CodMat,MATCH(C4878,Materiales,0),),)</f>
        <v>0</v>
      </c>
      <c r="B4878" s="399"/>
      <c r="C4878" s="1128"/>
      <c r="D4878" s="940"/>
      <c r="E4878" s="940"/>
      <c r="F4878" s="940"/>
      <c r="G4878" s="940"/>
      <c r="H4878" s="940"/>
      <c r="I4878" s="941"/>
      <c r="J4878" s="435" t="str">
        <f t="shared" si="356"/>
        <v/>
      </c>
      <c r="K4878" s="436"/>
      <c r="L4878" s="1134" t="str">
        <f t="shared" si="357"/>
        <v/>
      </c>
      <c r="M4878" s="941"/>
      <c r="N4878" s="430" t="str">
        <f t="shared" si="358"/>
        <v/>
      </c>
      <c r="O4878" s="362"/>
    </row>
    <row r="4879" spans="1:15" ht="15.75" customHeight="1">
      <c r="A4879" s="395">
        <f t="array" ref="A4879">IF(C4879&lt;&gt;0,INDEX(CodMat,MATCH(C4879,Materiales,0),),)</f>
        <v>0</v>
      </c>
      <c r="B4879" s="399"/>
      <c r="C4879" s="1128"/>
      <c r="D4879" s="940"/>
      <c r="E4879" s="940"/>
      <c r="F4879" s="940"/>
      <c r="G4879" s="940"/>
      <c r="H4879" s="940"/>
      <c r="I4879" s="941"/>
      <c r="J4879" s="435" t="str">
        <f t="shared" si="356"/>
        <v/>
      </c>
      <c r="K4879" s="436"/>
      <c r="L4879" s="1205" t="str">
        <f t="shared" si="357"/>
        <v/>
      </c>
      <c r="M4879" s="1145"/>
      <c r="N4879" s="430" t="str">
        <f t="shared" si="358"/>
        <v/>
      </c>
      <c r="O4879" s="362"/>
    </row>
    <row r="4880" spans="1:15" ht="15.75" customHeight="1">
      <c r="A4880" s="395"/>
      <c r="B4880" s="399"/>
      <c r="C4880" s="1127" t="s">
        <v>1202</v>
      </c>
      <c r="D4880" s="965"/>
      <c r="E4880" s="965"/>
      <c r="F4880" s="965"/>
      <c r="G4880" s="965"/>
      <c r="H4880" s="965"/>
      <c r="I4880" s="965"/>
      <c r="J4880" s="965"/>
      <c r="K4880" s="965"/>
      <c r="L4880" s="965"/>
      <c r="M4880" s="966"/>
      <c r="N4880" s="433">
        <f>+SUM(N4872:N4879)</f>
        <v>64515.805999999997</v>
      </c>
      <c r="O4880" s="362"/>
    </row>
    <row r="4881" spans="1:15" ht="15.75" customHeight="1">
      <c r="A4881" s="395"/>
      <c r="B4881" s="399"/>
      <c r="C4881" s="1129" t="s">
        <v>1208</v>
      </c>
      <c r="D4881" s="926"/>
      <c r="E4881" s="926"/>
      <c r="F4881" s="926"/>
      <c r="G4881" s="926"/>
      <c r="H4881" s="926"/>
      <c r="I4881" s="926"/>
      <c r="J4881" s="926"/>
      <c r="K4881" s="926"/>
      <c r="L4881" s="926"/>
      <c r="M4881" s="926"/>
      <c r="N4881" s="927"/>
      <c r="O4881" s="362"/>
    </row>
    <row r="4882" spans="1:15" ht="15.75" customHeight="1">
      <c r="A4882" s="395"/>
      <c r="B4882" s="399"/>
      <c r="C4882" s="920"/>
      <c r="D4882" s="922"/>
      <c r="E4882" s="922"/>
      <c r="F4882" s="922"/>
      <c r="G4882" s="922"/>
      <c r="H4882" s="922"/>
      <c r="I4882" s="922"/>
      <c r="J4882" s="922"/>
      <c r="K4882" s="922"/>
      <c r="L4882" s="922"/>
      <c r="M4882" s="922"/>
      <c r="N4882" s="924"/>
      <c r="O4882" s="362"/>
    </row>
    <row r="4883" spans="1:15" ht="15.75" customHeight="1">
      <c r="A4883" s="395"/>
      <c r="B4883" s="399"/>
      <c r="C4883" s="929"/>
      <c r="D4883" s="936"/>
      <c r="E4883" s="936"/>
      <c r="F4883" s="936"/>
      <c r="G4883" s="936"/>
      <c r="H4883" s="936"/>
      <c r="I4883" s="936"/>
      <c r="J4883" s="936"/>
      <c r="K4883" s="936"/>
      <c r="L4883" s="936"/>
      <c r="M4883" s="936"/>
      <c r="N4883" s="938"/>
      <c r="O4883" s="362"/>
    </row>
    <row r="4884" spans="1:15" ht="15.75" customHeight="1">
      <c r="A4884" s="395"/>
      <c r="B4884" s="399"/>
      <c r="C4884" s="1201" t="s">
        <v>1209</v>
      </c>
      <c r="D4884" s="1131"/>
      <c r="E4884" s="1131"/>
      <c r="F4884" s="1131"/>
      <c r="G4884" s="1131"/>
      <c r="H4884" s="1000"/>
      <c r="I4884" s="670" t="s">
        <v>1210</v>
      </c>
      <c r="J4884" s="674" t="s">
        <v>1211</v>
      </c>
      <c r="K4884" s="675" t="s">
        <v>2318</v>
      </c>
      <c r="L4884" s="1204" t="s">
        <v>1213</v>
      </c>
      <c r="M4884" s="1000"/>
      <c r="N4884" s="671" t="s">
        <v>1200</v>
      </c>
      <c r="O4884" s="362"/>
    </row>
    <row r="4885" spans="1:15" ht="15.75" customHeight="1">
      <c r="A4885" s="395">
        <f t="array" ref="A4885">IF(C4885&lt;&gt;0,INDEX(CodTransporte,MATCH(C4885,Transporte,0),),)</f>
        <v>0</v>
      </c>
      <c r="B4885" s="399"/>
      <c r="C4885" s="1128"/>
      <c r="D4885" s="940"/>
      <c r="E4885" s="940"/>
      <c r="F4885" s="940"/>
      <c r="G4885" s="940"/>
      <c r="H4885" s="940"/>
      <c r="I4885" s="440"/>
      <c r="J4885" s="441" t="str">
        <f>IF($A4885&gt;0,(VLOOKUP($A4885,TablaTransporte,6,FALSE)),"")</f>
        <v/>
      </c>
      <c r="K4885" s="442" t="str">
        <f>IF($A4885&gt;0,(VLOOKUP($A4885,TablaTransporte,5,FALSE)),"")</f>
        <v/>
      </c>
      <c r="L4885" s="1134" t="str">
        <f>IF($A4885&gt;0,(VLOOKUP($A4885,TablaTransporte,7,FALSE)),"")</f>
        <v/>
      </c>
      <c r="M4885" s="941"/>
      <c r="N4885" s="430" t="str">
        <f t="shared" ref="N4885:N4889" si="359">IF(I4885&gt;0,J4885*L4885*I4885,"")</f>
        <v/>
      </c>
      <c r="O4885" s="362"/>
    </row>
    <row r="4886" spans="1:15" ht="15.75" customHeight="1">
      <c r="A4886" s="395">
        <f t="array" ref="A4886">IF(C4886&lt;&gt;0,INDEX(CodTransporte,MATCH(C4886,Transporte,0),),)</f>
        <v>0</v>
      </c>
      <c r="B4886" s="399"/>
      <c r="C4886" s="1128"/>
      <c r="D4886" s="940"/>
      <c r="E4886" s="940"/>
      <c r="F4886" s="940"/>
      <c r="G4886" s="940"/>
      <c r="H4886" s="940"/>
      <c r="I4886" s="440"/>
      <c r="J4886" s="441" t="str">
        <f>IF($A4886&gt;0,(VLOOKUP($A4886,TablaTransporte,6,FALSE)),"")</f>
        <v/>
      </c>
      <c r="K4886" s="442" t="str">
        <f>IF($A4886&gt;0,(VLOOKUP($A4886,TablaTransporte,5,FALSE)),"")</f>
        <v/>
      </c>
      <c r="L4886" s="1134" t="str">
        <f>IF($A4886&gt;0,(VLOOKUP($A4886,TablaTransporte,7,FALSE)),"")</f>
        <v/>
      </c>
      <c r="M4886" s="941"/>
      <c r="N4886" s="430" t="str">
        <f t="shared" si="359"/>
        <v/>
      </c>
      <c r="O4886" s="362"/>
    </row>
    <row r="4887" spans="1:15" ht="15.75" customHeight="1">
      <c r="A4887" s="395">
        <f t="array" ref="A4887">IF(C4887&lt;&gt;0,INDEX(CodTransporte,MATCH(C4887,Transporte,0),),)</f>
        <v>0</v>
      </c>
      <c r="B4887" s="399"/>
      <c r="C4887" s="1128"/>
      <c r="D4887" s="940"/>
      <c r="E4887" s="940"/>
      <c r="F4887" s="940"/>
      <c r="G4887" s="940"/>
      <c r="H4887" s="940"/>
      <c r="I4887" s="440"/>
      <c r="J4887" s="441" t="str">
        <f>IF($A4887&gt;0,(VLOOKUP($A4887,TablaTransporte,6,FALSE)),"")</f>
        <v/>
      </c>
      <c r="K4887" s="442" t="str">
        <f>IF($A4887&gt;0,(VLOOKUP($A4887,TablaTransporte,5,FALSE)),"")</f>
        <v/>
      </c>
      <c r="L4887" s="1134" t="str">
        <f>IF($A4887&gt;0,(VLOOKUP($A4887,TablaTransporte,7,FALSE)),"")</f>
        <v/>
      </c>
      <c r="M4887" s="941"/>
      <c r="N4887" s="430" t="str">
        <f t="shared" si="359"/>
        <v/>
      </c>
      <c r="O4887" s="362"/>
    </row>
    <row r="4888" spans="1:15" ht="15.75" customHeight="1">
      <c r="A4888" s="395">
        <f t="array" ref="A4888">IF(C4888&lt;&gt;0,INDEX(CodTransporte,MATCH(C4888,Transporte,0),),)</f>
        <v>0</v>
      </c>
      <c r="B4888" s="399"/>
      <c r="C4888" s="1128"/>
      <c r="D4888" s="940"/>
      <c r="E4888" s="940"/>
      <c r="F4888" s="940"/>
      <c r="G4888" s="940"/>
      <c r="H4888" s="940"/>
      <c r="I4888" s="440"/>
      <c r="J4888" s="441" t="str">
        <f>IF($A4888&gt;0,(VLOOKUP($A4888,TablaTransporte,6,FALSE)),"")</f>
        <v/>
      </c>
      <c r="K4888" s="442" t="str">
        <f>IF($A4888&gt;0,(VLOOKUP($A4888,TablaTransporte,5,FALSE)),"")</f>
        <v/>
      </c>
      <c r="L4888" s="1134" t="str">
        <f>IF($A4888&gt;0,(VLOOKUP($A4888,TablaTransporte,7,FALSE)),"")</f>
        <v/>
      </c>
      <c r="M4888" s="941"/>
      <c r="N4888" s="430" t="str">
        <f t="shared" si="359"/>
        <v/>
      </c>
      <c r="O4888" s="362"/>
    </row>
    <row r="4889" spans="1:15" ht="15.75" customHeight="1">
      <c r="A4889" s="395">
        <f t="array" ref="A4889">IF(C4889&lt;&gt;0,INDEX(CodTransporte,MATCH(C4889,Transporte,0),),)</f>
        <v>0</v>
      </c>
      <c r="B4889" s="399"/>
      <c r="C4889" s="1128"/>
      <c r="D4889" s="940"/>
      <c r="E4889" s="940"/>
      <c r="F4889" s="940"/>
      <c r="G4889" s="940"/>
      <c r="H4889" s="940"/>
      <c r="I4889" s="440"/>
      <c r="J4889" s="441" t="str">
        <f>IF($A4889&gt;0,(VLOOKUP($A4889,TablaTransporte,6,FALSE)),"")</f>
        <v/>
      </c>
      <c r="K4889" s="442" t="str">
        <f>IF($A4889&gt;0,(VLOOKUP($A4889,TablaTransporte,5,FALSE)),"")</f>
        <v/>
      </c>
      <c r="L4889" s="1205" t="str">
        <f>IF($A4889&gt;0,(VLOOKUP($A4889,TablaTransporte,7,FALSE)),"")</f>
        <v/>
      </c>
      <c r="M4889" s="1145"/>
      <c r="N4889" s="430" t="str">
        <f t="shared" si="359"/>
        <v/>
      </c>
      <c r="O4889" s="362"/>
    </row>
    <row r="4890" spans="1:15" ht="15.75" customHeight="1">
      <c r="A4890" s="395"/>
      <c r="B4890" s="399"/>
      <c r="C4890" s="1127" t="s">
        <v>1202</v>
      </c>
      <c r="D4890" s="965"/>
      <c r="E4890" s="965"/>
      <c r="F4890" s="965"/>
      <c r="G4890" s="965"/>
      <c r="H4890" s="965"/>
      <c r="I4890" s="965"/>
      <c r="J4890" s="965"/>
      <c r="K4890" s="965"/>
      <c r="L4890" s="965"/>
      <c r="M4890" s="966"/>
      <c r="N4890" s="433">
        <f>+SUM(N4885:N4889)</f>
        <v>0</v>
      </c>
      <c r="O4890" s="362"/>
    </row>
    <row r="4891" spans="1:15" ht="15.75" customHeight="1">
      <c r="A4891" s="395"/>
      <c r="B4891" s="399"/>
      <c r="C4891" s="1129" t="s">
        <v>1214</v>
      </c>
      <c r="D4891" s="926"/>
      <c r="E4891" s="926"/>
      <c r="F4891" s="926"/>
      <c r="G4891" s="926"/>
      <c r="H4891" s="926"/>
      <c r="I4891" s="926"/>
      <c r="J4891" s="926"/>
      <c r="K4891" s="926"/>
      <c r="L4891" s="926"/>
      <c r="M4891" s="926"/>
      <c r="N4891" s="927"/>
      <c r="O4891" s="362"/>
    </row>
    <row r="4892" spans="1:15" ht="15.75" customHeight="1">
      <c r="A4892" s="395"/>
      <c r="B4892" s="399"/>
      <c r="C4892" s="920"/>
      <c r="D4892" s="922"/>
      <c r="E4892" s="922"/>
      <c r="F4892" s="922"/>
      <c r="G4892" s="922"/>
      <c r="H4892" s="922"/>
      <c r="I4892" s="922"/>
      <c r="J4892" s="922"/>
      <c r="K4892" s="922"/>
      <c r="L4892" s="922"/>
      <c r="M4892" s="922"/>
      <c r="N4892" s="924"/>
      <c r="O4892" s="362"/>
    </row>
    <row r="4893" spans="1:15" ht="15.75" customHeight="1">
      <c r="A4893" s="395"/>
      <c r="B4893" s="399"/>
      <c r="C4893" s="929"/>
      <c r="D4893" s="936"/>
      <c r="E4893" s="936"/>
      <c r="F4893" s="936"/>
      <c r="G4893" s="936"/>
      <c r="H4893" s="936"/>
      <c r="I4893" s="936"/>
      <c r="J4893" s="936"/>
      <c r="K4893" s="936"/>
      <c r="L4893" s="936"/>
      <c r="M4893" s="936"/>
      <c r="N4893" s="938"/>
      <c r="O4893" s="362"/>
    </row>
    <row r="4894" spans="1:15" ht="15.75" customHeight="1">
      <c r="A4894" s="395"/>
      <c r="B4894" s="399"/>
      <c r="C4894" s="1201" t="s">
        <v>1215</v>
      </c>
      <c r="D4894" s="1131"/>
      <c r="E4894" s="1131"/>
      <c r="F4894" s="1131"/>
      <c r="G4894" s="1131"/>
      <c r="H4894" s="1000"/>
      <c r="I4894" s="670" t="s">
        <v>1216</v>
      </c>
      <c r="J4894" s="676" t="s">
        <v>1217</v>
      </c>
      <c r="K4894" s="677" t="s">
        <v>1218</v>
      </c>
      <c r="L4894" s="1206" t="s">
        <v>1199</v>
      </c>
      <c r="M4894" s="1000"/>
      <c r="N4894" s="678" t="s">
        <v>1200</v>
      </c>
      <c r="O4894" s="362"/>
    </row>
    <row r="4895" spans="1:15" ht="15.75" customHeight="1">
      <c r="A4895" s="395" t="str">
        <f t="array" ref="A4895">IF(C4895&lt;&gt;0,INDEX(CodMO,MATCH(C4895,MO,0),),)</f>
        <v>M.O-22</v>
      </c>
      <c r="B4895" s="399"/>
      <c r="C4895" s="1128" t="s">
        <v>249</v>
      </c>
      <c r="D4895" s="940"/>
      <c r="E4895" s="940"/>
      <c r="F4895" s="940"/>
      <c r="G4895" s="940"/>
      <c r="H4895" s="940"/>
      <c r="I4895" s="447">
        <f>IF($A4895&gt;0,(VLOOKUP($A4895,TablaMO,8,FALSE)),"")</f>
        <v>250060.33333333334</v>
      </c>
      <c r="J4895" s="448">
        <f>IF($A4895&gt;0,(VLOOKUP($A4895,TablaMO,10,FALSE)),"")</f>
        <v>0.67071666666666663</v>
      </c>
      <c r="K4895" s="447">
        <f>IF($A4895&gt;0,(VLOOKUP($A4895,TablaMO,11,FALSE)),"")</f>
        <v>417780</v>
      </c>
      <c r="L4895" s="1146">
        <v>6.6012737936487635</v>
      </c>
      <c r="M4895" s="941"/>
      <c r="N4895" s="430">
        <f t="shared" ref="N4895:N4899" si="360">IF(L4895&gt;0,K4895/L4895,"")</f>
        <v>63287.785518297344</v>
      </c>
      <c r="O4895" s="362"/>
    </row>
    <row r="4896" spans="1:15" ht="15.75" customHeight="1">
      <c r="A4896" s="395">
        <f t="array" ref="A4896">IF(C4896&lt;&gt;0,INDEX(CodMO,MATCH(C4896,MO,0),),)</f>
        <v>0</v>
      </c>
      <c r="B4896" s="399"/>
      <c r="C4896" s="1128"/>
      <c r="D4896" s="940"/>
      <c r="E4896" s="940"/>
      <c r="F4896" s="940"/>
      <c r="G4896" s="940"/>
      <c r="H4896" s="940"/>
      <c r="I4896" s="447" t="str">
        <f>IF($A4896&gt;0,(VLOOKUP($A4896,TablaMO,8,FALSE)),"")</f>
        <v/>
      </c>
      <c r="J4896" s="448" t="str">
        <f>IF($A4896&gt;0,(VLOOKUP($A4896,TablaMO,10,FALSE)),"")</f>
        <v/>
      </c>
      <c r="K4896" s="447" t="str">
        <f>IF($A4896&gt;0,(VLOOKUP($A4896,TablaMO,11,FALSE)),"")</f>
        <v/>
      </c>
      <c r="L4896" s="1146"/>
      <c r="M4896" s="941"/>
      <c r="N4896" s="430" t="str">
        <f t="shared" si="360"/>
        <v/>
      </c>
      <c r="O4896" s="362"/>
    </row>
    <row r="4897" spans="1:18" ht="15.75" customHeight="1">
      <c r="A4897" s="395">
        <f t="array" ref="A4897">IF(C4897&lt;&gt;0,INDEX(CodMO,MATCH(C4897,MO,0),),)</f>
        <v>0</v>
      </c>
      <c r="B4897" s="399"/>
      <c r="C4897" s="1128"/>
      <c r="D4897" s="940"/>
      <c r="E4897" s="940"/>
      <c r="F4897" s="940"/>
      <c r="G4897" s="940"/>
      <c r="H4897" s="940"/>
      <c r="I4897" s="447" t="str">
        <f>IF($A4897&gt;0,(VLOOKUP($A4897,TablaMO,8,FALSE)),"")</f>
        <v/>
      </c>
      <c r="J4897" s="448" t="str">
        <f>IF($A4897&gt;0,(VLOOKUP($A4897,TablaMO,10,FALSE)),"")</f>
        <v/>
      </c>
      <c r="K4897" s="447" t="str">
        <f>IF($A4897&gt;0,(VLOOKUP($A4897,TablaMO,11,FALSE)),"")</f>
        <v/>
      </c>
      <c r="L4897" s="1146"/>
      <c r="M4897" s="941"/>
      <c r="N4897" s="430" t="str">
        <f t="shared" si="360"/>
        <v/>
      </c>
      <c r="O4897" s="362"/>
    </row>
    <row r="4898" spans="1:18" ht="15.75" customHeight="1">
      <c r="A4898" s="395">
        <f t="array" ref="A4898">IF(C4898&lt;&gt;0,INDEX(CodMO,MATCH(C4898,MO,0),),)</f>
        <v>0</v>
      </c>
      <c r="B4898" s="399"/>
      <c r="C4898" s="1128"/>
      <c r="D4898" s="940"/>
      <c r="E4898" s="940"/>
      <c r="F4898" s="940"/>
      <c r="G4898" s="940"/>
      <c r="H4898" s="940"/>
      <c r="I4898" s="447" t="str">
        <f>IF($A4898&gt;0,(VLOOKUP($A4898,TablaMO,8,FALSE)),"")</f>
        <v/>
      </c>
      <c r="J4898" s="448" t="str">
        <f>IF($A4898&gt;0,(VLOOKUP($A4898,TablaMO,10,FALSE)),"")</f>
        <v/>
      </c>
      <c r="K4898" s="447" t="str">
        <f>IF($A4898&gt;0,(VLOOKUP($A4898,TablaMO,11,FALSE)),"")</f>
        <v/>
      </c>
      <c r="L4898" s="1146"/>
      <c r="M4898" s="941"/>
      <c r="N4898" s="430" t="str">
        <f t="shared" si="360"/>
        <v/>
      </c>
      <c r="O4898" s="362"/>
    </row>
    <row r="4899" spans="1:18" ht="15.75" customHeight="1">
      <c r="A4899" s="395">
        <f t="array" ref="A4899">IF(C4899&lt;&gt;0,INDEX(CodMO,MATCH(C4899,MO,0),),)</f>
        <v>0</v>
      </c>
      <c r="B4899" s="399"/>
      <c r="C4899" s="1128"/>
      <c r="D4899" s="940"/>
      <c r="E4899" s="940"/>
      <c r="F4899" s="940"/>
      <c r="G4899" s="940"/>
      <c r="H4899" s="940"/>
      <c r="I4899" s="447" t="str">
        <f>IF($A4899&gt;0,(VLOOKUP($A4899,TablaMO,8,FALSE)),"")</f>
        <v/>
      </c>
      <c r="J4899" s="448" t="str">
        <f>IF($A4899&gt;0,(VLOOKUP($A4899,TablaMO,10,FALSE)),"")</f>
        <v/>
      </c>
      <c r="K4899" s="447" t="str">
        <f>IF($A4899&gt;0,(VLOOKUP($A4899,TablaMO,11,FALSE)),"")</f>
        <v/>
      </c>
      <c r="L4899" s="1146"/>
      <c r="M4899" s="941"/>
      <c r="N4899" s="430" t="str">
        <f t="shared" si="360"/>
        <v/>
      </c>
      <c r="O4899" s="362"/>
    </row>
    <row r="4900" spans="1:18" ht="15.75" customHeight="1">
      <c r="A4900" s="395"/>
      <c r="B4900" s="399"/>
      <c r="C4900" s="1127" t="s">
        <v>1202</v>
      </c>
      <c r="D4900" s="965"/>
      <c r="E4900" s="965"/>
      <c r="F4900" s="965"/>
      <c r="G4900" s="965"/>
      <c r="H4900" s="965"/>
      <c r="I4900" s="965"/>
      <c r="J4900" s="965"/>
      <c r="K4900" s="965"/>
      <c r="L4900" s="965"/>
      <c r="M4900" s="966"/>
      <c r="N4900" s="433">
        <f>+SUM(N4895:N4899)</f>
        <v>63287.785518297344</v>
      </c>
      <c r="O4900" s="362"/>
    </row>
    <row r="4901" spans="1:18" ht="15.75" customHeight="1">
      <c r="B4901" s="679"/>
      <c r="O4901" s="362"/>
    </row>
    <row r="4902" spans="1:18" ht="15.75" customHeight="1">
      <c r="B4902" s="679"/>
      <c r="C4902" s="1198" t="s">
        <v>1219</v>
      </c>
      <c r="D4902" s="965"/>
      <c r="E4902" s="965"/>
      <c r="F4902" s="965"/>
      <c r="G4902" s="965"/>
      <c r="H4902" s="965"/>
      <c r="I4902" s="965"/>
      <c r="J4902" s="965"/>
      <c r="K4902" s="965"/>
      <c r="L4902" s="965"/>
      <c r="M4902" s="966"/>
      <c r="N4902" s="680">
        <f>ROUND(SUM(N4900,N4890,N4880,N4867),0)</f>
        <v>130968</v>
      </c>
      <c r="O4902" s="362"/>
      <c r="Q4902" s="681">
        <f>VLOOKUP(C4856,PROPUESTASASERCO,8,FALSE)</f>
        <v>130968</v>
      </c>
      <c r="R4902" s="682">
        <f>Q4902-N4902</f>
        <v>0</v>
      </c>
    </row>
    <row r="4903" spans="1:18" ht="15.75" customHeight="1">
      <c r="B4903" s="679"/>
      <c r="C4903" s="1129" t="s">
        <v>1220</v>
      </c>
      <c r="D4903" s="926"/>
      <c r="E4903" s="926"/>
      <c r="F4903" s="926"/>
      <c r="G4903" s="926"/>
      <c r="H4903" s="926"/>
      <c r="I4903" s="926"/>
      <c r="J4903" s="926"/>
      <c r="K4903" s="926"/>
      <c r="L4903" s="926"/>
      <c r="M4903" s="926"/>
      <c r="N4903" s="927"/>
      <c r="O4903" s="362"/>
    </row>
    <row r="4904" spans="1:18" ht="15.75" customHeight="1">
      <c r="B4904" s="679"/>
      <c r="C4904" s="920"/>
      <c r="D4904" s="922"/>
      <c r="E4904" s="922"/>
      <c r="F4904" s="922"/>
      <c r="G4904" s="922"/>
      <c r="H4904" s="922"/>
      <c r="I4904" s="922"/>
      <c r="J4904" s="922"/>
      <c r="K4904" s="922"/>
      <c r="L4904" s="922"/>
      <c r="M4904" s="922"/>
      <c r="N4904" s="924"/>
      <c r="O4904" s="362"/>
    </row>
    <row r="4905" spans="1:18" ht="15.75" customHeight="1">
      <c r="B4905" s="679"/>
      <c r="C4905" s="929"/>
      <c r="D4905" s="936"/>
      <c r="E4905" s="936"/>
      <c r="F4905" s="936"/>
      <c r="G4905" s="936"/>
      <c r="H4905" s="936"/>
      <c r="I4905" s="936"/>
      <c r="J4905" s="936"/>
      <c r="K4905" s="936"/>
      <c r="L4905" s="936"/>
      <c r="M4905" s="936"/>
      <c r="N4905" s="938"/>
      <c r="O4905" s="362"/>
    </row>
    <row r="4906" spans="1:18" ht="15.75" customHeight="1">
      <c r="B4906" s="679"/>
      <c r="C4906" s="1201" t="s">
        <v>1221</v>
      </c>
      <c r="D4906" s="1131"/>
      <c r="E4906" s="1131"/>
      <c r="F4906" s="1131"/>
      <c r="G4906" s="1131"/>
      <c r="H4906" s="1132"/>
      <c r="I4906" s="674"/>
      <c r="J4906" s="674"/>
      <c r="K4906" s="674"/>
      <c r="L4906" s="1206" t="s">
        <v>1222</v>
      </c>
      <c r="M4906" s="1000"/>
      <c r="N4906" s="678" t="s">
        <v>1223</v>
      </c>
      <c r="O4906" s="362"/>
    </row>
    <row r="4907" spans="1:18" ht="15.75" customHeight="1">
      <c r="B4907" s="679"/>
      <c r="C4907" s="1128" t="s">
        <v>19</v>
      </c>
      <c r="D4907" s="940"/>
      <c r="E4907" s="940"/>
      <c r="F4907" s="940"/>
      <c r="G4907" s="940"/>
      <c r="H4907" s="940"/>
      <c r="I4907" s="452"/>
      <c r="J4907" s="452"/>
      <c r="K4907" s="452"/>
      <c r="L4907" s="1148">
        <f>+Datos!$E$18</f>
        <v>0.25</v>
      </c>
      <c r="M4907" s="941"/>
      <c r="N4907" s="430">
        <f>+L4907*N4902</f>
        <v>32742</v>
      </c>
      <c r="O4907" s="362"/>
    </row>
    <row r="4908" spans="1:18" ht="15.75" customHeight="1">
      <c r="B4908" s="679"/>
      <c r="C4908" s="454" t="s">
        <v>20</v>
      </c>
      <c r="D4908" s="455"/>
      <c r="E4908" s="455"/>
      <c r="F4908" s="455"/>
      <c r="G4908" s="455"/>
      <c r="H4908" s="455"/>
      <c r="I4908" s="452"/>
      <c r="J4908" s="452"/>
      <c r="K4908" s="452"/>
      <c r="L4908" s="1148">
        <f>+Datos!$E$19</f>
        <v>0.01</v>
      </c>
      <c r="M4908" s="941"/>
      <c r="N4908" s="430">
        <f>+L4908*N4902</f>
        <v>1309.68</v>
      </c>
      <c r="O4908" s="362"/>
    </row>
    <row r="4909" spans="1:18" ht="15.75" customHeight="1">
      <c r="B4909" s="679"/>
      <c r="C4909" s="456" t="s">
        <v>21</v>
      </c>
      <c r="D4909" s="457"/>
      <c r="E4909" s="457"/>
      <c r="F4909" s="457"/>
      <c r="G4909" s="457"/>
      <c r="H4909" s="457"/>
      <c r="I4909" s="458"/>
      <c r="J4909" s="458"/>
      <c r="K4909" s="458"/>
      <c r="L4909" s="1148">
        <f>+Datos!$E$20</f>
        <v>0.05</v>
      </c>
      <c r="M4909" s="941"/>
      <c r="N4909" s="430">
        <f>+L4909*N4902</f>
        <v>6548.4000000000005</v>
      </c>
      <c r="O4909" s="362"/>
    </row>
    <row r="4910" spans="1:18" ht="15.75" customHeight="1">
      <c r="B4910" s="679"/>
      <c r="C4910" s="1127" t="s">
        <v>1202</v>
      </c>
      <c r="D4910" s="965"/>
      <c r="E4910" s="965"/>
      <c r="F4910" s="965"/>
      <c r="G4910" s="965"/>
      <c r="H4910" s="965"/>
      <c r="I4910" s="965"/>
      <c r="J4910" s="965"/>
      <c r="K4910" s="965"/>
      <c r="L4910" s="965"/>
      <c r="M4910" s="966"/>
      <c r="N4910" s="433">
        <f>+SUM(N4907:N4909)</f>
        <v>40600.080000000002</v>
      </c>
      <c r="O4910" s="362"/>
    </row>
    <row r="4911" spans="1:18" ht="15.75" customHeight="1">
      <c r="B4911" s="679"/>
      <c r="C4911" s="418"/>
      <c r="D4911" s="39"/>
      <c r="E4911" s="39"/>
      <c r="F4911" s="39"/>
      <c r="G4911" s="39"/>
      <c r="H4911" s="39"/>
      <c r="I4911" s="39"/>
      <c r="J4911" s="39"/>
      <c r="K4911" s="39"/>
      <c r="L4911" s="39"/>
      <c r="M4911" s="39"/>
      <c r="N4911" s="40"/>
      <c r="O4911" s="362"/>
    </row>
    <row r="4912" spans="1:18" ht="15.75" customHeight="1">
      <c r="B4912" s="679"/>
      <c r="C4912" s="1198" t="s">
        <v>1224</v>
      </c>
      <c r="D4912" s="965"/>
      <c r="E4912" s="965"/>
      <c r="F4912" s="965"/>
      <c r="G4912" s="965"/>
      <c r="H4912" s="965"/>
      <c r="I4912" s="965"/>
      <c r="J4912" s="965"/>
      <c r="K4912" s="965"/>
      <c r="L4912" s="965"/>
      <c r="M4912" s="966"/>
      <c r="N4912" s="683">
        <f>+ROUND(SUM(N4910,N4902),0)</f>
        <v>171568</v>
      </c>
      <c r="O4912" s="362"/>
    </row>
    <row r="4913" spans="1:15" ht="15.75" customHeight="1">
      <c r="B4913" s="679"/>
      <c r="C4913" s="418"/>
      <c r="D4913" s="39" t="s">
        <v>1225</v>
      </c>
      <c r="E4913" s="39"/>
      <c r="F4913" s="39"/>
      <c r="G4913" s="184"/>
      <c r="H4913" s="184"/>
      <c r="I4913" s="184"/>
      <c r="J4913" s="39" t="s">
        <v>1225</v>
      </c>
      <c r="K4913" s="39"/>
      <c r="L4913" s="39"/>
      <c r="M4913" s="39"/>
      <c r="N4913" s="40"/>
      <c r="O4913" s="362"/>
    </row>
    <row r="4914" spans="1:15" ht="15.75" customHeight="1">
      <c r="B4914" s="679"/>
      <c r="C4914" s="418"/>
      <c r="D4914" s="39" t="s">
        <v>1226</v>
      </c>
      <c r="E4914" s="39"/>
      <c r="F4914" s="39"/>
      <c r="G4914" s="184"/>
      <c r="H4914" s="184"/>
      <c r="I4914" s="184"/>
      <c r="J4914" s="39" t="s">
        <v>1227</v>
      </c>
      <c r="K4914" s="39"/>
      <c r="L4914" s="39"/>
      <c r="M4914" s="39"/>
      <c r="N4914" s="40"/>
      <c r="O4914" s="362"/>
    </row>
    <row r="4915" spans="1:15" ht="15.75" customHeight="1">
      <c r="B4915" s="679"/>
      <c r="C4915" s="404"/>
      <c r="D4915" s="39" t="s">
        <v>1228</v>
      </c>
      <c r="E4915" s="42"/>
      <c r="F4915" s="42"/>
      <c r="G4915" s="184"/>
      <c r="H4915" s="184"/>
      <c r="I4915" s="184"/>
      <c r="J4915" s="39" t="s">
        <v>1228</v>
      </c>
      <c r="K4915" s="42"/>
      <c r="L4915" s="42"/>
      <c r="M4915" s="42"/>
      <c r="N4915" s="43"/>
      <c r="O4915" s="362"/>
    </row>
    <row r="4916" spans="1:15" ht="15.75" customHeight="1">
      <c r="B4916" s="679"/>
      <c r="C4916" s="418"/>
      <c r="D4916" s="39"/>
      <c r="E4916" s="39"/>
      <c r="F4916" s="39"/>
      <c r="G4916" s="39" t="s">
        <v>1229</v>
      </c>
      <c r="H4916" s="39"/>
      <c r="I4916" s="39"/>
      <c r="J4916" s="39"/>
      <c r="K4916" s="39"/>
      <c r="L4916" s="39"/>
      <c r="M4916" s="39"/>
      <c r="N4916" s="40"/>
      <c r="O4916" s="362"/>
    </row>
    <row r="4917" spans="1:15" ht="15.75" customHeight="1">
      <c r="B4917" s="679"/>
      <c r="C4917" s="466"/>
      <c r="D4917" s="467"/>
      <c r="E4917" s="467"/>
      <c r="F4917" s="39"/>
      <c r="G4917" s="39"/>
      <c r="H4917" s="39"/>
      <c r="I4917" s="39"/>
      <c r="J4917" s="1149"/>
      <c r="K4917" s="922"/>
      <c r="L4917" s="922"/>
      <c r="M4917" s="922"/>
      <c r="N4917" s="924"/>
      <c r="O4917" s="362"/>
    </row>
    <row r="4918" spans="1:15" ht="15.75" customHeight="1">
      <c r="B4918" s="679"/>
      <c r="C4918" s="1150"/>
      <c r="D4918" s="936"/>
      <c r="E4918" s="936"/>
      <c r="F4918" s="416"/>
      <c r="G4918" s="416"/>
      <c r="H4918" s="416"/>
      <c r="I4918" s="416"/>
      <c r="J4918" s="936"/>
      <c r="K4918" s="936"/>
      <c r="L4918" s="936"/>
      <c r="M4918" s="936"/>
      <c r="N4918" s="938"/>
      <c r="O4918" s="362"/>
    </row>
    <row r="4919" spans="1:15" ht="15.75" customHeight="1">
      <c r="B4919" s="684"/>
      <c r="C4919" s="685"/>
      <c r="D4919" s="685"/>
      <c r="E4919" s="685"/>
      <c r="F4919" s="685"/>
      <c r="G4919" s="685"/>
      <c r="H4919" s="685"/>
      <c r="I4919" s="685"/>
      <c r="J4919" s="685"/>
      <c r="K4919" s="685"/>
      <c r="L4919" s="685"/>
      <c r="M4919" s="685"/>
      <c r="N4919" s="685"/>
      <c r="O4919" s="686"/>
    </row>
    <row r="4920" spans="1:15" ht="15.75" customHeight="1"/>
    <row r="4921" spans="1:15" ht="15.75" customHeight="1"/>
    <row r="4922" spans="1:15" ht="15.75" customHeight="1"/>
    <row r="4923" spans="1:15" ht="15.75" customHeight="1"/>
    <row r="4924" spans="1:15" ht="15.75" customHeight="1">
      <c r="A4924" s="395" t="s">
        <v>941</v>
      </c>
      <c r="B4924" s="184"/>
      <c r="C4924" s="184"/>
      <c r="D4924" s="184"/>
      <c r="E4924" s="184"/>
      <c r="F4924" s="184"/>
      <c r="G4924" s="184"/>
      <c r="H4924" s="184"/>
      <c r="I4924" s="184"/>
      <c r="J4924" s="184"/>
      <c r="K4924" s="184"/>
      <c r="L4924" s="184"/>
      <c r="M4924" s="184"/>
      <c r="N4924" s="184"/>
    </row>
    <row r="4925" spans="1:15" ht="15.75" customHeight="1">
      <c r="A4925" s="395"/>
      <c r="B4925" s="396"/>
      <c r="C4925" s="397"/>
      <c r="D4925" s="397"/>
      <c r="E4925" s="397"/>
      <c r="F4925" s="397"/>
      <c r="G4925" s="397"/>
      <c r="H4925" s="397"/>
      <c r="I4925" s="397"/>
      <c r="J4925" s="397"/>
      <c r="K4925" s="397"/>
      <c r="L4925" s="397"/>
      <c r="M4925" s="397"/>
      <c r="N4925" s="397"/>
      <c r="O4925" s="667"/>
    </row>
    <row r="4926" spans="1:15" ht="15.75" customHeight="1">
      <c r="A4926" s="395"/>
      <c r="B4926" s="399"/>
      <c r="C4926" s="1124"/>
      <c r="D4926" s="927"/>
      <c r="E4926" s="1207" t="str">
        <f>Datos!$C$9</f>
        <v>CONSEJO SUPERIOR  DE  JUDICATURA– DIRECCIÓN  EJECUTIVA  SECCIONAL  DE ADMINISTRACIÓN JUDICIAL DE BUCARAMANGA</v>
      </c>
      <c r="F4926" s="926"/>
      <c r="G4926" s="926"/>
      <c r="H4926" s="926"/>
      <c r="I4926" s="926"/>
      <c r="J4926" s="926"/>
      <c r="K4926" s="927"/>
      <c r="L4926" s="925" t="s">
        <v>1</v>
      </c>
      <c r="M4926" s="931"/>
      <c r="N4926" s="933">
        <v>1</v>
      </c>
      <c r="O4926" s="362"/>
    </row>
    <row r="4927" spans="1:15" ht="15.75" customHeight="1">
      <c r="A4927" s="395"/>
      <c r="B4927" s="399"/>
      <c r="C4927" s="920"/>
      <c r="D4927" s="924"/>
      <c r="E4927" s="920"/>
      <c r="F4927" s="922"/>
      <c r="G4927" s="922"/>
      <c r="H4927" s="922"/>
      <c r="I4927" s="922"/>
      <c r="J4927" s="922"/>
      <c r="K4927" s="924"/>
      <c r="L4927" s="920"/>
      <c r="M4927" s="932"/>
      <c r="N4927" s="934"/>
      <c r="O4927" s="362"/>
    </row>
    <row r="4928" spans="1:15" ht="15.75" customHeight="1">
      <c r="A4928" s="395"/>
      <c r="B4928" s="399"/>
      <c r="C4928" s="920"/>
      <c r="D4928" s="924"/>
      <c r="E4928" s="919" t="str">
        <f>Datos!$C$13</f>
        <v xml:space="preserve">BGA - 030 - 2026 </v>
      </c>
      <c r="F4928" s="922"/>
      <c r="G4928" s="922"/>
      <c r="H4928" s="922"/>
      <c r="I4928" s="922"/>
      <c r="J4928" s="922"/>
      <c r="K4928" s="922"/>
      <c r="L4928" s="925" t="s">
        <v>29</v>
      </c>
      <c r="M4928" s="926"/>
      <c r="N4928" s="927"/>
      <c r="O4928" s="362"/>
    </row>
    <row r="4929" spans="1:15" ht="15.75" customHeight="1">
      <c r="A4929" s="395"/>
      <c r="B4929" s="399"/>
      <c r="C4929" s="920"/>
      <c r="D4929" s="924"/>
      <c r="E4929"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4929" s="922"/>
      <c r="G4929" s="922"/>
      <c r="H4929" s="922"/>
      <c r="I4929" s="922"/>
      <c r="J4929" s="922"/>
      <c r="K4929" s="924"/>
      <c r="L4929" s="919">
        <v>1</v>
      </c>
      <c r="M4929" s="921" t="s">
        <v>30</v>
      </c>
      <c r="N4929" s="923">
        <v>1</v>
      </c>
      <c r="O4929" s="362"/>
    </row>
    <row r="4930" spans="1:15" ht="15.75" customHeight="1">
      <c r="A4930" s="395"/>
      <c r="B4930" s="399"/>
      <c r="C4930" s="920"/>
      <c r="D4930" s="924"/>
      <c r="E4930" s="920"/>
      <c r="F4930" s="922"/>
      <c r="G4930" s="922"/>
      <c r="H4930" s="922"/>
      <c r="I4930" s="922"/>
      <c r="J4930" s="922"/>
      <c r="K4930" s="924"/>
      <c r="L4930" s="920"/>
      <c r="M4930" s="922"/>
      <c r="N4930" s="924"/>
      <c r="O4930" s="362"/>
    </row>
    <row r="4931" spans="1:15" ht="52.9" customHeight="1">
      <c r="A4931" s="395"/>
      <c r="B4931" s="399"/>
      <c r="C4931" s="920"/>
      <c r="D4931" s="924"/>
      <c r="E4931" s="920"/>
      <c r="F4931" s="922"/>
      <c r="G4931" s="922"/>
      <c r="H4931" s="922"/>
      <c r="I4931" s="922"/>
      <c r="J4931" s="922"/>
      <c r="K4931" s="924"/>
      <c r="L4931" s="925" t="s">
        <v>2</v>
      </c>
      <c r="M4931" s="926"/>
      <c r="N4931" s="927"/>
      <c r="O4931" s="362"/>
    </row>
    <row r="4932" spans="1:15" ht="15.75" customHeight="1">
      <c r="A4932" s="395"/>
      <c r="B4932" s="399"/>
      <c r="C4932" s="920"/>
      <c r="D4932" s="924"/>
      <c r="E4932" s="407"/>
      <c r="F4932" s="216"/>
      <c r="G4932" s="216"/>
      <c r="H4932" s="216"/>
      <c r="I4932" s="216"/>
      <c r="J4932" s="216"/>
      <c r="K4932" s="216"/>
      <c r="L4932" s="408" t="s">
        <v>3</v>
      </c>
      <c r="M4932" s="409" t="s">
        <v>4</v>
      </c>
      <c r="N4932" s="410" t="s">
        <v>5</v>
      </c>
      <c r="O4932" s="362"/>
    </row>
    <row r="4933" spans="1:15" ht="15.75" customHeight="1">
      <c r="A4933" s="395"/>
      <c r="B4933" s="399"/>
      <c r="C4933" s="920"/>
      <c r="D4933" s="924"/>
      <c r="E4933" s="1125" t="s">
        <v>1186</v>
      </c>
      <c r="F4933" s="945"/>
      <c r="G4933" s="945"/>
      <c r="H4933" s="945"/>
      <c r="I4933" s="945"/>
      <c r="J4933" s="945"/>
      <c r="K4933" s="945"/>
      <c r="L4933" s="928">
        <f>Datos!$C$7</f>
        <v>19</v>
      </c>
      <c r="M4933" s="935">
        <f>Datos!$D$7</f>
        <v>6</v>
      </c>
      <c r="N4933" s="937">
        <f>Datos!$E$7</f>
        <v>2026</v>
      </c>
      <c r="O4933" s="362"/>
    </row>
    <row r="4934" spans="1:15" ht="15.75" customHeight="1">
      <c r="A4934" s="395"/>
      <c r="B4934" s="399"/>
      <c r="C4934" s="929"/>
      <c r="D4934" s="938"/>
      <c r="E4934" s="929"/>
      <c r="F4934" s="936"/>
      <c r="G4934" s="936"/>
      <c r="H4934" s="936"/>
      <c r="I4934" s="936"/>
      <c r="J4934" s="936"/>
      <c r="K4934" s="936"/>
      <c r="L4934" s="929"/>
      <c r="M4934" s="936"/>
      <c r="N4934" s="938"/>
      <c r="O4934" s="362"/>
    </row>
    <row r="4935" spans="1:15" ht="15.75" customHeight="1">
      <c r="A4935" s="395"/>
      <c r="B4935" s="399"/>
      <c r="C4935" s="404"/>
      <c r="D4935" s="38"/>
      <c r="E4935" s="38"/>
      <c r="F4935" s="38"/>
      <c r="G4935" s="38"/>
      <c r="H4935" s="38"/>
      <c r="I4935" s="38"/>
      <c r="J4935" s="38"/>
      <c r="K4935" s="38"/>
      <c r="L4935" s="39"/>
      <c r="M4935" s="39"/>
      <c r="N4935" s="40"/>
      <c r="O4935" s="362"/>
    </row>
    <row r="4936" spans="1:15" ht="15.75" customHeight="1">
      <c r="A4936" s="395"/>
      <c r="B4936" s="399"/>
      <c r="C4936" s="412" t="s">
        <v>1187</v>
      </c>
      <c r="D4936" s="1199" t="str">
        <f>VLOOKUP(C4941,ListaAct,2,0)</f>
        <v>OBRA CIVIL</v>
      </c>
      <c r="E4936" s="922"/>
      <c r="F4936" s="922"/>
      <c r="G4936" s="922"/>
      <c r="H4936" s="922"/>
      <c r="I4936" s="922"/>
      <c r="J4936" s="922"/>
      <c r="K4936" s="922"/>
      <c r="L4936" s="922"/>
      <c r="M4936" s="1"/>
      <c r="N4936" s="413"/>
      <c r="O4936" s="362"/>
    </row>
    <row r="4937" spans="1:15" ht="15.75" customHeight="1">
      <c r="A4937" s="395"/>
      <c r="B4937" s="399"/>
      <c r="C4937" s="412" t="s">
        <v>1189</v>
      </c>
      <c r="D4937" s="1199" t="str">
        <f>VLOOKUP(C4941,ListaAct,3,0)</f>
        <v>ACTIVIDADES ELECTRICAS, DATOS Y DEMAS REQUERIDAS</v>
      </c>
      <c r="E4937" s="922"/>
      <c r="F4937" s="922"/>
      <c r="G4937" s="922"/>
      <c r="H4937" s="922"/>
      <c r="I4937" s="922"/>
      <c r="J4937" s="922"/>
      <c r="K4937" s="922"/>
      <c r="L4937" s="922"/>
      <c r="M4937" s="1"/>
      <c r="N4937" s="413"/>
      <c r="O4937" s="362"/>
    </row>
    <row r="4938" spans="1:15" ht="15.75" customHeight="1">
      <c r="A4938" s="395"/>
      <c r="B4938" s="399"/>
      <c r="C4938" s="925" t="s">
        <v>1191</v>
      </c>
      <c r="D4938" s="926"/>
      <c r="E4938" s="926"/>
      <c r="F4938" s="926"/>
      <c r="G4938" s="926"/>
      <c r="H4938" s="926"/>
      <c r="I4938" s="926"/>
      <c r="J4938" s="926"/>
      <c r="K4938" s="926"/>
      <c r="L4938" s="926"/>
      <c r="M4938" s="926"/>
      <c r="N4938" s="927"/>
      <c r="O4938" s="362"/>
    </row>
    <row r="4939" spans="1:15" ht="15.75" customHeight="1">
      <c r="A4939" s="395"/>
      <c r="B4939" s="399"/>
      <c r="C4939" s="418"/>
      <c r="D4939" s="39"/>
      <c r="E4939" s="39"/>
      <c r="F4939" s="39"/>
      <c r="G4939" s="39"/>
      <c r="H4939" s="39"/>
      <c r="I4939" s="39"/>
      <c r="J4939" s="39"/>
      <c r="K4939" s="39"/>
      <c r="L4939" s="39"/>
      <c r="M4939" s="39"/>
      <c r="N4939" s="40"/>
      <c r="O4939" s="362"/>
    </row>
    <row r="4940" spans="1:15" ht="15.75" customHeight="1">
      <c r="A4940" s="395"/>
      <c r="B4940" s="399"/>
      <c r="C4940" s="668" t="s">
        <v>965</v>
      </c>
      <c r="D4940" s="1200" t="s">
        <v>17</v>
      </c>
      <c r="E4940" s="1131"/>
      <c r="F4940" s="1131"/>
      <c r="G4940" s="1131"/>
      <c r="H4940" s="1131"/>
      <c r="I4940" s="1131"/>
      <c r="J4940" s="1131"/>
      <c r="K4940" s="1137"/>
      <c r="L4940" s="1201" t="s">
        <v>1192</v>
      </c>
      <c r="M4940" s="1137"/>
      <c r="N4940" s="668" t="s">
        <v>950</v>
      </c>
      <c r="O4940" s="362"/>
    </row>
    <row r="4941" spans="1:15" ht="15.75" customHeight="1">
      <c r="A4941" s="395"/>
      <c r="B4941" s="421"/>
      <c r="C4941" s="669" t="s">
        <v>1151</v>
      </c>
      <c r="D4941" s="1202" t="str">
        <f>IF($C4941&gt;0,(VLOOKUP($C4941,ListaAct,4,FALSE)),"")</f>
        <v>Desmonte, Suministro e instalacion de asiento sanitario</v>
      </c>
      <c r="E4941" s="979"/>
      <c r="F4941" s="979"/>
      <c r="G4941" s="979"/>
      <c r="H4941" s="979"/>
      <c r="I4941" s="979"/>
      <c r="J4941" s="979"/>
      <c r="K4941" s="980"/>
      <c r="L4941" s="1203" t="str">
        <f>IF($C4941&gt;0,(VLOOKUP($C4941,ListaAct,5,FALSE)),"")</f>
        <v>und</v>
      </c>
      <c r="M4941" s="980"/>
      <c r="N4941" s="423">
        <f>IF($C4941&gt;0,(VLOOKUP($C4941,ListaAct,6,FALSE)),"")</f>
        <v>1</v>
      </c>
      <c r="O4941" s="362"/>
    </row>
    <row r="4942" spans="1:15" ht="15.75" customHeight="1">
      <c r="A4942" s="395"/>
      <c r="B4942" s="399"/>
      <c r="C4942" s="1129" t="s">
        <v>1195</v>
      </c>
      <c r="D4942" s="926"/>
      <c r="E4942" s="926"/>
      <c r="F4942" s="926"/>
      <c r="G4942" s="926"/>
      <c r="H4942" s="926"/>
      <c r="I4942" s="926"/>
      <c r="J4942" s="926"/>
      <c r="K4942" s="926"/>
      <c r="L4942" s="926"/>
      <c r="M4942" s="926"/>
      <c r="N4942" s="927"/>
      <c r="O4942" s="362"/>
    </row>
    <row r="4943" spans="1:15" ht="15.75" customHeight="1">
      <c r="A4943" s="395"/>
      <c r="B4943" s="399"/>
      <c r="C4943" s="920"/>
      <c r="D4943" s="922"/>
      <c r="E4943" s="922"/>
      <c r="F4943" s="922"/>
      <c r="G4943" s="922"/>
      <c r="H4943" s="922"/>
      <c r="I4943" s="922"/>
      <c r="J4943" s="922"/>
      <c r="K4943" s="922"/>
      <c r="L4943" s="922"/>
      <c r="M4943" s="922"/>
      <c r="N4943" s="924"/>
      <c r="O4943" s="362"/>
    </row>
    <row r="4944" spans="1:15" ht="15.75" customHeight="1">
      <c r="A4944" s="395"/>
      <c r="B4944" s="399"/>
      <c r="C4944" s="929"/>
      <c r="D4944" s="936"/>
      <c r="E4944" s="936"/>
      <c r="F4944" s="936"/>
      <c r="G4944" s="936"/>
      <c r="H4944" s="936"/>
      <c r="I4944" s="936"/>
      <c r="J4944" s="936"/>
      <c r="K4944" s="936"/>
      <c r="L4944" s="936"/>
      <c r="M4944" s="936"/>
      <c r="N4944" s="938"/>
      <c r="O4944" s="362"/>
    </row>
    <row r="4945" spans="1:15" ht="15.75" customHeight="1">
      <c r="A4945" s="395"/>
      <c r="B4945" s="399"/>
      <c r="C4945" s="1201" t="s">
        <v>17</v>
      </c>
      <c r="D4945" s="1131"/>
      <c r="E4945" s="1131"/>
      <c r="F4945" s="1000"/>
      <c r="G4945" s="1204" t="s">
        <v>1196</v>
      </c>
      <c r="H4945" s="1000"/>
      <c r="I4945" s="1204" t="s">
        <v>1197</v>
      </c>
      <c r="J4945" s="1000"/>
      <c r="K4945" s="670" t="s">
        <v>1213</v>
      </c>
      <c r="L4945" s="1204" t="s">
        <v>1199</v>
      </c>
      <c r="M4945" s="1000"/>
      <c r="N4945" s="671" t="s">
        <v>1200</v>
      </c>
      <c r="O4945" s="362"/>
    </row>
    <row r="4946" spans="1:15" ht="15.75" customHeight="1">
      <c r="A4946" s="395"/>
      <c r="B4946" s="399"/>
      <c r="C4946" s="1128" t="s">
        <v>1201</v>
      </c>
      <c r="D4946" s="940"/>
      <c r="E4946" s="940"/>
      <c r="F4946" s="941"/>
      <c r="G4946" s="1142"/>
      <c r="H4946" s="941"/>
      <c r="I4946" s="1142"/>
      <c r="J4946" s="941"/>
      <c r="K4946" s="429"/>
      <c r="L4946" s="1143">
        <v>0.05</v>
      </c>
      <c r="M4946" s="941"/>
      <c r="N4946" s="430">
        <f>+L4946*N4985</f>
        <v>383.90321721361585</v>
      </c>
      <c r="O4946" s="362"/>
    </row>
    <row r="4947" spans="1:15" ht="15.75" customHeight="1">
      <c r="A4947" s="395">
        <f t="array" ref="A4947">IF(C4947&lt;&gt;0,INDEX(CodEquipos,MATCH(C4947,Equipos,0),),)</f>
        <v>0</v>
      </c>
      <c r="B4947" s="399"/>
      <c r="C4947" s="1128"/>
      <c r="D4947" s="940"/>
      <c r="E4947" s="940"/>
      <c r="F4947" s="941"/>
      <c r="G4947" s="1142"/>
      <c r="H4947" s="941"/>
      <c r="I4947" s="1142"/>
      <c r="J4947" s="941"/>
      <c r="K4947" s="432" t="str">
        <f>IF($A4947&gt;0,(VLOOKUP($A4947,TablaEquipos,7,FALSE)),"")</f>
        <v/>
      </c>
      <c r="L4947" s="1146"/>
      <c r="M4947" s="941"/>
      <c r="N4947" s="430" t="str">
        <f t="shared" ref="N4947:N4951" si="361">IF(L4947&gt;0,K4947/L4947,"")</f>
        <v/>
      </c>
      <c r="O4947" s="362"/>
    </row>
    <row r="4948" spans="1:15" ht="15.75" customHeight="1">
      <c r="A4948" s="395">
        <f t="array" ref="A4948">IF(C4948&lt;&gt;0,INDEX(CodEquipos,MATCH(C4948,Equipos,0),),)</f>
        <v>0</v>
      </c>
      <c r="B4948" s="399"/>
      <c r="C4948" s="1128"/>
      <c r="D4948" s="940"/>
      <c r="E4948" s="940"/>
      <c r="F4948" s="941"/>
      <c r="G4948" s="1142"/>
      <c r="H4948" s="941"/>
      <c r="I4948" s="1142"/>
      <c r="J4948" s="941"/>
      <c r="K4948" s="432" t="str">
        <f>IF($A4948&gt;0,(VLOOKUP($A4948,TablaEquipos,7,FALSE)),"")</f>
        <v/>
      </c>
      <c r="L4948" s="1146"/>
      <c r="M4948" s="941"/>
      <c r="N4948" s="430" t="str">
        <f t="shared" si="361"/>
        <v/>
      </c>
      <c r="O4948" s="362"/>
    </row>
    <row r="4949" spans="1:15" ht="15.75" customHeight="1">
      <c r="A4949" s="395">
        <f t="array" ref="A4949">IF(C4949&lt;&gt;0,INDEX(CodEquipos,MATCH(C4949,Equipos,0),),)</f>
        <v>0</v>
      </c>
      <c r="B4949" s="399"/>
      <c r="C4949" s="1128"/>
      <c r="D4949" s="940"/>
      <c r="E4949" s="940"/>
      <c r="F4949" s="941"/>
      <c r="G4949" s="1142"/>
      <c r="H4949" s="941"/>
      <c r="I4949" s="1142"/>
      <c r="J4949" s="941"/>
      <c r="K4949" s="432" t="str">
        <f>IF($A4949&gt;0,(VLOOKUP($A4949,TablaEquipos,7,FALSE)),"")</f>
        <v/>
      </c>
      <c r="L4949" s="1146"/>
      <c r="M4949" s="941"/>
      <c r="N4949" s="430" t="str">
        <f t="shared" si="361"/>
        <v/>
      </c>
      <c r="O4949" s="362"/>
    </row>
    <row r="4950" spans="1:15" ht="15.75" customHeight="1">
      <c r="A4950" s="395">
        <f t="array" ref="A4950">IF(C4950&lt;&gt;0,INDEX(CodEquipos,MATCH(C4950,Equipos,0),),)</f>
        <v>0</v>
      </c>
      <c r="B4950" s="399"/>
      <c r="C4950" s="1128"/>
      <c r="D4950" s="940"/>
      <c r="E4950" s="940"/>
      <c r="F4950" s="941"/>
      <c r="G4950" s="1142"/>
      <c r="H4950" s="941"/>
      <c r="I4950" s="1142"/>
      <c r="J4950" s="941"/>
      <c r="K4950" s="432" t="str">
        <f>IF($A4950&gt;0,(VLOOKUP($A4950,TablaEquipos,7,FALSE)),"")</f>
        <v/>
      </c>
      <c r="L4950" s="1141"/>
      <c r="M4950" s="941"/>
      <c r="N4950" s="430" t="str">
        <f t="shared" si="361"/>
        <v/>
      </c>
      <c r="O4950" s="362"/>
    </row>
    <row r="4951" spans="1:15" ht="15.75" customHeight="1">
      <c r="A4951" s="395">
        <f t="array" ref="A4951">IF(C4951&lt;&gt;0,INDEX(CodEquipos,MATCH(C4951,Equipos,0),),)</f>
        <v>0</v>
      </c>
      <c r="B4951" s="399"/>
      <c r="C4951" s="1128"/>
      <c r="D4951" s="940"/>
      <c r="E4951" s="940"/>
      <c r="F4951" s="941"/>
      <c r="G4951" s="1144"/>
      <c r="H4951" s="1145"/>
      <c r="I4951" s="1144"/>
      <c r="J4951" s="1145"/>
      <c r="K4951" s="432" t="str">
        <f>IF($A4951&gt;0,(VLOOKUP($A4951,TablaEquipos,7,FALSE)),"")</f>
        <v/>
      </c>
      <c r="L4951" s="1208"/>
      <c r="M4951" s="1145"/>
      <c r="N4951" s="430" t="str">
        <f t="shared" si="361"/>
        <v/>
      </c>
      <c r="O4951" s="362"/>
    </row>
    <row r="4952" spans="1:15" ht="15.75" customHeight="1">
      <c r="A4952" s="395"/>
      <c r="B4952" s="399"/>
      <c r="C4952" s="1127" t="s">
        <v>1202</v>
      </c>
      <c r="D4952" s="965"/>
      <c r="E4952" s="965"/>
      <c r="F4952" s="965"/>
      <c r="G4952" s="965"/>
      <c r="H4952" s="965"/>
      <c r="I4952" s="965"/>
      <c r="J4952" s="965"/>
      <c r="K4952" s="965"/>
      <c r="L4952" s="965"/>
      <c r="M4952" s="966"/>
      <c r="N4952" s="433">
        <f>+SUM(N4946:N4951)</f>
        <v>383.90321721361585</v>
      </c>
      <c r="O4952" s="362"/>
    </row>
    <row r="4953" spans="1:15" ht="15.75" customHeight="1">
      <c r="A4953" s="395"/>
      <c r="B4953" s="399"/>
      <c r="C4953" s="1129" t="s">
        <v>1203</v>
      </c>
      <c r="D4953" s="926"/>
      <c r="E4953" s="926"/>
      <c r="F4953" s="926"/>
      <c r="G4953" s="926"/>
      <c r="H4953" s="926"/>
      <c r="I4953" s="926"/>
      <c r="J4953" s="926"/>
      <c r="K4953" s="926"/>
      <c r="L4953" s="926"/>
      <c r="M4953" s="926"/>
      <c r="N4953" s="927"/>
      <c r="O4953" s="362"/>
    </row>
    <row r="4954" spans="1:15" ht="15.75" customHeight="1">
      <c r="A4954" s="395"/>
      <c r="B4954" s="399"/>
      <c r="C4954" s="920"/>
      <c r="D4954" s="922"/>
      <c r="E4954" s="922"/>
      <c r="F4954" s="922"/>
      <c r="G4954" s="922"/>
      <c r="H4954" s="922"/>
      <c r="I4954" s="922"/>
      <c r="J4954" s="922"/>
      <c r="K4954" s="922"/>
      <c r="L4954" s="922"/>
      <c r="M4954" s="922"/>
      <c r="N4954" s="924"/>
      <c r="O4954" s="362"/>
    </row>
    <row r="4955" spans="1:15" ht="15.75" customHeight="1">
      <c r="A4955" s="395"/>
      <c r="B4955" s="399"/>
      <c r="C4955" s="929"/>
      <c r="D4955" s="936"/>
      <c r="E4955" s="936"/>
      <c r="F4955" s="936"/>
      <c r="G4955" s="936"/>
      <c r="H4955" s="936"/>
      <c r="I4955" s="936"/>
      <c r="J4955" s="936"/>
      <c r="K4955" s="936"/>
      <c r="L4955" s="936"/>
      <c r="M4955" s="936"/>
      <c r="N4955" s="938"/>
      <c r="O4955" s="362"/>
    </row>
    <row r="4956" spans="1:15" ht="15.75" customHeight="1">
      <c r="A4956" s="395"/>
      <c r="B4956" s="399"/>
      <c r="C4956" s="1201" t="s">
        <v>17</v>
      </c>
      <c r="D4956" s="1131"/>
      <c r="E4956" s="1131"/>
      <c r="F4956" s="1131"/>
      <c r="G4956" s="1131"/>
      <c r="H4956" s="1131"/>
      <c r="I4956" s="1000"/>
      <c r="J4956" s="672" t="s">
        <v>1192</v>
      </c>
      <c r="K4956" s="670" t="s">
        <v>950</v>
      </c>
      <c r="L4956" s="1204" t="s">
        <v>1204</v>
      </c>
      <c r="M4956" s="1000"/>
      <c r="N4956" s="671" t="s">
        <v>1200</v>
      </c>
      <c r="O4956" s="362"/>
    </row>
    <row r="4957" spans="1:15" ht="15.75" customHeight="1">
      <c r="A4957" s="395" t="str">
        <f t="array" ref="A4957">IF(C4957&lt;&gt;0,INDEX(CodMat,MATCH(C4957,Materiales,0),),)</f>
        <v>MAT_CB-17</v>
      </c>
      <c r="B4957" s="399"/>
      <c r="C4957" s="1128" t="s">
        <v>2418</v>
      </c>
      <c r="D4957" s="940"/>
      <c r="E4957" s="940"/>
      <c r="F4957" s="940"/>
      <c r="G4957" s="940"/>
      <c r="H4957" s="940"/>
      <c r="I4957" s="941"/>
      <c r="J4957" s="435" t="str">
        <f t="shared" ref="J4957:J4964" si="362">IF($A4957&gt;0,(VLOOKUP($A4957,TablaInsumos,5,FALSE)),"")</f>
        <v xml:space="preserve">UND </v>
      </c>
      <c r="K4957" s="673">
        <v>1.05</v>
      </c>
      <c r="L4957" s="1134">
        <f t="shared" ref="L4957:L4964" si="363">IF($A4957&gt;0,(VLOOKUP($A4957,TablaInsumos,7,FALSE)),"")</f>
        <v>102900</v>
      </c>
      <c r="M4957" s="941"/>
      <c r="N4957" s="430">
        <f t="shared" ref="N4957:N4964" si="364">IF(K4957&gt;0,L4957*K4957,"")</f>
        <v>108045</v>
      </c>
      <c r="O4957" s="362"/>
    </row>
    <row r="4958" spans="1:15" ht="15.75" customHeight="1">
      <c r="A4958" s="395" t="str">
        <f t="array" ref="A4958">IF(C4958&lt;&gt;0,INDEX(CodMat,MATCH(C4958,Materiales,0),),)</f>
        <v>MAT_CB-16</v>
      </c>
      <c r="B4958" s="399"/>
      <c r="C4958" s="1128" t="s">
        <v>2622</v>
      </c>
      <c r="D4958" s="940"/>
      <c r="E4958" s="940"/>
      <c r="F4958" s="940"/>
      <c r="G4958" s="940"/>
      <c r="H4958" s="940"/>
      <c r="I4958" s="941"/>
      <c r="J4958" s="435" t="str">
        <f t="shared" si="362"/>
        <v xml:space="preserve">UND </v>
      </c>
      <c r="K4958" s="673">
        <v>0.1</v>
      </c>
      <c r="L4958" s="1134">
        <f t="shared" si="363"/>
        <v>38526</v>
      </c>
      <c r="M4958" s="941"/>
      <c r="N4958" s="430">
        <f t="shared" si="364"/>
        <v>3852.6000000000004</v>
      </c>
      <c r="O4958" s="362"/>
    </row>
    <row r="4959" spans="1:15" ht="15.75" customHeight="1">
      <c r="A4959" s="395">
        <f t="array" ref="A4959">IF(C4959&lt;&gt;0,INDEX(CodMat,MATCH(C4959,Materiales,0),),)</f>
        <v>0</v>
      </c>
      <c r="B4959" s="399"/>
      <c r="C4959" s="1128"/>
      <c r="D4959" s="940"/>
      <c r="E4959" s="940"/>
      <c r="F4959" s="940"/>
      <c r="G4959" s="940"/>
      <c r="H4959" s="940"/>
      <c r="I4959" s="941"/>
      <c r="J4959" s="435" t="str">
        <f t="shared" si="362"/>
        <v/>
      </c>
      <c r="K4959" s="673"/>
      <c r="L4959" s="1134" t="str">
        <f t="shared" si="363"/>
        <v/>
      </c>
      <c r="M4959" s="941"/>
      <c r="N4959" s="430" t="str">
        <f t="shared" si="364"/>
        <v/>
      </c>
      <c r="O4959" s="362"/>
    </row>
    <row r="4960" spans="1:15" ht="15.75" customHeight="1">
      <c r="A4960" s="395">
        <f t="array" ref="A4960">IF(C4960&lt;&gt;0,INDEX(CodMat,MATCH(C4960,Materiales,0),),)</f>
        <v>0</v>
      </c>
      <c r="B4960" s="399"/>
      <c r="C4960" s="1128"/>
      <c r="D4960" s="940"/>
      <c r="E4960" s="940"/>
      <c r="F4960" s="940"/>
      <c r="G4960" s="940"/>
      <c r="H4960" s="940"/>
      <c r="I4960" s="941"/>
      <c r="J4960" s="435" t="str">
        <f t="shared" si="362"/>
        <v/>
      </c>
      <c r="K4960" s="673"/>
      <c r="L4960" s="1134" t="str">
        <f t="shared" si="363"/>
        <v/>
      </c>
      <c r="M4960" s="941"/>
      <c r="N4960" s="430" t="str">
        <f t="shared" si="364"/>
        <v/>
      </c>
      <c r="O4960" s="362"/>
    </row>
    <row r="4961" spans="1:15" ht="15.75" customHeight="1">
      <c r="A4961" s="395">
        <f t="array" ref="A4961">IF(C4961&lt;&gt;0,INDEX(CodMat,MATCH(C4961,Materiales,0),),)</f>
        <v>0</v>
      </c>
      <c r="B4961" s="399"/>
      <c r="C4961" s="1128"/>
      <c r="D4961" s="940"/>
      <c r="E4961" s="940"/>
      <c r="F4961" s="940"/>
      <c r="G4961" s="940"/>
      <c r="H4961" s="940"/>
      <c r="I4961" s="941"/>
      <c r="J4961" s="435" t="str">
        <f t="shared" si="362"/>
        <v/>
      </c>
      <c r="K4961" s="436"/>
      <c r="L4961" s="1134" t="str">
        <f t="shared" si="363"/>
        <v/>
      </c>
      <c r="M4961" s="941"/>
      <c r="N4961" s="430" t="str">
        <f t="shared" si="364"/>
        <v/>
      </c>
      <c r="O4961" s="362"/>
    </row>
    <row r="4962" spans="1:15" ht="15.75" customHeight="1">
      <c r="A4962" s="395">
        <f t="array" ref="A4962">IF(C4962&lt;&gt;0,INDEX(CodMat,MATCH(C4962,Materiales,0),),)</f>
        <v>0</v>
      </c>
      <c r="B4962" s="399"/>
      <c r="C4962" s="1128"/>
      <c r="D4962" s="940"/>
      <c r="E4962" s="940"/>
      <c r="F4962" s="940"/>
      <c r="G4962" s="940"/>
      <c r="H4962" s="940"/>
      <c r="I4962" s="941"/>
      <c r="J4962" s="435" t="str">
        <f t="shared" si="362"/>
        <v/>
      </c>
      <c r="K4962" s="436"/>
      <c r="L4962" s="1134" t="str">
        <f t="shared" si="363"/>
        <v/>
      </c>
      <c r="M4962" s="941"/>
      <c r="N4962" s="430" t="str">
        <f t="shared" si="364"/>
        <v/>
      </c>
      <c r="O4962" s="362"/>
    </row>
    <row r="4963" spans="1:15" ht="15.75" customHeight="1">
      <c r="A4963" s="395">
        <f t="array" ref="A4963">IF(C4963&lt;&gt;0,INDEX(CodMat,MATCH(C4963,Materiales,0),),)</f>
        <v>0</v>
      </c>
      <c r="B4963" s="399"/>
      <c r="C4963" s="1128"/>
      <c r="D4963" s="940"/>
      <c r="E4963" s="940"/>
      <c r="F4963" s="940"/>
      <c r="G4963" s="940"/>
      <c r="H4963" s="940"/>
      <c r="I4963" s="941"/>
      <c r="J4963" s="435" t="str">
        <f t="shared" si="362"/>
        <v/>
      </c>
      <c r="K4963" s="436"/>
      <c r="L4963" s="1134" t="str">
        <f t="shared" si="363"/>
        <v/>
      </c>
      <c r="M4963" s="941"/>
      <c r="N4963" s="430" t="str">
        <f t="shared" si="364"/>
        <v/>
      </c>
      <c r="O4963" s="362"/>
    </row>
    <row r="4964" spans="1:15" ht="15.75" customHeight="1">
      <c r="A4964" s="395">
        <f t="array" ref="A4964">IF(C4964&lt;&gt;0,INDEX(CodMat,MATCH(C4964,Materiales,0),),)</f>
        <v>0</v>
      </c>
      <c r="B4964" s="399"/>
      <c r="C4964" s="1128"/>
      <c r="D4964" s="940"/>
      <c r="E4964" s="940"/>
      <c r="F4964" s="940"/>
      <c r="G4964" s="940"/>
      <c r="H4964" s="940"/>
      <c r="I4964" s="941"/>
      <c r="J4964" s="435" t="str">
        <f t="shared" si="362"/>
        <v/>
      </c>
      <c r="K4964" s="436"/>
      <c r="L4964" s="1205" t="str">
        <f t="shared" si="363"/>
        <v/>
      </c>
      <c r="M4964" s="1145"/>
      <c r="N4964" s="430" t="str">
        <f t="shared" si="364"/>
        <v/>
      </c>
      <c r="O4964" s="362"/>
    </row>
    <row r="4965" spans="1:15" ht="15.75" customHeight="1">
      <c r="A4965" s="395"/>
      <c r="B4965" s="399"/>
      <c r="C4965" s="1127" t="s">
        <v>1202</v>
      </c>
      <c r="D4965" s="965"/>
      <c r="E4965" s="965"/>
      <c r="F4965" s="965"/>
      <c r="G4965" s="965"/>
      <c r="H4965" s="965"/>
      <c r="I4965" s="965"/>
      <c r="J4965" s="965"/>
      <c r="K4965" s="965"/>
      <c r="L4965" s="965"/>
      <c r="M4965" s="966"/>
      <c r="N4965" s="433">
        <f>+SUM(N4957:N4964)</f>
        <v>111897.60000000001</v>
      </c>
      <c r="O4965" s="362"/>
    </row>
    <row r="4966" spans="1:15" ht="15.75" customHeight="1">
      <c r="A4966" s="395"/>
      <c r="B4966" s="399"/>
      <c r="C4966" s="1129" t="s">
        <v>1208</v>
      </c>
      <c r="D4966" s="926"/>
      <c r="E4966" s="926"/>
      <c r="F4966" s="926"/>
      <c r="G4966" s="926"/>
      <c r="H4966" s="926"/>
      <c r="I4966" s="926"/>
      <c r="J4966" s="926"/>
      <c r="K4966" s="926"/>
      <c r="L4966" s="926"/>
      <c r="M4966" s="926"/>
      <c r="N4966" s="927"/>
      <c r="O4966" s="362"/>
    </row>
    <row r="4967" spans="1:15" ht="15.75" customHeight="1">
      <c r="A4967" s="395"/>
      <c r="B4967" s="399"/>
      <c r="C4967" s="920"/>
      <c r="D4967" s="922"/>
      <c r="E4967" s="922"/>
      <c r="F4967" s="922"/>
      <c r="G4967" s="922"/>
      <c r="H4967" s="922"/>
      <c r="I4967" s="922"/>
      <c r="J4967" s="922"/>
      <c r="K4967" s="922"/>
      <c r="L4967" s="922"/>
      <c r="M4967" s="922"/>
      <c r="N4967" s="924"/>
      <c r="O4967" s="362"/>
    </row>
    <row r="4968" spans="1:15" ht="15.75" customHeight="1">
      <c r="A4968" s="395"/>
      <c r="B4968" s="399"/>
      <c r="C4968" s="929"/>
      <c r="D4968" s="936"/>
      <c r="E4968" s="936"/>
      <c r="F4968" s="936"/>
      <c r="G4968" s="936"/>
      <c r="H4968" s="936"/>
      <c r="I4968" s="936"/>
      <c r="J4968" s="936"/>
      <c r="K4968" s="936"/>
      <c r="L4968" s="936"/>
      <c r="M4968" s="936"/>
      <c r="N4968" s="938"/>
      <c r="O4968" s="362"/>
    </row>
    <row r="4969" spans="1:15" ht="15.75" customHeight="1">
      <c r="A4969" s="395"/>
      <c r="B4969" s="399"/>
      <c r="C4969" s="1201" t="s">
        <v>1209</v>
      </c>
      <c r="D4969" s="1131"/>
      <c r="E4969" s="1131"/>
      <c r="F4969" s="1131"/>
      <c r="G4969" s="1131"/>
      <c r="H4969" s="1000"/>
      <c r="I4969" s="670" t="s">
        <v>1210</v>
      </c>
      <c r="J4969" s="674" t="s">
        <v>1211</v>
      </c>
      <c r="K4969" s="675" t="s">
        <v>2318</v>
      </c>
      <c r="L4969" s="1204" t="s">
        <v>1213</v>
      </c>
      <c r="M4969" s="1000"/>
      <c r="N4969" s="671" t="s">
        <v>1200</v>
      </c>
      <c r="O4969" s="362"/>
    </row>
    <row r="4970" spans="1:15" ht="15.75" customHeight="1">
      <c r="A4970" s="395">
        <f t="array" ref="A4970">IF(C4970&lt;&gt;0,INDEX(CodTransporte,MATCH(C4970,Transporte,0),),)</f>
        <v>0</v>
      </c>
      <c r="B4970" s="399"/>
      <c r="C4970" s="1128"/>
      <c r="D4970" s="940"/>
      <c r="E4970" s="940"/>
      <c r="F4970" s="940"/>
      <c r="G4970" s="940"/>
      <c r="H4970" s="940"/>
      <c r="I4970" s="440"/>
      <c r="J4970" s="441" t="str">
        <f>IF($A4970&gt;0,(VLOOKUP($A4970,TablaTransporte,6,FALSE)),"")</f>
        <v/>
      </c>
      <c r="K4970" s="442" t="str">
        <f>IF($A4970&gt;0,(VLOOKUP($A4970,TablaTransporte,5,FALSE)),"")</f>
        <v/>
      </c>
      <c r="L4970" s="1134" t="str">
        <f>IF($A4970&gt;0,(VLOOKUP($A4970,TablaTransporte,7,FALSE)),"")</f>
        <v/>
      </c>
      <c r="M4970" s="941"/>
      <c r="N4970" s="430" t="str">
        <f t="shared" ref="N4970:N4974" si="365">IF(I4970&gt;0,J4970*L4970*I4970,"")</f>
        <v/>
      </c>
      <c r="O4970" s="362"/>
    </row>
    <row r="4971" spans="1:15" ht="15.75" customHeight="1">
      <c r="A4971" s="395">
        <f t="array" ref="A4971">IF(C4971&lt;&gt;0,INDEX(CodTransporte,MATCH(C4971,Transporte,0),),)</f>
        <v>0</v>
      </c>
      <c r="B4971" s="399"/>
      <c r="C4971" s="1128"/>
      <c r="D4971" s="940"/>
      <c r="E4971" s="940"/>
      <c r="F4971" s="940"/>
      <c r="G4971" s="940"/>
      <c r="H4971" s="940"/>
      <c r="I4971" s="440"/>
      <c r="J4971" s="441" t="str">
        <f>IF($A4971&gt;0,(VLOOKUP($A4971,TablaTransporte,6,FALSE)),"")</f>
        <v/>
      </c>
      <c r="K4971" s="442" t="str">
        <f>IF($A4971&gt;0,(VLOOKUP($A4971,TablaTransporte,5,FALSE)),"")</f>
        <v/>
      </c>
      <c r="L4971" s="1134" t="str">
        <f>IF($A4971&gt;0,(VLOOKUP($A4971,TablaTransporte,7,FALSE)),"")</f>
        <v/>
      </c>
      <c r="M4971" s="941"/>
      <c r="N4971" s="430" t="str">
        <f t="shared" si="365"/>
        <v/>
      </c>
      <c r="O4971" s="362"/>
    </row>
    <row r="4972" spans="1:15" ht="15.75" customHeight="1">
      <c r="A4972" s="395">
        <f t="array" ref="A4972">IF(C4972&lt;&gt;0,INDEX(CodTransporte,MATCH(C4972,Transporte,0),),)</f>
        <v>0</v>
      </c>
      <c r="B4972" s="399"/>
      <c r="C4972" s="1128"/>
      <c r="D4972" s="940"/>
      <c r="E4972" s="940"/>
      <c r="F4972" s="940"/>
      <c r="G4972" s="940"/>
      <c r="H4972" s="940"/>
      <c r="I4972" s="440"/>
      <c r="J4972" s="441" t="str">
        <f>IF($A4972&gt;0,(VLOOKUP($A4972,TablaTransporte,6,FALSE)),"")</f>
        <v/>
      </c>
      <c r="K4972" s="442" t="str">
        <f>IF($A4972&gt;0,(VLOOKUP($A4972,TablaTransporte,5,FALSE)),"")</f>
        <v/>
      </c>
      <c r="L4972" s="1134" t="str">
        <f>IF($A4972&gt;0,(VLOOKUP($A4972,TablaTransporte,7,FALSE)),"")</f>
        <v/>
      </c>
      <c r="M4972" s="941"/>
      <c r="N4972" s="430" t="str">
        <f t="shared" si="365"/>
        <v/>
      </c>
      <c r="O4972" s="362"/>
    </row>
    <row r="4973" spans="1:15" ht="15.75" customHeight="1">
      <c r="A4973" s="395">
        <f t="array" ref="A4973">IF(C4973&lt;&gt;0,INDEX(CodTransporte,MATCH(C4973,Transporte,0),),)</f>
        <v>0</v>
      </c>
      <c r="B4973" s="399"/>
      <c r="C4973" s="1128"/>
      <c r="D4973" s="940"/>
      <c r="E4973" s="940"/>
      <c r="F4973" s="940"/>
      <c r="G4973" s="940"/>
      <c r="H4973" s="940"/>
      <c r="I4973" s="440"/>
      <c r="J4973" s="441" t="str">
        <f>IF($A4973&gt;0,(VLOOKUP($A4973,TablaTransporte,6,FALSE)),"")</f>
        <v/>
      </c>
      <c r="K4973" s="442" t="str">
        <f>IF($A4973&gt;0,(VLOOKUP($A4973,TablaTransporte,5,FALSE)),"")</f>
        <v/>
      </c>
      <c r="L4973" s="1134" t="str">
        <f>IF($A4973&gt;0,(VLOOKUP($A4973,TablaTransporte,7,FALSE)),"")</f>
        <v/>
      </c>
      <c r="M4973" s="941"/>
      <c r="N4973" s="430" t="str">
        <f t="shared" si="365"/>
        <v/>
      </c>
      <c r="O4973" s="362"/>
    </row>
    <row r="4974" spans="1:15" ht="15.75" customHeight="1">
      <c r="A4974" s="395">
        <f t="array" ref="A4974">IF(C4974&lt;&gt;0,INDEX(CodTransporte,MATCH(C4974,Transporte,0),),)</f>
        <v>0</v>
      </c>
      <c r="B4974" s="399"/>
      <c r="C4974" s="1128"/>
      <c r="D4974" s="940"/>
      <c r="E4974" s="940"/>
      <c r="F4974" s="940"/>
      <c r="G4974" s="940"/>
      <c r="H4974" s="940"/>
      <c r="I4974" s="440"/>
      <c r="J4974" s="441" t="str">
        <f>IF($A4974&gt;0,(VLOOKUP($A4974,TablaTransporte,6,FALSE)),"")</f>
        <v/>
      </c>
      <c r="K4974" s="442" t="str">
        <f>IF($A4974&gt;0,(VLOOKUP($A4974,TablaTransporte,5,FALSE)),"")</f>
        <v/>
      </c>
      <c r="L4974" s="1205" t="str">
        <f>IF($A4974&gt;0,(VLOOKUP($A4974,TablaTransporte,7,FALSE)),"")</f>
        <v/>
      </c>
      <c r="M4974" s="1145"/>
      <c r="N4974" s="430" t="str">
        <f t="shared" si="365"/>
        <v/>
      </c>
      <c r="O4974" s="362"/>
    </row>
    <row r="4975" spans="1:15" ht="15.75" customHeight="1">
      <c r="A4975" s="395"/>
      <c r="B4975" s="399"/>
      <c r="C4975" s="1127" t="s">
        <v>1202</v>
      </c>
      <c r="D4975" s="965"/>
      <c r="E4975" s="965"/>
      <c r="F4975" s="965"/>
      <c r="G4975" s="965"/>
      <c r="H4975" s="965"/>
      <c r="I4975" s="965"/>
      <c r="J4975" s="965"/>
      <c r="K4975" s="965"/>
      <c r="L4975" s="965"/>
      <c r="M4975" s="966"/>
      <c r="N4975" s="433">
        <f>+SUM(N4970:N4974)</f>
        <v>0</v>
      </c>
      <c r="O4975" s="362"/>
    </row>
    <row r="4976" spans="1:15" ht="15.75" customHeight="1">
      <c r="A4976" s="395"/>
      <c r="B4976" s="399"/>
      <c r="C4976" s="1129" t="s">
        <v>1214</v>
      </c>
      <c r="D4976" s="926"/>
      <c r="E4976" s="926"/>
      <c r="F4976" s="926"/>
      <c r="G4976" s="926"/>
      <c r="H4976" s="926"/>
      <c r="I4976" s="926"/>
      <c r="J4976" s="926"/>
      <c r="K4976" s="926"/>
      <c r="L4976" s="926"/>
      <c r="M4976" s="926"/>
      <c r="N4976" s="927"/>
      <c r="O4976" s="362"/>
    </row>
    <row r="4977" spans="1:18" ht="15.75" customHeight="1">
      <c r="A4977" s="395"/>
      <c r="B4977" s="399"/>
      <c r="C4977" s="920"/>
      <c r="D4977" s="922"/>
      <c r="E4977" s="922"/>
      <c r="F4977" s="922"/>
      <c r="G4977" s="922"/>
      <c r="H4977" s="922"/>
      <c r="I4977" s="922"/>
      <c r="J4977" s="922"/>
      <c r="K4977" s="922"/>
      <c r="L4977" s="922"/>
      <c r="M4977" s="922"/>
      <c r="N4977" s="924"/>
      <c r="O4977" s="362"/>
    </row>
    <row r="4978" spans="1:18" ht="15.75" customHeight="1">
      <c r="A4978" s="395"/>
      <c r="B4978" s="399"/>
      <c r="C4978" s="929"/>
      <c r="D4978" s="936"/>
      <c r="E4978" s="936"/>
      <c r="F4978" s="936"/>
      <c r="G4978" s="936"/>
      <c r="H4978" s="936"/>
      <c r="I4978" s="936"/>
      <c r="J4978" s="936"/>
      <c r="K4978" s="936"/>
      <c r="L4978" s="936"/>
      <c r="M4978" s="936"/>
      <c r="N4978" s="938"/>
      <c r="O4978" s="362"/>
    </row>
    <row r="4979" spans="1:18" ht="15.75" customHeight="1">
      <c r="A4979" s="395"/>
      <c r="B4979" s="399"/>
      <c r="C4979" s="1201" t="s">
        <v>1215</v>
      </c>
      <c r="D4979" s="1131"/>
      <c r="E4979" s="1131"/>
      <c r="F4979" s="1131"/>
      <c r="G4979" s="1131"/>
      <c r="H4979" s="1000"/>
      <c r="I4979" s="670" t="s">
        <v>1216</v>
      </c>
      <c r="J4979" s="676" t="s">
        <v>1217</v>
      </c>
      <c r="K4979" s="677" t="s">
        <v>1218</v>
      </c>
      <c r="L4979" s="1206" t="s">
        <v>1199</v>
      </c>
      <c r="M4979" s="1000"/>
      <c r="N4979" s="678" t="s">
        <v>1200</v>
      </c>
      <c r="O4979" s="362"/>
    </row>
    <row r="4980" spans="1:18" ht="15.75" customHeight="1">
      <c r="A4980" s="395" t="str">
        <f t="array" ref="A4980">IF(C4980&lt;&gt;0,INDEX(CodMO,MATCH(C4980,MO,0),),)</f>
        <v>M.O-15</v>
      </c>
      <c r="B4980" s="399"/>
      <c r="C4980" s="1128" t="s">
        <v>2607</v>
      </c>
      <c r="D4980" s="940"/>
      <c r="E4980" s="940"/>
      <c r="F4980" s="940"/>
      <c r="G4980" s="940"/>
      <c r="H4980" s="940"/>
      <c r="I4980" s="447">
        <f>IF($A4980&gt;0,(VLOOKUP($A4980,TablaMO,8,FALSE)),"")</f>
        <v>366787.33333333331</v>
      </c>
      <c r="J4980" s="448">
        <f>IF($A4980&gt;0,(VLOOKUP($A4980,TablaMO,10,FALSE)),"")</f>
        <v>0.67071666666666663</v>
      </c>
      <c r="K4980" s="447">
        <f>IF($A4980&gt;0,(VLOOKUP($A4980,TablaMO,11,FALSE)),"")</f>
        <v>367679</v>
      </c>
      <c r="L4980" s="1146">
        <v>47.886939144275502</v>
      </c>
      <c r="M4980" s="941"/>
      <c r="N4980" s="430">
        <f t="shared" ref="N4980:N4984" si="366">IF(L4980&gt;0,K4980/L4980,"")</f>
        <v>7678.0643442723167</v>
      </c>
      <c r="O4980" s="362"/>
    </row>
    <row r="4981" spans="1:18" ht="15.75" customHeight="1">
      <c r="A4981" s="395">
        <f t="array" ref="A4981">IF(C4981&lt;&gt;0,INDEX(CodMO,MATCH(C4981,MO,0),),)</f>
        <v>0</v>
      </c>
      <c r="B4981" s="399"/>
      <c r="C4981" s="1128"/>
      <c r="D4981" s="940"/>
      <c r="E4981" s="940"/>
      <c r="F4981" s="940"/>
      <c r="G4981" s="940"/>
      <c r="H4981" s="940"/>
      <c r="I4981" s="447" t="str">
        <f>IF($A4981&gt;0,(VLOOKUP($A4981,TablaMO,8,FALSE)),"")</f>
        <v/>
      </c>
      <c r="J4981" s="448" t="str">
        <f>IF($A4981&gt;0,(VLOOKUP($A4981,TablaMO,10,FALSE)),"")</f>
        <v/>
      </c>
      <c r="K4981" s="447" t="str">
        <f>IF($A4981&gt;0,(VLOOKUP($A4981,TablaMO,11,FALSE)),"")</f>
        <v/>
      </c>
      <c r="L4981" s="1146"/>
      <c r="M4981" s="941"/>
      <c r="N4981" s="430" t="str">
        <f t="shared" si="366"/>
        <v/>
      </c>
      <c r="O4981" s="362"/>
    </row>
    <row r="4982" spans="1:18" ht="15.75" customHeight="1">
      <c r="A4982" s="395">
        <f t="array" ref="A4982">IF(C4982&lt;&gt;0,INDEX(CodMO,MATCH(C4982,MO,0),),)</f>
        <v>0</v>
      </c>
      <c r="B4982" s="399"/>
      <c r="C4982" s="1128"/>
      <c r="D4982" s="940"/>
      <c r="E4982" s="940"/>
      <c r="F4982" s="940"/>
      <c r="G4982" s="940"/>
      <c r="H4982" s="940"/>
      <c r="I4982" s="447" t="str">
        <f>IF($A4982&gt;0,(VLOOKUP($A4982,TablaMO,8,FALSE)),"")</f>
        <v/>
      </c>
      <c r="J4982" s="448" t="str">
        <f>IF($A4982&gt;0,(VLOOKUP($A4982,TablaMO,10,FALSE)),"")</f>
        <v/>
      </c>
      <c r="K4982" s="447" t="str">
        <f>IF($A4982&gt;0,(VLOOKUP($A4982,TablaMO,11,FALSE)),"")</f>
        <v/>
      </c>
      <c r="L4982" s="1146"/>
      <c r="M4982" s="941"/>
      <c r="N4982" s="430" t="str">
        <f t="shared" si="366"/>
        <v/>
      </c>
      <c r="O4982" s="362"/>
    </row>
    <row r="4983" spans="1:18" ht="15.75" customHeight="1">
      <c r="A4983" s="395">
        <f t="array" ref="A4983">IF(C4983&lt;&gt;0,INDEX(CodMO,MATCH(C4983,MO,0),),)</f>
        <v>0</v>
      </c>
      <c r="B4983" s="399"/>
      <c r="C4983" s="1128"/>
      <c r="D4983" s="940"/>
      <c r="E4983" s="940"/>
      <c r="F4983" s="940"/>
      <c r="G4983" s="940"/>
      <c r="H4983" s="940"/>
      <c r="I4983" s="447" t="str">
        <f>IF($A4983&gt;0,(VLOOKUP($A4983,TablaMO,8,FALSE)),"")</f>
        <v/>
      </c>
      <c r="J4983" s="448" t="str">
        <f>IF($A4983&gt;0,(VLOOKUP($A4983,TablaMO,10,FALSE)),"")</f>
        <v/>
      </c>
      <c r="K4983" s="447" t="str">
        <f>IF($A4983&gt;0,(VLOOKUP($A4983,TablaMO,11,FALSE)),"")</f>
        <v/>
      </c>
      <c r="L4983" s="1146"/>
      <c r="M4983" s="941"/>
      <c r="N4983" s="430" t="str">
        <f t="shared" si="366"/>
        <v/>
      </c>
      <c r="O4983" s="362"/>
    </row>
    <row r="4984" spans="1:18" ht="15.75" customHeight="1">
      <c r="A4984" s="395">
        <f t="array" ref="A4984">IF(C4984&lt;&gt;0,INDEX(CodMO,MATCH(C4984,MO,0),),)</f>
        <v>0</v>
      </c>
      <c r="B4984" s="399"/>
      <c r="C4984" s="1128"/>
      <c r="D4984" s="940"/>
      <c r="E4984" s="940"/>
      <c r="F4984" s="940"/>
      <c r="G4984" s="940"/>
      <c r="H4984" s="940"/>
      <c r="I4984" s="447" t="str">
        <f>IF($A4984&gt;0,(VLOOKUP($A4984,TablaMO,8,FALSE)),"")</f>
        <v/>
      </c>
      <c r="J4984" s="448" t="str">
        <f>IF($A4984&gt;0,(VLOOKUP($A4984,TablaMO,10,FALSE)),"")</f>
        <v/>
      </c>
      <c r="K4984" s="447" t="str">
        <f>IF($A4984&gt;0,(VLOOKUP($A4984,TablaMO,11,FALSE)),"")</f>
        <v/>
      </c>
      <c r="L4984" s="1146"/>
      <c r="M4984" s="941"/>
      <c r="N4984" s="430" t="str">
        <f t="shared" si="366"/>
        <v/>
      </c>
      <c r="O4984" s="362"/>
    </row>
    <row r="4985" spans="1:18" ht="15.75" customHeight="1">
      <c r="A4985" s="395"/>
      <c r="B4985" s="399"/>
      <c r="C4985" s="1127" t="s">
        <v>1202</v>
      </c>
      <c r="D4985" s="965"/>
      <c r="E4985" s="965"/>
      <c r="F4985" s="965"/>
      <c r="G4985" s="965"/>
      <c r="H4985" s="965"/>
      <c r="I4985" s="965"/>
      <c r="J4985" s="965"/>
      <c r="K4985" s="965"/>
      <c r="L4985" s="965"/>
      <c r="M4985" s="966"/>
      <c r="N4985" s="433">
        <f>+SUM(N4980:N4984)</f>
        <v>7678.0643442723167</v>
      </c>
      <c r="O4985" s="362"/>
    </row>
    <row r="4986" spans="1:18" ht="15.75" customHeight="1">
      <c r="B4986" s="679"/>
      <c r="O4986" s="362"/>
    </row>
    <row r="4987" spans="1:18" ht="15.75" customHeight="1">
      <c r="B4987" s="679"/>
      <c r="C4987" s="1198" t="s">
        <v>1219</v>
      </c>
      <c r="D4987" s="965"/>
      <c r="E4987" s="965"/>
      <c r="F4987" s="965"/>
      <c r="G4987" s="965"/>
      <c r="H4987" s="965"/>
      <c r="I4987" s="965"/>
      <c r="J4987" s="965"/>
      <c r="K4987" s="965"/>
      <c r="L4987" s="965"/>
      <c r="M4987" s="966"/>
      <c r="N4987" s="680">
        <f>ROUND(SUM(N4985,N4975,N4965,N4952),0)</f>
        <v>119960</v>
      </c>
      <c r="O4987" s="362"/>
      <c r="Q4987" s="681">
        <f>VLOOKUP(C4941,PROPUESTASASERCO,8,FALSE)</f>
        <v>119960</v>
      </c>
      <c r="R4987" s="682">
        <f>Q4987-N4987</f>
        <v>0</v>
      </c>
    </row>
    <row r="4988" spans="1:18" ht="15.75" customHeight="1">
      <c r="B4988" s="679"/>
      <c r="C4988" s="1129" t="s">
        <v>1220</v>
      </c>
      <c r="D4988" s="926"/>
      <c r="E4988" s="926"/>
      <c r="F4988" s="926"/>
      <c r="G4988" s="926"/>
      <c r="H4988" s="926"/>
      <c r="I4988" s="926"/>
      <c r="J4988" s="926"/>
      <c r="K4988" s="926"/>
      <c r="L4988" s="926"/>
      <c r="M4988" s="926"/>
      <c r="N4988" s="927"/>
      <c r="O4988" s="362"/>
    </row>
    <row r="4989" spans="1:18" ht="15.75" customHeight="1">
      <c r="B4989" s="679"/>
      <c r="C4989" s="920"/>
      <c r="D4989" s="922"/>
      <c r="E4989" s="922"/>
      <c r="F4989" s="922"/>
      <c r="G4989" s="922"/>
      <c r="H4989" s="922"/>
      <c r="I4989" s="922"/>
      <c r="J4989" s="922"/>
      <c r="K4989" s="922"/>
      <c r="L4989" s="922"/>
      <c r="M4989" s="922"/>
      <c r="N4989" s="924"/>
      <c r="O4989" s="362"/>
    </row>
    <row r="4990" spans="1:18" ht="15.75" customHeight="1">
      <c r="B4990" s="679"/>
      <c r="C4990" s="929"/>
      <c r="D4990" s="936"/>
      <c r="E4990" s="936"/>
      <c r="F4990" s="936"/>
      <c r="G4990" s="936"/>
      <c r="H4990" s="936"/>
      <c r="I4990" s="936"/>
      <c r="J4990" s="936"/>
      <c r="K4990" s="936"/>
      <c r="L4990" s="936"/>
      <c r="M4990" s="936"/>
      <c r="N4990" s="938"/>
      <c r="O4990" s="362"/>
    </row>
    <row r="4991" spans="1:18" ht="15.75" customHeight="1">
      <c r="B4991" s="679"/>
      <c r="C4991" s="1201" t="s">
        <v>1221</v>
      </c>
      <c r="D4991" s="1131"/>
      <c r="E4991" s="1131"/>
      <c r="F4991" s="1131"/>
      <c r="G4991" s="1131"/>
      <c r="H4991" s="1132"/>
      <c r="I4991" s="674"/>
      <c r="J4991" s="674"/>
      <c r="K4991" s="674"/>
      <c r="L4991" s="1206" t="s">
        <v>1222</v>
      </c>
      <c r="M4991" s="1000"/>
      <c r="N4991" s="678" t="s">
        <v>1223</v>
      </c>
      <c r="O4991" s="362"/>
    </row>
    <row r="4992" spans="1:18" ht="15.75" customHeight="1">
      <c r="B4992" s="679"/>
      <c r="C4992" s="1128" t="s">
        <v>19</v>
      </c>
      <c r="D4992" s="940"/>
      <c r="E4992" s="940"/>
      <c r="F4992" s="940"/>
      <c r="G4992" s="940"/>
      <c r="H4992" s="940"/>
      <c r="I4992" s="452"/>
      <c r="J4992" s="452"/>
      <c r="K4992" s="452"/>
      <c r="L4992" s="1148">
        <f>+Datos!$E$18</f>
        <v>0.25</v>
      </c>
      <c r="M4992" s="941"/>
      <c r="N4992" s="430">
        <f>+L4992*N4987</f>
        <v>29990</v>
      </c>
      <c r="O4992" s="362"/>
    </row>
    <row r="4993" spans="2:15" ht="15.75" customHeight="1">
      <c r="B4993" s="679"/>
      <c r="C4993" s="454" t="s">
        <v>20</v>
      </c>
      <c r="D4993" s="455"/>
      <c r="E4993" s="455"/>
      <c r="F4993" s="455"/>
      <c r="G4993" s="455"/>
      <c r="H4993" s="455"/>
      <c r="I4993" s="452"/>
      <c r="J4993" s="452"/>
      <c r="K4993" s="452"/>
      <c r="L4993" s="1148">
        <f>+Datos!$E$19</f>
        <v>0.01</v>
      </c>
      <c r="M4993" s="941"/>
      <c r="N4993" s="430">
        <f>+L4993*N4987</f>
        <v>1199.6000000000001</v>
      </c>
      <c r="O4993" s="362"/>
    </row>
    <row r="4994" spans="2:15" ht="15.75" customHeight="1">
      <c r="B4994" s="679"/>
      <c r="C4994" s="456" t="s">
        <v>21</v>
      </c>
      <c r="D4994" s="457"/>
      <c r="E4994" s="457"/>
      <c r="F4994" s="457"/>
      <c r="G4994" s="457"/>
      <c r="H4994" s="457"/>
      <c r="I4994" s="458"/>
      <c r="J4994" s="458"/>
      <c r="K4994" s="458"/>
      <c r="L4994" s="1148">
        <f>+Datos!$E$20</f>
        <v>0.05</v>
      </c>
      <c r="M4994" s="941"/>
      <c r="N4994" s="430">
        <f>+L4994*N4987</f>
        <v>5998</v>
      </c>
      <c r="O4994" s="362"/>
    </row>
    <row r="4995" spans="2:15" ht="15.75" customHeight="1">
      <c r="B4995" s="679"/>
      <c r="C4995" s="1127" t="s">
        <v>1202</v>
      </c>
      <c r="D4995" s="965"/>
      <c r="E4995" s="965"/>
      <c r="F4995" s="965"/>
      <c r="G4995" s="965"/>
      <c r="H4995" s="965"/>
      <c r="I4995" s="965"/>
      <c r="J4995" s="965"/>
      <c r="K4995" s="965"/>
      <c r="L4995" s="965"/>
      <c r="M4995" s="966"/>
      <c r="N4995" s="433">
        <f>+SUM(N4992:N4994)</f>
        <v>37187.599999999999</v>
      </c>
      <c r="O4995" s="362"/>
    </row>
    <row r="4996" spans="2:15" ht="15.75" customHeight="1">
      <c r="B4996" s="679"/>
      <c r="C4996" s="418"/>
      <c r="D4996" s="39"/>
      <c r="E4996" s="39"/>
      <c r="F4996" s="39"/>
      <c r="G4996" s="39"/>
      <c r="H4996" s="39"/>
      <c r="I4996" s="39"/>
      <c r="J4996" s="39"/>
      <c r="K4996" s="39"/>
      <c r="L4996" s="39"/>
      <c r="M4996" s="39"/>
      <c r="N4996" s="40"/>
      <c r="O4996" s="362"/>
    </row>
    <row r="4997" spans="2:15" ht="15.75" customHeight="1">
      <c r="B4997" s="679"/>
      <c r="C4997" s="1198" t="s">
        <v>1224</v>
      </c>
      <c r="D4997" s="965"/>
      <c r="E4997" s="965"/>
      <c r="F4997" s="965"/>
      <c r="G4997" s="965"/>
      <c r="H4997" s="965"/>
      <c r="I4997" s="965"/>
      <c r="J4997" s="965"/>
      <c r="K4997" s="965"/>
      <c r="L4997" s="965"/>
      <c r="M4997" s="966"/>
      <c r="N4997" s="683">
        <f>+ROUND(SUM(N4995,N4987),0)</f>
        <v>157148</v>
      </c>
      <c r="O4997" s="362"/>
    </row>
    <row r="4998" spans="2:15" ht="15.75" customHeight="1">
      <c r="B4998" s="679"/>
      <c r="C4998" s="418"/>
      <c r="D4998" s="39" t="s">
        <v>1225</v>
      </c>
      <c r="E4998" s="39"/>
      <c r="F4998" s="39"/>
      <c r="G4998" s="184"/>
      <c r="H4998" s="184"/>
      <c r="I4998" s="184"/>
      <c r="J4998" s="39" t="s">
        <v>1225</v>
      </c>
      <c r="K4998" s="39"/>
      <c r="L4998" s="39"/>
      <c r="M4998" s="39"/>
      <c r="N4998" s="40"/>
      <c r="O4998" s="362"/>
    </row>
    <row r="4999" spans="2:15" ht="15.75" customHeight="1">
      <c r="B4999" s="679"/>
      <c r="C4999" s="418"/>
      <c r="D4999" s="39" t="s">
        <v>1226</v>
      </c>
      <c r="E4999" s="39"/>
      <c r="F4999" s="39"/>
      <c r="G4999" s="184"/>
      <c r="H4999" s="184"/>
      <c r="I4999" s="184"/>
      <c r="J4999" s="39" t="s">
        <v>1227</v>
      </c>
      <c r="K4999" s="39"/>
      <c r="L4999" s="39"/>
      <c r="M4999" s="39"/>
      <c r="N4999" s="40"/>
      <c r="O4999" s="362"/>
    </row>
    <row r="5000" spans="2:15" ht="15.75" customHeight="1">
      <c r="B5000" s="679"/>
      <c r="C5000" s="404"/>
      <c r="D5000" s="39" t="s">
        <v>1228</v>
      </c>
      <c r="E5000" s="42"/>
      <c r="F5000" s="42"/>
      <c r="G5000" s="184"/>
      <c r="H5000" s="184"/>
      <c r="I5000" s="184"/>
      <c r="J5000" s="39" t="s">
        <v>1228</v>
      </c>
      <c r="K5000" s="42"/>
      <c r="L5000" s="42"/>
      <c r="M5000" s="42"/>
      <c r="N5000" s="43"/>
      <c r="O5000" s="362"/>
    </row>
    <row r="5001" spans="2:15" ht="15.75" customHeight="1">
      <c r="B5001" s="679"/>
      <c r="C5001" s="418"/>
      <c r="D5001" s="39"/>
      <c r="E5001" s="39"/>
      <c r="F5001" s="39"/>
      <c r="G5001" s="39" t="s">
        <v>1229</v>
      </c>
      <c r="H5001" s="39"/>
      <c r="I5001" s="39"/>
      <c r="J5001" s="39"/>
      <c r="K5001" s="39"/>
      <c r="L5001" s="39"/>
      <c r="M5001" s="39"/>
      <c r="N5001" s="40"/>
      <c r="O5001" s="362"/>
    </row>
    <row r="5002" spans="2:15" ht="15.75" customHeight="1">
      <c r="B5002" s="679"/>
      <c r="C5002" s="466"/>
      <c r="D5002" s="467"/>
      <c r="E5002" s="467"/>
      <c r="F5002" s="39"/>
      <c r="G5002" s="39"/>
      <c r="H5002" s="39"/>
      <c r="I5002" s="39"/>
      <c r="J5002" s="1149"/>
      <c r="K5002" s="922"/>
      <c r="L5002" s="922"/>
      <c r="M5002" s="922"/>
      <c r="N5002" s="924"/>
      <c r="O5002" s="362"/>
    </row>
    <row r="5003" spans="2:15" ht="15.75" customHeight="1">
      <c r="B5003" s="679"/>
      <c r="C5003" s="1150"/>
      <c r="D5003" s="936"/>
      <c r="E5003" s="936"/>
      <c r="F5003" s="416"/>
      <c r="G5003" s="416"/>
      <c r="H5003" s="416"/>
      <c r="I5003" s="416"/>
      <c r="J5003" s="936"/>
      <c r="K5003" s="936"/>
      <c r="L5003" s="936"/>
      <c r="M5003" s="936"/>
      <c r="N5003" s="938"/>
      <c r="O5003" s="362"/>
    </row>
    <row r="5004" spans="2:15" ht="15.75" customHeight="1">
      <c r="B5004" s="684"/>
      <c r="C5004" s="685"/>
      <c r="D5004" s="685"/>
      <c r="E5004" s="685"/>
      <c r="F5004" s="685"/>
      <c r="G5004" s="685"/>
      <c r="H5004" s="685"/>
      <c r="I5004" s="685"/>
      <c r="J5004" s="685"/>
      <c r="K5004" s="685"/>
      <c r="L5004" s="685"/>
      <c r="M5004" s="685"/>
      <c r="N5004" s="685"/>
      <c r="O5004" s="686"/>
    </row>
    <row r="5005" spans="2:15" ht="15.75" customHeight="1"/>
    <row r="5006" spans="2:15" ht="15.75" customHeight="1"/>
    <row r="5007" spans="2:15" ht="15.75" customHeight="1"/>
    <row r="5008" spans="2:15" ht="15.75" customHeight="1"/>
    <row r="5009" spans="1:15" ht="15.75" customHeight="1">
      <c r="A5009" s="395" t="s">
        <v>941</v>
      </c>
      <c r="B5009" s="184"/>
      <c r="C5009" s="184"/>
      <c r="D5009" s="184"/>
      <c r="E5009" s="184"/>
      <c r="F5009" s="184"/>
      <c r="G5009" s="184"/>
      <c r="H5009" s="184"/>
      <c r="I5009" s="184"/>
      <c r="J5009" s="184"/>
      <c r="K5009" s="184"/>
      <c r="L5009" s="184"/>
      <c r="M5009" s="184"/>
      <c r="N5009" s="184"/>
    </row>
    <row r="5010" spans="1:15" ht="15.75" customHeight="1">
      <c r="A5010" s="395"/>
      <c r="B5010" s="396"/>
      <c r="C5010" s="397"/>
      <c r="D5010" s="397"/>
      <c r="E5010" s="397"/>
      <c r="F5010" s="397"/>
      <c r="G5010" s="397"/>
      <c r="H5010" s="397"/>
      <c r="I5010" s="397"/>
      <c r="J5010" s="397"/>
      <c r="K5010" s="397"/>
      <c r="L5010" s="397"/>
      <c r="M5010" s="397"/>
      <c r="N5010" s="397"/>
      <c r="O5010" s="667"/>
    </row>
    <row r="5011" spans="1:15" ht="15.75" customHeight="1">
      <c r="A5011" s="395"/>
      <c r="B5011" s="399"/>
      <c r="C5011" s="1124"/>
      <c r="D5011" s="927"/>
      <c r="E5011" s="1207" t="str">
        <f>Datos!$C$9</f>
        <v>CONSEJO SUPERIOR  DE  JUDICATURA– DIRECCIÓN  EJECUTIVA  SECCIONAL  DE ADMINISTRACIÓN JUDICIAL DE BUCARAMANGA</v>
      </c>
      <c r="F5011" s="926"/>
      <c r="G5011" s="926"/>
      <c r="H5011" s="926"/>
      <c r="I5011" s="926"/>
      <c r="J5011" s="926"/>
      <c r="K5011" s="927"/>
      <c r="L5011" s="925" t="s">
        <v>1</v>
      </c>
      <c r="M5011" s="931"/>
      <c r="N5011" s="933">
        <v>1</v>
      </c>
      <c r="O5011" s="362"/>
    </row>
    <row r="5012" spans="1:15" ht="15.75" customHeight="1">
      <c r="A5012" s="395"/>
      <c r="B5012" s="399"/>
      <c r="C5012" s="920"/>
      <c r="D5012" s="924"/>
      <c r="E5012" s="920"/>
      <c r="F5012" s="922"/>
      <c r="G5012" s="922"/>
      <c r="H5012" s="922"/>
      <c r="I5012" s="922"/>
      <c r="J5012" s="922"/>
      <c r="K5012" s="924"/>
      <c r="L5012" s="920"/>
      <c r="M5012" s="932"/>
      <c r="N5012" s="934"/>
      <c r="O5012" s="362"/>
    </row>
    <row r="5013" spans="1:15" ht="15.75" customHeight="1">
      <c r="A5013" s="395"/>
      <c r="B5013" s="399"/>
      <c r="C5013" s="920"/>
      <c r="D5013" s="924"/>
      <c r="E5013" s="919" t="str">
        <f>Datos!$C$13</f>
        <v xml:space="preserve">BGA - 030 - 2026 </v>
      </c>
      <c r="F5013" s="922"/>
      <c r="G5013" s="922"/>
      <c r="H5013" s="922"/>
      <c r="I5013" s="922"/>
      <c r="J5013" s="922"/>
      <c r="K5013" s="922"/>
      <c r="L5013" s="925" t="s">
        <v>29</v>
      </c>
      <c r="M5013" s="926"/>
      <c r="N5013" s="927"/>
      <c r="O5013" s="362"/>
    </row>
    <row r="5014" spans="1:15" ht="28.5" customHeight="1">
      <c r="A5014" s="395"/>
      <c r="B5014" s="399"/>
      <c r="C5014" s="920"/>
      <c r="D5014" s="924"/>
      <c r="E5014"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014" s="922"/>
      <c r="G5014" s="922"/>
      <c r="H5014" s="922"/>
      <c r="I5014" s="922"/>
      <c r="J5014" s="922"/>
      <c r="K5014" s="924"/>
      <c r="L5014" s="919">
        <v>1</v>
      </c>
      <c r="M5014" s="921" t="s">
        <v>30</v>
      </c>
      <c r="N5014" s="923">
        <v>1</v>
      </c>
      <c r="O5014" s="362"/>
    </row>
    <row r="5015" spans="1:15" ht="45.4" customHeight="1">
      <c r="A5015" s="395"/>
      <c r="B5015" s="399"/>
      <c r="C5015" s="920"/>
      <c r="D5015" s="924"/>
      <c r="E5015" s="920"/>
      <c r="F5015" s="922"/>
      <c r="G5015" s="922"/>
      <c r="H5015" s="922"/>
      <c r="I5015" s="922"/>
      <c r="J5015" s="922"/>
      <c r="K5015" s="924"/>
      <c r="L5015" s="920"/>
      <c r="M5015" s="922"/>
      <c r="N5015" s="924"/>
      <c r="O5015" s="362"/>
    </row>
    <row r="5016" spans="1:15" ht="15.75" customHeight="1">
      <c r="A5016" s="395"/>
      <c r="B5016" s="399"/>
      <c r="C5016" s="920"/>
      <c r="D5016" s="924"/>
      <c r="E5016" s="920"/>
      <c r="F5016" s="922"/>
      <c r="G5016" s="922"/>
      <c r="H5016" s="922"/>
      <c r="I5016" s="922"/>
      <c r="J5016" s="922"/>
      <c r="K5016" s="924"/>
      <c r="L5016" s="925" t="s">
        <v>2</v>
      </c>
      <c r="M5016" s="926"/>
      <c r="N5016" s="927"/>
      <c r="O5016" s="362"/>
    </row>
    <row r="5017" spans="1:15" ht="15.75" customHeight="1">
      <c r="A5017" s="395"/>
      <c r="B5017" s="399"/>
      <c r="C5017" s="920"/>
      <c r="D5017" s="924"/>
      <c r="E5017" s="407"/>
      <c r="F5017" s="216"/>
      <c r="G5017" s="216"/>
      <c r="H5017" s="216"/>
      <c r="I5017" s="216"/>
      <c r="J5017" s="216"/>
      <c r="K5017" s="216"/>
      <c r="L5017" s="408" t="s">
        <v>3</v>
      </c>
      <c r="M5017" s="409" t="s">
        <v>4</v>
      </c>
      <c r="N5017" s="410" t="s">
        <v>5</v>
      </c>
      <c r="O5017" s="362"/>
    </row>
    <row r="5018" spans="1:15" ht="15.75" customHeight="1">
      <c r="A5018" s="395"/>
      <c r="B5018" s="399"/>
      <c r="C5018" s="920"/>
      <c r="D5018" s="924"/>
      <c r="E5018" s="1125" t="s">
        <v>1186</v>
      </c>
      <c r="F5018" s="945"/>
      <c r="G5018" s="945"/>
      <c r="H5018" s="945"/>
      <c r="I5018" s="945"/>
      <c r="J5018" s="945"/>
      <c r="K5018" s="945"/>
      <c r="L5018" s="928">
        <f>Datos!$C$7</f>
        <v>19</v>
      </c>
      <c r="M5018" s="935">
        <f>Datos!$D$7</f>
        <v>6</v>
      </c>
      <c r="N5018" s="937">
        <f>Datos!$E$7</f>
        <v>2026</v>
      </c>
      <c r="O5018" s="362"/>
    </row>
    <row r="5019" spans="1:15" ht="15.75" customHeight="1">
      <c r="A5019" s="395"/>
      <c r="B5019" s="399"/>
      <c r="C5019" s="929"/>
      <c r="D5019" s="938"/>
      <c r="E5019" s="929"/>
      <c r="F5019" s="936"/>
      <c r="G5019" s="936"/>
      <c r="H5019" s="936"/>
      <c r="I5019" s="936"/>
      <c r="J5019" s="936"/>
      <c r="K5019" s="936"/>
      <c r="L5019" s="929"/>
      <c r="M5019" s="936"/>
      <c r="N5019" s="938"/>
      <c r="O5019" s="362"/>
    </row>
    <row r="5020" spans="1:15" ht="15.75" customHeight="1">
      <c r="A5020" s="395"/>
      <c r="B5020" s="399"/>
      <c r="C5020" s="404"/>
      <c r="D5020" s="38"/>
      <c r="E5020" s="38"/>
      <c r="F5020" s="38"/>
      <c r="G5020" s="38"/>
      <c r="H5020" s="38"/>
      <c r="I5020" s="38"/>
      <c r="J5020" s="38"/>
      <c r="K5020" s="38"/>
      <c r="L5020" s="39"/>
      <c r="M5020" s="39"/>
      <c r="N5020" s="40"/>
      <c r="O5020" s="362"/>
    </row>
    <row r="5021" spans="1:15" ht="15.75" customHeight="1">
      <c r="A5021" s="395"/>
      <c r="B5021" s="399"/>
      <c r="C5021" s="412" t="s">
        <v>1187</v>
      </c>
      <c r="D5021" s="1199" t="str">
        <f>VLOOKUP(C5026,ListaAct,2,0)</f>
        <v>OBRA CIVIL</v>
      </c>
      <c r="E5021" s="922"/>
      <c r="F5021" s="922"/>
      <c r="G5021" s="922"/>
      <c r="H5021" s="922"/>
      <c r="I5021" s="922"/>
      <c r="J5021" s="922"/>
      <c r="K5021" s="922"/>
      <c r="L5021" s="922"/>
      <c r="M5021" s="1"/>
      <c r="N5021" s="413"/>
      <c r="O5021" s="362"/>
    </row>
    <row r="5022" spans="1:15" ht="15.75" customHeight="1">
      <c r="A5022" s="395"/>
      <c r="B5022" s="399"/>
      <c r="C5022" s="412" t="s">
        <v>1189</v>
      </c>
      <c r="D5022" s="1199" t="str">
        <f>VLOOKUP(C5026,ListaAct,3,0)</f>
        <v>ACTIVIDADES ELECTRICAS, DATOS Y DEMAS REQUERIDAS</v>
      </c>
      <c r="E5022" s="922"/>
      <c r="F5022" s="922"/>
      <c r="G5022" s="922"/>
      <c r="H5022" s="922"/>
      <c r="I5022" s="922"/>
      <c r="J5022" s="922"/>
      <c r="K5022" s="922"/>
      <c r="L5022" s="922"/>
      <c r="M5022" s="1"/>
      <c r="N5022" s="413"/>
      <c r="O5022" s="362"/>
    </row>
    <row r="5023" spans="1:15" ht="15.75" customHeight="1">
      <c r="A5023" s="395"/>
      <c r="B5023" s="399"/>
      <c r="C5023" s="925" t="s">
        <v>1191</v>
      </c>
      <c r="D5023" s="926"/>
      <c r="E5023" s="926"/>
      <c r="F5023" s="926"/>
      <c r="G5023" s="926"/>
      <c r="H5023" s="926"/>
      <c r="I5023" s="926"/>
      <c r="J5023" s="926"/>
      <c r="K5023" s="926"/>
      <c r="L5023" s="926"/>
      <c r="M5023" s="926"/>
      <c r="N5023" s="927"/>
      <c r="O5023" s="362"/>
    </row>
    <row r="5024" spans="1:15" ht="15.75" customHeight="1">
      <c r="A5024" s="395"/>
      <c r="B5024" s="399"/>
      <c r="C5024" s="418"/>
      <c r="D5024" s="39"/>
      <c r="E5024" s="39"/>
      <c r="F5024" s="39"/>
      <c r="G5024" s="39"/>
      <c r="H5024" s="39"/>
      <c r="I5024" s="39"/>
      <c r="J5024" s="39"/>
      <c r="K5024" s="39"/>
      <c r="L5024" s="39"/>
      <c r="M5024" s="39"/>
      <c r="N5024" s="40"/>
      <c r="O5024" s="362"/>
    </row>
    <row r="5025" spans="1:15" ht="15.75" customHeight="1">
      <c r="A5025" s="395"/>
      <c r="B5025" s="399"/>
      <c r="C5025" s="668" t="s">
        <v>965</v>
      </c>
      <c r="D5025" s="1200" t="s">
        <v>17</v>
      </c>
      <c r="E5025" s="1131"/>
      <c r="F5025" s="1131"/>
      <c r="G5025" s="1131"/>
      <c r="H5025" s="1131"/>
      <c r="I5025" s="1131"/>
      <c r="J5025" s="1131"/>
      <c r="K5025" s="1137"/>
      <c r="L5025" s="1201" t="s">
        <v>1192</v>
      </c>
      <c r="M5025" s="1137"/>
      <c r="N5025" s="668" t="s">
        <v>950</v>
      </c>
      <c r="O5025" s="362"/>
    </row>
    <row r="5026" spans="1:15" ht="15.75" customHeight="1">
      <c r="A5026" s="395"/>
      <c r="B5026" s="421"/>
      <c r="C5026" s="669" t="s">
        <v>1154</v>
      </c>
      <c r="D5026" s="1202" t="str">
        <f>IF($C5026&gt;0,(VLOOKUP($C5026,ListaAct,4,FALSE)),"")</f>
        <v>Desmonte de lavamanos existente y Suministro e instalacion lavamanos, incluye griferia, sifon desague y acople sanitario.</v>
      </c>
      <c r="E5026" s="979"/>
      <c r="F5026" s="979"/>
      <c r="G5026" s="979"/>
      <c r="H5026" s="979"/>
      <c r="I5026" s="979"/>
      <c r="J5026" s="979"/>
      <c r="K5026" s="980"/>
      <c r="L5026" s="1203" t="str">
        <f>IF($C5026&gt;0,(VLOOKUP($C5026,ListaAct,5,FALSE)),"")</f>
        <v>und</v>
      </c>
      <c r="M5026" s="980"/>
      <c r="N5026" s="423">
        <f>IF($C5026&gt;0,(VLOOKUP($C5026,ListaAct,6,FALSE)),"")</f>
        <v>1</v>
      </c>
      <c r="O5026" s="362"/>
    </row>
    <row r="5027" spans="1:15" ht="15.75" customHeight="1">
      <c r="A5027" s="395"/>
      <c r="B5027" s="399"/>
      <c r="C5027" s="1129" t="s">
        <v>1195</v>
      </c>
      <c r="D5027" s="926"/>
      <c r="E5027" s="926"/>
      <c r="F5027" s="926"/>
      <c r="G5027" s="926"/>
      <c r="H5027" s="926"/>
      <c r="I5027" s="926"/>
      <c r="J5027" s="926"/>
      <c r="K5027" s="926"/>
      <c r="L5027" s="926"/>
      <c r="M5027" s="926"/>
      <c r="N5027" s="927"/>
      <c r="O5027" s="362"/>
    </row>
    <row r="5028" spans="1:15" ht="15.75" customHeight="1">
      <c r="A5028" s="395"/>
      <c r="B5028" s="399"/>
      <c r="C5028" s="920"/>
      <c r="D5028" s="922"/>
      <c r="E5028" s="922"/>
      <c r="F5028" s="922"/>
      <c r="G5028" s="922"/>
      <c r="H5028" s="922"/>
      <c r="I5028" s="922"/>
      <c r="J5028" s="922"/>
      <c r="K5028" s="922"/>
      <c r="L5028" s="922"/>
      <c r="M5028" s="922"/>
      <c r="N5028" s="924"/>
      <c r="O5028" s="362"/>
    </row>
    <row r="5029" spans="1:15" ht="15.75" customHeight="1">
      <c r="A5029" s="395"/>
      <c r="B5029" s="399"/>
      <c r="C5029" s="929"/>
      <c r="D5029" s="936"/>
      <c r="E5029" s="936"/>
      <c r="F5029" s="936"/>
      <c r="G5029" s="936"/>
      <c r="H5029" s="936"/>
      <c r="I5029" s="936"/>
      <c r="J5029" s="936"/>
      <c r="K5029" s="936"/>
      <c r="L5029" s="936"/>
      <c r="M5029" s="936"/>
      <c r="N5029" s="938"/>
      <c r="O5029" s="362"/>
    </row>
    <row r="5030" spans="1:15" ht="15.75" customHeight="1">
      <c r="A5030" s="395"/>
      <c r="B5030" s="399"/>
      <c r="C5030" s="1201" t="s">
        <v>17</v>
      </c>
      <c r="D5030" s="1131"/>
      <c r="E5030" s="1131"/>
      <c r="F5030" s="1000"/>
      <c r="G5030" s="1204" t="s">
        <v>1196</v>
      </c>
      <c r="H5030" s="1000"/>
      <c r="I5030" s="1204" t="s">
        <v>1197</v>
      </c>
      <c r="J5030" s="1000"/>
      <c r="K5030" s="670" t="s">
        <v>1213</v>
      </c>
      <c r="L5030" s="1204" t="s">
        <v>1199</v>
      </c>
      <c r="M5030" s="1000"/>
      <c r="N5030" s="671" t="s">
        <v>1200</v>
      </c>
      <c r="O5030" s="362"/>
    </row>
    <row r="5031" spans="1:15" ht="15.75" customHeight="1">
      <c r="A5031" s="395"/>
      <c r="B5031" s="399"/>
      <c r="C5031" s="1128" t="s">
        <v>1201</v>
      </c>
      <c r="D5031" s="940"/>
      <c r="E5031" s="940"/>
      <c r="F5031" s="941"/>
      <c r="G5031" s="1142"/>
      <c r="H5031" s="941"/>
      <c r="I5031" s="1142"/>
      <c r="J5031" s="941"/>
      <c r="K5031" s="429"/>
      <c r="L5031" s="1143">
        <v>0.05</v>
      </c>
      <c r="M5031" s="941"/>
      <c r="N5031" s="430">
        <f>+L5031*N5073</f>
        <v>3622.6217329589645</v>
      </c>
      <c r="O5031" s="362"/>
    </row>
    <row r="5032" spans="1:15" ht="15.75" customHeight="1">
      <c r="A5032" s="395">
        <f t="array" ref="A5032">IF(C5032&lt;&gt;0,INDEX(CodEquipos,MATCH(C5032,Equipos,0),),)</f>
        <v>0</v>
      </c>
      <c r="B5032" s="399"/>
      <c r="C5032" s="1128"/>
      <c r="D5032" s="940"/>
      <c r="E5032" s="940"/>
      <c r="F5032" s="941"/>
      <c r="G5032" s="1142"/>
      <c r="H5032" s="941"/>
      <c r="I5032" s="1142"/>
      <c r="J5032" s="941"/>
      <c r="K5032" s="432" t="str">
        <f>IF($A5032&gt;0,(VLOOKUP($A5032,TablaEquipos,7,FALSE)),"")</f>
        <v/>
      </c>
      <c r="L5032" s="1146"/>
      <c r="M5032" s="941"/>
      <c r="N5032" s="430" t="str">
        <f t="shared" ref="N5032:N5036" si="367">IF(L5032&gt;0,K5032/L5032,"")</f>
        <v/>
      </c>
      <c r="O5032" s="362"/>
    </row>
    <row r="5033" spans="1:15" ht="15.75" customHeight="1">
      <c r="A5033" s="395">
        <f t="array" ref="A5033">IF(C5033&lt;&gt;0,INDEX(CodEquipos,MATCH(C5033,Equipos,0),),)</f>
        <v>0</v>
      </c>
      <c r="B5033" s="399"/>
      <c r="C5033" s="1128"/>
      <c r="D5033" s="940"/>
      <c r="E5033" s="940"/>
      <c r="F5033" s="941"/>
      <c r="G5033" s="1142"/>
      <c r="H5033" s="941"/>
      <c r="I5033" s="1142"/>
      <c r="J5033" s="941"/>
      <c r="K5033" s="432" t="str">
        <f>IF($A5033&gt;0,(VLOOKUP($A5033,TablaEquipos,7,FALSE)),"")</f>
        <v/>
      </c>
      <c r="L5033" s="1146"/>
      <c r="M5033" s="941"/>
      <c r="N5033" s="430" t="str">
        <f t="shared" si="367"/>
        <v/>
      </c>
      <c r="O5033" s="362"/>
    </row>
    <row r="5034" spans="1:15" ht="15.75" customHeight="1">
      <c r="A5034" s="395">
        <f t="array" ref="A5034">IF(C5034&lt;&gt;0,INDEX(CodEquipos,MATCH(C5034,Equipos,0),),)</f>
        <v>0</v>
      </c>
      <c r="B5034" s="399"/>
      <c r="C5034" s="1128"/>
      <c r="D5034" s="940"/>
      <c r="E5034" s="940"/>
      <c r="F5034" s="941"/>
      <c r="G5034" s="1142"/>
      <c r="H5034" s="941"/>
      <c r="I5034" s="1142"/>
      <c r="J5034" s="941"/>
      <c r="K5034" s="432" t="str">
        <f>IF($A5034&gt;0,(VLOOKUP($A5034,TablaEquipos,7,FALSE)),"")</f>
        <v/>
      </c>
      <c r="L5034" s="1146"/>
      <c r="M5034" s="941"/>
      <c r="N5034" s="430" t="str">
        <f t="shared" si="367"/>
        <v/>
      </c>
      <c r="O5034" s="362"/>
    </row>
    <row r="5035" spans="1:15" ht="15.75" customHeight="1">
      <c r="A5035" s="395">
        <f t="array" ref="A5035">IF(C5035&lt;&gt;0,INDEX(CodEquipos,MATCH(C5035,Equipos,0),),)</f>
        <v>0</v>
      </c>
      <c r="B5035" s="399"/>
      <c r="C5035" s="1128"/>
      <c r="D5035" s="940"/>
      <c r="E5035" s="940"/>
      <c r="F5035" s="941"/>
      <c r="G5035" s="1142"/>
      <c r="H5035" s="941"/>
      <c r="I5035" s="1142"/>
      <c r="J5035" s="941"/>
      <c r="K5035" s="432" t="str">
        <f>IF($A5035&gt;0,(VLOOKUP($A5035,TablaEquipos,7,FALSE)),"")</f>
        <v/>
      </c>
      <c r="L5035" s="1141"/>
      <c r="M5035" s="941"/>
      <c r="N5035" s="430" t="str">
        <f t="shared" si="367"/>
        <v/>
      </c>
      <c r="O5035" s="362"/>
    </row>
    <row r="5036" spans="1:15" ht="15.75" customHeight="1">
      <c r="A5036" s="395">
        <f t="array" ref="A5036">IF(C5036&lt;&gt;0,INDEX(CodEquipos,MATCH(C5036,Equipos,0),),)</f>
        <v>0</v>
      </c>
      <c r="B5036" s="399"/>
      <c r="C5036" s="1128"/>
      <c r="D5036" s="940"/>
      <c r="E5036" s="940"/>
      <c r="F5036" s="941"/>
      <c r="G5036" s="1144"/>
      <c r="H5036" s="1145"/>
      <c r="I5036" s="1144"/>
      <c r="J5036" s="1145"/>
      <c r="K5036" s="432" t="str">
        <f>IF($A5036&gt;0,(VLOOKUP($A5036,TablaEquipos,7,FALSE)),"")</f>
        <v/>
      </c>
      <c r="L5036" s="1208"/>
      <c r="M5036" s="1145"/>
      <c r="N5036" s="430" t="str">
        <f t="shared" si="367"/>
        <v/>
      </c>
      <c r="O5036" s="362"/>
    </row>
    <row r="5037" spans="1:15" ht="15.75" customHeight="1">
      <c r="A5037" s="395"/>
      <c r="B5037" s="399"/>
      <c r="C5037" s="1127" t="s">
        <v>1202</v>
      </c>
      <c r="D5037" s="965"/>
      <c r="E5037" s="965"/>
      <c r="F5037" s="965"/>
      <c r="G5037" s="965"/>
      <c r="H5037" s="965"/>
      <c r="I5037" s="965"/>
      <c r="J5037" s="965"/>
      <c r="K5037" s="965"/>
      <c r="L5037" s="965"/>
      <c r="M5037" s="966"/>
      <c r="N5037" s="433">
        <f>+SUM(N5031:N5036)</f>
        <v>3622.6217329589645</v>
      </c>
      <c r="O5037" s="362"/>
    </row>
    <row r="5038" spans="1:15" ht="15.75" customHeight="1">
      <c r="A5038" s="395"/>
      <c r="B5038" s="399"/>
      <c r="C5038" s="1129" t="s">
        <v>1203</v>
      </c>
      <c r="D5038" s="926"/>
      <c r="E5038" s="926"/>
      <c r="F5038" s="926"/>
      <c r="G5038" s="926"/>
      <c r="H5038" s="926"/>
      <c r="I5038" s="926"/>
      <c r="J5038" s="926"/>
      <c r="K5038" s="926"/>
      <c r="L5038" s="926"/>
      <c r="M5038" s="926"/>
      <c r="N5038" s="927"/>
      <c r="O5038" s="362"/>
    </row>
    <row r="5039" spans="1:15" ht="15.75" customHeight="1">
      <c r="A5039" s="395"/>
      <c r="B5039" s="399"/>
      <c r="C5039" s="920"/>
      <c r="D5039" s="922"/>
      <c r="E5039" s="922"/>
      <c r="F5039" s="922"/>
      <c r="G5039" s="922"/>
      <c r="H5039" s="922"/>
      <c r="I5039" s="922"/>
      <c r="J5039" s="922"/>
      <c r="K5039" s="922"/>
      <c r="L5039" s="922"/>
      <c r="M5039" s="922"/>
      <c r="N5039" s="924"/>
      <c r="O5039" s="362"/>
    </row>
    <row r="5040" spans="1:15" ht="15.75" customHeight="1">
      <c r="A5040" s="395"/>
      <c r="B5040" s="399"/>
      <c r="C5040" s="929"/>
      <c r="D5040" s="936"/>
      <c r="E5040" s="936"/>
      <c r="F5040" s="936"/>
      <c r="G5040" s="936"/>
      <c r="H5040" s="936"/>
      <c r="I5040" s="936"/>
      <c r="J5040" s="936"/>
      <c r="K5040" s="936"/>
      <c r="L5040" s="936"/>
      <c r="M5040" s="936"/>
      <c r="N5040" s="938"/>
      <c r="O5040" s="362"/>
    </row>
    <row r="5041" spans="1:15" ht="15.75" customHeight="1">
      <c r="A5041" s="395"/>
      <c r="B5041" s="399"/>
      <c r="C5041" s="1201" t="s">
        <v>17</v>
      </c>
      <c r="D5041" s="1131"/>
      <c r="E5041" s="1131"/>
      <c r="F5041" s="1131"/>
      <c r="G5041" s="1131"/>
      <c r="H5041" s="1131"/>
      <c r="I5041" s="1000"/>
      <c r="J5041" s="672" t="s">
        <v>1192</v>
      </c>
      <c r="K5041" s="670" t="s">
        <v>950</v>
      </c>
      <c r="L5041" s="1204" t="s">
        <v>1204</v>
      </c>
      <c r="M5041" s="1000"/>
      <c r="N5041" s="671" t="s">
        <v>1200</v>
      </c>
      <c r="O5041" s="362"/>
    </row>
    <row r="5042" spans="1:15" ht="15.75" customHeight="1">
      <c r="A5042" s="395" t="str">
        <f t="array" ref="A5042">IF(C5042&lt;&gt;0,INDEX(CodMat,MATCH(C5042,Materiales,0),),)</f>
        <v>MAT_H-52</v>
      </c>
      <c r="B5042" s="399"/>
      <c r="C5042" s="1128" t="s">
        <v>2623</v>
      </c>
      <c r="D5042" s="940"/>
      <c r="E5042" s="940"/>
      <c r="F5042" s="940"/>
      <c r="G5042" s="940"/>
      <c r="H5042" s="940"/>
      <c r="I5042" s="941"/>
      <c r="J5042" s="435" t="str">
        <f t="shared" ref="J5042:J5052" si="368">IF($A5042&gt;0,(VLOOKUP($A5042,TablaInsumos,5,FALSE)),"")</f>
        <v>UND</v>
      </c>
      <c r="K5042" s="673">
        <v>0.04</v>
      </c>
      <c r="L5042" s="1134">
        <f t="shared" ref="L5042:L5052" si="369">IF($A5042&gt;0,(VLOOKUP($A5042,TablaInsumos,7,FALSE)),"")</f>
        <v>49500</v>
      </c>
      <c r="M5042" s="941"/>
      <c r="N5042" s="430">
        <f t="shared" ref="N5042:N5052" si="370">IF(K5042&gt;0,L5042*K5042,"")</f>
        <v>1980</v>
      </c>
      <c r="O5042" s="362"/>
    </row>
    <row r="5043" spans="1:15" ht="15.75" customHeight="1">
      <c r="A5043" s="395" t="str">
        <f t="array" ref="A5043">IF(C5043&lt;&gt;0,INDEX(CodMat,MATCH(C5043,Materiales,0),),)</f>
        <v>MAT_H-01</v>
      </c>
      <c r="B5043" s="399"/>
      <c r="C5043" s="1128" t="s">
        <v>1515</v>
      </c>
      <c r="D5043" s="940"/>
      <c r="E5043" s="940"/>
      <c r="F5043" s="940"/>
      <c r="G5043" s="940"/>
      <c r="H5043" s="940"/>
      <c r="I5043" s="941"/>
      <c r="J5043" s="435" t="str">
        <f t="shared" si="368"/>
        <v>UND</v>
      </c>
      <c r="K5043" s="673">
        <v>1</v>
      </c>
      <c r="L5043" s="1134">
        <f t="shared" si="369"/>
        <v>654</v>
      </c>
      <c r="M5043" s="941"/>
      <c r="N5043" s="430">
        <f t="shared" si="370"/>
        <v>654</v>
      </c>
      <c r="O5043" s="362"/>
    </row>
    <row r="5044" spans="1:15" ht="15.75" customHeight="1">
      <c r="A5044" s="395" t="str">
        <f t="array" ref="A5044">IF(C5044&lt;&gt;0,INDEX(CodMat,MATCH(C5044,Materiales,0),),)</f>
        <v>MAT_H-51</v>
      </c>
      <c r="B5044" s="399"/>
      <c r="C5044" s="1128" t="s">
        <v>2624</v>
      </c>
      <c r="D5044" s="940"/>
      <c r="E5044" s="940"/>
      <c r="F5044" s="940"/>
      <c r="G5044" s="940"/>
      <c r="H5044" s="940"/>
      <c r="I5044" s="941"/>
      <c r="J5044" s="435" t="str">
        <f t="shared" si="368"/>
        <v>UND</v>
      </c>
      <c r="K5044" s="673">
        <v>0.02</v>
      </c>
      <c r="L5044" s="1134">
        <f t="shared" si="369"/>
        <v>72505</v>
      </c>
      <c r="M5044" s="941"/>
      <c r="N5044" s="430">
        <f t="shared" si="370"/>
        <v>1450.1000000000001</v>
      </c>
      <c r="O5044" s="362"/>
    </row>
    <row r="5045" spans="1:15" ht="15.75" customHeight="1">
      <c r="A5045" s="395" t="str">
        <f t="array" ref="A5045">IF(C5045&lt;&gt;0,INDEX(CodMat,MATCH(C5045,Materiales,0),),)</f>
        <v>MAT_H-55</v>
      </c>
      <c r="B5045" s="399"/>
      <c r="C5045" s="1128" t="s">
        <v>2625</v>
      </c>
      <c r="D5045" s="940"/>
      <c r="E5045" s="940"/>
      <c r="F5045" s="940"/>
      <c r="G5045" s="940"/>
      <c r="H5045" s="940"/>
      <c r="I5045" s="941"/>
      <c r="J5045" s="435" t="str">
        <f t="shared" si="368"/>
        <v>UND</v>
      </c>
      <c r="K5045" s="673">
        <v>1</v>
      </c>
      <c r="L5045" s="1134">
        <f t="shared" si="369"/>
        <v>541</v>
      </c>
      <c r="M5045" s="941"/>
      <c r="N5045" s="430">
        <f t="shared" si="370"/>
        <v>541</v>
      </c>
      <c r="O5045" s="362"/>
    </row>
    <row r="5046" spans="1:15" ht="15.75" customHeight="1">
      <c r="A5046" s="395" t="str">
        <f t="array" ref="A5046">IF(C5046&lt;&gt;0,INDEX(CodMat,MATCH(C5046,Materiales,0),),)</f>
        <v>MAT_H-119</v>
      </c>
      <c r="B5046" s="399"/>
      <c r="C5046" s="1128" t="s">
        <v>2626</v>
      </c>
      <c r="D5046" s="940"/>
      <c r="E5046" s="940"/>
      <c r="F5046" s="940"/>
      <c r="G5046" s="940"/>
      <c r="H5046" s="940"/>
      <c r="I5046" s="941"/>
      <c r="J5046" s="435" t="str">
        <f t="shared" si="368"/>
        <v>UND</v>
      </c>
      <c r="K5046" s="436">
        <v>1</v>
      </c>
      <c r="L5046" s="1134">
        <f t="shared" si="369"/>
        <v>26400</v>
      </c>
      <c r="M5046" s="941"/>
      <c r="N5046" s="430">
        <f t="shared" si="370"/>
        <v>26400</v>
      </c>
      <c r="O5046" s="362"/>
    </row>
    <row r="5047" spans="1:15" ht="15.75" customHeight="1">
      <c r="A5047" s="395" t="str">
        <f t="array" ref="A5047">IF(C5047&lt;&gt;0,INDEX(CodMat,MATCH(C5047,Materiales,0),),)</f>
        <v>MAT_H-120</v>
      </c>
      <c r="B5047" s="399"/>
      <c r="C5047" s="1128" t="s">
        <v>2419</v>
      </c>
      <c r="D5047" s="940"/>
      <c r="E5047" s="940"/>
      <c r="F5047" s="940"/>
      <c r="G5047" s="940"/>
      <c r="H5047" s="940"/>
      <c r="I5047" s="941"/>
      <c r="J5047" s="435" t="str">
        <f t="shared" si="368"/>
        <v>UND</v>
      </c>
      <c r="K5047" s="436">
        <v>1</v>
      </c>
      <c r="L5047" s="1134">
        <f t="shared" si="369"/>
        <v>3420</v>
      </c>
      <c r="M5047" s="941"/>
      <c r="N5047" s="430">
        <f t="shared" si="370"/>
        <v>3420</v>
      </c>
      <c r="O5047" s="362"/>
    </row>
    <row r="5048" spans="1:15" ht="15.75" customHeight="1">
      <c r="A5048" s="395" t="str">
        <f t="array" ref="A5048">IF(C5048&lt;&gt;0,INDEX(CodMat,MATCH(C5048,Materiales,0),),)</f>
        <v>MAT_H-116</v>
      </c>
      <c r="B5048" s="399"/>
      <c r="C5048" s="1128" t="s">
        <v>2627</v>
      </c>
      <c r="D5048" s="940"/>
      <c r="E5048" s="940"/>
      <c r="F5048" s="940"/>
      <c r="G5048" s="940"/>
      <c r="H5048" s="940"/>
      <c r="I5048" s="941"/>
      <c r="J5048" s="435" t="str">
        <f t="shared" si="368"/>
        <v>UND</v>
      </c>
      <c r="K5048" s="436">
        <v>0.03</v>
      </c>
      <c r="L5048" s="1134">
        <f t="shared" si="369"/>
        <v>22500</v>
      </c>
      <c r="M5048" s="941"/>
      <c r="N5048" s="430">
        <f t="shared" si="370"/>
        <v>675</v>
      </c>
      <c r="O5048" s="362"/>
    </row>
    <row r="5049" spans="1:15" ht="15.75" customHeight="1">
      <c r="A5049" s="395" t="str">
        <f t="array" ref="A5049">IF(C5049&lt;&gt;0,INDEX(CodMat,MATCH(C5049,Materiales,0),),)</f>
        <v>MAT_CB-18</v>
      </c>
      <c r="B5049" s="801"/>
      <c r="C5049" s="1128" t="s">
        <v>2421</v>
      </c>
      <c r="D5049" s="940"/>
      <c r="E5049" s="940"/>
      <c r="F5049" s="940"/>
      <c r="G5049" s="940"/>
      <c r="H5049" s="940"/>
      <c r="I5049" s="941"/>
      <c r="J5049" s="435" t="str">
        <f t="shared" si="368"/>
        <v xml:space="preserve">UND </v>
      </c>
      <c r="K5049" s="436">
        <v>1</v>
      </c>
      <c r="L5049" s="1134">
        <f t="shared" si="369"/>
        <v>155000</v>
      </c>
      <c r="M5049" s="941"/>
      <c r="N5049" s="430">
        <f t="shared" si="370"/>
        <v>155000</v>
      </c>
      <c r="O5049" s="802"/>
    </row>
    <row r="5050" spans="1:15" ht="15.75" customHeight="1">
      <c r="A5050" s="395" t="str">
        <f t="array" ref="A5050">IF(C5050&lt;&gt;0,INDEX(CodMat,MATCH(C5050,Materiales,0),),)</f>
        <v>MAT_CB-19</v>
      </c>
      <c r="B5050" s="801"/>
      <c r="C5050" s="1128" t="s">
        <v>2422</v>
      </c>
      <c r="D5050" s="940"/>
      <c r="E5050" s="940"/>
      <c r="F5050" s="940"/>
      <c r="G5050" s="940"/>
      <c r="H5050" s="940"/>
      <c r="I5050" s="941"/>
      <c r="J5050" s="435" t="str">
        <f t="shared" si="368"/>
        <v xml:space="preserve">UND </v>
      </c>
      <c r="K5050" s="436">
        <v>1</v>
      </c>
      <c r="L5050" s="1134">
        <f t="shared" si="369"/>
        <v>36000</v>
      </c>
      <c r="M5050" s="941"/>
      <c r="N5050" s="430">
        <f t="shared" si="370"/>
        <v>36000</v>
      </c>
      <c r="O5050" s="802"/>
    </row>
    <row r="5051" spans="1:15" ht="15.75" customHeight="1">
      <c r="A5051" s="395" t="str">
        <f t="array" ref="A5051">IF(C5051&lt;&gt;0,INDEX(CodMat,MATCH(C5051,Materiales,0),),)</f>
        <v>MAT_CB-05</v>
      </c>
      <c r="B5051" s="801"/>
      <c r="C5051" s="1128" t="s">
        <v>2628</v>
      </c>
      <c r="D5051" s="940"/>
      <c r="E5051" s="940"/>
      <c r="F5051" s="940"/>
      <c r="G5051" s="940"/>
      <c r="H5051" s="940"/>
      <c r="I5051" s="941"/>
      <c r="J5051" s="435" t="str">
        <f t="shared" si="368"/>
        <v xml:space="preserve">UND </v>
      </c>
      <c r="K5051" s="436">
        <v>0.01</v>
      </c>
      <c r="L5051" s="1134">
        <f t="shared" si="369"/>
        <v>290</v>
      </c>
      <c r="M5051" s="941"/>
      <c r="N5051" s="430">
        <f t="shared" si="370"/>
        <v>2.9</v>
      </c>
      <c r="O5051" s="802"/>
    </row>
    <row r="5052" spans="1:15" ht="15.75" customHeight="1">
      <c r="A5052" s="395">
        <f t="array" ref="A5052">IF(C5052&lt;&gt;0,INDEX(CodMat,MATCH(C5052,Materiales,0),),)</f>
        <v>0</v>
      </c>
      <c r="B5052" s="399"/>
      <c r="C5052" s="1128"/>
      <c r="D5052" s="940"/>
      <c r="E5052" s="940"/>
      <c r="F5052" s="940"/>
      <c r="G5052" s="940"/>
      <c r="H5052" s="940"/>
      <c r="I5052" s="941"/>
      <c r="J5052" s="435" t="str">
        <f t="shared" si="368"/>
        <v/>
      </c>
      <c r="K5052" s="436"/>
      <c r="L5052" s="1205" t="str">
        <f t="shared" si="369"/>
        <v/>
      </c>
      <c r="M5052" s="1145"/>
      <c r="N5052" s="430" t="str">
        <f t="shared" si="370"/>
        <v/>
      </c>
      <c r="O5052" s="362"/>
    </row>
    <row r="5053" spans="1:15" ht="15.75" customHeight="1">
      <c r="A5053" s="395"/>
      <c r="B5053" s="399"/>
      <c r="C5053" s="1127" t="s">
        <v>1202</v>
      </c>
      <c r="D5053" s="965"/>
      <c r="E5053" s="965"/>
      <c r="F5053" s="965"/>
      <c r="G5053" s="965"/>
      <c r="H5053" s="965"/>
      <c r="I5053" s="965"/>
      <c r="J5053" s="965"/>
      <c r="K5053" s="965"/>
      <c r="L5053" s="965"/>
      <c r="M5053" s="966"/>
      <c r="N5053" s="433">
        <f>+SUM(N5042:N5052)</f>
        <v>226123</v>
      </c>
      <c r="O5053" s="362"/>
    </row>
    <row r="5054" spans="1:15" ht="15.75" customHeight="1">
      <c r="A5054" s="395"/>
      <c r="B5054" s="399"/>
      <c r="C5054" s="1129" t="s">
        <v>1208</v>
      </c>
      <c r="D5054" s="926"/>
      <c r="E5054" s="926"/>
      <c r="F5054" s="926"/>
      <c r="G5054" s="926"/>
      <c r="H5054" s="926"/>
      <c r="I5054" s="926"/>
      <c r="J5054" s="926"/>
      <c r="K5054" s="926"/>
      <c r="L5054" s="926"/>
      <c r="M5054" s="926"/>
      <c r="N5054" s="927"/>
      <c r="O5054" s="362"/>
    </row>
    <row r="5055" spans="1:15" ht="15.75" customHeight="1">
      <c r="A5055" s="395"/>
      <c r="B5055" s="399"/>
      <c r="C5055" s="920"/>
      <c r="D5055" s="922"/>
      <c r="E5055" s="922"/>
      <c r="F5055" s="922"/>
      <c r="G5055" s="922"/>
      <c r="H5055" s="922"/>
      <c r="I5055" s="922"/>
      <c r="J5055" s="922"/>
      <c r="K5055" s="922"/>
      <c r="L5055" s="922"/>
      <c r="M5055" s="922"/>
      <c r="N5055" s="924"/>
      <c r="O5055" s="362"/>
    </row>
    <row r="5056" spans="1:15" ht="15.75" customHeight="1">
      <c r="A5056" s="395"/>
      <c r="B5056" s="399"/>
      <c r="C5056" s="929"/>
      <c r="D5056" s="936"/>
      <c r="E5056" s="936"/>
      <c r="F5056" s="936"/>
      <c r="G5056" s="936"/>
      <c r="H5056" s="936"/>
      <c r="I5056" s="936"/>
      <c r="J5056" s="936"/>
      <c r="K5056" s="936"/>
      <c r="L5056" s="936"/>
      <c r="M5056" s="936"/>
      <c r="N5056" s="938"/>
      <c r="O5056" s="362"/>
    </row>
    <row r="5057" spans="1:15" ht="15.75" customHeight="1">
      <c r="A5057" s="395"/>
      <c r="B5057" s="399"/>
      <c r="C5057" s="1201" t="s">
        <v>1209</v>
      </c>
      <c r="D5057" s="1131"/>
      <c r="E5057" s="1131"/>
      <c r="F5057" s="1131"/>
      <c r="G5057" s="1131"/>
      <c r="H5057" s="1000"/>
      <c r="I5057" s="670" t="s">
        <v>1210</v>
      </c>
      <c r="J5057" s="674" t="s">
        <v>1211</v>
      </c>
      <c r="K5057" s="675" t="s">
        <v>2318</v>
      </c>
      <c r="L5057" s="1204" t="s">
        <v>1213</v>
      </c>
      <c r="M5057" s="1000"/>
      <c r="N5057" s="671" t="s">
        <v>1200</v>
      </c>
      <c r="O5057" s="362"/>
    </row>
    <row r="5058" spans="1:15" ht="15.75" customHeight="1">
      <c r="A5058" s="395">
        <f t="array" ref="A5058">IF(C5058&lt;&gt;0,INDEX(CodTransporte,MATCH(C5058,Transporte,0),),)</f>
        <v>0</v>
      </c>
      <c r="B5058" s="399"/>
      <c r="C5058" s="1128"/>
      <c r="D5058" s="940"/>
      <c r="E5058" s="940"/>
      <c r="F5058" s="940"/>
      <c r="G5058" s="940"/>
      <c r="H5058" s="940"/>
      <c r="I5058" s="440"/>
      <c r="J5058" s="441" t="str">
        <f>IF($A5058&gt;0,(VLOOKUP($A5058,TablaTransporte,6,FALSE)),"")</f>
        <v/>
      </c>
      <c r="K5058" s="442" t="str">
        <f>IF($A5058&gt;0,(VLOOKUP($A5058,TablaTransporte,5,FALSE)),"")</f>
        <v/>
      </c>
      <c r="L5058" s="1134" t="str">
        <f>IF($A5058&gt;0,(VLOOKUP($A5058,TablaTransporte,7,FALSE)),"")</f>
        <v/>
      </c>
      <c r="M5058" s="941"/>
      <c r="N5058" s="430" t="str">
        <f t="shared" ref="N5058:N5062" si="371">IF(I5058&gt;0,J5058*L5058*I5058,"")</f>
        <v/>
      </c>
      <c r="O5058" s="362"/>
    </row>
    <row r="5059" spans="1:15" ht="15.75" customHeight="1">
      <c r="A5059" s="395">
        <f t="array" ref="A5059">IF(C5059&lt;&gt;0,INDEX(CodTransporte,MATCH(C5059,Transporte,0),),)</f>
        <v>0</v>
      </c>
      <c r="B5059" s="399"/>
      <c r="C5059" s="1128"/>
      <c r="D5059" s="940"/>
      <c r="E5059" s="940"/>
      <c r="F5059" s="940"/>
      <c r="G5059" s="940"/>
      <c r="H5059" s="940"/>
      <c r="I5059" s="440"/>
      <c r="J5059" s="441" t="str">
        <f>IF($A5059&gt;0,(VLOOKUP($A5059,TablaTransporte,6,FALSE)),"")</f>
        <v/>
      </c>
      <c r="K5059" s="442" t="str">
        <f>IF($A5059&gt;0,(VLOOKUP($A5059,TablaTransporte,5,FALSE)),"")</f>
        <v/>
      </c>
      <c r="L5059" s="1134" t="str">
        <f>IF($A5059&gt;0,(VLOOKUP($A5059,TablaTransporte,7,FALSE)),"")</f>
        <v/>
      </c>
      <c r="M5059" s="941"/>
      <c r="N5059" s="430" t="str">
        <f t="shared" si="371"/>
        <v/>
      </c>
      <c r="O5059" s="362"/>
    </row>
    <row r="5060" spans="1:15" ht="15.75" customHeight="1">
      <c r="A5060" s="395">
        <f t="array" ref="A5060">IF(C5060&lt;&gt;0,INDEX(CodTransporte,MATCH(C5060,Transporte,0),),)</f>
        <v>0</v>
      </c>
      <c r="B5060" s="399"/>
      <c r="C5060" s="1128"/>
      <c r="D5060" s="940"/>
      <c r="E5060" s="940"/>
      <c r="F5060" s="940"/>
      <c r="G5060" s="940"/>
      <c r="H5060" s="940"/>
      <c r="I5060" s="440"/>
      <c r="J5060" s="441" t="str">
        <f>IF($A5060&gt;0,(VLOOKUP($A5060,TablaTransporte,6,FALSE)),"")</f>
        <v/>
      </c>
      <c r="K5060" s="442" t="str">
        <f>IF($A5060&gt;0,(VLOOKUP($A5060,TablaTransporte,5,FALSE)),"")</f>
        <v/>
      </c>
      <c r="L5060" s="1134" t="str">
        <f>IF($A5060&gt;0,(VLOOKUP($A5060,TablaTransporte,7,FALSE)),"")</f>
        <v/>
      </c>
      <c r="M5060" s="941"/>
      <c r="N5060" s="430" t="str">
        <f t="shared" si="371"/>
        <v/>
      </c>
      <c r="O5060" s="362"/>
    </row>
    <row r="5061" spans="1:15" ht="15.75" customHeight="1">
      <c r="A5061" s="395">
        <f t="array" ref="A5061">IF(C5061&lt;&gt;0,INDEX(CodTransporte,MATCH(C5061,Transporte,0),),)</f>
        <v>0</v>
      </c>
      <c r="B5061" s="399"/>
      <c r="C5061" s="1128"/>
      <c r="D5061" s="940"/>
      <c r="E5061" s="940"/>
      <c r="F5061" s="940"/>
      <c r="G5061" s="940"/>
      <c r="H5061" s="940"/>
      <c r="I5061" s="440"/>
      <c r="J5061" s="441" t="str">
        <f>IF($A5061&gt;0,(VLOOKUP($A5061,TablaTransporte,6,FALSE)),"")</f>
        <v/>
      </c>
      <c r="K5061" s="442" t="str">
        <f>IF($A5061&gt;0,(VLOOKUP($A5061,TablaTransporte,5,FALSE)),"")</f>
        <v/>
      </c>
      <c r="L5061" s="1134" t="str">
        <f>IF($A5061&gt;0,(VLOOKUP($A5061,TablaTransporte,7,FALSE)),"")</f>
        <v/>
      </c>
      <c r="M5061" s="941"/>
      <c r="N5061" s="430" t="str">
        <f t="shared" si="371"/>
        <v/>
      </c>
      <c r="O5061" s="362"/>
    </row>
    <row r="5062" spans="1:15" ht="15.75" customHeight="1">
      <c r="A5062" s="395">
        <f t="array" ref="A5062">IF(C5062&lt;&gt;0,INDEX(CodTransporte,MATCH(C5062,Transporte,0),),)</f>
        <v>0</v>
      </c>
      <c r="B5062" s="399"/>
      <c r="C5062" s="1128"/>
      <c r="D5062" s="940"/>
      <c r="E5062" s="940"/>
      <c r="F5062" s="940"/>
      <c r="G5062" s="940"/>
      <c r="H5062" s="940"/>
      <c r="I5062" s="440"/>
      <c r="J5062" s="441" t="str">
        <f>IF($A5062&gt;0,(VLOOKUP($A5062,TablaTransporte,6,FALSE)),"")</f>
        <v/>
      </c>
      <c r="K5062" s="442" t="str">
        <f>IF($A5062&gt;0,(VLOOKUP($A5062,TablaTransporte,5,FALSE)),"")</f>
        <v/>
      </c>
      <c r="L5062" s="1205" t="str">
        <f>IF($A5062&gt;0,(VLOOKUP($A5062,TablaTransporte,7,FALSE)),"")</f>
        <v/>
      </c>
      <c r="M5062" s="1145"/>
      <c r="N5062" s="430" t="str">
        <f t="shared" si="371"/>
        <v/>
      </c>
      <c r="O5062" s="362"/>
    </row>
    <row r="5063" spans="1:15" ht="15.75" customHeight="1">
      <c r="A5063" s="395"/>
      <c r="B5063" s="399"/>
      <c r="C5063" s="1127" t="s">
        <v>1202</v>
      </c>
      <c r="D5063" s="965"/>
      <c r="E5063" s="965"/>
      <c r="F5063" s="965"/>
      <c r="G5063" s="965"/>
      <c r="H5063" s="965"/>
      <c r="I5063" s="965"/>
      <c r="J5063" s="965"/>
      <c r="K5063" s="965"/>
      <c r="L5063" s="965"/>
      <c r="M5063" s="966"/>
      <c r="N5063" s="433">
        <f>+SUM(N5058:N5062)</f>
        <v>0</v>
      </c>
      <c r="O5063" s="362"/>
    </row>
    <row r="5064" spans="1:15" ht="15.75" customHeight="1">
      <c r="A5064" s="395"/>
      <c r="B5064" s="399"/>
      <c r="C5064" s="1129" t="s">
        <v>1214</v>
      </c>
      <c r="D5064" s="926"/>
      <c r="E5064" s="926"/>
      <c r="F5064" s="926"/>
      <c r="G5064" s="926"/>
      <c r="H5064" s="926"/>
      <c r="I5064" s="926"/>
      <c r="J5064" s="926"/>
      <c r="K5064" s="926"/>
      <c r="L5064" s="926"/>
      <c r="M5064" s="926"/>
      <c r="N5064" s="927"/>
      <c r="O5064" s="362"/>
    </row>
    <row r="5065" spans="1:15" ht="15.75" customHeight="1">
      <c r="A5065" s="395"/>
      <c r="B5065" s="399"/>
      <c r="C5065" s="920"/>
      <c r="D5065" s="922"/>
      <c r="E5065" s="922"/>
      <c r="F5065" s="922"/>
      <c r="G5065" s="922"/>
      <c r="H5065" s="922"/>
      <c r="I5065" s="922"/>
      <c r="J5065" s="922"/>
      <c r="K5065" s="922"/>
      <c r="L5065" s="922"/>
      <c r="M5065" s="922"/>
      <c r="N5065" s="924"/>
      <c r="O5065" s="362"/>
    </row>
    <row r="5066" spans="1:15" ht="15.75" customHeight="1">
      <c r="A5066" s="395"/>
      <c r="B5066" s="399"/>
      <c r="C5066" s="929"/>
      <c r="D5066" s="936"/>
      <c r="E5066" s="936"/>
      <c r="F5066" s="936"/>
      <c r="G5066" s="936"/>
      <c r="H5066" s="936"/>
      <c r="I5066" s="936"/>
      <c r="J5066" s="936"/>
      <c r="K5066" s="936"/>
      <c r="L5066" s="936"/>
      <c r="M5066" s="936"/>
      <c r="N5066" s="938"/>
      <c r="O5066" s="362"/>
    </row>
    <row r="5067" spans="1:15" ht="15.75" customHeight="1">
      <c r="A5067" s="395"/>
      <c r="B5067" s="399"/>
      <c r="C5067" s="1201" t="s">
        <v>1215</v>
      </c>
      <c r="D5067" s="1131"/>
      <c r="E5067" s="1131"/>
      <c r="F5067" s="1131"/>
      <c r="G5067" s="1131"/>
      <c r="H5067" s="1000"/>
      <c r="I5067" s="670" t="s">
        <v>1216</v>
      </c>
      <c r="J5067" s="676" t="s">
        <v>1217</v>
      </c>
      <c r="K5067" s="677" t="s">
        <v>1218</v>
      </c>
      <c r="L5067" s="1206" t="s">
        <v>1199</v>
      </c>
      <c r="M5067" s="1000"/>
      <c r="N5067" s="678" t="s">
        <v>1200</v>
      </c>
      <c r="O5067" s="362"/>
    </row>
    <row r="5068" spans="1:15" ht="15.75" customHeight="1">
      <c r="A5068" s="395" t="str">
        <f t="array" ref="A5068">IF(C5068&lt;&gt;0,INDEX(CodMO,MATCH(C5068,MO,0),),)</f>
        <v>M.O-15</v>
      </c>
      <c r="B5068" s="399"/>
      <c r="C5068" s="1128" t="s">
        <v>2607</v>
      </c>
      <c r="D5068" s="940"/>
      <c r="E5068" s="940"/>
      <c r="F5068" s="940"/>
      <c r="G5068" s="940"/>
      <c r="H5068" s="940"/>
      <c r="I5068" s="447">
        <f>IF($A5068&gt;0,(VLOOKUP($A5068,TablaMO,8,FALSE)),"")</f>
        <v>366787.33333333331</v>
      </c>
      <c r="J5068" s="448">
        <f>IF($A5068&gt;0,(VLOOKUP($A5068,TablaMO,10,FALSE)),"")</f>
        <v>0.67071666666666663</v>
      </c>
      <c r="K5068" s="447">
        <f>IF($A5068&gt;0,(VLOOKUP($A5068,TablaMO,11,FALSE)),"")</f>
        <v>367679</v>
      </c>
      <c r="L5068" s="1146">
        <v>5.0747639017182058</v>
      </c>
      <c r="M5068" s="941"/>
      <c r="N5068" s="430">
        <f t="shared" ref="N5068:N5072" si="372">IF(L5068&gt;0,K5068/L5068,"")</f>
        <v>72452.434659179286</v>
      </c>
      <c r="O5068" s="362"/>
    </row>
    <row r="5069" spans="1:15" ht="15.75" customHeight="1">
      <c r="A5069" s="395">
        <f t="array" ref="A5069">IF(C5069&lt;&gt;0,INDEX(CodMO,MATCH(C5069,MO,0),),)</f>
        <v>0</v>
      </c>
      <c r="B5069" s="399"/>
      <c r="C5069" s="1128"/>
      <c r="D5069" s="940"/>
      <c r="E5069" s="940"/>
      <c r="F5069" s="940"/>
      <c r="G5069" s="940"/>
      <c r="H5069" s="940"/>
      <c r="I5069" s="447" t="str">
        <f>IF($A5069&gt;0,(VLOOKUP($A5069,TablaMO,8,FALSE)),"")</f>
        <v/>
      </c>
      <c r="J5069" s="448" t="str">
        <f>IF($A5069&gt;0,(VLOOKUP($A5069,TablaMO,10,FALSE)),"")</f>
        <v/>
      </c>
      <c r="K5069" s="447" t="str">
        <f>IF($A5069&gt;0,(VLOOKUP($A5069,TablaMO,11,FALSE)),"")</f>
        <v/>
      </c>
      <c r="L5069" s="1146"/>
      <c r="M5069" s="941"/>
      <c r="N5069" s="430" t="str">
        <f t="shared" si="372"/>
        <v/>
      </c>
      <c r="O5069" s="362"/>
    </row>
    <row r="5070" spans="1:15" ht="15.75" customHeight="1">
      <c r="A5070" s="395">
        <f t="array" ref="A5070">IF(C5070&lt;&gt;0,INDEX(CodMO,MATCH(C5070,MO,0),),)</f>
        <v>0</v>
      </c>
      <c r="B5070" s="399"/>
      <c r="C5070" s="1128"/>
      <c r="D5070" s="940"/>
      <c r="E5070" s="940"/>
      <c r="F5070" s="940"/>
      <c r="G5070" s="940"/>
      <c r="H5070" s="940"/>
      <c r="I5070" s="447" t="str">
        <f>IF($A5070&gt;0,(VLOOKUP($A5070,TablaMO,8,FALSE)),"")</f>
        <v/>
      </c>
      <c r="J5070" s="448" t="str">
        <f>IF($A5070&gt;0,(VLOOKUP($A5070,TablaMO,10,FALSE)),"")</f>
        <v/>
      </c>
      <c r="K5070" s="447" t="str">
        <f>IF($A5070&gt;0,(VLOOKUP($A5070,TablaMO,11,FALSE)),"")</f>
        <v/>
      </c>
      <c r="L5070" s="1146"/>
      <c r="M5070" s="941"/>
      <c r="N5070" s="430" t="str">
        <f t="shared" si="372"/>
        <v/>
      </c>
      <c r="O5070" s="362"/>
    </row>
    <row r="5071" spans="1:15" ht="15.75" customHeight="1">
      <c r="A5071" s="395">
        <f t="array" ref="A5071">IF(C5071&lt;&gt;0,INDEX(CodMO,MATCH(C5071,MO,0),),)</f>
        <v>0</v>
      </c>
      <c r="B5071" s="399"/>
      <c r="C5071" s="1128"/>
      <c r="D5071" s="940"/>
      <c r="E5071" s="940"/>
      <c r="F5071" s="940"/>
      <c r="G5071" s="940"/>
      <c r="H5071" s="940"/>
      <c r="I5071" s="447" t="str">
        <f>IF($A5071&gt;0,(VLOOKUP($A5071,TablaMO,8,FALSE)),"")</f>
        <v/>
      </c>
      <c r="J5071" s="448" t="str">
        <f>IF($A5071&gt;0,(VLOOKUP($A5071,TablaMO,10,FALSE)),"")</f>
        <v/>
      </c>
      <c r="K5071" s="447" t="str">
        <f>IF($A5071&gt;0,(VLOOKUP($A5071,TablaMO,11,FALSE)),"")</f>
        <v/>
      </c>
      <c r="L5071" s="1146"/>
      <c r="M5071" s="941"/>
      <c r="N5071" s="430" t="str">
        <f t="shared" si="372"/>
        <v/>
      </c>
      <c r="O5071" s="362"/>
    </row>
    <row r="5072" spans="1:15" ht="15.75" customHeight="1">
      <c r="A5072" s="395">
        <f t="array" ref="A5072">IF(C5072&lt;&gt;0,INDEX(CodMO,MATCH(C5072,MO,0),),)</f>
        <v>0</v>
      </c>
      <c r="B5072" s="399"/>
      <c r="C5072" s="1128"/>
      <c r="D5072" s="940"/>
      <c r="E5072" s="940"/>
      <c r="F5072" s="940"/>
      <c r="G5072" s="940"/>
      <c r="H5072" s="940"/>
      <c r="I5072" s="447" t="str">
        <f>IF($A5072&gt;0,(VLOOKUP($A5072,TablaMO,8,FALSE)),"")</f>
        <v/>
      </c>
      <c r="J5072" s="448" t="str">
        <f>IF($A5072&gt;0,(VLOOKUP($A5072,TablaMO,10,FALSE)),"")</f>
        <v/>
      </c>
      <c r="K5072" s="447" t="str">
        <f>IF($A5072&gt;0,(VLOOKUP($A5072,TablaMO,11,FALSE)),"")</f>
        <v/>
      </c>
      <c r="L5072" s="1146"/>
      <c r="M5072" s="941"/>
      <c r="N5072" s="430" t="str">
        <f t="shared" si="372"/>
        <v/>
      </c>
      <c r="O5072" s="362"/>
    </row>
    <row r="5073" spans="1:18" ht="15.75" customHeight="1">
      <c r="A5073" s="395"/>
      <c r="B5073" s="399"/>
      <c r="C5073" s="1127" t="s">
        <v>1202</v>
      </c>
      <c r="D5073" s="965"/>
      <c r="E5073" s="965"/>
      <c r="F5073" s="965"/>
      <c r="G5073" s="965"/>
      <c r="H5073" s="965"/>
      <c r="I5073" s="965"/>
      <c r="J5073" s="965"/>
      <c r="K5073" s="965"/>
      <c r="L5073" s="965"/>
      <c r="M5073" s="966"/>
      <c r="N5073" s="433">
        <f>+SUM(N5068:N5072)</f>
        <v>72452.434659179286</v>
      </c>
      <c r="O5073" s="362"/>
    </row>
    <row r="5074" spans="1:18" ht="15.75" customHeight="1">
      <c r="B5074" s="679"/>
      <c r="O5074" s="362"/>
    </row>
    <row r="5075" spans="1:18" ht="15.75" customHeight="1">
      <c r="B5075" s="679"/>
      <c r="C5075" s="1198" t="s">
        <v>1219</v>
      </c>
      <c r="D5075" s="965"/>
      <c r="E5075" s="965"/>
      <c r="F5075" s="965"/>
      <c r="G5075" s="965"/>
      <c r="H5075" s="965"/>
      <c r="I5075" s="965"/>
      <c r="J5075" s="965"/>
      <c r="K5075" s="965"/>
      <c r="L5075" s="965"/>
      <c r="M5075" s="966"/>
      <c r="N5075" s="680">
        <f>ROUND(SUM(N5073,N5063,N5053,N5037),0)</f>
        <v>302198</v>
      </c>
      <c r="O5075" s="362"/>
      <c r="Q5075" s="681">
        <f>VLOOKUP(C5026,PROPUESTASASERCO,8,FALSE)</f>
        <v>302198</v>
      </c>
      <c r="R5075" s="682">
        <f>Q5075-N5075</f>
        <v>0</v>
      </c>
    </row>
    <row r="5076" spans="1:18" ht="15.75" customHeight="1">
      <c r="B5076" s="679"/>
      <c r="C5076" s="1129" t="s">
        <v>1220</v>
      </c>
      <c r="D5076" s="926"/>
      <c r="E5076" s="926"/>
      <c r="F5076" s="926"/>
      <c r="G5076" s="926"/>
      <c r="H5076" s="926"/>
      <c r="I5076" s="926"/>
      <c r="J5076" s="926"/>
      <c r="K5076" s="926"/>
      <c r="L5076" s="926"/>
      <c r="M5076" s="926"/>
      <c r="N5076" s="927"/>
      <c r="O5076" s="362"/>
    </row>
    <row r="5077" spans="1:18" ht="15.75" customHeight="1">
      <c r="B5077" s="679"/>
      <c r="C5077" s="920"/>
      <c r="D5077" s="922"/>
      <c r="E5077" s="922"/>
      <c r="F5077" s="922"/>
      <c r="G5077" s="922"/>
      <c r="H5077" s="922"/>
      <c r="I5077" s="922"/>
      <c r="J5077" s="922"/>
      <c r="K5077" s="922"/>
      <c r="L5077" s="922"/>
      <c r="M5077" s="922"/>
      <c r="N5077" s="924"/>
      <c r="O5077" s="362"/>
    </row>
    <row r="5078" spans="1:18" ht="15.75" customHeight="1">
      <c r="B5078" s="679"/>
      <c r="C5078" s="929"/>
      <c r="D5078" s="936"/>
      <c r="E5078" s="936"/>
      <c r="F5078" s="936"/>
      <c r="G5078" s="936"/>
      <c r="H5078" s="936"/>
      <c r="I5078" s="936"/>
      <c r="J5078" s="936"/>
      <c r="K5078" s="936"/>
      <c r="L5078" s="936"/>
      <c r="M5078" s="936"/>
      <c r="N5078" s="938"/>
      <c r="O5078" s="362"/>
    </row>
    <row r="5079" spans="1:18" ht="15.75" customHeight="1">
      <c r="B5079" s="679"/>
      <c r="C5079" s="1201" t="s">
        <v>1221</v>
      </c>
      <c r="D5079" s="1131"/>
      <c r="E5079" s="1131"/>
      <c r="F5079" s="1131"/>
      <c r="G5079" s="1131"/>
      <c r="H5079" s="1132"/>
      <c r="I5079" s="674"/>
      <c r="J5079" s="674"/>
      <c r="K5079" s="674"/>
      <c r="L5079" s="1206" t="s">
        <v>1222</v>
      </c>
      <c r="M5079" s="1000"/>
      <c r="N5079" s="678" t="s">
        <v>1223</v>
      </c>
      <c r="O5079" s="362"/>
    </row>
    <row r="5080" spans="1:18" ht="15.75" customHeight="1">
      <c r="B5080" s="679"/>
      <c r="C5080" s="1128" t="s">
        <v>19</v>
      </c>
      <c r="D5080" s="940"/>
      <c r="E5080" s="940"/>
      <c r="F5080" s="940"/>
      <c r="G5080" s="940"/>
      <c r="H5080" s="940"/>
      <c r="I5080" s="452"/>
      <c r="J5080" s="452"/>
      <c r="K5080" s="452"/>
      <c r="L5080" s="1148">
        <f>+Datos!$E$18</f>
        <v>0.25</v>
      </c>
      <c r="M5080" s="941"/>
      <c r="N5080" s="430">
        <f>+L5080*N5075</f>
        <v>75549.5</v>
      </c>
      <c r="O5080" s="362"/>
    </row>
    <row r="5081" spans="1:18" ht="15.75" customHeight="1">
      <c r="B5081" s="679"/>
      <c r="C5081" s="454" t="s">
        <v>20</v>
      </c>
      <c r="D5081" s="455"/>
      <c r="E5081" s="455"/>
      <c r="F5081" s="455"/>
      <c r="G5081" s="455"/>
      <c r="H5081" s="455"/>
      <c r="I5081" s="452"/>
      <c r="J5081" s="452"/>
      <c r="K5081" s="452"/>
      <c r="L5081" s="1148">
        <f>+Datos!$E$19</f>
        <v>0.01</v>
      </c>
      <c r="M5081" s="941"/>
      <c r="N5081" s="430">
        <f>+L5081*N5075</f>
        <v>3021.98</v>
      </c>
      <c r="O5081" s="362"/>
    </row>
    <row r="5082" spans="1:18" ht="15.75" customHeight="1">
      <c r="B5082" s="679"/>
      <c r="C5082" s="456" t="s">
        <v>21</v>
      </c>
      <c r="D5082" s="457"/>
      <c r="E5082" s="457"/>
      <c r="F5082" s="457"/>
      <c r="G5082" s="457"/>
      <c r="H5082" s="457"/>
      <c r="I5082" s="458"/>
      <c r="J5082" s="458"/>
      <c r="K5082" s="458"/>
      <c r="L5082" s="1148">
        <f>+Datos!$E$20</f>
        <v>0.05</v>
      </c>
      <c r="M5082" s="941"/>
      <c r="N5082" s="430">
        <f>+L5082*N5075</f>
        <v>15109.900000000001</v>
      </c>
      <c r="O5082" s="362"/>
    </row>
    <row r="5083" spans="1:18" ht="15.75" customHeight="1">
      <c r="B5083" s="679"/>
      <c r="C5083" s="1127" t="s">
        <v>1202</v>
      </c>
      <c r="D5083" s="965"/>
      <c r="E5083" s="965"/>
      <c r="F5083" s="965"/>
      <c r="G5083" s="965"/>
      <c r="H5083" s="965"/>
      <c r="I5083" s="965"/>
      <c r="J5083" s="965"/>
      <c r="K5083" s="965"/>
      <c r="L5083" s="965"/>
      <c r="M5083" s="966"/>
      <c r="N5083" s="433">
        <f>+SUM(N5080:N5082)</f>
        <v>93681.38</v>
      </c>
      <c r="O5083" s="362"/>
    </row>
    <row r="5084" spans="1:18" ht="15.75" customHeight="1">
      <c r="B5084" s="679"/>
      <c r="C5084" s="418"/>
      <c r="D5084" s="39"/>
      <c r="E5084" s="39"/>
      <c r="F5084" s="39"/>
      <c r="G5084" s="39"/>
      <c r="H5084" s="39"/>
      <c r="I5084" s="39"/>
      <c r="J5084" s="39"/>
      <c r="K5084" s="39"/>
      <c r="L5084" s="39"/>
      <c r="M5084" s="39"/>
      <c r="N5084" s="40"/>
      <c r="O5084" s="362"/>
    </row>
    <row r="5085" spans="1:18" ht="15.75" customHeight="1">
      <c r="B5085" s="679"/>
      <c r="C5085" s="1198" t="s">
        <v>1224</v>
      </c>
      <c r="D5085" s="965"/>
      <c r="E5085" s="965"/>
      <c r="F5085" s="965"/>
      <c r="G5085" s="965"/>
      <c r="H5085" s="965"/>
      <c r="I5085" s="965"/>
      <c r="J5085" s="965"/>
      <c r="K5085" s="965"/>
      <c r="L5085" s="965"/>
      <c r="M5085" s="966"/>
      <c r="N5085" s="683">
        <f>+ROUND(SUM(N5083,N5075),0)</f>
        <v>395879</v>
      </c>
      <c r="O5085" s="362"/>
    </row>
    <row r="5086" spans="1:18" ht="15.75" customHeight="1">
      <c r="B5086" s="679"/>
      <c r="C5086" s="418"/>
      <c r="D5086" s="39" t="s">
        <v>1225</v>
      </c>
      <c r="E5086" s="39"/>
      <c r="F5086" s="39"/>
      <c r="G5086" s="184"/>
      <c r="H5086" s="184"/>
      <c r="I5086" s="184"/>
      <c r="J5086" s="39" t="s">
        <v>1225</v>
      </c>
      <c r="K5086" s="39"/>
      <c r="L5086" s="39"/>
      <c r="M5086" s="39"/>
      <c r="N5086" s="40"/>
      <c r="O5086" s="362"/>
    </row>
    <row r="5087" spans="1:18" ht="15.75" customHeight="1">
      <c r="B5087" s="679"/>
      <c r="C5087" s="418"/>
      <c r="D5087" s="39" t="s">
        <v>1226</v>
      </c>
      <c r="E5087" s="39"/>
      <c r="F5087" s="39"/>
      <c r="G5087" s="184"/>
      <c r="H5087" s="184"/>
      <c r="I5087" s="184"/>
      <c r="J5087" s="39" t="s">
        <v>1227</v>
      </c>
      <c r="K5087" s="39"/>
      <c r="L5087" s="39"/>
      <c r="M5087" s="39"/>
      <c r="N5087" s="40"/>
      <c r="O5087" s="362"/>
    </row>
    <row r="5088" spans="1:18" ht="15.75" customHeight="1">
      <c r="B5088" s="679"/>
      <c r="C5088" s="404"/>
      <c r="D5088" s="39" t="s">
        <v>1228</v>
      </c>
      <c r="E5088" s="42"/>
      <c r="F5088" s="42"/>
      <c r="G5088" s="184"/>
      <c r="H5088" s="184"/>
      <c r="I5088" s="184"/>
      <c r="J5088" s="39" t="s">
        <v>1228</v>
      </c>
      <c r="K5088" s="42"/>
      <c r="L5088" s="42"/>
      <c r="M5088" s="42"/>
      <c r="N5088" s="43"/>
      <c r="O5088" s="362"/>
    </row>
    <row r="5089" spans="1:15" ht="15.75" customHeight="1">
      <c r="B5089" s="679"/>
      <c r="C5089" s="418"/>
      <c r="D5089" s="39"/>
      <c r="E5089" s="39"/>
      <c r="F5089" s="39"/>
      <c r="G5089" s="39" t="s">
        <v>1229</v>
      </c>
      <c r="H5089" s="39"/>
      <c r="I5089" s="39"/>
      <c r="J5089" s="39"/>
      <c r="K5089" s="39"/>
      <c r="L5089" s="39"/>
      <c r="M5089" s="39"/>
      <c r="N5089" s="40"/>
      <c r="O5089" s="362"/>
    </row>
    <row r="5090" spans="1:15" ht="15.75" customHeight="1">
      <c r="B5090" s="679"/>
      <c r="C5090" s="466"/>
      <c r="D5090" s="467"/>
      <c r="E5090" s="467"/>
      <c r="F5090" s="39"/>
      <c r="G5090" s="39"/>
      <c r="H5090" s="39"/>
      <c r="I5090" s="39"/>
      <c r="J5090" s="1149"/>
      <c r="K5090" s="922"/>
      <c r="L5090" s="922"/>
      <c r="M5090" s="922"/>
      <c r="N5090" s="924"/>
      <c r="O5090" s="362"/>
    </row>
    <row r="5091" spans="1:15" ht="15.75" customHeight="1">
      <c r="B5091" s="679"/>
      <c r="C5091" s="1150"/>
      <c r="D5091" s="936"/>
      <c r="E5091" s="936"/>
      <c r="F5091" s="416"/>
      <c r="G5091" s="416"/>
      <c r="H5091" s="416"/>
      <c r="I5091" s="416"/>
      <c r="J5091" s="936"/>
      <c r="K5091" s="936"/>
      <c r="L5091" s="936"/>
      <c r="M5091" s="936"/>
      <c r="N5091" s="938"/>
      <c r="O5091" s="362"/>
    </row>
    <row r="5092" spans="1:15" ht="15.75" customHeight="1">
      <c r="B5092" s="684"/>
      <c r="C5092" s="685"/>
      <c r="D5092" s="685"/>
      <c r="E5092" s="685"/>
      <c r="F5092" s="685"/>
      <c r="G5092" s="685"/>
      <c r="H5092" s="685"/>
      <c r="I5092" s="685"/>
      <c r="J5092" s="685"/>
      <c r="K5092" s="685"/>
      <c r="L5092" s="685"/>
      <c r="M5092" s="685"/>
      <c r="N5092" s="685"/>
      <c r="O5092" s="686"/>
    </row>
    <row r="5093" spans="1:15" ht="15.75" customHeight="1">
      <c r="B5093" s="205"/>
      <c r="C5093" s="205"/>
      <c r="D5093" s="205"/>
      <c r="E5093" s="205"/>
      <c r="F5093" s="205"/>
      <c r="G5093" s="205"/>
      <c r="H5093" s="205"/>
      <c r="I5093" s="205"/>
      <c r="J5093" s="205"/>
      <c r="K5093" s="205"/>
      <c r="L5093" s="205"/>
      <c r="M5093" s="205"/>
      <c r="N5093" s="205"/>
      <c r="O5093" s="205"/>
    </row>
    <row r="5094" spans="1:15" ht="15.75" customHeight="1">
      <c r="B5094" s="205"/>
      <c r="C5094" s="205"/>
      <c r="D5094" s="205"/>
      <c r="E5094" s="205"/>
      <c r="F5094" s="205"/>
      <c r="G5094" s="205"/>
      <c r="H5094" s="205"/>
      <c r="I5094" s="205"/>
      <c r="J5094" s="205"/>
      <c r="K5094" s="205"/>
      <c r="L5094" s="205"/>
      <c r="M5094" s="205"/>
      <c r="N5094" s="205"/>
      <c r="O5094" s="205"/>
    </row>
    <row r="5095" spans="1:15" ht="15.75" customHeight="1">
      <c r="B5095" s="205"/>
      <c r="C5095" s="205"/>
      <c r="D5095" s="205"/>
      <c r="E5095" s="205"/>
      <c r="F5095" s="205"/>
      <c r="G5095" s="205"/>
      <c r="H5095" s="205"/>
      <c r="I5095" s="205"/>
      <c r="J5095" s="205"/>
      <c r="K5095" s="205"/>
      <c r="L5095" s="205"/>
      <c r="M5095" s="205"/>
      <c r="N5095" s="205"/>
      <c r="O5095" s="205"/>
    </row>
    <row r="5096" spans="1:15" ht="15.75" customHeight="1">
      <c r="B5096" s="205"/>
      <c r="C5096" s="205"/>
      <c r="D5096" s="205"/>
      <c r="E5096" s="205"/>
      <c r="F5096" s="205"/>
      <c r="G5096" s="205"/>
      <c r="H5096" s="205"/>
      <c r="I5096" s="205"/>
      <c r="J5096" s="205"/>
      <c r="K5096" s="205"/>
      <c r="L5096" s="205"/>
      <c r="M5096" s="205"/>
      <c r="N5096" s="205"/>
      <c r="O5096" s="205"/>
    </row>
    <row r="5097" spans="1:15" ht="15.75" customHeight="1">
      <c r="A5097" s="395" t="s">
        <v>941</v>
      </c>
      <c r="B5097" s="184"/>
      <c r="C5097" s="184"/>
      <c r="D5097" s="184"/>
      <c r="E5097" s="184"/>
      <c r="F5097" s="184"/>
      <c r="G5097" s="184"/>
      <c r="H5097" s="184"/>
      <c r="I5097" s="184"/>
      <c r="J5097" s="184"/>
      <c r="K5097" s="184"/>
      <c r="L5097" s="184"/>
      <c r="M5097" s="184"/>
      <c r="N5097" s="184"/>
    </row>
    <row r="5098" spans="1:15" ht="15.75" customHeight="1">
      <c r="A5098" s="395"/>
      <c r="B5098" s="396"/>
      <c r="C5098" s="397"/>
      <c r="D5098" s="397"/>
      <c r="E5098" s="397"/>
      <c r="F5098" s="397"/>
      <c r="G5098" s="397"/>
      <c r="H5098" s="397"/>
      <c r="I5098" s="397"/>
      <c r="J5098" s="397"/>
      <c r="K5098" s="397"/>
      <c r="L5098" s="397"/>
      <c r="M5098" s="397"/>
      <c r="N5098" s="397"/>
      <c r="O5098" s="667"/>
    </row>
    <row r="5099" spans="1:15" ht="15.75" customHeight="1">
      <c r="A5099" s="395"/>
      <c r="B5099" s="399"/>
      <c r="C5099" s="1124"/>
      <c r="D5099" s="927"/>
      <c r="E5099" s="1207" t="str">
        <f>Datos!$C$9</f>
        <v>CONSEJO SUPERIOR  DE  JUDICATURA– DIRECCIÓN  EJECUTIVA  SECCIONAL  DE ADMINISTRACIÓN JUDICIAL DE BUCARAMANGA</v>
      </c>
      <c r="F5099" s="926"/>
      <c r="G5099" s="926"/>
      <c r="H5099" s="926"/>
      <c r="I5099" s="926"/>
      <c r="J5099" s="926"/>
      <c r="K5099" s="927"/>
      <c r="L5099" s="925" t="s">
        <v>1</v>
      </c>
      <c r="M5099" s="931"/>
      <c r="N5099" s="933">
        <v>1</v>
      </c>
      <c r="O5099" s="362"/>
    </row>
    <row r="5100" spans="1:15" ht="15.75" customHeight="1">
      <c r="A5100" s="395"/>
      <c r="B5100" s="399"/>
      <c r="C5100" s="920"/>
      <c r="D5100" s="924"/>
      <c r="E5100" s="920"/>
      <c r="F5100" s="922"/>
      <c r="G5100" s="922"/>
      <c r="H5100" s="922"/>
      <c r="I5100" s="922"/>
      <c r="J5100" s="922"/>
      <c r="K5100" s="924"/>
      <c r="L5100" s="920"/>
      <c r="M5100" s="932"/>
      <c r="N5100" s="934"/>
      <c r="O5100" s="362"/>
    </row>
    <row r="5101" spans="1:15" ht="15.75" customHeight="1">
      <c r="A5101" s="395"/>
      <c r="B5101" s="399"/>
      <c r="C5101" s="920"/>
      <c r="D5101" s="924"/>
      <c r="E5101" s="919" t="str">
        <f>Datos!$C$13</f>
        <v xml:space="preserve">BGA - 030 - 2026 </v>
      </c>
      <c r="F5101" s="922"/>
      <c r="G5101" s="922"/>
      <c r="H5101" s="922"/>
      <c r="I5101" s="922"/>
      <c r="J5101" s="922"/>
      <c r="K5101" s="922"/>
      <c r="L5101" s="925" t="s">
        <v>29</v>
      </c>
      <c r="M5101" s="926"/>
      <c r="N5101" s="927"/>
      <c r="O5101" s="362"/>
    </row>
    <row r="5102" spans="1:15" ht="15.75" customHeight="1">
      <c r="A5102" s="395"/>
      <c r="B5102" s="399"/>
      <c r="C5102" s="920"/>
      <c r="D5102" s="924"/>
      <c r="E510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102" s="922"/>
      <c r="G5102" s="922"/>
      <c r="H5102" s="922"/>
      <c r="I5102" s="922"/>
      <c r="J5102" s="922"/>
      <c r="K5102" s="924"/>
      <c r="L5102" s="919">
        <v>1</v>
      </c>
      <c r="M5102" s="921" t="s">
        <v>30</v>
      </c>
      <c r="N5102" s="923">
        <v>1</v>
      </c>
      <c r="O5102" s="362"/>
    </row>
    <row r="5103" spans="1:15" ht="33.4" customHeight="1">
      <c r="A5103" s="395"/>
      <c r="B5103" s="399"/>
      <c r="C5103" s="920"/>
      <c r="D5103" s="924"/>
      <c r="E5103" s="920"/>
      <c r="F5103" s="922"/>
      <c r="G5103" s="922"/>
      <c r="H5103" s="922"/>
      <c r="I5103" s="922"/>
      <c r="J5103" s="922"/>
      <c r="K5103" s="924"/>
      <c r="L5103" s="920"/>
      <c r="M5103" s="922"/>
      <c r="N5103" s="924"/>
      <c r="O5103" s="362"/>
    </row>
    <row r="5104" spans="1:15" ht="34.9" customHeight="1">
      <c r="A5104" s="395"/>
      <c r="B5104" s="399"/>
      <c r="C5104" s="920"/>
      <c r="D5104" s="924"/>
      <c r="E5104" s="920"/>
      <c r="F5104" s="922"/>
      <c r="G5104" s="922"/>
      <c r="H5104" s="922"/>
      <c r="I5104" s="922"/>
      <c r="J5104" s="922"/>
      <c r="K5104" s="924"/>
      <c r="L5104" s="925" t="s">
        <v>2</v>
      </c>
      <c r="M5104" s="926"/>
      <c r="N5104" s="927"/>
      <c r="O5104" s="362"/>
    </row>
    <row r="5105" spans="1:15" ht="15.75" customHeight="1">
      <c r="A5105" s="395"/>
      <c r="B5105" s="399"/>
      <c r="C5105" s="920"/>
      <c r="D5105" s="924"/>
      <c r="E5105" s="407"/>
      <c r="F5105" s="216"/>
      <c r="G5105" s="216"/>
      <c r="H5105" s="216"/>
      <c r="I5105" s="216"/>
      <c r="J5105" s="216"/>
      <c r="K5105" s="216"/>
      <c r="L5105" s="408" t="s">
        <v>3</v>
      </c>
      <c r="M5105" s="409" t="s">
        <v>4</v>
      </c>
      <c r="N5105" s="410" t="s">
        <v>5</v>
      </c>
      <c r="O5105" s="362"/>
    </row>
    <row r="5106" spans="1:15" ht="15.75" customHeight="1">
      <c r="A5106" s="395"/>
      <c r="B5106" s="399"/>
      <c r="C5106" s="920"/>
      <c r="D5106" s="924"/>
      <c r="E5106" s="1125" t="s">
        <v>1186</v>
      </c>
      <c r="F5106" s="945"/>
      <c r="G5106" s="945"/>
      <c r="H5106" s="945"/>
      <c r="I5106" s="945"/>
      <c r="J5106" s="945"/>
      <c r="K5106" s="945"/>
      <c r="L5106" s="928">
        <f>Datos!$C$7</f>
        <v>19</v>
      </c>
      <c r="M5106" s="935">
        <f>Datos!$D$7</f>
        <v>6</v>
      </c>
      <c r="N5106" s="937">
        <f>Datos!$E$7</f>
        <v>2026</v>
      </c>
      <c r="O5106" s="362"/>
    </row>
    <row r="5107" spans="1:15" ht="15.75" customHeight="1">
      <c r="A5107" s="395"/>
      <c r="B5107" s="399"/>
      <c r="C5107" s="929"/>
      <c r="D5107" s="938"/>
      <c r="E5107" s="929"/>
      <c r="F5107" s="936"/>
      <c r="G5107" s="936"/>
      <c r="H5107" s="936"/>
      <c r="I5107" s="936"/>
      <c r="J5107" s="936"/>
      <c r="K5107" s="936"/>
      <c r="L5107" s="929"/>
      <c r="M5107" s="936"/>
      <c r="N5107" s="938"/>
      <c r="O5107" s="362"/>
    </row>
    <row r="5108" spans="1:15" ht="15.75" customHeight="1">
      <c r="A5108" s="395"/>
      <c r="B5108" s="399"/>
      <c r="C5108" s="404"/>
      <c r="D5108" s="38"/>
      <c r="E5108" s="38"/>
      <c r="F5108" s="38"/>
      <c r="G5108" s="38"/>
      <c r="H5108" s="38"/>
      <c r="I5108" s="38"/>
      <c r="J5108" s="38"/>
      <c r="K5108" s="38"/>
      <c r="L5108" s="39"/>
      <c r="M5108" s="39"/>
      <c r="N5108" s="40"/>
      <c r="O5108" s="362"/>
    </row>
    <row r="5109" spans="1:15" ht="15.75" customHeight="1">
      <c r="A5109" s="395"/>
      <c r="B5109" s="399"/>
      <c r="C5109" s="412" t="s">
        <v>1187</v>
      </c>
      <c r="D5109" s="1199" t="str">
        <f>VLOOKUP(C5114,ListaAct,2,0)</f>
        <v>OBRA CIVIL</v>
      </c>
      <c r="E5109" s="922"/>
      <c r="F5109" s="922"/>
      <c r="G5109" s="922"/>
      <c r="H5109" s="922"/>
      <c r="I5109" s="922"/>
      <c r="J5109" s="922"/>
      <c r="K5109" s="922"/>
      <c r="L5109" s="922"/>
      <c r="M5109" s="1"/>
      <c r="N5109" s="413"/>
      <c r="O5109" s="362"/>
    </row>
    <row r="5110" spans="1:15" ht="15.75" customHeight="1">
      <c r="A5110" s="395"/>
      <c r="B5110" s="399"/>
      <c r="C5110" s="412" t="s">
        <v>1189</v>
      </c>
      <c r="D5110" s="1199" t="str">
        <f>VLOOKUP(C5114,ListaAct,3,0)</f>
        <v>ACTIVIDADES ELECTRICAS, DATOS Y DEMAS REQUERIDAS</v>
      </c>
      <c r="E5110" s="922"/>
      <c r="F5110" s="922"/>
      <c r="G5110" s="922"/>
      <c r="H5110" s="922"/>
      <c r="I5110" s="922"/>
      <c r="J5110" s="922"/>
      <c r="K5110" s="922"/>
      <c r="L5110" s="922"/>
      <c r="M5110" s="1"/>
      <c r="N5110" s="413"/>
      <c r="O5110" s="362"/>
    </row>
    <row r="5111" spans="1:15" ht="15.75" customHeight="1">
      <c r="A5111" s="395"/>
      <c r="B5111" s="399"/>
      <c r="C5111" s="925" t="s">
        <v>1191</v>
      </c>
      <c r="D5111" s="926"/>
      <c r="E5111" s="926"/>
      <c r="F5111" s="926"/>
      <c r="G5111" s="926"/>
      <c r="H5111" s="926"/>
      <c r="I5111" s="926"/>
      <c r="J5111" s="926"/>
      <c r="K5111" s="926"/>
      <c r="L5111" s="926"/>
      <c r="M5111" s="926"/>
      <c r="N5111" s="927"/>
      <c r="O5111" s="362"/>
    </row>
    <row r="5112" spans="1:15" ht="15.75" customHeight="1">
      <c r="A5112" s="395"/>
      <c r="B5112" s="399"/>
      <c r="C5112" s="418"/>
      <c r="D5112" s="39"/>
      <c r="E5112" s="39"/>
      <c r="F5112" s="39"/>
      <c r="G5112" s="39"/>
      <c r="H5112" s="39"/>
      <c r="I5112" s="39"/>
      <c r="J5112" s="39"/>
      <c r="K5112" s="39"/>
      <c r="L5112" s="39"/>
      <c r="M5112" s="39"/>
      <c r="N5112" s="40"/>
      <c r="O5112" s="362"/>
    </row>
    <row r="5113" spans="1:15" ht="15.75" customHeight="1">
      <c r="A5113" s="395"/>
      <c r="B5113" s="399"/>
      <c r="C5113" s="668" t="s">
        <v>965</v>
      </c>
      <c r="D5113" s="1200" t="s">
        <v>17</v>
      </c>
      <c r="E5113" s="1131"/>
      <c r="F5113" s="1131"/>
      <c r="G5113" s="1131"/>
      <c r="H5113" s="1131"/>
      <c r="I5113" s="1131"/>
      <c r="J5113" s="1131"/>
      <c r="K5113" s="1137"/>
      <c r="L5113" s="1201" t="s">
        <v>1192</v>
      </c>
      <c r="M5113" s="1137"/>
      <c r="N5113" s="668" t="s">
        <v>950</v>
      </c>
      <c r="O5113" s="362"/>
    </row>
    <row r="5114" spans="1:15" ht="15.75" customHeight="1">
      <c r="A5114" s="395"/>
      <c r="B5114" s="421"/>
      <c r="C5114" s="669" t="s">
        <v>1157</v>
      </c>
      <c r="D5114" s="1202" t="str">
        <f>IF($C5114&gt;0,(VLOOKUP($C5114,ListaAct,4,FALSE)),"")</f>
        <v>Desmonte, suministro e instalacion de soportes de flanche</v>
      </c>
      <c r="E5114" s="979"/>
      <c r="F5114" s="979"/>
      <c r="G5114" s="979"/>
      <c r="H5114" s="979"/>
      <c r="I5114" s="979"/>
      <c r="J5114" s="979"/>
      <c r="K5114" s="980"/>
      <c r="L5114" s="1203" t="str">
        <f>IF($C5114&gt;0,(VLOOKUP($C5114,ListaAct,5,FALSE)),"")</f>
        <v>und</v>
      </c>
      <c r="M5114" s="980"/>
      <c r="N5114" s="423">
        <f>IF($C5114&gt;0,(VLOOKUP($C5114,ListaAct,6,FALSE)),"")</f>
        <v>10</v>
      </c>
      <c r="O5114" s="362"/>
    </row>
    <row r="5115" spans="1:15" ht="15.75" customHeight="1">
      <c r="A5115" s="395"/>
      <c r="B5115" s="399"/>
      <c r="C5115" s="1129" t="s">
        <v>1195</v>
      </c>
      <c r="D5115" s="926"/>
      <c r="E5115" s="926"/>
      <c r="F5115" s="926"/>
      <c r="G5115" s="926"/>
      <c r="H5115" s="926"/>
      <c r="I5115" s="926"/>
      <c r="J5115" s="926"/>
      <c r="K5115" s="926"/>
      <c r="L5115" s="926"/>
      <c r="M5115" s="926"/>
      <c r="N5115" s="927"/>
      <c r="O5115" s="362"/>
    </row>
    <row r="5116" spans="1:15" ht="15.75" customHeight="1">
      <c r="A5116" s="395"/>
      <c r="B5116" s="399"/>
      <c r="C5116" s="920"/>
      <c r="D5116" s="922"/>
      <c r="E5116" s="922"/>
      <c r="F5116" s="922"/>
      <c r="G5116" s="922"/>
      <c r="H5116" s="922"/>
      <c r="I5116" s="922"/>
      <c r="J5116" s="922"/>
      <c r="K5116" s="922"/>
      <c r="L5116" s="922"/>
      <c r="M5116" s="922"/>
      <c r="N5116" s="924"/>
      <c r="O5116" s="362"/>
    </row>
    <row r="5117" spans="1:15" ht="15.75" customHeight="1">
      <c r="A5117" s="395"/>
      <c r="B5117" s="399"/>
      <c r="C5117" s="929"/>
      <c r="D5117" s="936"/>
      <c r="E5117" s="936"/>
      <c r="F5117" s="936"/>
      <c r="G5117" s="936"/>
      <c r="H5117" s="936"/>
      <c r="I5117" s="936"/>
      <c r="J5117" s="936"/>
      <c r="K5117" s="936"/>
      <c r="L5117" s="936"/>
      <c r="M5117" s="936"/>
      <c r="N5117" s="938"/>
      <c r="O5117" s="362"/>
    </row>
    <row r="5118" spans="1:15" ht="15.75" customHeight="1">
      <c r="A5118" s="395"/>
      <c r="B5118" s="399"/>
      <c r="C5118" s="1201" t="s">
        <v>17</v>
      </c>
      <c r="D5118" s="1131"/>
      <c r="E5118" s="1131"/>
      <c r="F5118" s="1000"/>
      <c r="G5118" s="1204" t="s">
        <v>1196</v>
      </c>
      <c r="H5118" s="1000"/>
      <c r="I5118" s="1204" t="s">
        <v>1197</v>
      </c>
      <c r="J5118" s="1000"/>
      <c r="K5118" s="670" t="s">
        <v>1213</v>
      </c>
      <c r="L5118" s="1204" t="s">
        <v>1199</v>
      </c>
      <c r="M5118" s="1000"/>
      <c r="N5118" s="671" t="s">
        <v>1200</v>
      </c>
      <c r="O5118" s="362"/>
    </row>
    <row r="5119" spans="1:15" ht="15.75" customHeight="1">
      <c r="A5119" s="395"/>
      <c r="B5119" s="399"/>
      <c r="C5119" s="1128" t="s">
        <v>1201</v>
      </c>
      <c r="D5119" s="940"/>
      <c r="E5119" s="940"/>
      <c r="F5119" s="941"/>
      <c r="G5119" s="1142"/>
      <c r="H5119" s="941"/>
      <c r="I5119" s="1142"/>
      <c r="J5119" s="941"/>
      <c r="K5119" s="429"/>
      <c r="L5119" s="1143">
        <v>0.05</v>
      </c>
      <c r="M5119" s="941"/>
      <c r="N5119" s="430">
        <f>+L5119*N5158</f>
        <v>6772.5395392459586</v>
      </c>
      <c r="O5119" s="362"/>
    </row>
    <row r="5120" spans="1:15" ht="15.75" customHeight="1">
      <c r="A5120" s="395">
        <f t="array" ref="A5120">IF(C5120&lt;&gt;0,INDEX(CodEquipos,MATCH(C5120,Equipos,0),),)</f>
        <v>0</v>
      </c>
      <c r="B5120" s="399"/>
      <c r="C5120" s="1128"/>
      <c r="D5120" s="940"/>
      <c r="E5120" s="940"/>
      <c r="F5120" s="941"/>
      <c r="G5120" s="1142"/>
      <c r="H5120" s="941"/>
      <c r="I5120" s="1142"/>
      <c r="J5120" s="941"/>
      <c r="K5120" s="432" t="str">
        <f>IF($A5120&gt;0,(VLOOKUP($A5120,TablaEquipos,7,FALSE)),"")</f>
        <v/>
      </c>
      <c r="L5120" s="1146"/>
      <c r="M5120" s="941"/>
      <c r="N5120" s="430" t="str">
        <f t="shared" ref="N5120:N5124" si="373">IF(L5120&gt;0,K5120/L5120,"")</f>
        <v/>
      </c>
      <c r="O5120" s="362"/>
    </row>
    <row r="5121" spans="1:15" ht="15.75" customHeight="1">
      <c r="A5121" s="395">
        <f t="array" ref="A5121">IF(C5121&lt;&gt;0,INDEX(CodEquipos,MATCH(C5121,Equipos,0),),)</f>
        <v>0</v>
      </c>
      <c r="B5121" s="399"/>
      <c r="C5121" s="1128"/>
      <c r="D5121" s="940"/>
      <c r="E5121" s="940"/>
      <c r="F5121" s="941"/>
      <c r="G5121" s="1142"/>
      <c r="H5121" s="941"/>
      <c r="I5121" s="1142"/>
      <c r="J5121" s="941"/>
      <c r="K5121" s="432" t="str">
        <f>IF($A5121&gt;0,(VLOOKUP($A5121,TablaEquipos,7,FALSE)),"")</f>
        <v/>
      </c>
      <c r="L5121" s="1146"/>
      <c r="M5121" s="941"/>
      <c r="N5121" s="430" t="str">
        <f t="shared" si="373"/>
        <v/>
      </c>
      <c r="O5121" s="362"/>
    </row>
    <row r="5122" spans="1:15" ht="15.75" customHeight="1">
      <c r="A5122" s="395">
        <f t="array" ref="A5122">IF(C5122&lt;&gt;0,INDEX(CodEquipos,MATCH(C5122,Equipos,0),),)</f>
        <v>0</v>
      </c>
      <c r="B5122" s="399"/>
      <c r="C5122" s="1128"/>
      <c r="D5122" s="940"/>
      <c r="E5122" s="940"/>
      <c r="F5122" s="941"/>
      <c r="G5122" s="1142"/>
      <c r="H5122" s="941"/>
      <c r="I5122" s="1142"/>
      <c r="J5122" s="941"/>
      <c r="K5122" s="432" t="str">
        <f>IF($A5122&gt;0,(VLOOKUP($A5122,TablaEquipos,7,FALSE)),"")</f>
        <v/>
      </c>
      <c r="L5122" s="1146"/>
      <c r="M5122" s="941"/>
      <c r="N5122" s="430" t="str">
        <f t="shared" si="373"/>
        <v/>
      </c>
      <c r="O5122" s="362"/>
    </row>
    <row r="5123" spans="1:15" ht="15.75" customHeight="1">
      <c r="A5123" s="395">
        <f t="array" ref="A5123">IF(C5123&lt;&gt;0,INDEX(CodEquipos,MATCH(C5123,Equipos,0),),)</f>
        <v>0</v>
      </c>
      <c r="B5123" s="399"/>
      <c r="C5123" s="1128"/>
      <c r="D5123" s="940"/>
      <c r="E5123" s="940"/>
      <c r="F5123" s="941"/>
      <c r="G5123" s="1142"/>
      <c r="H5123" s="941"/>
      <c r="I5123" s="1142"/>
      <c r="J5123" s="941"/>
      <c r="K5123" s="432" t="str">
        <f>IF($A5123&gt;0,(VLOOKUP($A5123,TablaEquipos,7,FALSE)),"")</f>
        <v/>
      </c>
      <c r="L5123" s="1141"/>
      <c r="M5123" s="941"/>
      <c r="N5123" s="430" t="str">
        <f t="shared" si="373"/>
        <v/>
      </c>
      <c r="O5123" s="362"/>
    </row>
    <row r="5124" spans="1:15" ht="15.75" customHeight="1">
      <c r="A5124" s="395">
        <f t="array" ref="A5124">IF(C5124&lt;&gt;0,INDEX(CodEquipos,MATCH(C5124,Equipos,0),),)</f>
        <v>0</v>
      </c>
      <c r="B5124" s="399"/>
      <c r="C5124" s="1128"/>
      <c r="D5124" s="940"/>
      <c r="E5124" s="940"/>
      <c r="F5124" s="941"/>
      <c r="G5124" s="1144"/>
      <c r="H5124" s="1145"/>
      <c r="I5124" s="1144"/>
      <c r="J5124" s="1145"/>
      <c r="K5124" s="432" t="str">
        <f>IF($A5124&gt;0,(VLOOKUP($A5124,TablaEquipos,7,FALSE)),"")</f>
        <v/>
      </c>
      <c r="L5124" s="1208"/>
      <c r="M5124" s="1145"/>
      <c r="N5124" s="430" t="str">
        <f t="shared" si="373"/>
        <v/>
      </c>
      <c r="O5124" s="362"/>
    </row>
    <row r="5125" spans="1:15" ht="15.75" customHeight="1">
      <c r="A5125" s="395"/>
      <c r="B5125" s="399"/>
      <c r="C5125" s="1127" t="s">
        <v>1202</v>
      </c>
      <c r="D5125" s="965"/>
      <c r="E5125" s="965"/>
      <c r="F5125" s="965"/>
      <c r="G5125" s="965"/>
      <c r="H5125" s="965"/>
      <c r="I5125" s="965"/>
      <c r="J5125" s="965"/>
      <c r="K5125" s="965"/>
      <c r="L5125" s="965"/>
      <c r="M5125" s="966"/>
      <c r="N5125" s="433">
        <f>+SUM(N5119:N5124)</f>
        <v>6772.5395392459586</v>
      </c>
      <c r="O5125" s="362"/>
    </row>
    <row r="5126" spans="1:15" ht="15.75" customHeight="1">
      <c r="A5126" s="395"/>
      <c r="B5126" s="399"/>
      <c r="C5126" s="1129" t="s">
        <v>1203</v>
      </c>
      <c r="D5126" s="926"/>
      <c r="E5126" s="926"/>
      <c r="F5126" s="926"/>
      <c r="G5126" s="926"/>
      <c r="H5126" s="926"/>
      <c r="I5126" s="926"/>
      <c r="J5126" s="926"/>
      <c r="K5126" s="926"/>
      <c r="L5126" s="926"/>
      <c r="M5126" s="926"/>
      <c r="N5126" s="927"/>
      <c r="O5126" s="362"/>
    </row>
    <row r="5127" spans="1:15" ht="15.75" customHeight="1">
      <c r="A5127" s="395"/>
      <c r="B5127" s="399"/>
      <c r="C5127" s="920"/>
      <c r="D5127" s="922"/>
      <c r="E5127" s="922"/>
      <c r="F5127" s="922"/>
      <c r="G5127" s="922"/>
      <c r="H5127" s="922"/>
      <c r="I5127" s="922"/>
      <c r="J5127" s="922"/>
      <c r="K5127" s="922"/>
      <c r="L5127" s="922"/>
      <c r="M5127" s="922"/>
      <c r="N5127" s="924"/>
      <c r="O5127" s="362"/>
    </row>
    <row r="5128" spans="1:15" ht="15.75" customHeight="1">
      <c r="A5128" s="395"/>
      <c r="B5128" s="399"/>
      <c r="C5128" s="929"/>
      <c r="D5128" s="936"/>
      <c r="E5128" s="936"/>
      <c r="F5128" s="936"/>
      <c r="G5128" s="936"/>
      <c r="H5128" s="936"/>
      <c r="I5128" s="936"/>
      <c r="J5128" s="936"/>
      <c r="K5128" s="936"/>
      <c r="L5128" s="936"/>
      <c r="M5128" s="936"/>
      <c r="N5128" s="938"/>
      <c r="O5128" s="362"/>
    </row>
    <row r="5129" spans="1:15" ht="15.75" customHeight="1">
      <c r="A5129" s="395"/>
      <c r="B5129" s="399"/>
      <c r="C5129" s="1201" t="s">
        <v>17</v>
      </c>
      <c r="D5129" s="1131"/>
      <c r="E5129" s="1131"/>
      <c r="F5129" s="1131"/>
      <c r="G5129" s="1131"/>
      <c r="H5129" s="1131"/>
      <c r="I5129" s="1000"/>
      <c r="J5129" s="672" t="s">
        <v>1192</v>
      </c>
      <c r="K5129" s="670" t="s">
        <v>950</v>
      </c>
      <c r="L5129" s="1204" t="s">
        <v>1204</v>
      </c>
      <c r="M5129" s="1000"/>
      <c r="N5129" s="671" t="s">
        <v>1200</v>
      </c>
      <c r="O5129" s="362"/>
    </row>
    <row r="5130" spans="1:15" ht="15.75" customHeight="1">
      <c r="A5130" s="395" t="str">
        <f t="array" ref="A5130">IF(C5130&lt;&gt;0,INDEX(CodMat,MATCH(C5130,Materiales,0),),)</f>
        <v>MAT_M-32</v>
      </c>
      <c r="B5130" s="399"/>
      <c r="C5130" s="1128" t="s">
        <v>2423</v>
      </c>
      <c r="D5130" s="940"/>
      <c r="E5130" s="940"/>
      <c r="F5130" s="940"/>
      <c r="G5130" s="940"/>
      <c r="H5130" s="940"/>
      <c r="I5130" s="941"/>
      <c r="J5130" s="435" t="str">
        <f t="shared" ref="J5130:J5137" si="374">IF($A5130&gt;0,(VLOOKUP($A5130,TablaInsumos,5,FALSE)),"")</f>
        <v>UND</v>
      </c>
      <c r="K5130" s="673">
        <f>1/6</f>
        <v>0.16666666666666666</v>
      </c>
      <c r="L5130" s="1134">
        <f t="shared" ref="L5130:L5137" si="375">IF($A5130&gt;0,(VLOOKUP($A5130,TablaInsumos,7,FALSE)),"")</f>
        <v>33900</v>
      </c>
      <c r="M5130" s="941"/>
      <c r="N5130" s="430">
        <f t="shared" ref="N5130:N5137" si="376">IF(K5130&gt;0,L5130*K5130,"")</f>
        <v>5650</v>
      </c>
      <c r="O5130" s="362"/>
    </row>
    <row r="5131" spans="1:15" ht="15.75" customHeight="1">
      <c r="A5131" s="395" t="str">
        <f t="array" ref="A5131">IF(C5131&lt;&gt;0,INDEX(CodMat,MATCH(C5131,Materiales,0),),)</f>
        <v>MAT_ELE-43</v>
      </c>
      <c r="B5131" s="399"/>
      <c r="C5131" s="1128" t="s">
        <v>2617</v>
      </c>
      <c r="D5131" s="940"/>
      <c r="E5131" s="940"/>
      <c r="F5131" s="940"/>
      <c r="G5131" s="940"/>
      <c r="H5131" s="940"/>
      <c r="I5131" s="941"/>
      <c r="J5131" s="435" t="str">
        <f t="shared" si="374"/>
        <v>UND</v>
      </c>
      <c r="K5131" s="673">
        <v>8</v>
      </c>
      <c r="L5131" s="1134">
        <f t="shared" si="375"/>
        <v>1073</v>
      </c>
      <c r="M5131" s="941"/>
      <c r="N5131" s="430">
        <f t="shared" si="376"/>
        <v>8584</v>
      </c>
      <c r="O5131" s="362"/>
    </row>
    <row r="5132" spans="1:15" ht="15.75" customHeight="1">
      <c r="A5132" s="395" t="str">
        <f t="array" ref="A5132">IF(C5132&lt;&gt;0,INDEX(CodMat,MATCH(C5132,Materiales,0),),)</f>
        <v>MAT_MC-19</v>
      </c>
      <c r="B5132" s="399"/>
      <c r="C5132" s="1128" t="s">
        <v>2629</v>
      </c>
      <c r="D5132" s="940"/>
      <c r="E5132" s="940"/>
      <c r="F5132" s="940"/>
      <c r="G5132" s="940"/>
      <c r="H5132" s="940"/>
      <c r="I5132" s="941"/>
      <c r="J5132" s="435" t="str">
        <f t="shared" si="374"/>
        <v xml:space="preserve">UND </v>
      </c>
      <c r="K5132" s="673">
        <v>4</v>
      </c>
      <c r="L5132" s="1134">
        <f t="shared" si="375"/>
        <v>120</v>
      </c>
      <c r="M5132" s="941"/>
      <c r="N5132" s="430">
        <f t="shared" si="376"/>
        <v>480</v>
      </c>
      <c r="O5132" s="362"/>
    </row>
    <row r="5133" spans="1:15" ht="15.75" customHeight="1">
      <c r="A5133" s="395" t="str">
        <f t="array" ref="A5133">IF(C5133&lt;&gt;0,INDEX(CodMat,MATCH(C5133,Materiales,0),),)</f>
        <v>MAT_P-07</v>
      </c>
      <c r="B5133" s="399"/>
      <c r="C5133" s="1128" t="s">
        <v>2630</v>
      </c>
      <c r="D5133" s="940"/>
      <c r="E5133" s="940"/>
      <c r="F5133" s="940"/>
      <c r="G5133" s="940"/>
      <c r="H5133" s="940"/>
      <c r="I5133" s="941"/>
      <c r="J5133" s="435" t="str">
        <f t="shared" si="374"/>
        <v>GLN</v>
      </c>
      <c r="K5133" s="673">
        <v>0.1</v>
      </c>
      <c r="L5133" s="1134">
        <f t="shared" si="375"/>
        <v>80900</v>
      </c>
      <c r="M5133" s="941"/>
      <c r="N5133" s="430">
        <f t="shared" si="376"/>
        <v>8090</v>
      </c>
      <c r="O5133" s="362"/>
    </row>
    <row r="5134" spans="1:15" ht="15.75" customHeight="1">
      <c r="A5134" s="395" t="str">
        <f t="array" ref="A5134">IF(C5134&lt;&gt;0,INDEX(CodMat,MATCH(C5134,Materiales,0),),)</f>
        <v>MAT_P-11</v>
      </c>
      <c r="B5134" s="399"/>
      <c r="C5134" s="1128" t="s">
        <v>2618</v>
      </c>
      <c r="D5134" s="940"/>
      <c r="E5134" s="940"/>
      <c r="F5134" s="940"/>
      <c r="G5134" s="940"/>
      <c r="H5134" s="940"/>
      <c r="I5134" s="941"/>
      <c r="J5134" s="435" t="str">
        <f t="shared" si="374"/>
        <v>GLN</v>
      </c>
      <c r="K5134" s="436">
        <v>0.1</v>
      </c>
      <c r="L5134" s="1134">
        <f t="shared" si="375"/>
        <v>139900</v>
      </c>
      <c r="M5134" s="941"/>
      <c r="N5134" s="430">
        <f t="shared" si="376"/>
        <v>13990</v>
      </c>
      <c r="O5134" s="362"/>
    </row>
    <row r="5135" spans="1:15" ht="15.75" customHeight="1">
      <c r="A5135" s="395" t="str">
        <f t="array" ref="A5135">IF(C5135&lt;&gt;0,INDEX(CodMat,MATCH(C5135,Materiales,0),),)</f>
        <v>MAT_CB-16</v>
      </c>
      <c r="B5135" s="399"/>
      <c r="C5135" s="1128" t="s">
        <v>2622</v>
      </c>
      <c r="D5135" s="940"/>
      <c r="E5135" s="940"/>
      <c r="F5135" s="940"/>
      <c r="G5135" s="940"/>
      <c r="H5135" s="940"/>
      <c r="I5135" s="941"/>
      <c r="J5135" s="435" t="str">
        <f t="shared" si="374"/>
        <v xml:space="preserve">UND </v>
      </c>
      <c r="K5135" s="436">
        <v>0.8</v>
      </c>
      <c r="L5135" s="1134">
        <f t="shared" si="375"/>
        <v>38526</v>
      </c>
      <c r="M5135" s="941"/>
      <c r="N5135" s="430">
        <f t="shared" si="376"/>
        <v>30820.800000000003</v>
      </c>
      <c r="O5135" s="362"/>
    </row>
    <row r="5136" spans="1:15" ht="15.75" customHeight="1">
      <c r="A5136" s="395">
        <f t="array" ref="A5136">IF(C5136&lt;&gt;0,INDEX(CodMat,MATCH(C5136,Materiales,0),),)</f>
        <v>0</v>
      </c>
      <c r="B5136" s="399"/>
      <c r="C5136" s="1128"/>
      <c r="D5136" s="940"/>
      <c r="E5136" s="940"/>
      <c r="F5136" s="940"/>
      <c r="G5136" s="940"/>
      <c r="H5136" s="940"/>
      <c r="I5136" s="941"/>
      <c r="J5136" s="435" t="str">
        <f t="shared" si="374"/>
        <v/>
      </c>
      <c r="K5136" s="436"/>
      <c r="L5136" s="1134" t="str">
        <f t="shared" si="375"/>
        <v/>
      </c>
      <c r="M5136" s="941"/>
      <c r="N5136" s="430" t="str">
        <f t="shared" si="376"/>
        <v/>
      </c>
      <c r="O5136" s="362"/>
    </row>
    <row r="5137" spans="1:15" ht="15.75" customHeight="1">
      <c r="A5137" s="395">
        <f t="array" ref="A5137">IF(C5137&lt;&gt;0,INDEX(CodMat,MATCH(C5137,Materiales,0),),)</f>
        <v>0</v>
      </c>
      <c r="B5137" s="399"/>
      <c r="C5137" s="1128"/>
      <c r="D5137" s="940"/>
      <c r="E5137" s="940"/>
      <c r="F5137" s="940"/>
      <c r="G5137" s="940"/>
      <c r="H5137" s="940"/>
      <c r="I5137" s="941"/>
      <c r="J5137" s="435" t="str">
        <f t="shared" si="374"/>
        <v/>
      </c>
      <c r="K5137" s="436"/>
      <c r="L5137" s="1205" t="str">
        <f t="shared" si="375"/>
        <v/>
      </c>
      <c r="M5137" s="1145"/>
      <c r="N5137" s="430" t="str">
        <f t="shared" si="376"/>
        <v/>
      </c>
      <c r="O5137" s="362"/>
    </row>
    <row r="5138" spans="1:15" ht="15.75" customHeight="1">
      <c r="A5138" s="395"/>
      <c r="B5138" s="399"/>
      <c r="C5138" s="1127" t="s">
        <v>1202</v>
      </c>
      <c r="D5138" s="965"/>
      <c r="E5138" s="965"/>
      <c r="F5138" s="965"/>
      <c r="G5138" s="965"/>
      <c r="H5138" s="965"/>
      <c r="I5138" s="965"/>
      <c r="J5138" s="965"/>
      <c r="K5138" s="965"/>
      <c r="L5138" s="965"/>
      <c r="M5138" s="966"/>
      <c r="N5138" s="433">
        <f>+SUM(N5130:N5137)</f>
        <v>67614.8</v>
      </c>
      <c r="O5138" s="362"/>
    </row>
    <row r="5139" spans="1:15" ht="15.75" customHeight="1">
      <c r="A5139" s="395"/>
      <c r="B5139" s="399"/>
      <c r="C5139" s="1129" t="s">
        <v>1208</v>
      </c>
      <c r="D5139" s="926"/>
      <c r="E5139" s="926"/>
      <c r="F5139" s="926"/>
      <c r="G5139" s="926"/>
      <c r="H5139" s="926"/>
      <c r="I5139" s="926"/>
      <c r="J5139" s="926"/>
      <c r="K5139" s="926"/>
      <c r="L5139" s="926"/>
      <c r="M5139" s="926"/>
      <c r="N5139" s="927"/>
      <c r="O5139" s="362"/>
    </row>
    <row r="5140" spans="1:15" ht="15.75" customHeight="1">
      <c r="A5140" s="395"/>
      <c r="B5140" s="399"/>
      <c r="C5140" s="920"/>
      <c r="D5140" s="922"/>
      <c r="E5140" s="922"/>
      <c r="F5140" s="922"/>
      <c r="G5140" s="922"/>
      <c r="H5140" s="922"/>
      <c r="I5140" s="922"/>
      <c r="J5140" s="922"/>
      <c r="K5140" s="922"/>
      <c r="L5140" s="922"/>
      <c r="M5140" s="922"/>
      <c r="N5140" s="924"/>
      <c r="O5140" s="362"/>
    </row>
    <row r="5141" spans="1:15" ht="15.75" customHeight="1">
      <c r="A5141" s="395"/>
      <c r="B5141" s="399"/>
      <c r="C5141" s="929"/>
      <c r="D5141" s="936"/>
      <c r="E5141" s="936"/>
      <c r="F5141" s="936"/>
      <c r="G5141" s="936"/>
      <c r="H5141" s="936"/>
      <c r="I5141" s="936"/>
      <c r="J5141" s="936"/>
      <c r="K5141" s="936"/>
      <c r="L5141" s="936"/>
      <c r="M5141" s="936"/>
      <c r="N5141" s="938"/>
      <c r="O5141" s="362"/>
    </row>
    <row r="5142" spans="1:15" ht="15.75" customHeight="1">
      <c r="A5142" s="395"/>
      <c r="B5142" s="399"/>
      <c r="C5142" s="1201" t="s">
        <v>1209</v>
      </c>
      <c r="D5142" s="1131"/>
      <c r="E5142" s="1131"/>
      <c r="F5142" s="1131"/>
      <c r="G5142" s="1131"/>
      <c r="H5142" s="1000"/>
      <c r="I5142" s="670" t="s">
        <v>1210</v>
      </c>
      <c r="J5142" s="674" t="s">
        <v>1211</v>
      </c>
      <c r="K5142" s="675" t="s">
        <v>2318</v>
      </c>
      <c r="L5142" s="1204" t="s">
        <v>1213</v>
      </c>
      <c r="M5142" s="1000"/>
      <c r="N5142" s="671" t="s">
        <v>1200</v>
      </c>
      <c r="O5142" s="362"/>
    </row>
    <row r="5143" spans="1:15" ht="15.75" customHeight="1">
      <c r="A5143" s="395">
        <f t="array" ref="A5143">IF(C5143&lt;&gt;0,INDEX(CodTransporte,MATCH(C5143,Transporte,0),),)</f>
        <v>0</v>
      </c>
      <c r="B5143" s="399"/>
      <c r="C5143" s="1128"/>
      <c r="D5143" s="940"/>
      <c r="E5143" s="940"/>
      <c r="F5143" s="940"/>
      <c r="G5143" s="940"/>
      <c r="H5143" s="940"/>
      <c r="I5143" s="440"/>
      <c r="J5143" s="441" t="str">
        <f>IF($A5143&gt;0,(VLOOKUP($A5143,TablaTransporte,6,FALSE)),"")</f>
        <v/>
      </c>
      <c r="K5143" s="442" t="str">
        <f>IF($A5143&gt;0,(VLOOKUP($A5143,TablaTransporte,5,FALSE)),"")</f>
        <v/>
      </c>
      <c r="L5143" s="1134" t="str">
        <f>IF($A5143&gt;0,(VLOOKUP($A5143,TablaTransporte,7,FALSE)),"")</f>
        <v/>
      </c>
      <c r="M5143" s="941"/>
      <c r="N5143" s="430" t="str">
        <f t="shared" ref="N5143:N5147" si="377">IF(I5143&gt;0,J5143*L5143*I5143,"")</f>
        <v/>
      </c>
      <c r="O5143" s="362"/>
    </row>
    <row r="5144" spans="1:15" ht="15.75" customHeight="1">
      <c r="A5144" s="395">
        <f t="array" ref="A5144">IF(C5144&lt;&gt;0,INDEX(CodTransporte,MATCH(C5144,Transporte,0),),)</f>
        <v>0</v>
      </c>
      <c r="B5144" s="399"/>
      <c r="C5144" s="1128"/>
      <c r="D5144" s="940"/>
      <c r="E5144" s="940"/>
      <c r="F5144" s="940"/>
      <c r="G5144" s="940"/>
      <c r="H5144" s="940"/>
      <c r="I5144" s="440"/>
      <c r="J5144" s="441" t="str">
        <f>IF($A5144&gt;0,(VLOOKUP($A5144,TablaTransporte,6,FALSE)),"")</f>
        <v/>
      </c>
      <c r="K5144" s="442" t="str">
        <f>IF($A5144&gt;0,(VLOOKUP($A5144,TablaTransporte,5,FALSE)),"")</f>
        <v/>
      </c>
      <c r="L5144" s="1134" t="str">
        <f>IF($A5144&gt;0,(VLOOKUP($A5144,TablaTransporte,7,FALSE)),"")</f>
        <v/>
      </c>
      <c r="M5144" s="941"/>
      <c r="N5144" s="430" t="str">
        <f t="shared" si="377"/>
        <v/>
      </c>
      <c r="O5144" s="362"/>
    </row>
    <row r="5145" spans="1:15" ht="15.75" customHeight="1">
      <c r="A5145" s="395">
        <f t="array" ref="A5145">IF(C5145&lt;&gt;0,INDEX(CodTransporte,MATCH(C5145,Transporte,0),),)</f>
        <v>0</v>
      </c>
      <c r="B5145" s="399"/>
      <c r="C5145" s="1128"/>
      <c r="D5145" s="940"/>
      <c r="E5145" s="940"/>
      <c r="F5145" s="940"/>
      <c r="G5145" s="940"/>
      <c r="H5145" s="940"/>
      <c r="I5145" s="440"/>
      <c r="J5145" s="441" t="str">
        <f>IF($A5145&gt;0,(VLOOKUP($A5145,TablaTransporte,6,FALSE)),"")</f>
        <v/>
      </c>
      <c r="K5145" s="442" t="str">
        <f>IF($A5145&gt;0,(VLOOKUP($A5145,TablaTransporte,5,FALSE)),"")</f>
        <v/>
      </c>
      <c r="L5145" s="1134" t="str">
        <f>IF($A5145&gt;0,(VLOOKUP($A5145,TablaTransporte,7,FALSE)),"")</f>
        <v/>
      </c>
      <c r="M5145" s="941"/>
      <c r="N5145" s="430" t="str">
        <f t="shared" si="377"/>
        <v/>
      </c>
      <c r="O5145" s="362"/>
    </row>
    <row r="5146" spans="1:15" ht="15.75" customHeight="1">
      <c r="A5146" s="395">
        <f t="array" ref="A5146">IF(C5146&lt;&gt;0,INDEX(CodTransporte,MATCH(C5146,Transporte,0),),)</f>
        <v>0</v>
      </c>
      <c r="B5146" s="399"/>
      <c r="C5146" s="1128"/>
      <c r="D5146" s="940"/>
      <c r="E5146" s="940"/>
      <c r="F5146" s="940"/>
      <c r="G5146" s="940"/>
      <c r="H5146" s="940"/>
      <c r="I5146" s="440"/>
      <c r="J5146" s="441" t="str">
        <f>IF($A5146&gt;0,(VLOOKUP($A5146,TablaTransporte,6,FALSE)),"")</f>
        <v/>
      </c>
      <c r="K5146" s="442" t="str">
        <f>IF($A5146&gt;0,(VLOOKUP($A5146,TablaTransporte,5,FALSE)),"")</f>
        <v/>
      </c>
      <c r="L5146" s="1134" t="str">
        <f>IF($A5146&gt;0,(VLOOKUP($A5146,TablaTransporte,7,FALSE)),"")</f>
        <v/>
      </c>
      <c r="M5146" s="941"/>
      <c r="N5146" s="430" t="str">
        <f t="shared" si="377"/>
        <v/>
      </c>
      <c r="O5146" s="362"/>
    </row>
    <row r="5147" spans="1:15" ht="15.75" customHeight="1">
      <c r="A5147" s="395">
        <f t="array" ref="A5147">IF(C5147&lt;&gt;0,INDEX(CodTransporte,MATCH(C5147,Transporte,0),),)</f>
        <v>0</v>
      </c>
      <c r="B5147" s="399"/>
      <c r="C5147" s="1128"/>
      <c r="D5147" s="940"/>
      <c r="E5147" s="940"/>
      <c r="F5147" s="940"/>
      <c r="G5147" s="940"/>
      <c r="H5147" s="940"/>
      <c r="I5147" s="440"/>
      <c r="J5147" s="441" t="str">
        <f>IF($A5147&gt;0,(VLOOKUP($A5147,TablaTransporte,6,FALSE)),"")</f>
        <v/>
      </c>
      <c r="K5147" s="442" t="str">
        <f>IF($A5147&gt;0,(VLOOKUP($A5147,TablaTransporte,5,FALSE)),"")</f>
        <v/>
      </c>
      <c r="L5147" s="1205" t="str">
        <f>IF($A5147&gt;0,(VLOOKUP($A5147,TablaTransporte,7,FALSE)),"")</f>
        <v/>
      </c>
      <c r="M5147" s="1145"/>
      <c r="N5147" s="430" t="str">
        <f t="shared" si="377"/>
        <v/>
      </c>
      <c r="O5147" s="362"/>
    </row>
    <row r="5148" spans="1:15" ht="15.75" customHeight="1">
      <c r="A5148" s="395"/>
      <c r="B5148" s="399"/>
      <c r="C5148" s="1127" t="s">
        <v>1202</v>
      </c>
      <c r="D5148" s="965"/>
      <c r="E5148" s="965"/>
      <c r="F5148" s="965"/>
      <c r="G5148" s="965"/>
      <c r="H5148" s="965"/>
      <c r="I5148" s="965"/>
      <c r="J5148" s="965"/>
      <c r="K5148" s="965"/>
      <c r="L5148" s="965"/>
      <c r="M5148" s="966"/>
      <c r="N5148" s="433">
        <f>+SUM(N5143:N5147)</f>
        <v>0</v>
      </c>
      <c r="O5148" s="362"/>
    </row>
    <row r="5149" spans="1:15" ht="15.75" customHeight="1">
      <c r="A5149" s="395"/>
      <c r="B5149" s="399"/>
      <c r="C5149" s="1129" t="s">
        <v>1214</v>
      </c>
      <c r="D5149" s="926"/>
      <c r="E5149" s="926"/>
      <c r="F5149" s="926"/>
      <c r="G5149" s="926"/>
      <c r="H5149" s="926"/>
      <c r="I5149" s="926"/>
      <c r="J5149" s="926"/>
      <c r="K5149" s="926"/>
      <c r="L5149" s="926"/>
      <c r="M5149" s="926"/>
      <c r="N5149" s="927"/>
      <c r="O5149" s="362"/>
    </row>
    <row r="5150" spans="1:15" ht="15.75" customHeight="1">
      <c r="A5150" s="395"/>
      <c r="B5150" s="399"/>
      <c r="C5150" s="920"/>
      <c r="D5150" s="922"/>
      <c r="E5150" s="922"/>
      <c r="F5150" s="922"/>
      <c r="G5150" s="922"/>
      <c r="H5150" s="922"/>
      <c r="I5150" s="922"/>
      <c r="J5150" s="922"/>
      <c r="K5150" s="922"/>
      <c r="L5150" s="922"/>
      <c r="M5150" s="922"/>
      <c r="N5150" s="924"/>
      <c r="O5150" s="362"/>
    </row>
    <row r="5151" spans="1:15" ht="15.75" customHeight="1">
      <c r="A5151" s="395"/>
      <c r="B5151" s="399"/>
      <c r="C5151" s="929"/>
      <c r="D5151" s="936"/>
      <c r="E5151" s="936"/>
      <c r="F5151" s="936"/>
      <c r="G5151" s="936"/>
      <c r="H5151" s="936"/>
      <c r="I5151" s="936"/>
      <c r="J5151" s="936"/>
      <c r="K5151" s="936"/>
      <c r="L5151" s="936"/>
      <c r="M5151" s="936"/>
      <c r="N5151" s="938"/>
      <c r="O5151" s="362"/>
    </row>
    <row r="5152" spans="1:15" ht="15.75" customHeight="1">
      <c r="A5152" s="395"/>
      <c r="B5152" s="399"/>
      <c r="C5152" s="1201" t="s">
        <v>1215</v>
      </c>
      <c r="D5152" s="1131"/>
      <c r="E5152" s="1131"/>
      <c r="F5152" s="1131"/>
      <c r="G5152" s="1131"/>
      <c r="H5152" s="1000"/>
      <c r="I5152" s="670" t="s">
        <v>1216</v>
      </c>
      <c r="J5152" s="676" t="s">
        <v>1217</v>
      </c>
      <c r="K5152" s="677" t="s">
        <v>1218</v>
      </c>
      <c r="L5152" s="1206" t="s">
        <v>1199</v>
      </c>
      <c r="M5152" s="1000"/>
      <c r="N5152" s="678" t="s">
        <v>1200</v>
      </c>
      <c r="O5152" s="362"/>
    </row>
    <row r="5153" spans="1:18" ht="15.75" customHeight="1">
      <c r="A5153" s="395" t="str">
        <f t="array" ref="A5153">IF(C5153&lt;&gt;0,INDEX(CodMO,MATCH(C5153,MO,0),),)</f>
        <v>M.O-22</v>
      </c>
      <c r="B5153" s="399"/>
      <c r="C5153" s="1128" t="s">
        <v>249</v>
      </c>
      <c r="D5153" s="940"/>
      <c r="E5153" s="940"/>
      <c r="F5153" s="940"/>
      <c r="G5153" s="940"/>
      <c r="H5153" s="940"/>
      <c r="I5153" s="447">
        <f>IF($A5153&gt;0,(VLOOKUP($A5153,TablaMO,8,FALSE)),"")</f>
        <v>250060.33333333334</v>
      </c>
      <c r="J5153" s="448">
        <f>IF($A5153&gt;0,(VLOOKUP($A5153,TablaMO,10,FALSE)),"")</f>
        <v>0.67071666666666663</v>
      </c>
      <c r="K5153" s="447">
        <f>IF($A5153&gt;0,(VLOOKUP($A5153,TablaMO,11,FALSE)),"")</f>
        <v>417780</v>
      </c>
      <c r="L5153" s="1146">
        <v>3.0843673748895886</v>
      </c>
      <c r="M5153" s="941"/>
      <c r="N5153" s="430">
        <f t="shared" ref="N5153:N5157" si="378">IF(L5153&gt;0,K5153/L5153,"")</f>
        <v>135450.79078491917</v>
      </c>
      <c r="O5153" s="362"/>
    </row>
    <row r="5154" spans="1:18" ht="15.75" customHeight="1">
      <c r="A5154" s="395">
        <f t="array" ref="A5154">IF(C5154&lt;&gt;0,INDEX(CodMO,MATCH(C5154,MO,0),),)</f>
        <v>0</v>
      </c>
      <c r="B5154" s="399"/>
      <c r="C5154" s="1128"/>
      <c r="D5154" s="940"/>
      <c r="E5154" s="940"/>
      <c r="F5154" s="940"/>
      <c r="G5154" s="940"/>
      <c r="H5154" s="940"/>
      <c r="I5154" s="447" t="str">
        <f>IF($A5154&gt;0,(VLOOKUP($A5154,TablaMO,8,FALSE)),"")</f>
        <v/>
      </c>
      <c r="J5154" s="448" t="str">
        <f>IF($A5154&gt;0,(VLOOKUP($A5154,TablaMO,10,FALSE)),"")</f>
        <v/>
      </c>
      <c r="K5154" s="447" t="str">
        <f>IF($A5154&gt;0,(VLOOKUP($A5154,TablaMO,11,FALSE)),"")</f>
        <v/>
      </c>
      <c r="L5154" s="1146"/>
      <c r="M5154" s="941"/>
      <c r="N5154" s="430" t="str">
        <f t="shared" si="378"/>
        <v/>
      </c>
      <c r="O5154" s="362"/>
    </row>
    <row r="5155" spans="1:18" ht="15.75" customHeight="1">
      <c r="A5155" s="395">
        <f t="array" ref="A5155">IF(C5155&lt;&gt;0,INDEX(CodMO,MATCH(C5155,MO,0),),)</f>
        <v>0</v>
      </c>
      <c r="B5155" s="399"/>
      <c r="C5155" s="1128"/>
      <c r="D5155" s="940"/>
      <c r="E5155" s="940"/>
      <c r="F5155" s="940"/>
      <c r="G5155" s="940"/>
      <c r="H5155" s="940"/>
      <c r="I5155" s="447" t="str">
        <f>IF($A5155&gt;0,(VLOOKUP($A5155,TablaMO,8,FALSE)),"")</f>
        <v/>
      </c>
      <c r="J5155" s="448" t="str">
        <f>IF($A5155&gt;0,(VLOOKUP($A5155,TablaMO,10,FALSE)),"")</f>
        <v/>
      </c>
      <c r="K5155" s="447" t="str">
        <f>IF($A5155&gt;0,(VLOOKUP($A5155,TablaMO,11,FALSE)),"")</f>
        <v/>
      </c>
      <c r="L5155" s="1146"/>
      <c r="M5155" s="941"/>
      <c r="N5155" s="430" t="str">
        <f t="shared" si="378"/>
        <v/>
      </c>
      <c r="O5155" s="362"/>
    </row>
    <row r="5156" spans="1:18" ht="15.75" customHeight="1">
      <c r="A5156" s="395">
        <f t="array" ref="A5156">IF(C5156&lt;&gt;0,INDEX(CodMO,MATCH(C5156,MO,0),),)</f>
        <v>0</v>
      </c>
      <c r="B5156" s="399"/>
      <c r="C5156" s="1128"/>
      <c r="D5156" s="940"/>
      <c r="E5156" s="940"/>
      <c r="F5156" s="940"/>
      <c r="G5156" s="940"/>
      <c r="H5156" s="940"/>
      <c r="I5156" s="447" t="str">
        <f>IF($A5156&gt;0,(VLOOKUP($A5156,TablaMO,8,FALSE)),"")</f>
        <v/>
      </c>
      <c r="J5156" s="448" t="str">
        <f>IF($A5156&gt;0,(VLOOKUP($A5156,TablaMO,10,FALSE)),"")</f>
        <v/>
      </c>
      <c r="K5156" s="447" t="str">
        <f>IF($A5156&gt;0,(VLOOKUP($A5156,TablaMO,11,FALSE)),"")</f>
        <v/>
      </c>
      <c r="L5156" s="1146"/>
      <c r="M5156" s="941"/>
      <c r="N5156" s="430" t="str">
        <f t="shared" si="378"/>
        <v/>
      </c>
      <c r="O5156" s="362"/>
    </row>
    <row r="5157" spans="1:18" ht="15.75" customHeight="1">
      <c r="A5157" s="395">
        <f t="array" ref="A5157">IF(C5157&lt;&gt;0,INDEX(CodMO,MATCH(C5157,MO,0),),)</f>
        <v>0</v>
      </c>
      <c r="B5157" s="399"/>
      <c r="C5157" s="1128"/>
      <c r="D5157" s="940"/>
      <c r="E5157" s="940"/>
      <c r="F5157" s="940"/>
      <c r="G5157" s="940"/>
      <c r="H5157" s="940"/>
      <c r="I5157" s="447" t="str">
        <f>IF($A5157&gt;0,(VLOOKUP($A5157,TablaMO,8,FALSE)),"")</f>
        <v/>
      </c>
      <c r="J5157" s="448" t="str">
        <f>IF($A5157&gt;0,(VLOOKUP($A5157,TablaMO,10,FALSE)),"")</f>
        <v/>
      </c>
      <c r="K5157" s="447" t="str">
        <f>IF($A5157&gt;0,(VLOOKUP($A5157,TablaMO,11,FALSE)),"")</f>
        <v/>
      </c>
      <c r="L5157" s="1146"/>
      <c r="M5157" s="941"/>
      <c r="N5157" s="430" t="str">
        <f t="shared" si="378"/>
        <v/>
      </c>
      <c r="O5157" s="362"/>
    </row>
    <row r="5158" spans="1:18" ht="15.75" customHeight="1">
      <c r="A5158" s="395"/>
      <c r="B5158" s="399"/>
      <c r="C5158" s="1127" t="s">
        <v>1202</v>
      </c>
      <c r="D5158" s="965"/>
      <c r="E5158" s="965"/>
      <c r="F5158" s="965"/>
      <c r="G5158" s="965"/>
      <c r="H5158" s="965"/>
      <c r="I5158" s="965"/>
      <c r="J5158" s="965"/>
      <c r="K5158" s="965"/>
      <c r="L5158" s="965"/>
      <c r="M5158" s="966"/>
      <c r="N5158" s="433">
        <f>+SUM(N5153:N5157)</f>
        <v>135450.79078491917</v>
      </c>
      <c r="O5158" s="362"/>
    </row>
    <row r="5159" spans="1:18" ht="15.75" customHeight="1">
      <c r="B5159" s="679"/>
      <c r="O5159" s="362"/>
    </row>
    <row r="5160" spans="1:18" ht="15.75" customHeight="1">
      <c r="B5160" s="679"/>
      <c r="C5160" s="1198" t="s">
        <v>1219</v>
      </c>
      <c r="D5160" s="965"/>
      <c r="E5160" s="965"/>
      <c r="F5160" s="965"/>
      <c r="G5160" s="965"/>
      <c r="H5160" s="965"/>
      <c r="I5160" s="965"/>
      <c r="J5160" s="965"/>
      <c r="K5160" s="965"/>
      <c r="L5160" s="965"/>
      <c r="M5160" s="966"/>
      <c r="N5160" s="680">
        <f>ROUND(SUM(N5158,N5148,N5138,N5125),0)</f>
        <v>209838</v>
      </c>
      <c r="O5160" s="362"/>
      <c r="Q5160" s="681">
        <f>VLOOKUP(C5114,PROPUESTASASERCO,8,FALSE)</f>
        <v>209838</v>
      </c>
      <c r="R5160" s="682">
        <f>Q5160-N5160</f>
        <v>0</v>
      </c>
    </row>
    <row r="5161" spans="1:18" ht="15.75" customHeight="1">
      <c r="B5161" s="679"/>
      <c r="C5161" s="1129" t="s">
        <v>1220</v>
      </c>
      <c r="D5161" s="926"/>
      <c r="E5161" s="926"/>
      <c r="F5161" s="926"/>
      <c r="G5161" s="926"/>
      <c r="H5161" s="926"/>
      <c r="I5161" s="926"/>
      <c r="J5161" s="926"/>
      <c r="K5161" s="926"/>
      <c r="L5161" s="926"/>
      <c r="M5161" s="926"/>
      <c r="N5161" s="927"/>
      <c r="O5161" s="362"/>
    </row>
    <row r="5162" spans="1:18" ht="15.75" customHeight="1">
      <c r="B5162" s="679"/>
      <c r="C5162" s="920"/>
      <c r="D5162" s="922"/>
      <c r="E5162" s="922"/>
      <c r="F5162" s="922"/>
      <c r="G5162" s="922"/>
      <c r="H5162" s="922"/>
      <c r="I5162" s="922"/>
      <c r="J5162" s="922"/>
      <c r="K5162" s="922"/>
      <c r="L5162" s="922"/>
      <c r="M5162" s="922"/>
      <c r="N5162" s="924"/>
      <c r="O5162" s="362"/>
    </row>
    <row r="5163" spans="1:18" ht="15.75" customHeight="1">
      <c r="B5163" s="679"/>
      <c r="C5163" s="929"/>
      <c r="D5163" s="936"/>
      <c r="E5163" s="936"/>
      <c r="F5163" s="936"/>
      <c r="G5163" s="936"/>
      <c r="H5163" s="936"/>
      <c r="I5163" s="936"/>
      <c r="J5163" s="936"/>
      <c r="K5163" s="936"/>
      <c r="L5163" s="936"/>
      <c r="M5163" s="936"/>
      <c r="N5163" s="938"/>
      <c r="O5163" s="362"/>
    </row>
    <row r="5164" spans="1:18" ht="15.75" customHeight="1">
      <c r="B5164" s="679"/>
      <c r="C5164" s="1201" t="s">
        <v>1221</v>
      </c>
      <c r="D5164" s="1131"/>
      <c r="E5164" s="1131"/>
      <c r="F5164" s="1131"/>
      <c r="G5164" s="1131"/>
      <c r="H5164" s="1132"/>
      <c r="I5164" s="674"/>
      <c r="J5164" s="674"/>
      <c r="K5164" s="674"/>
      <c r="L5164" s="1206" t="s">
        <v>1222</v>
      </c>
      <c r="M5164" s="1000"/>
      <c r="N5164" s="678" t="s">
        <v>1223</v>
      </c>
      <c r="O5164" s="362"/>
    </row>
    <row r="5165" spans="1:18" ht="15.75" customHeight="1">
      <c r="B5165" s="679"/>
      <c r="C5165" s="1128" t="s">
        <v>19</v>
      </c>
      <c r="D5165" s="940"/>
      <c r="E5165" s="940"/>
      <c r="F5165" s="940"/>
      <c r="G5165" s="940"/>
      <c r="H5165" s="940"/>
      <c r="I5165" s="452"/>
      <c r="J5165" s="452"/>
      <c r="K5165" s="452"/>
      <c r="L5165" s="1148">
        <f>+Datos!$E$18</f>
        <v>0.25</v>
      </c>
      <c r="M5165" s="941"/>
      <c r="N5165" s="430">
        <f>+L5165*N5160</f>
        <v>52459.5</v>
      </c>
      <c r="O5165" s="362"/>
    </row>
    <row r="5166" spans="1:18" ht="15.75" customHeight="1">
      <c r="B5166" s="679"/>
      <c r="C5166" s="454" t="s">
        <v>20</v>
      </c>
      <c r="D5166" s="455"/>
      <c r="E5166" s="455"/>
      <c r="F5166" s="455"/>
      <c r="G5166" s="455"/>
      <c r="H5166" s="455"/>
      <c r="I5166" s="452"/>
      <c r="J5166" s="452"/>
      <c r="K5166" s="452"/>
      <c r="L5166" s="1148">
        <f>+Datos!$E$19</f>
        <v>0.01</v>
      </c>
      <c r="M5166" s="941"/>
      <c r="N5166" s="430">
        <f>+L5166*N5160</f>
        <v>2098.38</v>
      </c>
      <c r="O5166" s="362"/>
    </row>
    <row r="5167" spans="1:18" ht="15.75" customHeight="1">
      <c r="B5167" s="679"/>
      <c r="C5167" s="456" t="s">
        <v>21</v>
      </c>
      <c r="D5167" s="457"/>
      <c r="E5167" s="457"/>
      <c r="F5167" s="457"/>
      <c r="G5167" s="457"/>
      <c r="H5167" s="457"/>
      <c r="I5167" s="458"/>
      <c r="J5167" s="458"/>
      <c r="K5167" s="458"/>
      <c r="L5167" s="1148">
        <f>+Datos!$E$20</f>
        <v>0.05</v>
      </c>
      <c r="M5167" s="941"/>
      <c r="N5167" s="430">
        <f>+L5167*N5160</f>
        <v>10491.900000000001</v>
      </c>
      <c r="O5167" s="362"/>
    </row>
    <row r="5168" spans="1:18" ht="15.75" customHeight="1">
      <c r="B5168" s="679"/>
      <c r="C5168" s="1127" t="s">
        <v>1202</v>
      </c>
      <c r="D5168" s="965"/>
      <c r="E5168" s="965"/>
      <c r="F5168" s="965"/>
      <c r="G5168" s="965"/>
      <c r="H5168" s="965"/>
      <c r="I5168" s="965"/>
      <c r="J5168" s="965"/>
      <c r="K5168" s="965"/>
      <c r="L5168" s="965"/>
      <c r="M5168" s="966"/>
      <c r="N5168" s="433">
        <f>+SUM(N5165:N5167)</f>
        <v>65049.78</v>
      </c>
      <c r="O5168" s="362"/>
    </row>
    <row r="5169" spans="1:15" ht="15.75" customHeight="1">
      <c r="B5169" s="679"/>
      <c r="C5169" s="418"/>
      <c r="D5169" s="39"/>
      <c r="E5169" s="39"/>
      <c r="F5169" s="39"/>
      <c r="G5169" s="39"/>
      <c r="H5169" s="39"/>
      <c r="I5169" s="39"/>
      <c r="J5169" s="39"/>
      <c r="K5169" s="39"/>
      <c r="L5169" s="39"/>
      <c r="M5169" s="39"/>
      <c r="N5169" s="40"/>
      <c r="O5169" s="362"/>
    </row>
    <row r="5170" spans="1:15" ht="15.75" customHeight="1">
      <c r="B5170" s="679"/>
      <c r="C5170" s="1198" t="s">
        <v>1224</v>
      </c>
      <c r="D5170" s="965"/>
      <c r="E5170" s="965"/>
      <c r="F5170" s="965"/>
      <c r="G5170" s="965"/>
      <c r="H5170" s="965"/>
      <c r="I5170" s="965"/>
      <c r="J5170" s="965"/>
      <c r="K5170" s="965"/>
      <c r="L5170" s="965"/>
      <c r="M5170" s="966"/>
      <c r="N5170" s="683">
        <f>+ROUND(SUM(N5168,N5160),0)</f>
        <v>274888</v>
      </c>
      <c r="O5170" s="362"/>
    </row>
    <row r="5171" spans="1:15" ht="15.75" customHeight="1">
      <c r="B5171" s="679"/>
      <c r="C5171" s="418"/>
      <c r="D5171" s="39" t="s">
        <v>1225</v>
      </c>
      <c r="E5171" s="39"/>
      <c r="F5171" s="39"/>
      <c r="G5171" s="184"/>
      <c r="H5171" s="184"/>
      <c r="I5171" s="184"/>
      <c r="J5171" s="39" t="s">
        <v>1225</v>
      </c>
      <c r="K5171" s="39"/>
      <c r="L5171" s="39"/>
      <c r="M5171" s="39"/>
      <c r="N5171" s="40"/>
      <c r="O5171" s="362"/>
    </row>
    <row r="5172" spans="1:15" ht="15.75" customHeight="1">
      <c r="B5172" s="679"/>
      <c r="C5172" s="418"/>
      <c r="D5172" s="39" t="s">
        <v>1226</v>
      </c>
      <c r="E5172" s="39"/>
      <c r="F5172" s="39"/>
      <c r="G5172" s="184"/>
      <c r="H5172" s="184"/>
      <c r="I5172" s="184"/>
      <c r="J5172" s="39" t="s">
        <v>1227</v>
      </c>
      <c r="K5172" s="39"/>
      <c r="L5172" s="39"/>
      <c r="M5172" s="39"/>
      <c r="N5172" s="40"/>
      <c r="O5172" s="362"/>
    </row>
    <row r="5173" spans="1:15" ht="15.75" customHeight="1">
      <c r="B5173" s="679"/>
      <c r="C5173" s="404"/>
      <c r="D5173" s="39" t="s">
        <v>1228</v>
      </c>
      <c r="E5173" s="42"/>
      <c r="F5173" s="42"/>
      <c r="G5173" s="184"/>
      <c r="H5173" s="184"/>
      <c r="I5173" s="184"/>
      <c r="J5173" s="39" t="s">
        <v>1228</v>
      </c>
      <c r="K5173" s="42"/>
      <c r="L5173" s="42"/>
      <c r="M5173" s="42"/>
      <c r="N5173" s="43"/>
      <c r="O5173" s="362"/>
    </row>
    <row r="5174" spans="1:15" ht="15.75" customHeight="1">
      <c r="B5174" s="679"/>
      <c r="C5174" s="418"/>
      <c r="D5174" s="39"/>
      <c r="E5174" s="39"/>
      <c r="F5174" s="39"/>
      <c r="G5174" s="39" t="s">
        <v>1229</v>
      </c>
      <c r="H5174" s="39"/>
      <c r="I5174" s="39"/>
      <c r="J5174" s="39"/>
      <c r="K5174" s="39"/>
      <c r="L5174" s="39"/>
      <c r="M5174" s="39"/>
      <c r="N5174" s="40"/>
      <c r="O5174" s="362"/>
    </row>
    <row r="5175" spans="1:15" ht="15.75" customHeight="1">
      <c r="B5175" s="679"/>
      <c r="C5175" s="466"/>
      <c r="D5175" s="467"/>
      <c r="E5175" s="467"/>
      <c r="F5175" s="39"/>
      <c r="G5175" s="39"/>
      <c r="H5175" s="39"/>
      <c r="I5175" s="39"/>
      <c r="J5175" s="1149"/>
      <c r="K5175" s="922"/>
      <c r="L5175" s="922"/>
      <c r="M5175" s="922"/>
      <c r="N5175" s="924"/>
      <c r="O5175" s="362"/>
    </row>
    <row r="5176" spans="1:15" ht="15.75" customHeight="1">
      <c r="B5176" s="679"/>
      <c r="C5176" s="1150"/>
      <c r="D5176" s="936"/>
      <c r="E5176" s="936"/>
      <c r="F5176" s="416"/>
      <c r="G5176" s="416"/>
      <c r="H5176" s="416"/>
      <c r="I5176" s="416"/>
      <c r="J5176" s="936"/>
      <c r="K5176" s="936"/>
      <c r="L5176" s="936"/>
      <c r="M5176" s="936"/>
      <c r="N5176" s="938"/>
      <c r="O5176" s="362"/>
    </row>
    <row r="5177" spans="1:15" ht="15.75" customHeight="1">
      <c r="B5177" s="684"/>
      <c r="C5177" s="685"/>
      <c r="D5177" s="685"/>
      <c r="E5177" s="685"/>
      <c r="F5177" s="685"/>
      <c r="G5177" s="685"/>
      <c r="H5177" s="685"/>
      <c r="I5177" s="685"/>
      <c r="J5177" s="685"/>
      <c r="K5177" s="685"/>
      <c r="L5177" s="685"/>
      <c r="M5177" s="685"/>
      <c r="N5177" s="685"/>
      <c r="O5177" s="686"/>
    </row>
    <row r="5178" spans="1:15" ht="15.75" customHeight="1">
      <c r="B5178" s="205"/>
      <c r="C5178" s="205"/>
      <c r="D5178" s="205"/>
      <c r="E5178" s="205"/>
      <c r="F5178" s="205"/>
      <c r="G5178" s="205"/>
      <c r="H5178" s="205"/>
      <c r="I5178" s="205"/>
      <c r="J5178" s="205"/>
      <c r="K5178" s="205"/>
      <c r="L5178" s="205"/>
      <c r="M5178" s="205"/>
      <c r="N5178" s="205"/>
      <c r="O5178" s="205"/>
    </row>
    <row r="5179" spans="1:15" ht="15.75" customHeight="1">
      <c r="B5179" s="205"/>
      <c r="C5179" s="205"/>
      <c r="D5179" s="205"/>
      <c r="E5179" s="205"/>
      <c r="F5179" s="205"/>
      <c r="G5179" s="205"/>
      <c r="H5179" s="205"/>
      <c r="I5179" s="205"/>
      <c r="J5179" s="205"/>
      <c r="K5179" s="205"/>
      <c r="L5179" s="205"/>
      <c r="M5179" s="205"/>
      <c r="N5179" s="205"/>
      <c r="O5179" s="205"/>
    </row>
    <row r="5180" spans="1:15" ht="15.75" customHeight="1">
      <c r="B5180" s="205"/>
      <c r="C5180" s="205"/>
      <c r="D5180" s="205"/>
      <c r="E5180" s="205"/>
      <c r="F5180" s="205"/>
      <c r="G5180" s="205"/>
      <c r="H5180" s="205"/>
      <c r="I5180" s="205"/>
      <c r="J5180" s="205"/>
      <c r="K5180" s="205"/>
      <c r="L5180" s="205"/>
      <c r="M5180" s="205"/>
      <c r="N5180" s="205"/>
      <c r="O5180" s="205"/>
    </row>
    <row r="5181" spans="1:15" ht="15.75" customHeight="1">
      <c r="B5181" s="205"/>
      <c r="C5181" s="205"/>
      <c r="D5181" s="205"/>
      <c r="E5181" s="205"/>
      <c r="F5181" s="205"/>
      <c r="G5181" s="205"/>
      <c r="H5181" s="205"/>
      <c r="I5181" s="205"/>
      <c r="J5181" s="205"/>
      <c r="K5181" s="205"/>
      <c r="L5181" s="205"/>
      <c r="M5181" s="205"/>
      <c r="N5181" s="205"/>
      <c r="O5181" s="205"/>
    </row>
    <row r="5182" spans="1:15" ht="15.75" customHeight="1">
      <c r="A5182" s="395" t="s">
        <v>941</v>
      </c>
      <c r="B5182" s="184"/>
      <c r="C5182" s="184"/>
      <c r="D5182" s="184"/>
      <c r="E5182" s="184"/>
      <c r="F5182" s="184"/>
      <c r="G5182" s="184"/>
      <c r="H5182" s="184"/>
      <c r="I5182" s="184"/>
      <c r="J5182" s="184"/>
      <c r="K5182" s="184"/>
      <c r="L5182" s="184"/>
      <c r="M5182" s="184"/>
      <c r="N5182" s="184"/>
    </row>
    <row r="5183" spans="1:15" ht="15.75" customHeight="1">
      <c r="A5183" s="395"/>
      <c r="B5183" s="396"/>
      <c r="C5183" s="397"/>
      <c r="D5183" s="397"/>
      <c r="E5183" s="397"/>
      <c r="F5183" s="397"/>
      <c r="G5183" s="397"/>
      <c r="H5183" s="397"/>
      <c r="I5183" s="397"/>
      <c r="J5183" s="397"/>
      <c r="K5183" s="397"/>
      <c r="L5183" s="397"/>
      <c r="M5183" s="397"/>
      <c r="N5183" s="397"/>
      <c r="O5183" s="667"/>
    </row>
    <row r="5184" spans="1:15" ht="15.75" customHeight="1">
      <c r="A5184" s="395"/>
      <c r="B5184" s="399"/>
      <c r="C5184" s="1124"/>
      <c r="D5184" s="927"/>
      <c r="E5184" s="1207" t="str">
        <f>Datos!$C$9</f>
        <v>CONSEJO SUPERIOR  DE  JUDICATURA– DIRECCIÓN  EJECUTIVA  SECCIONAL  DE ADMINISTRACIÓN JUDICIAL DE BUCARAMANGA</v>
      </c>
      <c r="F5184" s="926"/>
      <c r="G5184" s="926"/>
      <c r="H5184" s="926"/>
      <c r="I5184" s="926"/>
      <c r="J5184" s="926"/>
      <c r="K5184" s="927"/>
      <c r="L5184" s="925" t="s">
        <v>1</v>
      </c>
      <c r="M5184" s="931"/>
      <c r="N5184" s="933">
        <v>1</v>
      </c>
      <c r="O5184" s="362"/>
    </row>
    <row r="5185" spans="1:15" ht="15.75" customHeight="1">
      <c r="A5185" s="395"/>
      <c r="B5185" s="399"/>
      <c r="C5185" s="920"/>
      <c r="D5185" s="924"/>
      <c r="E5185" s="920"/>
      <c r="F5185" s="922"/>
      <c r="G5185" s="922"/>
      <c r="H5185" s="922"/>
      <c r="I5185" s="922"/>
      <c r="J5185" s="922"/>
      <c r="K5185" s="924"/>
      <c r="L5185" s="920"/>
      <c r="M5185" s="932"/>
      <c r="N5185" s="934"/>
      <c r="O5185" s="362"/>
    </row>
    <row r="5186" spans="1:15" ht="15.75" customHeight="1">
      <c r="A5186" s="395"/>
      <c r="B5186" s="399"/>
      <c r="C5186" s="920"/>
      <c r="D5186" s="924"/>
      <c r="E5186" s="919" t="str">
        <f>Datos!$C$13</f>
        <v xml:space="preserve">BGA - 030 - 2026 </v>
      </c>
      <c r="F5186" s="922"/>
      <c r="G5186" s="922"/>
      <c r="H5186" s="922"/>
      <c r="I5186" s="922"/>
      <c r="J5186" s="922"/>
      <c r="K5186" s="922"/>
      <c r="L5186" s="925" t="s">
        <v>29</v>
      </c>
      <c r="M5186" s="926"/>
      <c r="N5186" s="927"/>
      <c r="O5186" s="362"/>
    </row>
    <row r="5187" spans="1:15" ht="15.75" customHeight="1">
      <c r="A5187" s="395"/>
      <c r="B5187" s="399"/>
      <c r="C5187" s="920"/>
      <c r="D5187" s="924"/>
      <c r="E518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187" s="922"/>
      <c r="G5187" s="922"/>
      <c r="H5187" s="922"/>
      <c r="I5187" s="922"/>
      <c r="J5187" s="922"/>
      <c r="K5187" s="924"/>
      <c r="L5187" s="919">
        <v>1</v>
      </c>
      <c r="M5187" s="921" t="s">
        <v>30</v>
      </c>
      <c r="N5187" s="923">
        <v>1</v>
      </c>
      <c r="O5187" s="362"/>
    </row>
    <row r="5188" spans="1:15" ht="46.15" customHeight="1">
      <c r="A5188" s="395"/>
      <c r="B5188" s="399"/>
      <c r="C5188" s="920"/>
      <c r="D5188" s="924"/>
      <c r="E5188" s="920"/>
      <c r="F5188" s="922"/>
      <c r="G5188" s="922"/>
      <c r="H5188" s="922"/>
      <c r="I5188" s="922"/>
      <c r="J5188" s="922"/>
      <c r="K5188" s="924"/>
      <c r="L5188" s="920"/>
      <c r="M5188" s="922"/>
      <c r="N5188" s="924"/>
      <c r="O5188" s="362"/>
    </row>
    <row r="5189" spans="1:15" ht="15.75" customHeight="1">
      <c r="A5189" s="395"/>
      <c r="B5189" s="399"/>
      <c r="C5189" s="920"/>
      <c r="D5189" s="924"/>
      <c r="E5189" s="920"/>
      <c r="F5189" s="922"/>
      <c r="G5189" s="922"/>
      <c r="H5189" s="922"/>
      <c r="I5189" s="922"/>
      <c r="J5189" s="922"/>
      <c r="K5189" s="924"/>
      <c r="L5189" s="925" t="s">
        <v>2</v>
      </c>
      <c r="M5189" s="926"/>
      <c r="N5189" s="927"/>
      <c r="O5189" s="362"/>
    </row>
    <row r="5190" spans="1:15" ht="15.75" customHeight="1">
      <c r="A5190" s="395"/>
      <c r="B5190" s="399"/>
      <c r="C5190" s="920"/>
      <c r="D5190" s="924"/>
      <c r="E5190" s="407"/>
      <c r="F5190" s="216"/>
      <c r="G5190" s="216"/>
      <c r="H5190" s="216"/>
      <c r="I5190" s="216"/>
      <c r="J5190" s="216"/>
      <c r="K5190" s="216"/>
      <c r="L5190" s="408" t="s">
        <v>3</v>
      </c>
      <c r="M5190" s="409" t="s">
        <v>4</v>
      </c>
      <c r="N5190" s="410" t="s">
        <v>5</v>
      </c>
      <c r="O5190" s="362"/>
    </row>
    <row r="5191" spans="1:15" ht="15.75" customHeight="1">
      <c r="A5191" s="395"/>
      <c r="B5191" s="399"/>
      <c r="C5191" s="920"/>
      <c r="D5191" s="924"/>
      <c r="E5191" s="1125" t="s">
        <v>1186</v>
      </c>
      <c r="F5191" s="945"/>
      <c r="G5191" s="945"/>
      <c r="H5191" s="945"/>
      <c r="I5191" s="945"/>
      <c r="J5191" s="945"/>
      <c r="K5191" s="945"/>
      <c r="L5191" s="928">
        <f>Datos!$C$7</f>
        <v>19</v>
      </c>
      <c r="M5191" s="935">
        <f>Datos!$D$7</f>
        <v>6</v>
      </c>
      <c r="N5191" s="937">
        <f>Datos!$E$7</f>
        <v>2026</v>
      </c>
      <c r="O5191" s="362"/>
    </row>
    <row r="5192" spans="1:15" ht="15.75" customHeight="1">
      <c r="A5192" s="395"/>
      <c r="B5192" s="399"/>
      <c r="C5192" s="929"/>
      <c r="D5192" s="938"/>
      <c r="E5192" s="929"/>
      <c r="F5192" s="936"/>
      <c r="G5192" s="936"/>
      <c r="H5192" s="936"/>
      <c r="I5192" s="936"/>
      <c r="J5192" s="936"/>
      <c r="K5192" s="936"/>
      <c r="L5192" s="929"/>
      <c r="M5192" s="936"/>
      <c r="N5192" s="938"/>
      <c r="O5192" s="362"/>
    </row>
    <row r="5193" spans="1:15" ht="15.75" customHeight="1">
      <c r="A5193" s="395"/>
      <c r="B5193" s="399"/>
      <c r="C5193" s="404"/>
      <c r="D5193" s="38"/>
      <c r="E5193" s="38"/>
      <c r="F5193" s="38"/>
      <c r="G5193" s="38"/>
      <c r="H5193" s="38"/>
      <c r="I5193" s="38"/>
      <c r="J5193" s="38"/>
      <c r="K5193" s="38"/>
      <c r="L5193" s="39"/>
      <c r="M5193" s="39"/>
      <c r="N5193" s="40"/>
      <c r="O5193" s="362"/>
    </row>
    <row r="5194" spans="1:15" ht="15.75" customHeight="1">
      <c r="A5194" s="395"/>
      <c r="B5194" s="399"/>
      <c r="C5194" s="412" t="s">
        <v>1187</v>
      </c>
      <c r="D5194" s="1199" t="str">
        <f>VLOOKUP(C5199,ListaAct,2,0)</f>
        <v>OBRA CIVIL</v>
      </c>
      <c r="E5194" s="922"/>
      <c r="F5194" s="922"/>
      <c r="G5194" s="922"/>
      <c r="H5194" s="922"/>
      <c r="I5194" s="922"/>
      <c r="J5194" s="922"/>
      <c r="K5194" s="922"/>
      <c r="L5194" s="922"/>
      <c r="M5194" s="1"/>
      <c r="N5194" s="413"/>
      <c r="O5194" s="362"/>
    </row>
    <row r="5195" spans="1:15" ht="15.75" customHeight="1">
      <c r="A5195" s="395"/>
      <c r="B5195" s="399"/>
      <c r="C5195" s="412" t="s">
        <v>1189</v>
      </c>
      <c r="D5195" s="1199" t="str">
        <f>VLOOKUP(C5199,ListaAct,3,0)</f>
        <v>OTRAS ACTIVIDADES Y/O SERVICIOS REQUERIDOS (SIN AIU)</v>
      </c>
      <c r="E5195" s="922"/>
      <c r="F5195" s="922"/>
      <c r="G5195" s="922"/>
      <c r="H5195" s="922"/>
      <c r="I5195" s="922"/>
      <c r="J5195" s="922"/>
      <c r="K5195" s="922"/>
      <c r="L5195" s="922"/>
      <c r="M5195" s="1"/>
      <c r="N5195" s="413"/>
      <c r="O5195" s="362"/>
    </row>
    <row r="5196" spans="1:15" ht="15.75" customHeight="1">
      <c r="A5196" s="395"/>
      <c r="B5196" s="399"/>
      <c r="C5196" s="925" t="s">
        <v>1191</v>
      </c>
      <c r="D5196" s="926"/>
      <c r="E5196" s="926"/>
      <c r="F5196" s="926"/>
      <c r="G5196" s="926"/>
      <c r="H5196" s="926"/>
      <c r="I5196" s="926"/>
      <c r="J5196" s="926"/>
      <c r="K5196" s="926"/>
      <c r="L5196" s="926"/>
      <c r="M5196" s="926"/>
      <c r="N5196" s="927"/>
      <c r="O5196" s="362"/>
    </row>
    <row r="5197" spans="1:15" ht="15.75" customHeight="1">
      <c r="A5197" s="395"/>
      <c r="B5197" s="399"/>
      <c r="C5197" s="418"/>
      <c r="D5197" s="39"/>
      <c r="E5197" s="39"/>
      <c r="F5197" s="39"/>
      <c r="G5197" s="39"/>
      <c r="H5197" s="39"/>
      <c r="I5197" s="39"/>
      <c r="J5197" s="39"/>
      <c r="K5197" s="39"/>
      <c r="L5197" s="39"/>
      <c r="M5197" s="39"/>
      <c r="N5197" s="40"/>
      <c r="O5197" s="362"/>
    </row>
    <row r="5198" spans="1:15" ht="15.75" customHeight="1">
      <c r="A5198" s="395"/>
      <c r="B5198" s="399"/>
      <c r="C5198" s="668" t="s">
        <v>965</v>
      </c>
      <c r="D5198" s="1200" t="s">
        <v>17</v>
      </c>
      <c r="E5198" s="1131"/>
      <c r="F5198" s="1131"/>
      <c r="G5198" s="1131"/>
      <c r="H5198" s="1131"/>
      <c r="I5198" s="1131"/>
      <c r="J5198" s="1131"/>
      <c r="K5198" s="1137"/>
      <c r="L5198" s="1201" t="s">
        <v>1192</v>
      </c>
      <c r="M5198" s="1137"/>
      <c r="N5198" s="668" t="s">
        <v>950</v>
      </c>
      <c r="O5198" s="362"/>
    </row>
    <row r="5199" spans="1:15" ht="15.75" customHeight="1">
      <c r="A5199" s="395"/>
      <c r="B5199" s="421"/>
      <c r="C5199" s="669" t="s">
        <v>1178</v>
      </c>
      <c r="D5199" s="1202" t="str">
        <f>IF($C5199&gt;0,(VLOOKUP($C5199,ListaAct,4,FALSE)),"")</f>
        <v xml:space="preserve"> Suministro e instalacion de Patch - Cord, Cat. 6A de 2 m </v>
      </c>
      <c r="E5199" s="979"/>
      <c r="F5199" s="979"/>
      <c r="G5199" s="979"/>
      <c r="H5199" s="979"/>
      <c r="I5199" s="979"/>
      <c r="J5199" s="979"/>
      <c r="K5199" s="980"/>
      <c r="L5199" s="1203" t="str">
        <f>IF($C5199&gt;0,(VLOOKUP($C5199,ListaAct,5,FALSE)),"")</f>
        <v>und</v>
      </c>
      <c r="M5199" s="980"/>
      <c r="N5199" s="423">
        <f>IF($C5199&gt;0,(VLOOKUP($C5199,ListaAct,6,FALSE)),"")</f>
        <v>6</v>
      </c>
      <c r="O5199" s="362"/>
    </row>
    <row r="5200" spans="1:15" ht="15.75" customHeight="1">
      <c r="A5200" s="395"/>
      <c r="B5200" s="399"/>
      <c r="C5200" s="1129" t="s">
        <v>1195</v>
      </c>
      <c r="D5200" s="926"/>
      <c r="E5200" s="926"/>
      <c r="F5200" s="926"/>
      <c r="G5200" s="926"/>
      <c r="H5200" s="926"/>
      <c r="I5200" s="926"/>
      <c r="J5200" s="926"/>
      <c r="K5200" s="926"/>
      <c r="L5200" s="926"/>
      <c r="M5200" s="926"/>
      <c r="N5200" s="927"/>
      <c r="O5200" s="362"/>
    </row>
    <row r="5201" spans="1:15" ht="15.75" customHeight="1">
      <c r="A5201" s="395"/>
      <c r="B5201" s="399"/>
      <c r="C5201" s="920"/>
      <c r="D5201" s="922"/>
      <c r="E5201" s="922"/>
      <c r="F5201" s="922"/>
      <c r="G5201" s="922"/>
      <c r="H5201" s="922"/>
      <c r="I5201" s="922"/>
      <c r="J5201" s="922"/>
      <c r="K5201" s="922"/>
      <c r="L5201" s="922"/>
      <c r="M5201" s="922"/>
      <c r="N5201" s="924"/>
      <c r="O5201" s="362"/>
    </row>
    <row r="5202" spans="1:15" ht="15.75" customHeight="1">
      <c r="A5202" s="395"/>
      <c r="B5202" s="399"/>
      <c r="C5202" s="929"/>
      <c r="D5202" s="936"/>
      <c r="E5202" s="936"/>
      <c r="F5202" s="936"/>
      <c r="G5202" s="936"/>
      <c r="H5202" s="936"/>
      <c r="I5202" s="936"/>
      <c r="J5202" s="936"/>
      <c r="K5202" s="936"/>
      <c r="L5202" s="936"/>
      <c r="M5202" s="936"/>
      <c r="N5202" s="938"/>
      <c r="O5202" s="362"/>
    </row>
    <row r="5203" spans="1:15" ht="15.75" customHeight="1">
      <c r="A5203" s="395"/>
      <c r="B5203" s="399"/>
      <c r="C5203" s="1201" t="s">
        <v>17</v>
      </c>
      <c r="D5203" s="1131"/>
      <c r="E5203" s="1131"/>
      <c r="F5203" s="1000"/>
      <c r="G5203" s="1204" t="s">
        <v>1196</v>
      </c>
      <c r="H5203" s="1000"/>
      <c r="I5203" s="1204" t="s">
        <v>1197</v>
      </c>
      <c r="J5203" s="1000"/>
      <c r="K5203" s="670" t="s">
        <v>1213</v>
      </c>
      <c r="L5203" s="1204" t="s">
        <v>1199</v>
      </c>
      <c r="M5203" s="1000"/>
      <c r="N5203" s="671" t="s">
        <v>1200</v>
      </c>
      <c r="O5203" s="362"/>
    </row>
    <row r="5204" spans="1:15" ht="15.75" customHeight="1">
      <c r="A5204" s="395"/>
      <c r="B5204" s="399"/>
      <c r="C5204" s="1128" t="s">
        <v>1201</v>
      </c>
      <c r="D5204" s="940"/>
      <c r="E5204" s="940"/>
      <c r="F5204" s="941"/>
      <c r="G5204" s="1142"/>
      <c r="H5204" s="941"/>
      <c r="I5204" s="1142"/>
      <c r="J5204" s="941"/>
      <c r="K5204" s="429"/>
      <c r="L5204" s="1143">
        <v>0.05</v>
      </c>
      <c r="M5204" s="941"/>
      <c r="N5204" s="430">
        <f>+L5204*N5243</f>
        <v>380.79996549633944</v>
      </c>
      <c r="O5204" s="362"/>
    </row>
    <row r="5205" spans="1:15" ht="15.75" customHeight="1">
      <c r="A5205" s="395">
        <f t="array" ref="A5205">IF(C5205&lt;&gt;0,INDEX(CodEquipos,MATCH(C5205,Equipos,0),),)</f>
        <v>0</v>
      </c>
      <c r="B5205" s="399"/>
      <c r="C5205" s="1128"/>
      <c r="D5205" s="940"/>
      <c r="E5205" s="940"/>
      <c r="F5205" s="941"/>
      <c r="G5205" s="1142"/>
      <c r="H5205" s="941"/>
      <c r="I5205" s="1142"/>
      <c r="J5205" s="941"/>
      <c r="K5205" s="432" t="str">
        <f>IF($A5205&gt;0,(VLOOKUP($A5205,TablaEquipos,7,FALSE)),"")</f>
        <v/>
      </c>
      <c r="L5205" s="1146"/>
      <c r="M5205" s="941"/>
      <c r="N5205" s="430" t="str">
        <f t="shared" ref="N5205:N5209" si="379">IF(L5205&gt;0,K5205/L5205,"")</f>
        <v/>
      </c>
      <c r="O5205" s="362"/>
    </row>
    <row r="5206" spans="1:15" ht="15.75" customHeight="1">
      <c r="A5206" s="395">
        <f t="array" ref="A5206">IF(C5206&lt;&gt;0,INDEX(CodEquipos,MATCH(C5206,Equipos,0),),)</f>
        <v>0</v>
      </c>
      <c r="B5206" s="399"/>
      <c r="C5206" s="1128"/>
      <c r="D5206" s="940"/>
      <c r="E5206" s="940"/>
      <c r="F5206" s="941"/>
      <c r="G5206" s="1142"/>
      <c r="H5206" s="941"/>
      <c r="I5206" s="1142"/>
      <c r="J5206" s="941"/>
      <c r="K5206" s="432" t="str">
        <f>IF($A5206&gt;0,(VLOOKUP($A5206,TablaEquipos,7,FALSE)),"")</f>
        <v/>
      </c>
      <c r="L5206" s="1146"/>
      <c r="M5206" s="941"/>
      <c r="N5206" s="430" t="str">
        <f t="shared" si="379"/>
        <v/>
      </c>
      <c r="O5206" s="362"/>
    </row>
    <row r="5207" spans="1:15" ht="15.75" customHeight="1">
      <c r="A5207" s="395">
        <f t="array" ref="A5207">IF(C5207&lt;&gt;0,INDEX(CodEquipos,MATCH(C5207,Equipos,0),),)</f>
        <v>0</v>
      </c>
      <c r="B5207" s="399"/>
      <c r="C5207" s="1128"/>
      <c r="D5207" s="940"/>
      <c r="E5207" s="940"/>
      <c r="F5207" s="941"/>
      <c r="G5207" s="1142"/>
      <c r="H5207" s="941"/>
      <c r="I5207" s="1142"/>
      <c r="J5207" s="941"/>
      <c r="K5207" s="432" t="str">
        <f>IF($A5207&gt;0,(VLOOKUP($A5207,TablaEquipos,7,FALSE)),"")</f>
        <v/>
      </c>
      <c r="L5207" s="1146"/>
      <c r="M5207" s="941"/>
      <c r="N5207" s="430" t="str">
        <f t="shared" si="379"/>
        <v/>
      </c>
      <c r="O5207" s="362"/>
    </row>
    <row r="5208" spans="1:15" ht="15.75" customHeight="1">
      <c r="A5208" s="395">
        <f t="array" ref="A5208">IF(C5208&lt;&gt;0,INDEX(CodEquipos,MATCH(C5208,Equipos,0),),)</f>
        <v>0</v>
      </c>
      <c r="B5208" s="399"/>
      <c r="C5208" s="1128"/>
      <c r="D5208" s="940"/>
      <c r="E5208" s="940"/>
      <c r="F5208" s="941"/>
      <c r="G5208" s="1142"/>
      <c r="H5208" s="941"/>
      <c r="I5208" s="1142"/>
      <c r="J5208" s="941"/>
      <c r="K5208" s="432" t="str">
        <f>IF($A5208&gt;0,(VLOOKUP($A5208,TablaEquipos,7,FALSE)),"")</f>
        <v/>
      </c>
      <c r="L5208" s="1141"/>
      <c r="M5208" s="941"/>
      <c r="N5208" s="430" t="str">
        <f t="shared" si="379"/>
        <v/>
      </c>
      <c r="O5208" s="362"/>
    </row>
    <row r="5209" spans="1:15" ht="15.75" customHeight="1">
      <c r="A5209" s="395">
        <f t="array" ref="A5209">IF(C5209&lt;&gt;0,INDEX(CodEquipos,MATCH(C5209,Equipos,0),),)</f>
        <v>0</v>
      </c>
      <c r="B5209" s="399"/>
      <c r="C5209" s="1128"/>
      <c r="D5209" s="940"/>
      <c r="E5209" s="940"/>
      <c r="F5209" s="941"/>
      <c r="G5209" s="1144"/>
      <c r="H5209" s="1145"/>
      <c r="I5209" s="1144"/>
      <c r="J5209" s="1145"/>
      <c r="K5209" s="432" t="str">
        <f>IF($A5209&gt;0,(VLOOKUP($A5209,TablaEquipos,7,FALSE)),"")</f>
        <v/>
      </c>
      <c r="L5209" s="1208"/>
      <c r="M5209" s="1145"/>
      <c r="N5209" s="430" t="str">
        <f t="shared" si="379"/>
        <v/>
      </c>
      <c r="O5209" s="362"/>
    </row>
    <row r="5210" spans="1:15" ht="15.75" customHeight="1">
      <c r="A5210" s="395"/>
      <c r="B5210" s="399"/>
      <c r="C5210" s="1127" t="s">
        <v>1202</v>
      </c>
      <c r="D5210" s="965"/>
      <c r="E5210" s="965"/>
      <c r="F5210" s="965"/>
      <c r="G5210" s="965"/>
      <c r="H5210" s="965"/>
      <c r="I5210" s="965"/>
      <c r="J5210" s="965"/>
      <c r="K5210" s="965"/>
      <c r="L5210" s="965"/>
      <c r="M5210" s="966"/>
      <c r="N5210" s="433">
        <f>+SUM(N5204:N5209)</f>
        <v>380.79996549633944</v>
      </c>
      <c r="O5210" s="362"/>
    </row>
    <row r="5211" spans="1:15" ht="15.75" customHeight="1">
      <c r="A5211" s="395"/>
      <c r="B5211" s="399"/>
      <c r="C5211" s="1129" t="s">
        <v>1203</v>
      </c>
      <c r="D5211" s="926"/>
      <c r="E5211" s="926"/>
      <c r="F5211" s="926"/>
      <c r="G5211" s="926"/>
      <c r="H5211" s="926"/>
      <c r="I5211" s="926"/>
      <c r="J5211" s="926"/>
      <c r="K5211" s="926"/>
      <c r="L5211" s="926"/>
      <c r="M5211" s="926"/>
      <c r="N5211" s="927"/>
      <c r="O5211" s="362"/>
    </row>
    <row r="5212" spans="1:15" ht="15.75" customHeight="1">
      <c r="A5212" s="395"/>
      <c r="B5212" s="399"/>
      <c r="C5212" s="920"/>
      <c r="D5212" s="922"/>
      <c r="E5212" s="922"/>
      <c r="F5212" s="922"/>
      <c r="G5212" s="922"/>
      <c r="H5212" s="922"/>
      <c r="I5212" s="922"/>
      <c r="J5212" s="922"/>
      <c r="K5212" s="922"/>
      <c r="L5212" s="922"/>
      <c r="M5212" s="922"/>
      <c r="N5212" s="924"/>
      <c r="O5212" s="362"/>
    </row>
    <row r="5213" spans="1:15" ht="15.75" customHeight="1">
      <c r="A5213" s="395"/>
      <c r="B5213" s="399"/>
      <c r="C5213" s="929"/>
      <c r="D5213" s="936"/>
      <c r="E5213" s="936"/>
      <c r="F5213" s="936"/>
      <c r="G5213" s="936"/>
      <c r="H5213" s="936"/>
      <c r="I5213" s="936"/>
      <c r="J5213" s="936"/>
      <c r="K5213" s="936"/>
      <c r="L5213" s="936"/>
      <c r="M5213" s="936"/>
      <c r="N5213" s="938"/>
      <c r="O5213" s="362"/>
    </row>
    <row r="5214" spans="1:15" ht="15.75" customHeight="1">
      <c r="A5214" s="395"/>
      <c r="B5214" s="399"/>
      <c r="C5214" s="1201" t="s">
        <v>17</v>
      </c>
      <c r="D5214" s="1131"/>
      <c r="E5214" s="1131"/>
      <c r="F5214" s="1131"/>
      <c r="G5214" s="1131"/>
      <c r="H5214" s="1131"/>
      <c r="I5214" s="1000"/>
      <c r="J5214" s="672" t="s">
        <v>1192</v>
      </c>
      <c r="K5214" s="670" t="s">
        <v>950</v>
      </c>
      <c r="L5214" s="1204" t="s">
        <v>1204</v>
      </c>
      <c r="M5214" s="1000"/>
      <c r="N5214" s="671" t="s">
        <v>1200</v>
      </c>
      <c r="O5214" s="362"/>
    </row>
    <row r="5215" spans="1:15" ht="15.75" customHeight="1">
      <c r="A5215" s="395" t="str">
        <f t="array" ref="A5215">IF(C5215&lt;&gt;0,INDEX(CodMat,MATCH(C5215,Materiales,0),),)</f>
        <v>MAT_ELE-106</v>
      </c>
      <c r="B5215" s="399"/>
      <c r="C5215" s="1128" t="s">
        <v>2424</v>
      </c>
      <c r="D5215" s="940"/>
      <c r="E5215" s="940"/>
      <c r="F5215" s="940"/>
      <c r="G5215" s="940"/>
      <c r="H5215" s="940"/>
      <c r="I5215" s="941"/>
      <c r="J5215" s="435" t="str">
        <f t="shared" ref="J5215:J5222" si="380">IF($A5215&gt;0,(VLOOKUP($A5215,TablaInsumos,5,FALSE)),"")</f>
        <v>UND</v>
      </c>
      <c r="K5215" s="673">
        <v>1</v>
      </c>
      <c r="L5215" s="1134">
        <f t="shared" ref="L5215:L5222" si="381">IF($A5215&gt;0,(VLOOKUP($A5215,TablaInsumos,7,FALSE)),"")</f>
        <v>19200</v>
      </c>
      <c r="M5215" s="941"/>
      <c r="N5215" s="430">
        <f t="shared" ref="N5215:N5222" si="382">IF(K5215&gt;0,L5215*K5215,"")</f>
        <v>19200</v>
      </c>
      <c r="O5215" s="362"/>
    </row>
    <row r="5216" spans="1:15" ht="15.75" customHeight="1">
      <c r="A5216" s="395">
        <f t="array" ref="A5216">IF(C5216&lt;&gt;0,INDEX(CodMat,MATCH(C5216,Materiales,0),),)</f>
        <v>0</v>
      </c>
      <c r="B5216" s="399"/>
      <c r="C5216" s="1128"/>
      <c r="D5216" s="940"/>
      <c r="E5216" s="940"/>
      <c r="F5216" s="940"/>
      <c r="G5216" s="940"/>
      <c r="H5216" s="940"/>
      <c r="I5216" s="941"/>
      <c r="J5216" s="435" t="str">
        <f t="shared" si="380"/>
        <v/>
      </c>
      <c r="K5216" s="673"/>
      <c r="L5216" s="1134" t="str">
        <f t="shared" si="381"/>
        <v/>
      </c>
      <c r="M5216" s="941"/>
      <c r="N5216" s="430" t="str">
        <f t="shared" si="382"/>
        <v/>
      </c>
      <c r="O5216" s="362"/>
    </row>
    <row r="5217" spans="1:15" ht="15.75" customHeight="1">
      <c r="A5217" s="395">
        <f t="array" ref="A5217">IF(C5217&lt;&gt;0,INDEX(CodMat,MATCH(C5217,Materiales,0),),)</f>
        <v>0</v>
      </c>
      <c r="B5217" s="399"/>
      <c r="C5217" s="1128"/>
      <c r="D5217" s="940"/>
      <c r="E5217" s="940"/>
      <c r="F5217" s="940"/>
      <c r="G5217" s="940"/>
      <c r="H5217" s="940"/>
      <c r="I5217" s="941"/>
      <c r="J5217" s="435" t="str">
        <f t="shared" si="380"/>
        <v/>
      </c>
      <c r="K5217" s="673"/>
      <c r="L5217" s="1134" t="str">
        <f t="shared" si="381"/>
        <v/>
      </c>
      <c r="M5217" s="941"/>
      <c r="N5217" s="430" t="str">
        <f t="shared" si="382"/>
        <v/>
      </c>
      <c r="O5217" s="362"/>
    </row>
    <row r="5218" spans="1:15" ht="15.75" customHeight="1">
      <c r="A5218" s="395">
        <f t="array" ref="A5218">IF(C5218&lt;&gt;0,INDEX(CodMat,MATCH(C5218,Materiales,0),),)</f>
        <v>0</v>
      </c>
      <c r="B5218" s="399"/>
      <c r="C5218" s="1128"/>
      <c r="D5218" s="940"/>
      <c r="E5218" s="940"/>
      <c r="F5218" s="940"/>
      <c r="G5218" s="940"/>
      <c r="H5218" s="940"/>
      <c r="I5218" s="941"/>
      <c r="J5218" s="435" t="str">
        <f t="shared" si="380"/>
        <v/>
      </c>
      <c r="K5218" s="673"/>
      <c r="L5218" s="1134" t="str">
        <f t="shared" si="381"/>
        <v/>
      </c>
      <c r="M5218" s="941"/>
      <c r="N5218" s="430" t="str">
        <f t="shared" si="382"/>
        <v/>
      </c>
      <c r="O5218" s="362"/>
    </row>
    <row r="5219" spans="1:15" ht="15.75" customHeight="1">
      <c r="A5219" s="395">
        <f t="array" ref="A5219">IF(C5219&lt;&gt;0,INDEX(CodMat,MATCH(C5219,Materiales,0),),)</f>
        <v>0</v>
      </c>
      <c r="B5219" s="399"/>
      <c r="C5219" s="1128"/>
      <c r="D5219" s="940"/>
      <c r="E5219" s="940"/>
      <c r="F5219" s="940"/>
      <c r="G5219" s="940"/>
      <c r="H5219" s="940"/>
      <c r="I5219" s="941"/>
      <c r="J5219" s="435" t="str">
        <f t="shared" si="380"/>
        <v/>
      </c>
      <c r="K5219" s="436"/>
      <c r="L5219" s="1134" t="str">
        <f t="shared" si="381"/>
        <v/>
      </c>
      <c r="M5219" s="941"/>
      <c r="N5219" s="430" t="str">
        <f t="shared" si="382"/>
        <v/>
      </c>
      <c r="O5219" s="362"/>
    </row>
    <row r="5220" spans="1:15" ht="15.75" customHeight="1">
      <c r="A5220" s="395">
        <f t="array" ref="A5220">IF(C5220&lt;&gt;0,INDEX(CodMat,MATCH(C5220,Materiales,0),),)</f>
        <v>0</v>
      </c>
      <c r="B5220" s="399"/>
      <c r="C5220" s="1128"/>
      <c r="D5220" s="940"/>
      <c r="E5220" s="940"/>
      <c r="F5220" s="940"/>
      <c r="G5220" s="940"/>
      <c r="H5220" s="940"/>
      <c r="I5220" s="941"/>
      <c r="J5220" s="435" t="str">
        <f t="shared" si="380"/>
        <v/>
      </c>
      <c r="K5220" s="436"/>
      <c r="L5220" s="1134" t="str">
        <f t="shared" si="381"/>
        <v/>
      </c>
      <c r="M5220" s="941"/>
      <c r="N5220" s="430" t="str">
        <f t="shared" si="382"/>
        <v/>
      </c>
      <c r="O5220" s="362"/>
    </row>
    <row r="5221" spans="1:15" ht="15.75" customHeight="1">
      <c r="A5221" s="395">
        <f t="array" ref="A5221">IF(C5221&lt;&gt;0,INDEX(CodMat,MATCH(C5221,Materiales,0),),)</f>
        <v>0</v>
      </c>
      <c r="B5221" s="399"/>
      <c r="C5221" s="1128"/>
      <c r="D5221" s="940"/>
      <c r="E5221" s="940"/>
      <c r="F5221" s="940"/>
      <c r="G5221" s="940"/>
      <c r="H5221" s="940"/>
      <c r="I5221" s="941"/>
      <c r="J5221" s="435" t="str">
        <f t="shared" si="380"/>
        <v/>
      </c>
      <c r="K5221" s="436"/>
      <c r="L5221" s="1134" t="str">
        <f t="shared" si="381"/>
        <v/>
      </c>
      <c r="M5221" s="941"/>
      <c r="N5221" s="430" t="str">
        <f t="shared" si="382"/>
        <v/>
      </c>
      <c r="O5221" s="362"/>
    </row>
    <row r="5222" spans="1:15" ht="15.75" customHeight="1">
      <c r="A5222" s="395">
        <f t="array" ref="A5222">IF(C5222&lt;&gt;0,INDEX(CodMat,MATCH(C5222,Materiales,0),),)</f>
        <v>0</v>
      </c>
      <c r="B5222" s="399"/>
      <c r="C5222" s="1128"/>
      <c r="D5222" s="940"/>
      <c r="E5222" s="940"/>
      <c r="F5222" s="940"/>
      <c r="G5222" s="940"/>
      <c r="H5222" s="940"/>
      <c r="I5222" s="941"/>
      <c r="J5222" s="435" t="str">
        <f t="shared" si="380"/>
        <v/>
      </c>
      <c r="K5222" s="436"/>
      <c r="L5222" s="1205" t="str">
        <f t="shared" si="381"/>
        <v/>
      </c>
      <c r="M5222" s="1145"/>
      <c r="N5222" s="430" t="str">
        <f t="shared" si="382"/>
        <v/>
      </c>
      <c r="O5222" s="362"/>
    </row>
    <row r="5223" spans="1:15" ht="15.75" customHeight="1">
      <c r="A5223" s="395"/>
      <c r="B5223" s="399"/>
      <c r="C5223" s="1127" t="s">
        <v>1202</v>
      </c>
      <c r="D5223" s="965"/>
      <c r="E5223" s="965"/>
      <c r="F5223" s="965"/>
      <c r="G5223" s="965"/>
      <c r="H5223" s="965"/>
      <c r="I5223" s="965"/>
      <c r="J5223" s="965"/>
      <c r="K5223" s="965"/>
      <c r="L5223" s="965"/>
      <c r="M5223" s="966"/>
      <c r="N5223" s="433">
        <f>+SUM(N5215:N5222)</f>
        <v>19200</v>
      </c>
      <c r="O5223" s="362"/>
    </row>
    <row r="5224" spans="1:15" ht="15.75" customHeight="1">
      <c r="A5224" s="395"/>
      <c r="B5224" s="399"/>
      <c r="C5224" s="1129" t="s">
        <v>1208</v>
      </c>
      <c r="D5224" s="926"/>
      <c r="E5224" s="926"/>
      <c r="F5224" s="926"/>
      <c r="G5224" s="926"/>
      <c r="H5224" s="926"/>
      <c r="I5224" s="926"/>
      <c r="J5224" s="926"/>
      <c r="K5224" s="926"/>
      <c r="L5224" s="926"/>
      <c r="M5224" s="926"/>
      <c r="N5224" s="927"/>
      <c r="O5224" s="362"/>
    </row>
    <row r="5225" spans="1:15" ht="15.75" customHeight="1">
      <c r="A5225" s="395"/>
      <c r="B5225" s="399"/>
      <c r="C5225" s="920"/>
      <c r="D5225" s="922"/>
      <c r="E5225" s="922"/>
      <c r="F5225" s="922"/>
      <c r="G5225" s="922"/>
      <c r="H5225" s="922"/>
      <c r="I5225" s="922"/>
      <c r="J5225" s="922"/>
      <c r="K5225" s="922"/>
      <c r="L5225" s="922"/>
      <c r="M5225" s="922"/>
      <c r="N5225" s="924"/>
      <c r="O5225" s="362"/>
    </row>
    <row r="5226" spans="1:15" ht="15.75" customHeight="1">
      <c r="A5226" s="395"/>
      <c r="B5226" s="399"/>
      <c r="C5226" s="929"/>
      <c r="D5226" s="936"/>
      <c r="E5226" s="936"/>
      <c r="F5226" s="936"/>
      <c r="G5226" s="936"/>
      <c r="H5226" s="936"/>
      <c r="I5226" s="936"/>
      <c r="J5226" s="936"/>
      <c r="K5226" s="936"/>
      <c r="L5226" s="936"/>
      <c r="M5226" s="936"/>
      <c r="N5226" s="938"/>
      <c r="O5226" s="362"/>
    </row>
    <row r="5227" spans="1:15" ht="15.75" customHeight="1">
      <c r="A5227" s="395"/>
      <c r="B5227" s="399"/>
      <c r="C5227" s="1201" t="s">
        <v>1209</v>
      </c>
      <c r="D5227" s="1131"/>
      <c r="E5227" s="1131"/>
      <c r="F5227" s="1131"/>
      <c r="G5227" s="1131"/>
      <c r="H5227" s="1000"/>
      <c r="I5227" s="670" t="s">
        <v>1210</v>
      </c>
      <c r="J5227" s="674" t="s">
        <v>1211</v>
      </c>
      <c r="K5227" s="675" t="s">
        <v>2318</v>
      </c>
      <c r="L5227" s="1204" t="s">
        <v>1213</v>
      </c>
      <c r="M5227" s="1000"/>
      <c r="N5227" s="671" t="s">
        <v>1200</v>
      </c>
      <c r="O5227" s="362"/>
    </row>
    <row r="5228" spans="1:15" ht="15.75" customHeight="1">
      <c r="A5228" s="395">
        <f t="array" ref="A5228">IF(C5228&lt;&gt;0,INDEX(CodTransporte,MATCH(C5228,Transporte,0),),)</f>
        <v>0</v>
      </c>
      <c r="B5228" s="399"/>
      <c r="C5228" s="1128"/>
      <c r="D5228" s="940"/>
      <c r="E5228" s="940"/>
      <c r="F5228" s="940"/>
      <c r="G5228" s="940"/>
      <c r="H5228" s="940"/>
      <c r="I5228" s="440"/>
      <c r="J5228" s="441" t="str">
        <f>IF($A5228&gt;0,(VLOOKUP($A5228,TablaTransporte,6,FALSE)),"")</f>
        <v/>
      </c>
      <c r="K5228" s="442" t="str">
        <f>IF($A5228&gt;0,(VLOOKUP($A5228,TablaTransporte,5,FALSE)),"")</f>
        <v/>
      </c>
      <c r="L5228" s="1134" t="str">
        <f>IF($A5228&gt;0,(VLOOKUP($A5228,TablaTransporte,7,FALSE)),"")</f>
        <v/>
      </c>
      <c r="M5228" s="941"/>
      <c r="N5228" s="430" t="str">
        <f t="shared" ref="N5228:N5232" si="383">IF(I5228&gt;0,J5228*L5228*I5228,"")</f>
        <v/>
      </c>
      <c r="O5228" s="362"/>
    </row>
    <row r="5229" spans="1:15" ht="15.75" customHeight="1">
      <c r="A5229" s="395">
        <f t="array" ref="A5229">IF(C5229&lt;&gt;0,INDEX(CodTransporte,MATCH(C5229,Transporte,0),),)</f>
        <v>0</v>
      </c>
      <c r="B5229" s="399"/>
      <c r="C5229" s="1128"/>
      <c r="D5229" s="940"/>
      <c r="E5229" s="940"/>
      <c r="F5229" s="940"/>
      <c r="G5229" s="940"/>
      <c r="H5229" s="940"/>
      <c r="I5229" s="440"/>
      <c r="J5229" s="441" t="str">
        <f>IF($A5229&gt;0,(VLOOKUP($A5229,TablaTransporte,6,FALSE)),"")</f>
        <v/>
      </c>
      <c r="K5229" s="442" t="str">
        <f>IF($A5229&gt;0,(VLOOKUP($A5229,TablaTransporte,5,FALSE)),"")</f>
        <v/>
      </c>
      <c r="L5229" s="1134" t="str">
        <f>IF($A5229&gt;0,(VLOOKUP($A5229,TablaTransporte,7,FALSE)),"")</f>
        <v/>
      </c>
      <c r="M5229" s="941"/>
      <c r="N5229" s="430" t="str">
        <f t="shared" si="383"/>
        <v/>
      </c>
      <c r="O5229" s="362"/>
    </row>
    <row r="5230" spans="1:15" ht="15.75" customHeight="1">
      <c r="A5230" s="395">
        <f t="array" ref="A5230">IF(C5230&lt;&gt;0,INDEX(CodTransporte,MATCH(C5230,Transporte,0),),)</f>
        <v>0</v>
      </c>
      <c r="B5230" s="399"/>
      <c r="C5230" s="1128"/>
      <c r="D5230" s="940"/>
      <c r="E5230" s="940"/>
      <c r="F5230" s="940"/>
      <c r="G5230" s="940"/>
      <c r="H5230" s="940"/>
      <c r="I5230" s="440"/>
      <c r="J5230" s="441" t="str">
        <f>IF($A5230&gt;0,(VLOOKUP($A5230,TablaTransporte,6,FALSE)),"")</f>
        <v/>
      </c>
      <c r="K5230" s="442" t="str">
        <f>IF($A5230&gt;0,(VLOOKUP($A5230,TablaTransporte,5,FALSE)),"")</f>
        <v/>
      </c>
      <c r="L5230" s="1134" t="str">
        <f>IF($A5230&gt;0,(VLOOKUP($A5230,TablaTransporte,7,FALSE)),"")</f>
        <v/>
      </c>
      <c r="M5230" s="941"/>
      <c r="N5230" s="430" t="str">
        <f t="shared" si="383"/>
        <v/>
      </c>
      <c r="O5230" s="362"/>
    </row>
    <row r="5231" spans="1:15" ht="15.75" customHeight="1">
      <c r="A5231" s="395">
        <f t="array" ref="A5231">IF(C5231&lt;&gt;0,INDEX(CodTransporte,MATCH(C5231,Transporte,0),),)</f>
        <v>0</v>
      </c>
      <c r="B5231" s="399"/>
      <c r="C5231" s="1128"/>
      <c r="D5231" s="940"/>
      <c r="E5231" s="940"/>
      <c r="F5231" s="940"/>
      <c r="G5231" s="940"/>
      <c r="H5231" s="940"/>
      <c r="I5231" s="440"/>
      <c r="J5231" s="441" t="str">
        <f>IF($A5231&gt;0,(VLOOKUP($A5231,TablaTransporte,6,FALSE)),"")</f>
        <v/>
      </c>
      <c r="K5231" s="442" t="str">
        <f>IF($A5231&gt;0,(VLOOKUP($A5231,TablaTransporte,5,FALSE)),"")</f>
        <v/>
      </c>
      <c r="L5231" s="1134" t="str">
        <f>IF($A5231&gt;0,(VLOOKUP($A5231,TablaTransporte,7,FALSE)),"")</f>
        <v/>
      </c>
      <c r="M5231" s="941"/>
      <c r="N5231" s="430" t="str">
        <f t="shared" si="383"/>
        <v/>
      </c>
      <c r="O5231" s="362"/>
    </row>
    <row r="5232" spans="1:15" ht="15.75" customHeight="1">
      <c r="A5232" s="395">
        <f t="array" ref="A5232">IF(C5232&lt;&gt;0,INDEX(CodTransporte,MATCH(C5232,Transporte,0),),)</f>
        <v>0</v>
      </c>
      <c r="B5232" s="399"/>
      <c r="C5232" s="1128"/>
      <c r="D5232" s="940"/>
      <c r="E5232" s="940"/>
      <c r="F5232" s="940"/>
      <c r="G5232" s="940"/>
      <c r="H5232" s="940"/>
      <c r="I5232" s="440"/>
      <c r="J5232" s="441" t="str">
        <f>IF($A5232&gt;0,(VLOOKUP($A5232,TablaTransporte,6,FALSE)),"")</f>
        <v/>
      </c>
      <c r="K5232" s="442" t="str">
        <f>IF($A5232&gt;0,(VLOOKUP($A5232,TablaTransporte,5,FALSE)),"")</f>
        <v/>
      </c>
      <c r="L5232" s="1205" t="str">
        <f>IF($A5232&gt;0,(VLOOKUP($A5232,TablaTransporte,7,FALSE)),"")</f>
        <v/>
      </c>
      <c r="M5232" s="1145"/>
      <c r="N5232" s="430" t="str">
        <f t="shared" si="383"/>
        <v/>
      </c>
      <c r="O5232" s="362"/>
    </row>
    <row r="5233" spans="1:18" ht="15.75" customHeight="1">
      <c r="A5233" s="395"/>
      <c r="B5233" s="399"/>
      <c r="C5233" s="1127" t="s">
        <v>1202</v>
      </c>
      <c r="D5233" s="965"/>
      <c r="E5233" s="965"/>
      <c r="F5233" s="965"/>
      <c r="G5233" s="965"/>
      <c r="H5233" s="965"/>
      <c r="I5233" s="965"/>
      <c r="J5233" s="965"/>
      <c r="K5233" s="965"/>
      <c r="L5233" s="965"/>
      <c r="M5233" s="966"/>
      <c r="N5233" s="433">
        <f>+SUM(N5228:N5232)</f>
        <v>0</v>
      </c>
      <c r="O5233" s="362"/>
    </row>
    <row r="5234" spans="1:18" ht="15.75" customHeight="1">
      <c r="A5234" s="395"/>
      <c r="B5234" s="399"/>
      <c r="C5234" s="1129" t="s">
        <v>1214</v>
      </c>
      <c r="D5234" s="926"/>
      <c r="E5234" s="926"/>
      <c r="F5234" s="926"/>
      <c r="G5234" s="926"/>
      <c r="H5234" s="926"/>
      <c r="I5234" s="926"/>
      <c r="J5234" s="926"/>
      <c r="K5234" s="926"/>
      <c r="L5234" s="926"/>
      <c r="M5234" s="926"/>
      <c r="N5234" s="927"/>
      <c r="O5234" s="362"/>
    </row>
    <row r="5235" spans="1:18" ht="15.75" customHeight="1">
      <c r="A5235" s="395"/>
      <c r="B5235" s="399"/>
      <c r="C5235" s="920"/>
      <c r="D5235" s="922"/>
      <c r="E5235" s="922"/>
      <c r="F5235" s="922"/>
      <c r="G5235" s="922"/>
      <c r="H5235" s="922"/>
      <c r="I5235" s="922"/>
      <c r="J5235" s="922"/>
      <c r="K5235" s="922"/>
      <c r="L5235" s="922"/>
      <c r="M5235" s="922"/>
      <c r="N5235" s="924"/>
      <c r="O5235" s="362"/>
    </row>
    <row r="5236" spans="1:18" ht="15.75" customHeight="1">
      <c r="A5236" s="395"/>
      <c r="B5236" s="399"/>
      <c r="C5236" s="929"/>
      <c r="D5236" s="936"/>
      <c r="E5236" s="936"/>
      <c r="F5236" s="936"/>
      <c r="G5236" s="936"/>
      <c r="H5236" s="936"/>
      <c r="I5236" s="936"/>
      <c r="J5236" s="936"/>
      <c r="K5236" s="936"/>
      <c r="L5236" s="936"/>
      <c r="M5236" s="936"/>
      <c r="N5236" s="938"/>
      <c r="O5236" s="362"/>
    </row>
    <row r="5237" spans="1:18" ht="15.75" customHeight="1">
      <c r="A5237" s="395"/>
      <c r="B5237" s="399"/>
      <c r="C5237" s="1201" t="s">
        <v>1215</v>
      </c>
      <c r="D5237" s="1131"/>
      <c r="E5237" s="1131"/>
      <c r="F5237" s="1131"/>
      <c r="G5237" s="1131"/>
      <c r="H5237" s="1000"/>
      <c r="I5237" s="670" t="s">
        <v>1216</v>
      </c>
      <c r="J5237" s="676" t="s">
        <v>1217</v>
      </c>
      <c r="K5237" s="677" t="s">
        <v>1218</v>
      </c>
      <c r="L5237" s="1206" t="s">
        <v>1199</v>
      </c>
      <c r="M5237" s="1000"/>
      <c r="N5237" s="678" t="s">
        <v>1200</v>
      </c>
      <c r="O5237" s="362"/>
    </row>
    <row r="5238" spans="1:18" ht="15.75" customHeight="1">
      <c r="A5238" s="395" t="str">
        <f t="array" ref="A5238">IF(C5238&lt;&gt;0,INDEX(CodMO,MATCH(C5238,MO,0),),)</f>
        <v>M.O-15</v>
      </c>
      <c r="B5238" s="399"/>
      <c r="C5238" s="1128" t="s">
        <v>2607</v>
      </c>
      <c r="D5238" s="940"/>
      <c r="E5238" s="940"/>
      <c r="F5238" s="940"/>
      <c r="G5238" s="940"/>
      <c r="H5238" s="940"/>
      <c r="I5238" s="447">
        <f>IF($A5238&gt;0,(VLOOKUP($A5238,TablaMO,8,FALSE)),"")</f>
        <v>366787.33333333331</v>
      </c>
      <c r="J5238" s="448">
        <f>IF($A5238&gt;0,(VLOOKUP($A5238,TablaMO,10,FALSE)),"")</f>
        <v>0.67071666666666663</v>
      </c>
      <c r="K5238" s="447">
        <f>IF($A5238&gt;0,(VLOOKUP($A5238,TablaMO,11,FALSE)),"")</f>
        <v>367679</v>
      </c>
      <c r="L5238" s="1146">
        <v>48.277183996164837</v>
      </c>
      <c r="M5238" s="941"/>
      <c r="N5238" s="430">
        <f t="shared" ref="N5238:N5242" si="384">IF(L5238&gt;0,K5238/L5238,"")</f>
        <v>7615.9993099267886</v>
      </c>
      <c r="O5238" s="362"/>
    </row>
    <row r="5239" spans="1:18" ht="15.75" customHeight="1">
      <c r="A5239" s="395">
        <f t="array" ref="A5239">IF(C5239&lt;&gt;0,INDEX(CodMO,MATCH(C5239,MO,0),),)</f>
        <v>0</v>
      </c>
      <c r="B5239" s="399"/>
      <c r="C5239" s="1128"/>
      <c r="D5239" s="940"/>
      <c r="E5239" s="940"/>
      <c r="F5239" s="940"/>
      <c r="G5239" s="940"/>
      <c r="H5239" s="940"/>
      <c r="I5239" s="447" t="str">
        <f>IF($A5239&gt;0,(VLOOKUP($A5239,TablaMO,8,FALSE)),"")</f>
        <v/>
      </c>
      <c r="J5239" s="448" t="str">
        <f>IF($A5239&gt;0,(VLOOKUP($A5239,TablaMO,10,FALSE)),"")</f>
        <v/>
      </c>
      <c r="K5239" s="447" t="str">
        <f>IF($A5239&gt;0,(VLOOKUP($A5239,TablaMO,11,FALSE)),"")</f>
        <v/>
      </c>
      <c r="L5239" s="1146"/>
      <c r="M5239" s="941"/>
      <c r="N5239" s="430" t="str">
        <f t="shared" si="384"/>
        <v/>
      </c>
      <c r="O5239" s="362"/>
    </row>
    <row r="5240" spans="1:18" ht="15.75" customHeight="1">
      <c r="A5240" s="395">
        <f t="array" ref="A5240">IF(C5240&lt;&gt;0,INDEX(CodMO,MATCH(C5240,MO,0),),)</f>
        <v>0</v>
      </c>
      <c r="B5240" s="399"/>
      <c r="C5240" s="1128"/>
      <c r="D5240" s="940"/>
      <c r="E5240" s="940"/>
      <c r="F5240" s="940"/>
      <c r="G5240" s="940"/>
      <c r="H5240" s="940"/>
      <c r="I5240" s="447" t="str">
        <f>IF($A5240&gt;0,(VLOOKUP($A5240,TablaMO,8,FALSE)),"")</f>
        <v/>
      </c>
      <c r="J5240" s="448" t="str">
        <f>IF($A5240&gt;0,(VLOOKUP($A5240,TablaMO,10,FALSE)),"")</f>
        <v/>
      </c>
      <c r="K5240" s="447" t="str">
        <f>IF($A5240&gt;0,(VLOOKUP($A5240,TablaMO,11,FALSE)),"")</f>
        <v/>
      </c>
      <c r="L5240" s="1146"/>
      <c r="M5240" s="941"/>
      <c r="N5240" s="430" t="str">
        <f t="shared" si="384"/>
        <v/>
      </c>
      <c r="O5240" s="362"/>
    </row>
    <row r="5241" spans="1:18" ht="15.75" customHeight="1">
      <c r="A5241" s="395">
        <f t="array" ref="A5241">IF(C5241&lt;&gt;0,INDEX(CodMO,MATCH(C5241,MO,0),),)</f>
        <v>0</v>
      </c>
      <c r="B5241" s="399"/>
      <c r="C5241" s="1128"/>
      <c r="D5241" s="940"/>
      <c r="E5241" s="940"/>
      <c r="F5241" s="940"/>
      <c r="G5241" s="940"/>
      <c r="H5241" s="940"/>
      <c r="I5241" s="447" t="str">
        <f>IF($A5241&gt;0,(VLOOKUP($A5241,TablaMO,8,FALSE)),"")</f>
        <v/>
      </c>
      <c r="J5241" s="448" t="str">
        <f>IF($A5241&gt;0,(VLOOKUP($A5241,TablaMO,10,FALSE)),"")</f>
        <v/>
      </c>
      <c r="K5241" s="447" t="str">
        <f>IF($A5241&gt;0,(VLOOKUP($A5241,TablaMO,11,FALSE)),"")</f>
        <v/>
      </c>
      <c r="L5241" s="1146"/>
      <c r="M5241" s="941"/>
      <c r="N5241" s="430" t="str">
        <f t="shared" si="384"/>
        <v/>
      </c>
      <c r="O5241" s="362"/>
    </row>
    <row r="5242" spans="1:18" ht="15.75" customHeight="1">
      <c r="A5242" s="395">
        <f t="array" ref="A5242">IF(C5242&lt;&gt;0,INDEX(CodMO,MATCH(C5242,MO,0),),)</f>
        <v>0</v>
      </c>
      <c r="B5242" s="399"/>
      <c r="C5242" s="1128"/>
      <c r="D5242" s="940"/>
      <c r="E5242" s="940"/>
      <c r="F5242" s="940"/>
      <c r="G5242" s="940"/>
      <c r="H5242" s="940"/>
      <c r="I5242" s="447" t="str">
        <f>IF($A5242&gt;0,(VLOOKUP($A5242,TablaMO,8,FALSE)),"")</f>
        <v/>
      </c>
      <c r="J5242" s="448" t="str">
        <f>IF($A5242&gt;0,(VLOOKUP($A5242,TablaMO,10,FALSE)),"")</f>
        <v/>
      </c>
      <c r="K5242" s="447" t="str">
        <f>IF($A5242&gt;0,(VLOOKUP($A5242,TablaMO,11,FALSE)),"")</f>
        <v/>
      </c>
      <c r="L5242" s="1146"/>
      <c r="M5242" s="941"/>
      <c r="N5242" s="430" t="str">
        <f t="shared" si="384"/>
        <v/>
      </c>
      <c r="O5242" s="362"/>
    </row>
    <row r="5243" spans="1:18" ht="15.75" customHeight="1">
      <c r="A5243" s="395"/>
      <c r="B5243" s="399"/>
      <c r="C5243" s="1127" t="s">
        <v>1202</v>
      </c>
      <c r="D5243" s="965"/>
      <c r="E5243" s="965"/>
      <c r="F5243" s="965"/>
      <c r="G5243" s="965"/>
      <c r="H5243" s="965"/>
      <c r="I5243" s="965"/>
      <c r="J5243" s="965"/>
      <c r="K5243" s="965"/>
      <c r="L5243" s="965"/>
      <c r="M5243" s="966"/>
      <c r="N5243" s="433">
        <f>+SUM(N5238:N5242)</f>
        <v>7615.9993099267886</v>
      </c>
      <c r="O5243" s="362"/>
    </row>
    <row r="5244" spans="1:18" ht="15.75" customHeight="1">
      <c r="B5244" s="679"/>
      <c r="O5244" s="362"/>
    </row>
    <row r="5245" spans="1:18" ht="15.75" customHeight="1">
      <c r="B5245" s="679"/>
      <c r="C5245" s="1198" t="s">
        <v>1219</v>
      </c>
      <c r="D5245" s="965"/>
      <c r="E5245" s="965"/>
      <c r="F5245" s="965"/>
      <c r="G5245" s="965"/>
      <c r="H5245" s="965"/>
      <c r="I5245" s="965"/>
      <c r="J5245" s="965"/>
      <c r="K5245" s="965"/>
      <c r="L5245" s="965"/>
      <c r="M5245" s="966"/>
      <c r="N5245" s="680">
        <f>ROUND(SUM(N5243,N5233,N5223,N5210),0)</f>
        <v>27197</v>
      </c>
      <c r="O5245" s="362"/>
      <c r="Q5245" s="681">
        <f>VLOOKUP(C5199,PROPUESTASASERCO,8,FALSE)</f>
        <v>27197</v>
      </c>
      <c r="R5245" s="682">
        <f>Q5245-N5245</f>
        <v>0</v>
      </c>
    </row>
    <row r="5246" spans="1:18" ht="15.75" customHeight="1">
      <c r="B5246" s="679"/>
      <c r="C5246" s="1129" t="s">
        <v>1220</v>
      </c>
      <c r="D5246" s="926"/>
      <c r="E5246" s="926"/>
      <c r="F5246" s="926"/>
      <c r="G5246" s="926"/>
      <c r="H5246" s="926"/>
      <c r="I5246" s="926"/>
      <c r="J5246" s="926"/>
      <c r="K5246" s="926"/>
      <c r="L5246" s="926"/>
      <c r="M5246" s="926"/>
      <c r="N5246" s="927"/>
      <c r="O5246" s="362"/>
    </row>
    <row r="5247" spans="1:18" ht="15.75" customHeight="1">
      <c r="B5247" s="679"/>
      <c r="C5247" s="920"/>
      <c r="D5247" s="922"/>
      <c r="E5247" s="922"/>
      <c r="F5247" s="922"/>
      <c r="G5247" s="922"/>
      <c r="H5247" s="922"/>
      <c r="I5247" s="922"/>
      <c r="J5247" s="922"/>
      <c r="K5247" s="922"/>
      <c r="L5247" s="922"/>
      <c r="M5247" s="922"/>
      <c r="N5247" s="924"/>
      <c r="O5247" s="362"/>
    </row>
    <row r="5248" spans="1:18" ht="15.75" customHeight="1">
      <c r="B5248" s="679"/>
      <c r="C5248" s="929"/>
      <c r="D5248" s="936"/>
      <c r="E5248" s="936"/>
      <c r="F5248" s="936"/>
      <c r="G5248" s="936"/>
      <c r="H5248" s="936"/>
      <c r="I5248" s="936"/>
      <c r="J5248" s="936"/>
      <c r="K5248" s="936"/>
      <c r="L5248" s="936"/>
      <c r="M5248" s="936"/>
      <c r="N5248" s="938"/>
      <c r="O5248" s="362"/>
    </row>
    <row r="5249" spans="2:15" ht="15.75" customHeight="1">
      <c r="B5249" s="679"/>
      <c r="C5249" s="1201" t="s">
        <v>1221</v>
      </c>
      <c r="D5249" s="1131"/>
      <c r="E5249" s="1131"/>
      <c r="F5249" s="1131"/>
      <c r="G5249" s="1131"/>
      <c r="H5249" s="1132"/>
      <c r="I5249" s="674"/>
      <c r="J5249" s="674"/>
      <c r="K5249" s="674"/>
      <c r="L5249" s="1206" t="s">
        <v>1222</v>
      </c>
      <c r="M5249" s="1000"/>
      <c r="N5249" s="678" t="s">
        <v>1223</v>
      </c>
      <c r="O5249" s="362"/>
    </row>
    <row r="5250" spans="2:15" ht="15.75" customHeight="1">
      <c r="B5250" s="679"/>
      <c r="C5250" s="1128" t="s">
        <v>19</v>
      </c>
      <c r="D5250" s="940"/>
      <c r="E5250" s="940"/>
      <c r="F5250" s="940"/>
      <c r="G5250" s="940"/>
      <c r="H5250" s="940"/>
      <c r="I5250" s="452"/>
      <c r="J5250" s="452"/>
      <c r="K5250" s="452"/>
      <c r="L5250" s="1148">
        <v>0</v>
      </c>
      <c r="M5250" s="941"/>
      <c r="N5250" s="430">
        <f>+L5250*N5245</f>
        <v>0</v>
      </c>
      <c r="O5250" s="362"/>
    </row>
    <row r="5251" spans="2:15" ht="15.75" customHeight="1">
      <c r="B5251" s="679"/>
      <c r="C5251" s="454" t="s">
        <v>20</v>
      </c>
      <c r="D5251" s="455"/>
      <c r="E5251" s="455"/>
      <c r="F5251" s="455"/>
      <c r="G5251" s="455"/>
      <c r="H5251" s="455"/>
      <c r="I5251" s="452"/>
      <c r="J5251" s="452"/>
      <c r="K5251" s="452"/>
      <c r="L5251" s="1148">
        <v>0</v>
      </c>
      <c r="M5251" s="941"/>
      <c r="N5251" s="430">
        <f>+L5251*N5245</f>
        <v>0</v>
      </c>
      <c r="O5251" s="362"/>
    </row>
    <row r="5252" spans="2:15" ht="15.75" customHeight="1">
      <c r="B5252" s="679"/>
      <c r="C5252" s="456" t="s">
        <v>21</v>
      </c>
      <c r="D5252" s="457"/>
      <c r="E5252" s="457"/>
      <c r="F5252" s="457"/>
      <c r="G5252" s="457"/>
      <c r="H5252" s="457"/>
      <c r="I5252" s="458"/>
      <c r="J5252" s="458"/>
      <c r="K5252" s="458"/>
      <c r="L5252" s="1148">
        <v>0</v>
      </c>
      <c r="M5252" s="941"/>
      <c r="N5252" s="430">
        <f>+L5252*N5245</f>
        <v>0</v>
      </c>
      <c r="O5252" s="362"/>
    </row>
    <row r="5253" spans="2:15" ht="15.75" customHeight="1">
      <c r="B5253" s="679"/>
      <c r="C5253" s="1127" t="s">
        <v>1202</v>
      </c>
      <c r="D5253" s="965"/>
      <c r="E5253" s="965"/>
      <c r="F5253" s="965"/>
      <c r="G5253" s="965"/>
      <c r="H5253" s="965"/>
      <c r="I5253" s="965"/>
      <c r="J5253" s="965"/>
      <c r="K5253" s="965"/>
      <c r="L5253" s="965"/>
      <c r="M5253" s="966"/>
      <c r="N5253" s="433">
        <f>+SUM(N5250:N5252)</f>
        <v>0</v>
      </c>
      <c r="O5253" s="362"/>
    </row>
    <row r="5254" spans="2:15" ht="15.75" customHeight="1">
      <c r="B5254" s="679"/>
      <c r="C5254" s="418"/>
      <c r="D5254" s="39"/>
      <c r="E5254" s="39"/>
      <c r="F5254" s="39"/>
      <c r="G5254" s="39"/>
      <c r="H5254" s="39"/>
      <c r="I5254" s="39"/>
      <c r="J5254" s="39"/>
      <c r="K5254" s="39"/>
      <c r="L5254" s="39"/>
      <c r="M5254" s="39"/>
      <c r="N5254" s="40"/>
      <c r="O5254" s="362"/>
    </row>
    <row r="5255" spans="2:15" ht="15.75" customHeight="1">
      <c r="B5255" s="679"/>
      <c r="C5255" s="1198" t="s">
        <v>1224</v>
      </c>
      <c r="D5255" s="965"/>
      <c r="E5255" s="965"/>
      <c r="F5255" s="965"/>
      <c r="G5255" s="965"/>
      <c r="H5255" s="965"/>
      <c r="I5255" s="965"/>
      <c r="J5255" s="965"/>
      <c r="K5255" s="965"/>
      <c r="L5255" s="965"/>
      <c r="M5255" s="966"/>
      <c r="N5255" s="683">
        <f>+ROUND(SUM(N5253,N5245),0)</f>
        <v>27197</v>
      </c>
      <c r="O5255" s="362"/>
    </row>
    <row r="5256" spans="2:15" ht="15.75" customHeight="1">
      <c r="B5256" s="679"/>
      <c r="C5256" s="418"/>
      <c r="D5256" s="39" t="s">
        <v>1225</v>
      </c>
      <c r="E5256" s="39"/>
      <c r="F5256" s="39"/>
      <c r="G5256" s="184"/>
      <c r="H5256" s="184"/>
      <c r="I5256" s="184"/>
      <c r="J5256" s="39" t="s">
        <v>1225</v>
      </c>
      <c r="K5256" s="39"/>
      <c r="L5256" s="39"/>
      <c r="M5256" s="39"/>
      <c r="N5256" s="40"/>
      <c r="O5256" s="362"/>
    </row>
    <row r="5257" spans="2:15" ht="15.75" customHeight="1">
      <c r="B5257" s="679"/>
      <c r="C5257" s="418"/>
      <c r="D5257" s="39" t="s">
        <v>1226</v>
      </c>
      <c r="E5257" s="39"/>
      <c r="F5257" s="39"/>
      <c r="G5257" s="184"/>
      <c r="H5257" s="184"/>
      <c r="I5257" s="184"/>
      <c r="J5257" s="39" t="s">
        <v>1227</v>
      </c>
      <c r="K5257" s="39"/>
      <c r="L5257" s="39"/>
      <c r="M5257" s="39"/>
      <c r="N5257" s="40"/>
      <c r="O5257" s="362"/>
    </row>
    <row r="5258" spans="2:15" ht="15.75" customHeight="1">
      <c r="B5258" s="679"/>
      <c r="C5258" s="404"/>
      <c r="D5258" s="39" t="s">
        <v>1228</v>
      </c>
      <c r="E5258" s="42"/>
      <c r="F5258" s="42"/>
      <c r="G5258" s="184"/>
      <c r="H5258" s="184"/>
      <c r="I5258" s="184"/>
      <c r="J5258" s="39" t="s">
        <v>1228</v>
      </c>
      <c r="K5258" s="42"/>
      <c r="L5258" s="42"/>
      <c r="M5258" s="42"/>
      <c r="N5258" s="43"/>
      <c r="O5258" s="362"/>
    </row>
    <row r="5259" spans="2:15" ht="15.75" customHeight="1">
      <c r="B5259" s="679"/>
      <c r="C5259" s="418"/>
      <c r="D5259" s="39"/>
      <c r="E5259" s="39"/>
      <c r="F5259" s="39"/>
      <c r="G5259" s="39" t="s">
        <v>1229</v>
      </c>
      <c r="H5259" s="39"/>
      <c r="I5259" s="39"/>
      <c r="J5259" s="39"/>
      <c r="K5259" s="39"/>
      <c r="L5259" s="39"/>
      <c r="M5259" s="39"/>
      <c r="N5259" s="40"/>
      <c r="O5259" s="362"/>
    </row>
    <row r="5260" spans="2:15" ht="15.75" customHeight="1">
      <c r="B5260" s="679"/>
      <c r="C5260" s="466"/>
      <c r="D5260" s="467"/>
      <c r="E5260" s="467"/>
      <c r="F5260" s="39"/>
      <c r="G5260" s="39"/>
      <c r="H5260" s="39"/>
      <c r="I5260" s="39"/>
      <c r="J5260" s="1149"/>
      <c r="K5260" s="922"/>
      <c r="L5260" s="922"/>
      <c r="M5260" s="922"/>
      <c r="N5260" s="924"/>
      <c r="O5260" s="362"/>
    </row>
    <row r="5261" spans="2:15" ht="15.75" customHeight="1">
      <c r="B5261" s="679"/>
      <c r="C5261" s="1150"/>
      <c r="D5261" s="936"/>
      <c r="E5261" s="936"/>
      <c r="F5261" s="416"/>
      <c r="G5261" s="416"/>
      <c r="H5261" s="416"/>
      <c r="I5261" s="416"/>
      <c r="J5261" s="936"/>
      <c r="K5261" s="936"/>
      <c r="L5261" s="936"/>
      <c r="M5261" s="936"/>
      <c r="N5261" s="938"/>
      <c r="O5261" s="362"/>
    </row>
    <row r="5262" spans="2:15" ht="15.75" customHeight="1">
      <c r="B5262" s="684"/>
      <c r="C5262" s="685"/>
      <c r="D5262" s="685"/>
      <c r="E5262" s="685"/>
      <c r="F5262" s="685"/>
      <c r="G5262" s="685"/>
      <c r="H5262" s="685"/>
      <c r="I5262" s="685"/>
      <c r="J5262" s="685"/>
      <c r="K5262" s="685"/>
      <c r="L5262" s="685"/>
      <c r="M5262" s="685"/>
      <c r="N5262" s="685"/>
      <c r="O5262" s="686"/>
    </row>
    <row r="5263" spans="2:15" ht="15.75" customHeight="1">
      <c r="B5263" s="205"/>
      <c r="C5263" s="205"/>
      <c r="D5263" s="205"/>
      <c r="E5263" s="205"/>
      <c r="F5263" s="205"/>
      <c r="G5263" s="205"/>
      <c r="H5263" s="205"/>
      <c r="I5263" s="205"/>
      <c r="J5263" s="205"/>
      <c r="K5263" s="205"/>
      <c r="L5263" s="205"/>
      <c r="M5263" s="205"/>
      <c r="N5263" s="205"/>
      <c r="O5263" s="205"/>
    </row>
    <row r="5264" spans="2:15" ht="15.75" customHeight="1">
      <c r="B5264" s="205"/>
      <c r="C5264" s="205"/>
      <c r="D5264" s="205"/>
      <c r="E5264" s="205"/>
      <c r="F5264" s="205"/>
      <c r="G5264" s="205"/>
      <c r="H5264" s="205"/>
      <c r="I5264" s="205"/>
      <c r="J5264" s="205"/>
      <c r="K5264" s="205"/>
      <c r="L5264" s="205"/>
      <c r="M5264" s="205"/>
      <c r="N5264" s="205"/>
      <c r="O5264" s="205"/>
    </row>
    <row r="5265" spans="1:15" ht="15.75" customHeight="1">
      <c r="B5265" s="205"/>
      <c r="C5265" s="205"/>
      <c r="D5265" s="205"/>
      <c r="E5265" s="205"/>
      <c r="F5265" s="205"/>
      <c r="G5265" s="205"/>
      <c r="H5265" s="205"/>
      <c r="I5265" s="205"/>
      <c r="J5265" s="205"/>
      <c r="K5265" s="205"/>
      <c r="L5265" s="205"/>
      <c r="M5265" s="205"/>
      <c r="N5265" s="205"/>
      <c r="O5265" s="205"/>
    </row>
    <row r="5266" spans="1:15" ht="15.75" customHeight="1">
      <c r="B5266" s="205"/>
      <c r="C5266" s="205"/>
      <c r="D5266" s="205"/>
      <c r="E5266" s="205"/>
      <c r="F5266" s="205"/>
      <c r="G5266" s="205"/>
      <c r="H5266" s="205"/>
      <c r="I5266" s="205"/>
      <c r="J5266" s="205"/>
      <c r="K5266" s="205"/>
      <c r="L5266" s="205"/>
      <c r="M5266" s="205"/>
      <c r="N5266" s="205"/>
      <c r="O5266" s="205"/>
    </row>
    <row r="5267" spans="1:15" ht="15.75" customHeight="1">
      <c r="A5267" s="395" t="s">
        <v>941</v>
      </c>
      <c r="B5267" s="184"/>
      <c r="C5267" s="184"/>
      <c r="D5267" s="184"/>
      <c r="E5267" s="184"/>
      <c r="F5267" s="184"/>
      <c r="G5267" s="184"/>
      <c r="H5267" s="184"/>
      <c r="I5267" s="184"/>
      <c r="J5267" s="184"/>
      <c r="K5267" s="184"/>
      <c r="L5267" s="184"/>
      <c r="M5267" s="184"/>
      <c r="N5267" s="184"/>
    </row>
    <row r="5268" spans="1:15" ht="15.75" customHeight="1">
      <c r="A5268" s="395"/>
      <c r="B5268" s="396"/>
      <c r="C5268" s="397"/>
      <c r="D5268" s="397"/>
      <c r="E5268" s="397"/>
      <c r="F5268" s="397"/>
      <c r="G5268" s="397"/>
      <c r="H5268" s="397"/>
      <c r="I5268" s="397"/>
      <c r="J5268" s="397"/>
      <c r="K5268" s="397"/>
      <c r="L5268" s="397"/>
      <c r="M5268" s="397"/>
      <c r="N5268" s="397"/>
      <c r="O5268" s="667"/>
    </row>
    <row r="5269" spans="1:15" ht="15.75" customHeight="1">
      <c r="A5269" s="395"/>
      <c r="B5269" s="399"/>
      <c r="C5269" s="1124"/>
      <c r="D5269" s="927"/>
      <c r="E5269" s="1207" t="str">
        <f>Datos!$C$9</f>
        <v>CONSEJO SUPERIOR  DE  JUDICATURA– DIRECCIÓN  EJECUTIVA  SECCIONAL  DE ADMINISTRACIÓN JUDICIAL DE BUCARAMANGA</v>
      </c>
      <c r="F5269" s="926"/>
      <c r="G5269" s="926"/>
      <c r="H5269" s="926"/>
      <c r="I5269" s="926"/>
      <c r="J5269" s="926"/>
      <c r="K5269" s="927"/>
      <c r="L5269" s="925" t="s">
        <v>1</v>
      </c>
      <c r="M5269" s="931"/>
      <c r="N5269" s="933">
        <v>1</v>
      </c>
      <c r="O5269" s="362"/>
    </row>
    <row r="5270" spans="1:15" ht="15.75" customHeight="1">
      <c r="A5270" s="395"/>
      <c r="B5270" s="399"/>
      <c r="C5270" s="920"/>
      <c r="D5270" s="924"/>
      <c r="E5270" s="920"/>
      <c r="F5270" s="922"/>
      <c r="G5270" s="922"/>
      <c r="H5270" s="922"/>
      <c r="I5270" s="922"/>
      <c r="J5270" s="922"/>
      <c r="K5270" s="924"/>
      <c r="L5270" s="920"/>
      <c r="M5270" s="932"/>
      <c r="N5270" s="934"/>
      <c r="O5270" s="362"/>
    </row>
    <row r="5271" spans="1:15" ht="15.75" customHeight="1">
      <c r="A5271" s="395"/>
      <c r="B5271" s="399"/>
      <c r="C5271" s="920"/>
      <c r="D5271" s="924"/>
      <c r="E5271" s="919" t="str">
        <f>Datos!$C$13</f>
        <v xml:space="preserve">BGA - 030 - 2026 </v>
      </c>
      <c r="F5271" s="922"/>
      <c r="G5271" s="922"/>
      <c r="H5271" s="922"/>
      <c r="I5271" s="922"/>
      <c r="J5271" s="922"/>
      <c r="K5271" s="922"/>
      <c r="L5271" s="925" t="s">
        <v>29</v>
      </c>
      <c r="M5271" s="926"/>
      <c r="N5271" s="927"/>
      <c r="O5271" s="362"/>
    </row>
    <row r="5272" spans="1:15" ht="15.75" customHeight="1">
      <c r="A5272" s="395"/>
      <c r="B5272" s="399"/>
      <c r="C5272" s="920"/>
      <c r="D5272" s="924"/>
      <c r="E5272"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272" s="922"/>
      <c r="G5272" s="922"/>
      <c r="H5272" s="922"/>
      <c r="I5272" s="922"/>
      <c r="J5272" s="922"/>
      <c r="K5272" s="924"/>
      <c r="L5272" s="919">
        <v>1</v>
      </c>
      <c r="M5272" s="921" t="s">
        <v>30</v>
      </c>
      <c r="N5272" s="923">
        <v>1</v>
      </c>
      <c r="O5272" s="362"/>
    </row>
    <row r="5273" spans="1:15" ht="35.65" customHeight="1">
      <c r="A5273" s="395"/>
      <c r="B5273" s="399"/>
      <c r="C5273" s="920"/>
      <c r="D5273" s="924"/>
      <c r="E5273" s="920"/>
      <c r="F5273" s="922"/>
      <c r="G5273" s="922"/>
      <c r="H5273" s="922"/>
      <c r="I5273" s="922"/>
      <c r="J5273" s="922"/>
      <c r="K5273" s="924"/>
      <c r="L5273" s="920"/>
      <c r="M5273" s="922"/>
      <c r="N5273" s="924"/>
      <c r="O5273" s="362"/>
    </row>
    <row r="5274" spans="1:15" ht="15.75" customHeight="1">
      <c r="A5274" s="395"/>
      <c r="B5274" s="399"/>
      <c r="C5274" s="920"/>
      <c r="D5274" s="924"/>
      <c r="E5274" s="920"/>
      <c r="F5274" s="922"/>
      <c r="G5274" s="922"/>
      <c r="H5274" s="922"/>
      <c r="I5274" s="922"/>
      <c r="J5274" s="922"/>
      <c r="K5274" s="924"/>
      <c r="L5274" s="925" t="s">
        <v>2</v>
      </c>
      <c r="M5274" s="926"/>
      <c r="N5274" s="927"/>
      <c r="O5274" s="362"/>
    </row>
    <row r="5275" spans="1:15" ht="15.75" customHeight="1">
      <c r="A5275" s="395"/>
      <c r="B5275" s="399"/>
      <c r="C5275" s="920"/>
      <c r="D5275" s="924"/>
      <c r="E5275" s="407"/>
      <c r="F5275" s="216"/>
      <c r="G5275" s="216"/>
      <c r="H5275" s="216"/>
      <c r="I5275" s="216"/>
      <c r="J5275" s="216"/>
      <c r="K5275" s="216"/>
      <c r="L5275" s="408" t="s">
        <v>3</v>
      </c>
      <c r="M5275" s="409" t="s">
        <v>4</v>
      </c>
      <c r="N5275" s="410" t="s">
        <v>5</v>
      </c>
      <c r="O5275" s="362"/>
    </row>
    <row r="5276" spans="1:15" ht="15.75" customHeight="1">
      <c r="A5276" s="395"/>
      <c r="B5276" s="399"/>
      <c r="C5276" s="920"/>
      <c r="D5276" s="924"/>
      <c r="E5276" s="1125" t="s">
        <v>1186</v>
      </c>
      <c r="F5276" s="945"/>
      <c r="G5276" s="945"/>
      <c r="H5276" s="945"/>
      <c r="I5276" s="945"/>
      <c r="J5276" s="945"/>
      <c r="K5276" s="945"/>
      <c r="L5276" s="928">
        <f>Datos!$C$7</f>
        <v>19</v>
      </c>
      <c r="M5276" s="935">
        <f>Datos!$D$7</f>
        <v>6</v>
      </c>
      <c r="N5276" s="937">
        <f>Datos!$E$7</f>
        <v>2026</v>
      </c>
      <c r="O5276" s="362"/>
    </row>
    <row r="5277" spans="1:15" ht="15.75" customHeight="1">
      <c r="A5277" s="395"/>
      <c r="B5277" s="399"/>
      <c r="C5277" s="929"/>
      <c r="D5277" s="938"/>
      <c r="E5277" s="929"/>
      <c r="F5277" s="936"/>
      <c r="G5277" s="936"/>
      <c r="H5277" s="936"/>
      <c r="I5277" s="936"/>
      <c r="J5277" s="936"/>
      <c r="K5277" s="936"/>
      <c r="L5277" s="929"/>
      <c r="M5277" s="936"/>
      <c r="N5277" s="938"/>
      <c r="O5277" s="362"/>
    </row>
    <row r="5278" spans="1:15" ht="15.75" customHeight="1">
      <c r="A5278" s="395"/>
      <c r="B5278" s="399"/>
      <c r="C5278" s="404"/>
      <c r="D5278" s="38"/>
      <c r="E5278" s="38"/>
      <c r="F5278" s="38"/>
      <c r="G5278" s="38"/>
      <c r="H5278" s="38"/>
      <c r="I5278" s="38"/>
      <c r="J5278" s="38"/>
      <c r="K5278" s="38"/>
      <c r="L5278" s="39"/>
      <c r="M5278" s="39"/>
      <c r="N5278" s="40"/>
      <c r="O5278" s="362"/>
    </row>
    <row r="5279" spans="1:15" ht="15.75" customHeight="1">
      <c r="A5279" s="395"/>
      <c r="B5279" s="399"/>
      <c r="C5279" s="412" t="s">
        <v>1187</v>
      </c>
      <c r="D5279" s="1199" t="str">
        <f>VLOOKUP(C5284,ListaAct,2,0)</f>
        <v>OBRA CIVIL</v>
      </c>
      <c r="E5279" s="922"/>
      <c r="F5279" s="922"/>
      <c r="G5279" s="922"/>
      <c r="H5279" s="922"/>
      <c r="I5279" s="922"/>
      <c r="J5279" s="922"/>
      <c r="K5279" s="922"/>
      <c r="L5279" s="922"/>
      <c r="M5279" s="1"/>
      <c r="N5279" s="413"/>
      <c r="O5279" s="362"/>
    </row>
    <row r="5280" spans="1:15" ht="15.75" customHeight="1">
      <c r="A5280" s="395"/>
      <c r="B5280" s="399"/>
      <c r="C5280" s="412" t="s">
        <v>1189</v>
      </c>
      <c r="D5280" s="1199" t="str">
        <f>VLOOKUP(C5284,ListaAct,3,0)</f>
        <v>OTRAS ACTIVIDADES Y/O SERVICIOS REQUERIDOS (SIN AIU)</v>
      </c>
      <c r="E5280" s="922"/>
      <c r="F5280" s="922"/>
      <c r="G5280" s="922"/>
      <c r="H5280" s="922"/>
      <c r="I5280" s="922"/>
      <c r="J5280" s="922"/>
      <c r="K5280" s="922"/>
      <c r="L5280" s="922"/>
      <c r="M5280" s="1"/>
      <c r="N5280" s="413"/>
      <c r="O5280" s="362"/>
    </row>
    <row r="5281" spans="1:15" ht="15.75" customHeight="1">
      <c r="A5281" s="395"/>
      <c r="B5281" s="399"/>
      <c r="C5281" s="925" t="s">
        <v>1191</v>
      </c>
      <c r="D5281" s="926"/>
      <c r="E5281" s="926"/>
      <c r="F5281" s="926"/>
      <c r="G5281" s="926"/>
      <c r="H5281" s="926"/>
      <c r="I5281" s="926"/>
      <c r="J5281" s="926"/>
      <c r="K5281" s="926"/>
      <c r="L5281" s="926"/>
      <c r="M5281" s="926"/>
      <c r="N5281" s="927"/>
      <c r="O5281" s="362"/>
    </row>
    <row r="5282" spans="1:15" ht="15.75" customHeight="1">
      <c r="A5282" s="395"/>
      <c r="B5282" s="399"/>
      <c r="C5282" s="418"/>
      <c r="D5282" s="39"/>
      <c r="E5282" s="39"/>
      <c r="F5282" s="39"/>
      <c r="G5282" s="39"/>
      <c r="H5282" s="39"/>
      <c r="I5282" s="39"/>
      <c r="J5282" s="39"/>
      <c r="K5282" s="39"/>
      <c r="L5282" s="39"/>
      <c r="M5282" s="39"/>
      <c r="N5282" s="40"/>
      <c r="O5282" s="362"/>
    </row>
    <row r="5283" spans="1:15" ht="15.75" customHeight="1">
      <c r="A5283" s="395"/>
      <c r="B5283" s="399"/>
      <c r="C5283" s="668" t="s">
        <v>965</v>
      </c>
      <c r="D5283" s="1200" t="s">
        <v>17</v>
      </c>
      <c r="E5283" s="1131"/>
      <c r="F5283" s="1131"/>
      <c r="G5283" s="1131"/>
      <c r="H5283" s="1131"/>
      <c r="I5283" s="1131"/>
      <c r="J5283" s="1131"/>
      <c r="K5283" s="1137"/>
      <c r="L5283" s="1201" t="s">
        <v>1192</v>
      </c>
      <c r="M5283" s="1137"/>
      <c r="N5283" s="668" t="s">
        <v>950</v>
      </c>
      <c r="O5283" s="362"/>
    </row>
    <row r="5284" spans="1:15" ht="15.75" customHeight="1">
      <c r="A5284" s="395"/>
      <c r="B5284" s="421"/>
      <c r="C5284" s="669" t="s">
        <v>1181</v>
      </c>
      <c r="D5284" s="1202" t="str">
        <f>IF($C5284&gt;0,(VLOOKUP($C5284,ListaAct,4,FALSE)),"")</f>
        <v xml:space="preserve"> Gabinete Rack 9ur, incluye Elementos de soporte y fijacion  </v>
      </c>
      <c r="E5284" s="979"/>
      <c r="F5284" s="979"/>
      <c r="G5284" s="979"/>
      <c r="H5284" s="979"/>
      <c r="I5284" s="979"/>
      <c r="J5284" s="979"/>
      <c r="K5284" s="980"/>
      <c r="L5284" s="1203" t="str">
        <f>IF($C5284&gt;0,(VLOOKUP($C5284,ListaAct,5,FALSE)),"")</f>
        <v>und</v>
      </c>
      <c r="M5284" s="980"/>
      <c r="N5284" s="423">
        <f>IF($C5284&gt;0,(VLOOKUP($C5284,ListaAct,6,FALSE)),"")</f>
        <v>1</v>
      </c>
      <c r="O5284" s="362"/>
    </row>
    <row r="5285" spans="1:15" ht="15.75" customHeight="1">
      <c r="A5285" s="395"/>
      <c r="B5285" s="399"/>
      <c r="C5285" s="1129" t="s">
        <v>1195</v>
      </c>
      <c r="D5285" s="926"/>
      <c r="E5285" s="926"/>
      <c r="F5285" s="926"/>
      <c r="G5285" s="926"/>
      <c r="H5285" s="926"/>
      <c r="I5285" s="926"/>
      <c r="J5285" s="926"/>
      <c r="K5285" s="926"/>
      <c r="L5285" s="926"/>
      <c r="M5285" s="926"/>
      <c r="N5285" s="927"/>
      <c r="O5285" s="362"/>
    </row>
    <row r="5286" spans="1:15" ht="15.75" customHeight="1">
      <c r="A5286" s="395"/>
      <c r="B5286" s="399"/>
      <c r="C5286" s="920"/>
      <c r="D5286" s="922"/>
      <c r="E5286" s="922"/>
      <c r="F5286" s="922"/>
      <c r="G5286" s="922"/>
      <c r="H5286" s="922"/>
      <c r="I5286" s="922"/>
      <c r="J5286" s="922"/>
      <c r="K5286" s="922"/>
      <c r="L5286" s="922"/>
      <c r="M5286" s="922"/>
      <c r="N5286" s="924"/>
      <c r="O5286" s="362"/>
    </row>
    <row r="5287" spans="1:15" ht="15.75" customHeight="1">
      <c r="A5287" s="395"/>
      <c r="B5287" s="399"/>
      <c r="C5287" s="929"/>
      <c r="D5287" s="936"/>
      <c r="E5287" s="936"/>
      <c r="F5287" s="936"/>
      <c r="G5287" s="936"/>
      <c r="H5287" s="936"/>
      <c r="I5287" s="936"/>
      <c r="J5287" s="936"/>
      <c r="K5287" s="936"/>
      <c r="L5287" s="936"/>
      <c r="M5287" s="936"/>
      <c r="N5287" s="938"/>
      <c r="O5287" s="362"/>
    </row>
    <row r="5288" spans="1:15" ht="15.75" customHeight="1">
      <c r="A5288" s="395"/>
      <c r="B5288" s="399"/>
      <c r="C5288" s="1201" t="s">
        <v>17</v>
      </c>
      <c r="D5288" s="1131"/>
      <c r="E5288" s="1131"/>
      <c r="F5288" s="1000"/>
      <c r="G5288" s="1204" t="s">
        <v>1196</v>
      </c>
      <c r="H5288" s="1000"/>
      <c r="I5288" s="1204" t="s">
        <v>1197</v>
      </c>
      <c r="J5288" s="1000"/>
      <c r="K5288" s="670" t="s">
        <v>1213</v>
      </c>
      <c r="L5288" s="1204" t="s">
        <v>1199</v>
      </c>
      <c r="M5288" s="1000"/>
      <c r="N5288" s="671" t="s">
        <v>1200</v>
      </c>
      <c r="O5288" s="362"/>
    </row>
    <row r="5289" spans="1:15" ht="15.75" customHeight="1">
      <c r="A5289" s="395"/>
      <c r="B5289" s="399"/>
      <c r="C5289" s="1128" t="s">
        <v>1201</v>
      </c>
      <c r="D5289" s="940"/>
      <c r="E5289" s="940"/>
      <c r="F5289" s="941"/>
      <c r="G5289" s="1142"/>
      <c r="H5289" s="941"/>
      <c r="I5289" s="1142"/>
      <c r="J5289" s="941"/>
      <c r="K5289" s="429"/>
      <c r="L5289" s="1143">
        <v>0.05</v>
      </c>
      <c r="M5289" s="941"/>
      <c r="N5289" s="430">
        <f>+L5289*N5328</f>
        <v>8116.7116276745792</v>
      </c>
      <c r="O5289" s="362"/>
    </row>
    <row r="5290" spans="1:15" ht="15.75" customHeight="1">
      <c r="A5290" s="395">
        <f t="array" ref="A5290">IF(C5290&lt;&gt;0,INDEX(CodEquipos,MATCH(C5290,Equipos,0),),)</f>
        <v>0</v>
      </c>
      <c r="B5290" s="399"/>
      <c r="C5290" s="1128"/>
      <c r="D5290" s="940"/>
      <c r="E5290" s="940"/>
      <c r="F5290" s="941"/>
      <c r="G5290" s="1142"/>
      <c r="H5290" s="941"/>
      <c r="I5290" s="1142"/>
      <c r="J5290" s="941"/>
      <c r="K5290" s="432" t="str">
        <f>IF($A5290&gt;0,(VLOOKUP($A5290,TablaEquipos,7,FALSE)),"")</f>
        <v/>
      </c>
      <c r="L5290" s="1146"/>
      <c r="M5290" s="941"/>
      <c r="N5290" s="430" t="str">
        <f t="shared" ref="N5290:N5294" si="385">IF(L5290&gt;0,K5290/L5290,"")</f>
        <v/>
      </c>
      <c r="O5290" s="362"/>
    </row>
    <row r="5291" spans="1:15" ht="15.75" customHeight="1">
      <c r="A5291" s="395">
        <f t="array" ref="A5291">IF(C5291&lt;&gt;0,INDEX(CodEquipos,MATCH(C5291,Equipos,0),),)</f>
        <v>0</v>
      </c>
      <c r="B5291" s="399"/>
      <c r="C5291" s="1128"/>
      <c r="D5291" s="940"/>
      <c r="E5291" s="940"/>
      <c r="F5291" s="941"/>
      <c r="G5291" s="1142"/>
      <c r="H5291" s="941"/>
      <c r="I5291" s="1142"/>
      <c r="J5291" s="941"/>
      <c r="K5291" s="432" t="str">
        <f>IF($A5291&gt;0,(VLOOKUP($A5291,TablaEquipos,7,FALSE)),"")</f>
        <v/>
      </c>
      <c r="L5291" s="1146"/>
      <c r="M5291" s="941"/>
      <c r="N5291" s="430" t="str">
        <f t="shared" si="385"/>
        <v/>
      </c>
      <c r="O5291" s="362"/>
    </row>
    <row r="5292" spans="1:15" ht="15.75" customHeight="1">
      <c r="A5292" s="395">
        <f t="array" ref="A5292">IF(C5292&lt;&gt;0,INDEX(CodEquipos,MATCH(C5292,Equipos,0),),)</f>
        <v>0</v>
      </c>
      <c r="B5292" s="399"/>
      <c r="C5292" s="1128"/>
      <c r="D5292" s="940"/>
      <c r="E5292" s="940"/>
      <c r="F5292" s="941"/>
      <c r="G5292" s="1142"/>
      <c r="H5292" s="941"/>
      <c r="I5292" s="1142"/>
      <c r="J5292" s="941"/>
      <c r="K5292" s="432" t="str">
        <f>IF($A5292&gt;0,(VLOOKUP($A5292,TablaEquipos,7,FALSE)),"")</f>
        <v/>
      </c>
      <c r="L5292" s="1146"/>
      <c r="M5292" s="941"/>
      <c r="N5292" s="430" t="str">
        <f t="shared" si="385"/>
        <v/>
      </c>
      <c r="O5292" s="362"/>
    </row>
    <row r="5293" spans="1:15" ht="15.75" customHeight="1">
      <c r="A5293" s="395">
        <f t="array" ref="A5293">IF(C5293&lt;&gt;0,INDEX(CodEquipos,MATCH(C5293,Equipos,0),),)</f>
        <v>0</v>
      </c>
      <c r="B5293" s="399"/>
      <c r="C5293" s="1128"/>
      <c r="D5293" s="940"/>
      <c r="E5293" s="940"/>
      <c r="F5293" s="941"/>
      <c r="G5293" s="1142"/>
      <c r="H5293" s="941"/>
      <c r="I5293" s="1142"/>
      <c r="J5293" s="941"/>
      <c r="K5293" s="432" t="str">
        <f>IF($A5293&gt;0,(VLOOKUP($A5293,TablaEquipos,7,FALSE)),"")</f>
        <v/>
      </c>
      <c r="L5293" s="1141"/>
      <c r="M5293" s="941"/>
      <c r="N5293" s="430" t="str">
        <f t="shared" si="385"/>
        <v/>
      </c>
      <c r="O5293" s="362"/>
    </row>
    <row r="5294" spans="1:15" ht="15.75" customHeight="1">
      <c r="A5294" s="395">
        <f t="array" ref="A5294">IF(C5294&lt;&gt;0,INDEX(CodEquipos,MATCH(C5294,Equipos,0),),)</f>
        <v>0</v>
      </c>
      <c r="B5294" s="399"/>
      <c r="C5294" s="1128"/>
      <c r="D5294" s="940"/>
      <c r="E5294" s="940"/>
      <c r="F5294" s="941"/>
      <c r="G5294" s="1144"/>
      <c r="H5294" s="1145"/>
      <c r="I5294" s="1144"/>
      <c r="J5294" s="1145"/>
      <c r="K5294" s="432" t="str">
        <f>IF($A5294&gt;0,(VLOOKUP($A5294,TablaEquipos,7,FALSE)),"")</f>
        <v/>
      </c>
      <c r="L5294" s="1208"/>
      <c r="M5294" s="1145"/>
      <c r="N5294" s="430" t="str">
        <f t="shared" si="385"/>
        <v/>
      </c>
      <c r="O5294" s="362"/>
    </row>
    <row r="5295" spans="1:15" ht="15.75" customHeight="1">
      <c r="A5295" s="395"/>
      <c r="B5295" s="399"/>
      <c r="C5295" s="1127" t="s">
        <v>1202</v>
      </c>
      <c r="D5295" s="965"/>
      <c r="E5295" s="965"/>
      <c r="F5295" s="965"/>
      <c r="G5295" s="965"/>
      <c r="H5295" s="965"/>
      <c r="I5295" s="965"/>
      <c r="J5295" s="965"/>
      <c r="K5295" s="965"/>
      <c r="L5295" s="965"/>
      <c r="M5295" s="966"/>
      <c r="N5295" s="433">
        <f>+SUM(N5289:N5294)</f>
        <v>8116.7116276745792</v>
      </c>
      <c r="O5295" s="362"/>
    </row>
    <row r="5296" spans="1:15" ht="15.75" customHeight="1">
      <c r="A5296" s="395"/>
      <c r="B5296" s="399"/>
      <c r="C5296" s="1129" t="s">
        <v>1203</v>
      </c>
      <c r="D5296" s="926"/>
      <c r="E5296" s="926"/>
      <c r="F5296" s="926"/>
      <c r="G5296" s="926"/>
      <c r="H5296" s="926"/>
      <c r="I5296" s="926"/>
      <c r="J5296" s="926"/>
      <c r="K5296" s="926"/>
      <c r="L5296" s="926"/>
      <c r="M5296" s="926"/>
      <c r="N5296" s="927"/>
      <c r="O5296" s="362"/>
    </row>
    <row r="5297" spans="1:15" ht="15.75" customHeight="1">
      <c r="A5297" s="395"/>
      <c r="B5297" s="399"/>
      <c r="C5297" s="920"/>
      <c r="D5297" s="922"/>
      <c r="E5297" s="922"/>
      <c r="F5297" s="922"/>
      <c r="G5297" s="922"/>
      <c r="H5297" s="922"/>
      <c r="I5297" s="922"/>
      <c r="J5297" s="922"/>
      <c r="K5297" s="922"/>
      <c r="L5297" s="922"/>
      <c r="M5297" s="922"/>
      <c r="N5297" s="924"/>
      <c r="O5297" s="362"/>
    </row>
    <row r="5298" spans="1:15" ht="15.75" customHeight="1">
      <c r="A5298" s="395"/>
      <c r="B5298" s="399"/>
      <c r="C5298" s="929"/>
      <c r="D5298" s="936"/>
      <c r="E5298" s="936"/>
      <c r="F5298" s="936"/>
      <c r="G5298" s="936"/>
      <c r="H5298" s="936"/>
      <c r="I5298" s="936"/>
      <c r="J5298" s="936"/>
      <c r="K5298" s="936"/>
      <c r="L5298" s="936"/>
      <c r="M5298" s="936"/>
      <c r="N5298" s="938"/>
      <c r="O5298" s="362"/>
    </row>
    <row r="5299" spans="1:15" ht="15.75" customHeight="1">
      <c r="A5299" s="395"/>
      <c r="B5299" s="399"/>
      <c r="C5299" s="1201" t="s">
        <v>17</v>
      </c>
      <c r="D5299" s="1131"/>
      <c r="E5299" s="1131"/>
      <c r="F5299" s="1131"/>
      <c r="G5299" s="1131"/>
      <c r="H5299" s="1131"/>
      <c r="I5299" s="1000"/>
      <c r="J5299" s="672" t="s">
        <v>1192</v>
      </c>
      <c r="K5299" s="670" t="s">
        <v>950</v>
      </c>
      <c r="L5299" s="1204" t="s">
        <v>1204</v>
      </c>
      <c r="M5299" s="1000"/>
      <c r="N5299" s="671" t="s">
        <v>1200</v>
      </c>
      <c r="O5299" s="362"/>
    </row>
    <row r="5300" spans="1:15" ht="15.75" customHeight="1">
      <c r="A5300" s="395" t="str">
        <f t="array" ref="A5300">IF(C5300&lt;&gt;0,INDEX(CodMat,MATCH(C5300,Materiales,0),),)</f>
        <v>MAT_ELE-107</v>
      </c>
      <c r="B5300" s="399"/>
      <c r="C5300" s="1128" t="s">
        <v>2425</v>
      </c>
      <c r="D5300" s="940"/>
      <c r="E5300" s="940"/>
      <c r="F5300" s="940"/>
      <c r="G5300" s="940"/>
      <c r="H5300" s="940"/>
      <c r="I5300" s="941"/>
      <c r="J5300" s="435" t="str">
        <f t="shared" ref="J5300:J5307" si="386">IF($A5300&gt;0,(VLOOKUP($A5300,TablaInsumos,5,FALSE)),"")</f>
        <v>UND</v>
      </c>
      <c r="K5300" s="673">
        <v>1</v>
      </c>
      <c r="L5300" s="1134">
        <f t="shared" ref="L5300:L5307" si="387">IF($A5300&gt;0,(VLOOKUP($A5300,TablaInsumos,7,FALSE)),"")</f>
        <v>415100</v>
      </c>
      <c r="M5300" s="941"/>
      <c r="N5300" s="430">
        <f t="shared" ref="N5300:N5307" si="388">IF(K5300&gt;0,L5300*K5300,"")</f>
        <v>415100</v>
      </c>
      <c r="O5300" s="362"/>
    </row>
    <row r="5301" spans="1:15" ht="15.75" customHeight="1">
      <c r="A5301" s="395" t="str">
        <f t="array" ref="A5301">IF(C5301&lt;&gt;0,INDEX(CodMat,MATCH(C5301,Materiales,0),),)</f>
        <v>MAT_ELE-43</v>
      </c>
      <c r="B5301" s="399"/>
      <c r="C5301" s="1128" t="s">
        <v>2617</v>
      </c>
      <c r="D5301" s="940"/>
      <c r="E5301" s="940"/>
      <c r="F5301" s="940"/>
      <c r="G5301" s="940"/>
      <c r="H5301" s="940"/>
      <c r="I5301" s="941"/>
      <c r="J5301" s="435" t="str">
        <f t="shared" si="386"/>
        <v>UND</v>
      </c>
      <c r="K5301" s="673">
        <v>8</v>
      </c>
      <c r="L5301" s="1134">
        <f t="shared" si="387"/>
        <v>1073</v>
      </c>
      <c r="M5301" s="941"/>
      <c r="N5301" s="430">
        <f t="shared" si="388"/>
        <v>8584</v>
      </c>
      <c r="O5301" s="362"/>
    </row>
    <row r="5302" spans="1:15" ht="15.75" customHeight="1">
      <c r="A5302" s="395">
        <f t="array" ref="A5302">IF(C5302&lt;&gt;0,INDEX(CodMat,MATCH(C5302,Materiales,0),),)</f>
        <v>0</v>
      </c>
      <c r="B5302" s="399"/>
      <c r="C5302" s="1128"/>
      <c r="D5302" s="940"/>
      <c r="E5302" s="940"/>
      <c r="F5302" s="940"/>
      <c r="G5302" s="940"/>
      <c r="H5302" s="940"/>
      <c r="I5302" s="941"/>
      <c r="J5302" s="435" t="str">
        <f t="shared" si="386"/>
        <v/>
      </c>
      <c r="K5302" s="673"/>
      <c r="L5302" s="1134" t="str">
        <f t="shared" si="387"/>
        <v/>
      </c>
      <c r="M5302" s="941"/>
      <c r="N5302" s="430" t="str">
        <f t="shared" si="388"/>
        <v/>
      </c>
      <c r="O5302" s="362"/>
    </row>
    <row r="5303" spans="1:15" ht="15.75" customHeight="1">
      <c r="A5303" s="395">
        <f t="array" ref="A5303">IF(C5303&lt;&gt;0,INDEX(CodMat,MATCH(C5303,Materiales,0),),)</f>
        <v>0</v>
      </c>
      <c r="B5303" s="399"/>
      <c r="C5303" s="1128"/>
      <c r="D5303" s="940"/>
      <c r="E5303" s="940"/>
      <c r="F5303" s="940"/>
      <c r="G5303" s="940"/>
      <c r="H5303" s="940"/>
      <c r="I5303" s="941"/>
      <c r="J5303" s="435" t="str">
        <f t="shared" si="386"/>
        <v/>
      </c>
      <c r="K5303" s="673"/>
      <c r="L5303" s="1134" t="str">
        <f t="shared" si="387"/>
        <v/>
      </c>
      <c r="M5303" s="941"/>
      <c r="N5303" s="430" t="str">
        <f t="shared" si="388"/>
        <v/>
      </c>
      <c r="O5303" s="362"/>
    </row>
    <row r="5304" spans="1:15" ht="15.75" customHeight="1">
      <c r="A5304" s="395">
        <f t="array" ref="A5304">IF(C5304&lt;&gt;0,INDEX(CodMat,MATCH(C5304,Materiales,0),),)</f>
        <v>0</v>
      </c>
      <c r="B5304" s="399"/>
      <c r="C5304" s="1128"/>
      <c r="D5304" s="940"/>
      <c r="E5304" s="940"/>
      <c r="F5304" s="940"/>
      <c r="G5304" s="940"/>
      <c r="H5304" s="940"/>
      <c r="I5304" s="941"/>
      <c r="J5304" s="435" t="str">
        <f t="shared" si="386"/>
        <v/>
      </c>
      <c r="K5304" s="436"/>
      <c r="L5304" s="1134" t="str">
        <f t="shared" si="387"/>
        <v/>
      </c>
      <c r="M5304" s="941"/>
      <c r="N5304" s="430" t="str">
        <f t="shared" si="388"/>
        <v/>
      </c>
      <c r="O5304" s="362"/>
    </row>
    <row r="5305" spans="1:15" ht="15.75" customHeight="1">
      <c r="A5305" s="395">
        <f t="array" ref="A5305">IF(C5305&lt;&gt;0,INDEX(CodMat,MATCH(C5305,Materiales,0),),)</f>
        <v>0</v>
      </c>
      <c r="B5305" s="399"/>
      <c r="C5305" s="1128"/>
      <c r="D5305" s="940"/>
      <c r="E5305" s="940"/>
      <c r="F5305" s="940"/>
      <c r="G5305" s="940"/>
      <c r="H5305" s="940"/>
      <c r="I5305" s="941"/>
      <c r="J5305" s="435" t="str">
        <f t="shared" si="386"/>
        <v/>
      </c>
      <c r="K5305" s="436"/>
      <c r="L5305" s="1134" t="str">
        <f t="shared" si="387"/>
        <v/>
      </c>
      <c r="M5305" s="941"/>
      <c r="N5305" s="430" t="str">
        <f t="shared" si="388"/>
        <v/>
      </c>
      <c r="O5305" s="362"/>
    </row>
    <row r="5306" spans="1:15" ht="15.75" customHeight="1">
      <c r="A5306" s="395">
        <f t="array" ref="A5306">IF(C5306&lt;&gt;0,INDEX(CodMat,MATCH(C5306,Materiales,0),),)</f>
        <v>0</v>
      </c>
      <c r="B5306" s="399"/>
      <c r="C5306" s="1128"/>
      <c r="D5306" s="940"/>
      <c r="E5306" s="940"/>
      <c r="F5306" s="940"/>
      <c r="G5306" s="940"/>
      <c r="H5306" s="940"/>
      <c r="I5306" s="941"/>
      <c r="J5306" s="435" t="str">
        <f t="shared" si="386"/>
        <v/>
      </c>
      <c r="K5306" s="436"/>
      <c r="L5306" s="1134" t="str">
        <f t="shared" si="387"/>
        <v/>
      </c>
      <c r="M5306" s="941"/>
      <c r="N5306" s="430" t="str">
        <f t="shared" si="388"/>
        <v/>
      </c>
      <c r="O5306" s="362"/>
    </row>
    <row r="5307" spans="1:15" ht="15.75" customHeight="1">
      <c r="A5307" s="395">
        <f t="array" ref="A5307">IF(C5307&lt;&gt;0,INDEX(CodMat,MATCH(C5307,Materiales,0),),)</f>
        <v>0</v>
      </c>
      <c r="B5307" s="399"/>
      <c r="C5307" s="1128"/>
      <c r="D5307" s="940"/>
      <c r="E5307" s="940"/>
      <c r="F5307" s="940"/>
      <c r="G5307" s="940"/>
      <c r="H5307" s="940"/>
      <c r="I5307" s="941"/>
      <c r="J5307" s="435" t="str">
        <f t="shared" si="386"/>
        <v/>
      </c>
      <c r="K5307" s="436"/>
      <c r="L5307" s="1205" t="str">
        <f t="shared" si="387"/>
        <v/>
      </c>
      <c r="M5307" s="1145"/>
      <c r="N5307" s="430" t="str">
        <f t="shared" si="388"/>
        <v/>
      </c>
      <c r="O5307" s="362"/>
    </row>
    <row r="5308" spans="1:15" ht="15.75" customHeight="1">
      <c r="A5308" s="395"/>
      <c r="B5308" s="399"/>
      <c r="C5308" s="1127" t="s">
        <v>1202</v>
      </c>
      <c r="D5308" s="965"/>
      <c r="E5308" s="965"/>
      <c r="F5308" s="965"/>
      <c r="G5308" s="965"/>
      <c r="H5308" s="965"/>
      <c r="I5308" s="965"/>
      <c r="J5308" s="965"/>
      <c r="K5308" s="965"/>
      <c r="L5308" s="965"/>
      <c r="M5308" s="966"/>
      <c r="N5308" s="433">
        <f>+SUM(N5300:N5307)</f>
        <v>423684</v>
      </c>
      <c r="O5308" s="362"/>
    </row>
    <row r="5309" spans="1:15" ht="15.75" customHeight="1">
      <c r="A5309" s="395"/>
      <c r="B5309" s="399"/>
      <c r="C5309" s="1129" t="s">
        <v>1208</v>
      </c>
      <c r="D5309" s="926"/>
      <c r="E5309" s="926"/>
      <c r="F5309" s="926"/>
      <c r="G5309" s="926"/>
      <c r="H5309" s="926"/>
      <c r="I5309" s="926"/>
      <c r="J5309" s="926"/>
      <c r="K5309" s="926"/>
      <c r="L5309" s="926"/>
      <c r="M5309" s="926"/>
      <c r="N5309" s="927"/>
      <c r="O5309" s="362"/>
    </row>
    <row r="5310" spans="1:15" ht="15.75" customHeight="1">
      <c r="A5310" s="395"/>
      <c r="B5310" s="399"/>
      <c r="C5310" s="920"/>
      <c r="D5310" s="922"/>
      <c r="E5310" s="922"/>
      <c r="F5310" s="922"/>
      <c r="G5310" s="922"/>
      <c r="H5310" s="922"/>
      <c r="I5310" s="922"/>
      <c r="J5310" s="922"/>
      <c r="K5310" s="922"/>
      <c r="L5310" s="922"/>
      <c r="M5310" s="922"/>
      <c r="N5310" s="924"/>
      <c r="O5310" s="362"/>
    </row>
    <row r="5311" spans="1:15" ht="15.75" customHeight="1">
      <c r="A5311" s="395"/>
      <c r="B5311" s="399"/>
      <c r="C5311" s="929"/>
      <c r="D5311" s="936"/>
      <c r="E5311" s="936"/>
      <c r="F5311" s="936"/>
      <c r="G5311" s="936"/>
      <c r="H5311" s="936"/>
      <c r="I5311" s="936"/>
      <c r="J5311" s="936"/>
      <c r="K5311" s="936"/>
      <c r="L5311" s="936"/>
      <c r="M5311" s="936"/>
      <c r="N5311" s="938"/>
      <c r="O5311" s="362"/>
    </row>
    <row r="5312" spans="1:15" ht="15.75" customHeight="1">
      <c r="A5312" s="395"/>
      <c r="B5312" s="399"/>
      <c r="C5312" s="1201" t="s">
        <v>1209</v>
      </c>
      <c r="D5312" s="1131"/>
      <c r="E5312" s="1131"/>
      <c r="F5312" s="1131"/>
      <c r="G5312" s="1131"/>
      <c r="H5312" s="1000"/>
      <c r="I5312" s="670" t="s">
        <v>1210</v>
      </c>
      <c r="J5312" s="674" t="s">
        <v>1211</v>
      </c>
      <c r="K5312" s="675" t="s">
        <v>2318</v>
      </c>
      <c r="L5312" s="1204" t="s">
        <v>1213</v>
      </c>
      <c r="M5312" s="1000"/>
      <c r="N5312" s="671" t="s">
        <v>1200</v>
      </c>
      <c r="O5312" s="362"/>
    </row>
    <row r="5313" spans="1:15" ht="15.75" customHeight="1">
      <c r="A5313" s="395">
        <f t="array" ref="A5313">IF(C5313&lt;&gt;0,INDEX(CodTransporte,MATCH(C5313,Transporte,0),),)</f>
        <v>0</v>
      </c>
      <c r="B5313" s="399"/>
      <c r="C5313" s="1128"/>
      <c r="D5313" s="940"/>
      <c r="E5313" s="940"/>
      <c r="F5313" s="940"/>
      <c r="G5313" s="940"/>
      <c r="H5313" s="940"/>
      <c r="I5313" s="440"/>
      <c r="J5313" s="441" t="str">
        <f>IF($A5313&gt;0,(VLOOKUP($A5313,TablaTransporte,6,FALSE)),"")</f>
        <v/>
      </c>
      <c r="K5313" s="442" t="str">
        <f>IF($A5313&gt;0,(VLOOKUP($A5313,TablaTransporte,5,FALSE)),"")</f>
        <v/>
      </c>
      <c r="L5313" s="1134" t="str">
        <f>IF($A5313&gt;0,(VLOOKUP($A5313,TablaTransporte,7,FALSE)),"")</f>
        <v/>
      </c>
      <c r="M5313" s="941"/>
      <c r="N5313" s="430" t="str">
        <f t="shared" ref="N5313:N5317" si="389">IF(I5313&gt;0,J5313*L5313*I5313,"")</f>
        <v/>
      </c>
      <c r="O5313" s="362"/>
    </row>
    <row r="5314" spans="1:15" ht="15.75" customHeight="1">
      <c r="A5314" s="395">
        <f t="array" ref="A5314">IF(C5314&lt;&gt;0,INDEX(CodTransporte,MATCH(C5314,Transporte,0),),)</f>
        <v>0</v>
      </c>
      <c r="B5314" s="399"/>
      <c r="C5314" s="1128"/>
      <c r="D5314" s="940"/>
      <c r="E5314" s="940"/>
      <c r="F5314" s="940"/>
      <c r="G5314" s="940"/>
      <c r="H5314" s="940"/>
      <c r="I5314" s="440"/>
      <c r="J5314" s="441" t="str">
        <f>IF($A5314&gt;0,(VLOOKUP($A5314,TablaTransporte,6,FALSE)),"")</f>
        <v/>
      </c>
      <c r="K5314" s="442" t="str">
        <f>IF($A5314&gt;0,(VLOOKUP($A5314,TablaTransporte,5,FALSE)),"")</f>
        <v/>
      </c>
      <c r="L5314" s="1134" t="str">
        <f>IF($A5314&gt;0,(VLOOKUP($A5314,TablaTransporte,7,FALSE)),"")</f>
        <v/>
      </c>
      <c r="M5314" s="941"/>
      <c r="N5314" s="430" t="str">
        <f t="shared" si="389"/>
        <v/>
      </c>
      <c r="O5314" s="362"/>
    </row>
    <row r="5315" spans="1:15" ht="15.75" customHeight="1">
      <c r="A5315" s="395">
        <f t="array" ref="A5315">IF(C5315&lt;&gt;0,INDEX(CodTransporte,MATCH(C5315,Transporte,0),),)</f>
        <v>0</v>
      </c>
      <c r="B5315" s="399"/>
      <c r="C5315" s="1128"/>
      <c r="D5315" s="940"/>
      <c r="E5315" s="940"/>
      <c r="F5315" s="940"/>
      <c r="G5315" s="940"/>
      <c r="H5315" s="940"/>
      <c r="I5315" s="440"/>
      <c r="J5315" s="441" t="str">
        <f>IF($A5315&gt;0,(VLOOKUP($A5315,TablaTransporte,6,FALSE)),"")</f>
        <v/>
      </c>
      <c r="K5315" s="442" t="str">
        <f>IF($A5315&gt;0,(VLOOKUP($A5315,TablaTransporte,5,FALSE)),"")</f>
        <v/>
      </c>
      <c r="L5315" s="1134" t="str">
        <f>IF($A5315&gt;0,(VLOOKUP($A5315,TablaTransporte,7,FALSE)),"")</f>
        <v/>
      </c>
      <c r="M5315" s="941"/>
      <c r="N5315" s="430" t="str">
        <f t="shared" si="389"/>
        <v/>
      </c>
      <c r="O5315" s="362"/>
    </row>
    <row r="5316" spans="1:15" ht="15.75" customHeight="1">
      <c r="A5316" s="395">
        <f t="array" ref="A5316">IF(C5316&lt;&gt;0,INDEX(CodTransporte,MATCH(C5316,Transporte,0),),)</f>
        <v>0</v>
      </c>
      <c r="B5316" s="399"/>
      <c r="C5316" s="1128"/>
      <c r="D5316" s="940"/>
      <c r="E5316" s="940"/>
      <c r="F5316" s="940"/>
      <c r="G5316" s="940"/>
      <c r="H5316" s="940"/>
      <c r="I5316" s="440"/>
      <c r="J5316" s="441" t="str">
        <f>IF($A5316&gt;0,(VLOOKUP($A5316,TablaTransporte,6,FALSE)),"")</f>
        <v/>
      </c>
      <c r="K5316" s="442" t="str">
        <f>IF($A5316&gt;0,(VLOOKUP($A5316,TablaTransporte,5,FALSE)),"")</f>
        <v/>
      </c>
      <c r="L5316" s="1134" t="str">
        <f>IF($A5316&gt;0,(VLOOKUP($A5316,TablaTransporte,7,FALSE)),"")</f>
        <v/>
      </c>
      <c r="M5316" s="941"/>
      <c r="N5316" s="430" t="str">
        <f t="shared" si="389"/>
        <v/>
      </c>
      <c r="O5316" s="362"/>
    </row>
    <row r="5317" spans="1:15" ht="15.75" customHeight="1">
      <c r="A5317" s="395">
        <f t="array" ref="A5317">IF(C5317&lt;&gt;0,INDEX(CodTransporte,MATCH(C5317,Transporte,0),),)</f>
        <v>0</v>
      </c>
      <c r="B5317" s="399"/>
      <c r="C5317" s="1128"/>
      <c r="D5317" s="940"/>
      <c r="E5317" s="940"/>
      <c r="F5317" s="940"/>
      <c r="G5317" s="940"/>
      <c r="H5317" s="940"/>
      <c r="I5317" s="440"/>
      <c r="J5317" s="441" t="str">
        <f>IF($A5317&gt;0,(VLOOKUP($A5317,TablaTransporte,6,FALSE)),"")</f>
        <v/>
      </c>
      <c r="K5317" s="442" t="str">
        <f>IF($A5317&gt;0,(VLOOKUP($A5317,TablaTransporte,5,FALSE)),"")</f>
        <v/>
      </c>
      <c r="L5317" s="1205" t="str">
        <f>IF($A5317&gt;0,(VLOOKUP($A5317,TablaTransporte,7,FALSE)),"")</f>
        <v/>
      </c>
      <c r="M5317" s="1145"/>
      <c r="N5317" s="430" t="str">
        <f t="shared" si="389"/>
        <v/>
      </c>
      <c r="O5317" s="362"/>
    </row>
    <row r="5318" spans="1:15" ht="15.75" customHeight="1">
      <c r="A5318" s="395"/>
      <c r="B5318" s="399"/>
      <c r="C5318" s="1127" t="s">
        <v>1202</v>
      </c>
      <c r="D5318" s="965"/>
      <c r="E5318" s="965"/>
      <c r="F5318" s="965"/>
      <c r="G5318" s="965"/>
      <c r="H5318" s="965"/>
      <c r="I5318" s="965"/>
      <c r="J5318" s="965"/>
      <c r="K5318" s="965"/>
      <c r="L5318" s="965"/>
      <c r="M5318" s="966"/>
      <c r="N5318" s="433">
        <f>+SUM(N5313:N5317)</f>
        <v>0</v>
      </c>
      <c r="O5318" s="362"/>
    </row>
    <row r="5319" spans="1:15" ht="15.75" customHeight="1">
      <c r="A5319" s="395"/>
      <c r="B5319" s="399"/>
      <c r="C5319" s="1129" t="s">
        <v>1214</v>
      </c>
      <c r="D5319" s="926"/>
      <c r="E5319" s="926"/>
      <c r="F5319" s="926"/>
      <c r="G5319" s="926"/>
      <c r="H5319" s="926"/>
      <c r="I5319" s="926"/>
      <c r="J5319" s="926"/>
      <c r="K5319" s="926"/>
      <c r="L5319" s="926"/>
      <c r="M5319" s="926"/>
      <c r="N5319" s="927"/>
      <c r="O5319" s="362"/>
    </row>
    <row r="5320" spans="1:15" ht="15.75" customHeight="1">
      <c r="A5320" s="395"/>
      <c r="B5320" s="399"/>
      <c r="C5320" s="920"/>
      <c r="D5320" s="922"/>
      <c r="E5320" s="922"/>
      <c r="F5320" s="922"/>
      <c r="G5320" s="922"/>
      <c r="H5320" s="922"/>
      <c r="I5320" s="922"/>
      <c r="J5320" s="922"/>
      <c r="K5320" s="922"/>
      <c r="L5320" s="922"/>
      <c r="M5320" s="922"/>
      <c r="N5320" s="924"/>
      <c r="O5320" s="362"/>
    </row>
    <row r="5321" spans="1:15" ht="15.75" customHeight="1">
      <c r="A5321" s="395"/>
      <c r="B5321" s="399"/>
      <c r="C5321" s="929"/>
      <c r="D5321" s="936"/>
      <c r="E5321" s="936"/>
      <c r="F5321" s="936"/>
      <c r="G5321" s="936"/>
      <c r="H5321" s="936"/>
      <c r="I5321" s="936"/>
      <c r="J5321" s="936"/>
      <c r="K5321" s="936"/>
      <c r="L5321" s="936"/>
      <c r="M5321" s="936"/>
      <c r="N5321" s="938"/>
      <c r="O5321" s="362"/>
    </row>
    <row r="5322" spans="1:15" ht="15.75" customHeight="1">
      <c r="A5322" s="395"/>
      <c r="B5322" s="399"/>
      <c r="C5322" s="1201" t="s">
        <v>1215</v>
      </c>
      <c r="D5322" s="1131"/>
      <c r="E5322" s="1131"/>
      <c r="F5322" s="1131"/>
      <c r="G5322" s="1131"/>
      <c r="H5322" s="1000"/>
      <c r="I5322" s="670" t="s">
        <v>1216</v>
      </c>
      <c r="J5322" s="676" t="s">
        <v>1217</v>
      </c>
      <c r="K5322" s="677" t="s">
        <v>1218</v>
      </c>
      <c r="L5322" s="1206" t="s">
        <v>1199</v>
      </c>
      <c r="M5322" s="1000"/>
      <c r="N5322" s="678" t="s">
        <v>1200</v>
      </c>
      <c r="O5322" s="362"/>
    </row>
    <row r="5323" spans="1:15" ht="15.75" customHeight="1">
      <c r="A5323" s="395" t="str">
        <f t="array" ref="A5323">IF(C5323&lt;&gt;0,INDEX(CodMO,MATCH(C5323,MO,0),),)</f>
        <v>M.O-19</v>
      </c>
      <c r="B5323" s="399"/>
      <c r="C5323" s="1128" t="s">
        <v>2597</v>
      </c>
      <c r="D5323" s="940"/>
      <c r="E5323" s="940"/>
      <c r="F5323" s="940"/>
      <c r="G5323" s="940"/>
      <c r="H5323" s="940"/>
      <c r="I5323" s="447">
        <f>IF($A5323&gt;0,(VLOOKUP($A5323,TablaMO,8,FALSE)),"")</f>
        <v>72503.016666666677</v>
      </c>
      <c r="J5323" s="448">
        <f>IF($A5323&gt;0,(VLOOKUP($A5323,TablaMO,10,FALSE)),"")</f>
        <v>0.67071666666666663</v>
      </c>
      <c r="K5323" s="447">
        <f>IF($A5323&gt;0,(VLOOKUP($A5323,TablaMO,11,FALSE)),"")</f>
        <v>121132</v>
      </c>
      <c r="L5323" s="1146">
        <v>3.0111393777583508</v>
      </c>
      <c r="M5323" s="941"/>
      <c r="N5323" s="430">
        <f t="shared" ref="N5323:N5327" si="390">IF(L5323&gt;0,K5323/L5323,"")</f>
        <v>40227.961845518083</v>
      </c>
      <c r="O5323" s="362"/>
    </row>
    <row r="5324" spans="1:15" ht="15.75" customHeight="1">
      <c r="A5324" s="395" t="str">
        <f t="array" ref="A5324">IF(C5324&lt;&gt;0,INDEX(CodMO,MATCH(C5324,MO,0),),)</f>
        <v>M.O-15</v>
      </c>
      <c r="B5324" s="399"/>
      <c r="C5324" s="1128" t="s">
        <v>2607</v>
      </c>
      <c r="D5324" s="940"/>
      <c r="E5324" s="940"/>
      <c r="F5324" s="940"/>
      <c r="G5324" s="940"/>
      <c r="H5324" s="940"/>
      <c r="I5324" s="447">
        <f>IF($A5324&gt;0,(VLOOKUP($A5324,TablaMO,8,FALSE)),"")</f>
        <v>366787.33333333331</v>
      </c>
      <c r="J5324" s="448">
        <f>IF($A5324&gt;0,(VLOOKUP($A5324,TablaMO,10,FALSE)),"")</f>
        <v>0.67071666666666663</v>
      </c>
      <c r="K5324" s="447">
        <f>IF($A5324&gt;0,(VLOOKUP($A5324,TablaMO,11,FALSE)),"")</f>
        <v>367679</v>
      </c>
      <c r="L5324" s="1146">
        <f>L5323</f>
        <v>3.0111393777583508</v>
      </c>
      <c r="M5324" s="941"/>
      <c r="N5324" s="430">
        <f t="shared" si="390"/>
        <v>122106.27070797348</v>
      </c>
      <c r="O5324" s="362"/>
    </row>
    <row r="5325" spans="1:15" ht="15.75" customHeight="1">
      <c r="A5325" s="395">
        <f t="array" ref="A5325">IF(C5325&lt;&gt;0,INDEX(CodMO,MATCH(C5325,MO,0),),)</f>
        <v>0</v>
      </c>
      <c r="B5325" s="399"/>
      <c r="C5325" s="1128"/>
      <c r="D5325" s="940"/>
      <c r="E5325" s="940"/>
      <c r="F5325" s="940"/>
      <c r="G5325" s="940"/>
      <c r="H5325" s="940"/>
      <c r="I5325" s="447" t="str">
        <f>IF($A5325&gt;0,(VLOOKUP($A5325,TablaMO,8,FALSE)),"")</f>
        <v/>
      </c>
      <c r="J5325" s="448" t="str">
        <f>IF($A5325&gt;0,(VLOOKUP($A5325,TablaMO,10,FALSE)),"")</f>
        <v/>
      </c>
      <c r="K5325" s="447" t="str">
        <f>IF($A5325&gt;0,(VLOOKUP($A5325,TablaMO,11,FALSE)),"")</f>
        <v/>
      </c>
      <c r="L5325" s="1146"/>
      <c r="M5325" s="941"/>
      <c r="N5325" s="430" t="str">
        <f t="shared" si="390"/>
        <v/>
      </c>
      <c r="O5325" s="362"/>
    </row>
    <row r="5326" spans="1:15" ht="15.75" customHeight="1">
      <c r="A5326" s="395">
        <f t="array" ref="A5326">IF(C5326&lt;&gt;0,INDEX(CodMO,MATCH(C5326,MO,0),),)</f>
        <v>0</v>
      </c>
      <c r="B5326" s="399"/>
      <c r="C5326" s="1128"/>
      <c r="D5326" s="940"/>
      <c r="E5326" s="940"/>
      <c r="F5326" s="940"/>
      <c r="G5326" s="940"/>
      <c r="H5326" s="940"/>
      <c r="I5326" s="447" t="str">
        <f>IF($A5326&gt;0,(VLOOKUP($A5326,TablaMO,8,FALSE)),"")</f>
        <v/>
      </c>
      <c r="J5326" s="448" t="str">
        <f>IF($A5326&gt;0,(VLOOKUP($A5326,TablaMO,10,FALSE)),"")</f>
        <v/>
      </c>
      <c r="K5326" s="447" t="str">
        <f>IF($A5326&gt;0,(VLOOKUP($A5326,TablaMO,11,FALSE)),"")</f>
        <v/>
      </c>
      <c r="L5326" s="1146"/>
      <c r="M5326" s="941"/>
      <c r="N5326" s="430" t="str">
        <f t="shared" si="390"/>
        <v/>
      </c>
      <c r="O5326" s="362"/>
    </row>
    <row r="5327" spans="1:15" ht="15.75" customHeight="1">
      <c r="A5327" s="395">
        <f t="array" ref="A5327">IF(C5327&lt;&gt;0,INDEX(CodMO,MATCH(C5327,MO,0),),)</f>
        <v>0</v>
      </c>
      <c r="B5327" s="399"/>
      <c r="C5327" s="1128"/>
      <c r="D5327" s="940"/>
      <c r="E5327" s="940"/>
      <c r="F5327" s="940"/>
      <c r="G5327" s="940"/>
      <c r="H5327" s="940"/>
      <c r="I5327" s="447" t="str">
        <f>IF($A5327&gt;0,(VLOOKUP($A5327,TablaMO,8,FALSE)),"")</f>
        <v/>
      </c>
      <c r="J5327" s="448" t="str">
        <f>IF($A5327&gt;0,(VLOOKUP($A5327,TablaMO,10,FALSE)),"")</f>
        <v/>
      </c>
      <c r="K5327" s="447" t="str">
        <f>IF($A5327&gt;0,(VLOOKUP($A5327,TablaMO,11,FALSE)),"")</f>
        <v/>
      </c>
      <c r="L5327" s="1146"/>
      <c r="M5327" s="941"/>
      <c r="N5327" s="430" t="str">
        <f t="shared" si="390"/>
        <v/>
      </c>
      <c r="O5327" s="362"/>
    </row>
    <row r="5328" spans="1:15" ht="15.75" customHeight="1">
      <c r="A5328" s="395"/>
      <c r="B5328" s="399"/>
      <c r="C5328" s="1127" t="s">
        <v>1202</v>
      </c>
      <c r="D5328" s="965"/>
      <c r="E5328" s="965"/>
      <c r="F5328" s="965"/>
      <c r="G5328" s="965"/>
      <c r="H5328" s="965"/>
      <c r="I5328" s="965"/>
      <c r="J5328" s="965"/>
      <c r="K5328" s="965"/>
      <c r="L5328" s="965"/>
      <c r="M5328" s="966"/>
      <c r="N5328" s="433">
        <f>+SUM(N5323:N5327)</f>
        <v>162334.23255349157</v>
      </c>
      <c r="O5328" s="362"/>
    </row>
    <row r="5329" spans="2:18" ht="15.75" customHeight="1">
      <c r="B5329" s="679"/>
      <c r="O5329" s="362"/>
    </row>
    <row r="5330" spans="2:18" ht="15.75" customHeight="1">
      <c r="B5330" s="679"/>
      <c r="C5330" s="1198" t="s">
        <v>1219</v>
      </c>
      <c r="D5330" s="965"/>
      <c r="E5330" s="965"/>
      <c r="F5330" s="965"/>
      <c r="G5330" s="965"/>
      <c r="H5330" s="965"/>
      <c r="I5330" s="965"/>
      <c r="J5330" s="965"/>
      <c r="K5330" s="965"/>
      <c r="L5330" s="965"/>
      <c r="M5330" s="966"/>
      <c r="N5330" s="680">
        <f>ROUND(SUM(N5328,N5318,N5308,N5295),0)</f>
        <v>594135</v>
      </c>
      <c r="O5330" s="362"/>
      <c r="Q5330" s="681">
        <f>VLOOKUP(C5284,PROPUESTASASERCO,8,FALSE)</f>
        <v>594135</v>
      </c>
      <c r="R5330" s="682">
        <f>Q5330-N5330</f>
        <v>0</v>
      </c>
    </row>
    <row r="5331" spans="2:18" ht="15.75" customHeight="1">
      <c r="B5331" s="679"/>
      <c r="C5331" s="1129" t="s">
        <v>1220</v>
      </c>
      <c r="D5331" s="926"/>
      <c r="E5331" s="926"/>
      <c r="F5331" s="926"/>
      <c r="G5331" s="926"/>
      <c r="H5331" s="926"/>
      <c r="I5331" s="926"/>
      <c r="J5331" s="926"/>
      <c r="K5331" s="926"/>
      <c r="L5331" s="926"/>
      <c r="M5331" s="926"/>
      <c r="N5331" s="927"/>
      <c r="O5331" s="362"/>
    </row>
    <row r="5332" spans="2:18" ht="15.75" customHeight="1">
      <c r="B5332" s="679"/>
      <c r="C5332" s="920"/>
      <c r="D5332" s="922"/>
      <c r="E5332" s="922"/>
      <c r="F5332" s="922"/>
      <c r="G5332" s="922"/>
      <c r="H5332" s="922"/>
      <c r="I5332" s="922"/>
      <c r="J5332" s="922"/>
      <c r="K5332" s="922"/>
      <c r="L5332" s="922"/>
      <c r="M5332" s="922"/>
      <c r="N5332" s="924"/>
      <c r="O5332" s="362"/>
    </row>
    <row r="5333" spans="2:18" ht="15.75" customHeight="1">
      <c r="B5333" s="679"/>
      <c r="C5333" s="929"/>
      <c r="D5333" s="936"/>
      <c r="E5333" s="936"/>
      <c r="F5333" s="936"/>
      <c r="G5333" s="936"/>
      <c r="H5333" s="936"/>
      <c r="I5333" s="936"/>
      <c r="J5333" s="936"/>
      <c r="K5333" s="936"/>
      <c r="L5333" s="936"/>
      <c r="M5333" s="936"/>
      <c r="N5333" s="938"/>
      <c r="O5333" s="362"/>
    </row>
    <row r="5334" spans="2:18" ht="15.75" customHeight="1">
      <c r="B5334" s="679"/>
      <c r="C5334" s="1201" t="s">
        <v>1221</v>
      </c>
      <c r="D5334" s="1131"/>
      <c r="E5334" s="1131"/>
      <c r="F5334" s="1131"/>
      <c r="G5334" s="1131"/>
      <c r="H5334" s="1132"/>
      <c r="I5334" s="674"/>
      <c r="J5334" s="674"/>
      <c r="K5334" s="674"/>
      <c r="L5334" s="1206" t="s">
        <v>1222</v>
      </c>
      <c r="M5334" s="1000"/>
      <c r="N5334" s="678" t="s">
        <v>1223</v>
      </c>
      <c r="O5334" s="362"/>
    </row>
    <row r="5335" spans="2:18" ht="15.75" customHeight="1">
      <c r="B5335" s="679"/>
      <c r="C5335" s="1128" t="s">
        <v>19</v>
      </c>
      <c r="D5335" s="940"/>
      <c r="E5335" s="940"/>
      <c r="F5335" s="940"/>
      <c r="G5335" s="940"/>
      <c r="H5335" s="940"/>
      <c r="I5335" s="452"/>
      <c r="J5335" s="452"/>
      <c r="K5335" s="452"/>
      <c r="L5335" s="1148">
        <v>0</v>
      </c>
      <c r="M5335" s="941"/>
      <c r="N5335" s="430">
        <f>+L5335*N5330</f>
        <v>0</v>
      </c>
      <c r="O5335" s="362"/>
    </row>
    <row r="5336" spans="2:18" ht="15.75" customHeight="1">
      <c r="B5336" s="679"/>
      <c r="C5336" s="454" t="s">
        <v>20</v>
      </c>
      <c r="D5336" s="455"/>
      <c r="E5336" s="455"/>
      <c r="F5336" s="455"/>
      <c r="G5336" s="455"/>
      <c r="H5336" s="455"/>
      <c r="I5336" s="452"/>
      <c r="J5336" s="452"/>
      <c r="K5336" s="452"/>
      <c r="L5336" s="1148">
        <v>0</v>
      </c>
      <c r="M5336" s="941"/>
      <c r="N5336" s="430">
        <f>+L5336*N5330</f>
        <v>0</v>
      </c>
      <c r="O5336" s="362"/>
    </row>
    <row r="5337" spans="2:18" ht="15.75" customHeight="1">
      <c r="B5337" s="679"/>
      <c r="C5337" s="456" t="s">
        <v>21</v>
      </c>
      <c r="D5337" s="457"/>
      <c r="E5337" s="457"/>
      <c r="F5337" s="457"/>
      <c r="G5337" s="457"/>
      <c r="H5337" s="457"/>
      <c r="I5337" s="458"/>
      <c r="J5337" s="458"/>
      <c r="K5337" s="458"/>
      <c r="L5337" s="1148">
        <v>0</v>
      </c>
      <c r="M5337" s="941"/>
      <c r="N5337" s="430">
        <f>+L5337*N5330</f>
        <v>0</v>
      </c>
      <c r="O5337" s="362"/>
    </row>
    <row r="5338" spans="2:18" ht="15.75" customHeight="1">
      <c r="B5338" s="679"/>
      <c r="C5338" s="1127" t="s">
        <v>1202</v>
      </c>
      <c r="D5338" s="965"/>
      <c r="E5338" s="965"/>
      <c r="F5338" s="965"/>
      <c r="G5338" s="965"/>
      <c r="H5338" s="965"/>
      <c r="I5338" s="965"/>
      <c r="J5338" s="965"/>
      <c r="K5338" s="965"/>
      <c r="L5338" s="965"/>
      <c r="M5338" s="966"/>
      <c r="N5338" s="433">
        <f>+SUM(N5335:N5337)</f>
        <v>0</v>
      </c>
      <c r="O5338" s="362"/>
    </row>
    <row r="5339" spans="2:18" ht="15.75" customHeight="1">
      <c r="B5339" s="679"/>
      <c r="C5339" s="418"/>
      <c r="D5339" s="39"/>
      <c r="E5339" s="39"/>
      <c r="F5339" s="39"/>
      <c r="G5339" s="39"/>
      <c r="H5339" s="39"/>
      <c r="I5339" s="39"/>
      <c r="J5339" s="39"/>
      <c r="K5339" s="39"/>
      <c r="L5339" s="39"/>
      <c r="M5339" s="39"/>
      <c r="N5339" s="40"/>
      <c r="O5339" s="362"/>
    </row>
    <row r="5340" spans="2:18" ht="15.75" customHeight="1">
      <c r="B5340" s="679"/>
      <c r="C5340" s="1198" t="s">
        <v>1224</v>
      </c>
      <c r="D5340" s="965"/>
      <c r="E5340" s="965"/>
      <c r="F5340" s="965"/>
      <c r="G5340" s="965"/>
      <c r="H5340" s="965"/>
      <c r="I5340" s="965"/>
      <c r="J5340" s="965"/>
      <c r="K5340" s="965"/>
      <c r="L5340" s="965"/>
      <c r="M5340" s="966"/>
      <c r="N5340" s="683">
        <f>+ROUND(SUM(N5338,N5330),0)</f>
        <v>594135</v>
      </c>
      <c r="O5340" s="362"/>
    </row>
    <row r="5341" spans="2:18" ht="15.75" customHeight="1">
      <c r="B5341" s="679"/>
      <c r="C5341" s="418"/>
      <c r="D5341" s="39" t="s">
        <v>1225</v>
      </c>
      <c r="E5341" s="39"/>
      <c r="F5341" s="39"/>
      <c r="G5341" s="184"/>
      <c r="H5341" s="184"/>
      <c r="I5341" s="184"/>
      <c r="J5341" s="39" t="s">
        <v>1225</v>
      </c>
      <c r="K5341" s="39"/>
      <c r="L5341" s="39"/>
      <c r="M5341" s="39"/>
      <c r="N5341" s="40"/>
      <c r="O5341" s="362"/>
    </row>
    <row r="5342" spans="2:18" ht="15.75" customHeight="1">
      <c r="B5342" s="679"/>
      <c r="C5342" s="418"/>
      <c r="D5342" s="39" t="s">
        <v>1226</v>
      </c>
      <c r="E5342" s="39"/>
      <c r="F5342" s="39"/>
      <c r="G5342" s="184"/>
      <c r="H5342" s="184"/>
      <c r="I5342" s="184"/>
      <c r="J5342" s="39" t="s">
        <v>1227</v>
      </c>
      <c r="K5342" s="39"/>
      <c r="L5342" s="39"/>
      <c r="M5342" s="39"/>
      <c r="N5342" s="40"/>
      <c r="O5342" s="362"/>
    </row>
    <row r="5343" spans="2:18" ht="15.75" customHeight="1">
      <c r="B5343" s="679"/>
      <c r="C5343" s="404"/>
      <c r="D5343" s="39" t="s">
        <v>1228</v>
      </c>
      <c r="E5343" s="42"/>
      <c r="F5343" s="42"/>
      <c r="G5343" s="184"/>
      <c r="H5343" s="184"/>
      <c r="I5343" s="184"/>
      <c r="J5343" s="39" t="s">
        <v>1228</v>
      </c>
      <c r="K5343" s="42"/>
      <c r="L5343" s="42"/>
      <c r="M5343" s="42"/>
      <c r="N5343" s="43"/>
      <c r="O5343" s="362"/>
    </row>
    <row r="5344" spans="2:18" ht="15.75" customHeight="1">
      <c r="B5344" s="679"/>
      <c r="C5344" s="418"/>
      <c r="D5344" s="39"/>
      <c r="E5344" s="39"/>
      <c r="F5344" s="39"/>
      <c r="G5344" s="39" t="s">
        <v>1229</v>
      </c>
      <c r="H5344" s="39"/>
      <c r="I5344" s="39"/>
      <c r="J5344" s="39"/>
      <c r="K5344" s="39"/>
      <c r="L5344" s="39"/>
      <c r="M5344" s="39"/>
      <c r="N5344" s="40"/>
      <c r="O5344" s="362"/>
    </row>
    <row r="5345" spans="1:15" ht="15.75" customHeight="1">
      <c r="B5345" s="679"/>
      <c r="C5345" s="466"/>
      <c r="D5345" s="467"/>
      <c r="E5345" s="467"/>
      <c r="F5345" s="39"/>
      <c r="G5345" s="39"/>
      <c r="H5345" s="39"/>
      <c r="I5345" s="39"/>
      <c r="J5345" s="1149"/>
      <c r="K5345" s="922"/>
      <c r="L5345" s="922"/>
      <c r="M5345" s="922"/>
      <c r="N5345" s="924"/>
      <c r="O5345" s="362"/>
    </row>
    <row r="5346" spans="1:15" ht="15.75" customHeight="1">
      <c r="B5346" s="679"/>
      <c r="C5346" s="1150"/>
      <c r="D5346" s="936"/>
      <c r="E5346" s="936"/>
      <c r="F5346" s="416"/>
      <c r="G5346" s="416"/>
      <c r="H5346" s="416"/>
      <c r="I5346" s="416"/>
      <c r="J5346" s="936"/>
      <c r="K5346" s="936"/>
      <c r="L5346" s="936"/>
      <c r="M5346" s="936"/>
      <c r="N5346" s="938"/>
      <c r="O5346" s="362"/>
    </row>
    <row r="5347" spans="1:15" ht="15.75" customHeight="1">
      <c r="B5347" s="684"/>
      <c r="C5347" s="685"/>
      <c r="D5347" s="685"/>
      <c r="E5347" s="685"/>
      <c r="F5347" s="685"/>
      <c r="G5347" s="685"/>
      <c r="H5347" s="685"/>
      <c r="I5347" s="685"/>
      <c r="J5347" s="685"/>
      <c r="K5347" s="685"/>
      <c r="L5347" s="685"/>
      <c r="M5347" s="685"/>
      <c r="N5347" s="685"/>
      <c r="O5347" s="686"/>
    </row>
    <row r="5348" spans="1:15" ht="15.75" customHeight="1">
      <c r="B5348" s="205"/>
      <c r="C5348" s="205"/>
      <c r="D5348" s="205"/>
      <c r="E5348" s="205"/>
      <c r="F5348" s="205"/>
      <c r="G5348" s="205"/>
      <c r="H5348" s="205"/>
      <c r="I5348" s="205"/>
      <c r="J5348" s="205"/>
      <c r="K5348" s="205"/>
      <c r="L5348" s="205"/>
      <c r="M5348" s="205"/>
      <c r="N5348" s="205"/>
      <c r="O5348" s="205"/>
    </row>
    <row r="5349" spans="1:15" ht="15.75" customHeight="1">
      <c r="B5349" s="205"/>
      <c r="C5349" s="205"/>
      <c r="D5349" s="205"/>
      <c r="E5349" s="205"/>
      <c r="F5349" s="205"/>
      <c r="G5349" s="205"/>
      <c r="H5349" s="205"/>
      <c r="I5349" s="205"/>
      <c r="J5349" s="205"/>
      <c r="K5349" s="205"/>
      <c r="L5349" s="205"/>
      <c r="M5349" s="205"/>
      <c r="N5349" s="205"/>
      <c r="O5349" s="205"/>
    </row>
    <row r="5350" spans="1:15" ht="15.75" customHeight="1">
      <c r="B5350" s="205"/>
      <c r="C5350" s="205"/>
      <c r="D5350" s="205"/>
      <c r="E5350" s="205"/>
      <c r="F5350" s="205"/>
      <c r="G5350" s="205"/>
      <c r="H5350" s="205"/>
      <c r="I5350" s="205"/>
      <c r="J5350" s="205"/>
      <c r="K5350" s="205"/>
      <c r="L5350" s="205"/>
      <c r="M5350" s="205"/>
      <c r="N5350" s="205"/>
      <c r="O5350" s="205"/>
    </row>
    <row r="5351" spans="1:15" ht="15.75" customHeight="1">
      <c r="B5351" s="205"/>
      <c r="C5351" s="205"/>
      <c r="D5351" s="205"/>
      <c r="E5351" s="205"/>
      <c r="F5351" s="205"/>
      <c r="G5351" s="205"/>
      <c r="H5351" s="205"/>
      <c r="I5351" s="205"/>
      <c r="J5351" s="205"/>
      <c r="K5351" s="205"/>
      <c r="L5351" s="205"/>
      <c r="M5351" s="205"/>
      <c r="N5351" s="205"/>
      <c r="O5351" s="205"/>
    </row>
    <row r="5352" spans="1:15" ht="15.75" customHeight="1">
      <c r="A5352" s="395" t="s">
        <v>941</v>
      </c>
      <c r="B5352" s="184"/>
      <c r="C5352" s="184"/>
      <c r="D5352" s="184"/>
      <c r="E5352" s="184"/>
      <c r="F5352" s="184"/>
      <c r="G5352" s="184"/>
      <c r="H5352" s="184"/>
      <c r="I5352" s="184"/>
      <c r="J5352" s="184"/>
      <c r="K5352" s="184"/>
      <c r="L5352" s="184"/>
      <c r="M5352" s="184"/>
      <c r="N5352" s="184"/>
    </row>
    <row r="5353" spans="1:15" ht="15.75" customHeight="1">
      <c r="A5353" s="395"/>
      <c r="B5353" s="396"/>
      <c r="C5353" s="397"/>
      <c r="D5353" s="397"/>
      <c r="E5353" s="397"/>
      <c r="F5353" s="397"/>
      <c r="G5353" s="397"/>
      <c r="H5353" s="397"/>
      <c r="I5353" s="397"/>
      <c r="J5353" s="397"/>
      <c r="K5353" s="397"/>
      <c r="L5353" s="397"/>
      <c r="M5353" s="397"/>
      <c r="N5353" s="397"/>
      <c r="O5353" s="667"/>
    </row>
    <row r="5354" spans="1:15" ht="15.75" customHeight="1">
      <c r="A5354" s="395"/>
      <c r="B5354" s="399"/>
      <c r="C5354" s="1124"/>
      <c r="D5354" s="927"/>
      <c r="E5354" s="1207" t="str">
        <f>Datos!$C$9</f>
        <v>CONSEJO SUPERIOR  DE  JUDICATURA– DIRECCIÓN  EJECUTIVA  SECCIONAL  DE ADMINISTRACIÓN JUDICIAL DE BUCARAMANGA</v>
      </c>
      <c r="F5354" s="926"/>
      <c r="G5354" s="926"/>
      <c r="H5354" s="926"/>
      <c r="I5354" s="926"/>
      <c r="J5354" s="926"/>
      <c r="K5354" s="927"/>
      <c r="L5354" s="925" t="s">
        <v>1</v>
      </c>
      <c r="M5354" s="931"/>
      <c r="N5354" s="933">
        <v>1</v>
      </c>
      <c r="O5354" s="362"/>
    </row>
    <row r="5355" spans="1:15" ht="15.75" customHeight="1">
      <c r="A5355" s="395"/>
      <c r="B5355" s="399"/>
      <c r="C5355" s="920"/>
      <c r="D5355" s="924"/>
      <c r="E5355" s="920"/>
      <c r="F5355" s="922"/>
      <c r="G5355" s="922"/>
      <c r="H5355" s="922"/>
      <c r="I5355" s="922"/>
      <c r="J5355" s="922"/>
      <c r="K5355" s="924"/>
      <c r="L5355" s="920"/>
      <c r="M5355" s="932"/>
      <c r="N5355" s="934"/>
      <c r="O5355" s="362"/>
    </row>
    <row r="5356" spans="1:15" ht="15.75" customHeight="1">
      <c r="A5356" s="395"/>
      <c r="B5356" s="399"/>
      <c r="C5356" s="920"/>
      <c r="D5356" s="924"/>
      <c r="E5356" s="919" t="str">
        <f>Datos!$C$13</f>
        <v xml:space="preserve">BGA - 030 - 2026 </v>
      </c>
      <c r="F5356" s="922"/>
      <c r="G5356" s="922"/>
      <c r="H5356" s="922"/>
      <c r="I5356" s="922"/>
      <c r="J5356" s="922"/>
      <c r="K5356" s="922"/>
      <c r="L5356" s="925" t="s">
        <v>29</v>
      </c>
      <c r="M5356" s="926"/>
      <c r="N5356" s="927"/>
      <c r="O5356" s="362"/>
    </row>
    <row r="5357" spans="1:15" ht="15.75" customHeight="1">
      <c r="A5357" s="395"/>
      <c r="B5357" s="399"/>
      <c r="C5357" s="920"/>
      <c r="D5357" s="924"/>
      <c r="E5357" s="1197"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F5357" s="922"/>
      <c r="G5357" s="922"/>
      <c r="H5357" s="922"/>
      <c r="I5357" s="922"/>
      <c r="J5357" s="922"/>
      <c r="K5357" s="924"/>
      <c r="L5357" s="919">
        <v>1</v>
      </c>
      <c r="M5357" s="921" t="s">
        <v>30</v>
      </c>
      <c r="N5357" s="923">
        <v>1</v>
      </c>
      <c r="O5357" s="362"/>
    </row>
    <row r="5358" spans="1:15" ht="27.4" customHeight="1">
      <c r="A5358" s="395"/>
      <c r="B5358" s="399"/>
      <c r="C5358" s="920"/>
      <c r="D5358" s="924"/>
      <c r="E5358" s="920"/>
      <c r="F5358" s="922"/>
      <c r="G5358" s="922"/>
      <c r="H5358" s="922"/>
      <c r="I5358" s="922"/>
      <c r="J5358" s="922"/>
      <c r="K5358" s="924"/>
      <c r="L5358" s="920"/>
      <c r="M5358" s="922"/>
      <c r="N5358" s="924"/>
      <c r="O5358" s="362"/>
    </row>
    <row r="5359" spans="1:15" ht="24.4" customHeight="1">
      <c r="A5359" s="395"/>
      <c r="B5359" s="399"/>
      <c r="C5359" s="920"/>
      <c r="D5359" s="924"/>
      <c r="E5359" s="920"/>
      <c r="F5359" s="922"/>
      <c r="G5359" s="922"/>
      <c r="H5359" s="922"/>
      <c r="I5359" s="922"/>
      <c r="J5359" s="922"/>
      <c r="K5359" s="924"/>
      <c r="L5359" s="925" t="s">
        <v>2</v>
      </c>
      <c r="M5359" s="926"/>
      <c r="N5359" s="927"/>
      <c r="O5359" s="362"/>
    </row>
    <row r="5360" spans="1:15" ht="22.15" customHeight="1">
      <c r="A5360" s="395"/>
      <c r="B5360" s="399"/>
      <c r="C5360" s="920"/>
      <c r="D5360" s="924"/>
      <c r="E5360" s="407"/>
      <c r="F5360" s="216"/>
      <c r="G5360" s="216"/>
      <c r="H5360" s="216"/>
      <c r="I5360" s="216"/>
      <c r="J5360" s="216"/>
      <c r="K5360" s="216"/>
      <c r="L5360" s="408" t="s">
        <v>3</v>
      </c>
      <c r="M5360" s="409" t="s">
        <v>4</v>
      </c>
      <c r="N5360" s="410" t="s">
        <v>5</v>
      </c>
      <c r="O5360" s="362"/>
    </row>
    <row r="5361" spans="1:15" ht="15.75" customHeight="1">
      <c r="A5361" s="395"/>
      <c r="B5361" s="399"/>
      <c r="C5361" s="920"/>
      <c r="D5361" s="924"/>
      <c r="E5361" s="1125" t="s">
        <v>1186</v>
      </c>
      <c r="F5361" s="945"/>
      <c r="G5361" s="945"/>
      <c r="H5361" s="945"/>
      <c r="I5361" s="945"/>
      <c r="J5361" s="945"/>
      <c r="K5361" s="945"/>
      <c r="L5361" s="928">
        <f>Datos!$C$7</f>
        <v>19</v>
      </c>
      <c r="M5361" s="935">
        <f>Datos!$D$7</f>
        <v>6</v>
      </c>
      <c r="N5361" s="937">
        <f>Datos!$E$7</f>
        <v>2026</v>
      </c>
      <c r="O5361" s="362"/>
    </row>
    <row r="5362" spans="1:15" ht="15.75" customHeight="1">
      <c r="A5362" s="395"/>
      <c r="B5362" s="399"/>
      <c r="C5362" s="929"/>
      <c r="D5362" s="938"/>
      <c r="E5362" s="929"/>
      <c r="F5362" s="936"/>
      <c r="G5362" s="936"/>
      <c r="H5362" s="936"/>
      <c r="I5362" s="936"/>
      <c r="J5362" s="936"/>
      <c r="K5362" s="936"/>
      <c r="L5362" s="929"/>
      <c r="M5362" s="936"/>
      <c r="N5362" s="938"/>
      <c r="O5362" s="362"/>
    </row>
    <row r="5363" spans="1:15" ht="15.75" customHeight="1">
      <c r="A5363" s="395"/>
      <c r="B5363" s="399"/>
      <c r="C5363" s="404"/>
      <c r="D5363" s="38"/>
      <c r="E5363" s="38"/>
      <c r="F5363" s="38"/>
      <c r="G5363" s="38"/>
      <c r="H5363" s="38"/>
      <c r="I5363" s="38"/>
      <c r="J5363" s="38"/>
      <c r="K5363" s="38"/>
      <c r="L5363" s="39"/>
      <c r="M5363" s="39"/>
      <c r="N5363" s="40"/>
      <c r="O5363" s="362"/>
    </row>
    <row r="5364" spans="1:15" ht="15.75" customHeight="1">
      <c r="A5364" s="395"/>
      <c r="B5364" s="399"/>
      <c r="C5364" s="412" t="s">
        <v>1187</v>
      </c>
      <c r="D5364" s="1199" t="str">
        <f>VLOOKUP(C5369,ListaAct,2,0)</f>
        <v>OBRA CIVIL</v>
      </c>
      <c r="E5364" s="922"/>
      <c r="F5364" s="922"/>
      <c r="G5364" s="922"/>
      <c r="H5364" s="922"/>
      <c r="I5364" s="922"/>
      <c r="J5364" s="922"/>
      <c r="K5364" s="922"/>
      <c r="L5364" s="922"/>
      <c r="M5364" s="1"/>
      <c r="N5364" s="413"/>
      <c r="O5364" s="362"/>
    </row>
    <row r="5365" spans="1:15" ht="15.75" customHeight="1">
      <c r="A5365" s="395"/>
      <c r="B5365" s="399"/>
      <c r="C5365" s="412" t="s">
        <v>1189</v>
      </c>
      <c r="D5365" s="1199" t="str">
        <f>VLOOKUP(C5369,ListaAct,3,0)</f>
        <v>OTRAS ACTIVIDADES Y/O SERVICIOS REQUERIDOS (SIN AIU)</v>
      </c>
      <c r="E5365" s="922"/>
      <c r="F5365" s="922"/>
      <c r="G5365" s="922"/>
      <c r="H5365" s="922"/>
      <c r="I5365" s="922"/>
      <c r="J5365" s="922"/>
      <c r="K5365" s="922"/>
      <c r="L5365" s="922"/>
      <c r="M5365" s="1"/>
      <c r="N5365" s="413"/>
      <c r="O5365" s="362"/>
    </row>
    <row r="5366" spans="1:15" ht="15.75" customHeight="1">
      <c r="A5366" s="395"/>
      <c r="B5366" s="399"/>
      <c r="C5366" s="925" t="s">
        <v>1191</v>
      </c>
      <c r="D5366" s="926"/>
      <c r="E5366" s="926"/>
      <c r="F5366" s="926"/>
      <c r="G5366" s="926"/>
      <c r="H5366" s="926"/>
      <c r="I5366" s="926"/>
      <c r="J5366" s="926"/>
      <c r="K5366" s="926"/>
      <c r="L5366" s="926"/>
      <c r="M5366" s="926"/>
      <c r="N5366" s="927"/>
      <c r="O5366" s="362"/>
    </row>
    <row r="5367" spans="1:15" ht="15.75" customHeight="1">
      <c r="A5367" s="395"/>
      <c r="B5367" s="399"/>
      <c r="C5367" s="418"/>
      <c r="D5367" s="39"/>
      <c r="E5367" s="39"/>
      <c r="F5367" s="39"/>
      <c r="G5367" s="39"/>
      <c r="H5367" s="39"/>
      <c r="I5367" s="39"/>
      <c r="J5367" s="39"/>
      <c r="K5367" s="39"/>
      <c r="L5367" s="39"/>
      <c r="M5367" s="39"/>
      <c r="N5367" s="40"/>
      <c r="O5367" s="362"/>
    </row>
    <row r="5368" spans="1:15" ht="15.75" customHeight="1">
      <c r="A5368" s="395"/>
      <c r="B5368" s="399"/>
      <c r="C5368" s="668" t="s">
        <v>965</v>
      </c>
      <c r="D5368" s="1200" t="s">
        <v>17</v>
      </c>
      <c r="E5368" s="1131"/>
      <c r="F5368" s="1131"/>
      <c r="G5368" s="1131"/>
      <c r="H5368" s="1131"/>
      <c r="I5368" s="1131"/>
      <c r="J5368" s="1131"/>
      <c r="K5368" s="1137"/>
      <c r="L5368" s="1201" t="s">
        <v>1192</v>
      </c>
      <c r="M5368" s="1137"/>
      <c r="N5368" s="668" t="s">
        <v>950</v>
      </c>
      <c r="O5368" s="362"/>
    </row>
    <row r="5369" spans="1:15" ht="15.75" customHeight="1">
      <c r="A5369" s="395"/>
      <c r="B5369" s="421"/>
      <c r="C5369" s="669" t="s">
        <v>1184</v>
      </c>
      <c r="D5369" s="1202" t="str">
        <f>IF($C5369&gt;0,(VLOOKUP($C5369,ListaAct,4,FALSE)),"")</f>
        <v xml:space="preserve"> Suministro e instalacion de Ups 3 Kva Incluye cometida electrica, canalizacion  Y Todo Lo Necesario Para Su Instalacion  </v>
      </c>
      <c r="E5369" s="979"/>
      <c r="F5369" s="979"/>
      <c r="G5369" s="979"/>
      <c r="H5369" s="979"/>
      <c r="I5369" s="979"/>
      <c r="J5369" s="979"/>
      <c r="K5369" s="980"/>
      <c r="L5369" s="1203" t="str">
        <f>IF($C5369&gt;0,(VLOOKUP($C5369,ListaAct,5,FALSE)),"")</f>
        <v>und</v>
      </c>
      <c r="M5369" s="980"/>
      <c r="N5369" s="423">
        <f>IF($C5369&gt;0,(VLOOKUP($C5369,ListaAct,6,FALSE)),"")</f>
        <v>1</v>
      </c>
      <c r="O5369" s="362"/>
    </row>
    <row r="5370" spans="1:15" ht="15.75" customHeight="1">
      <c r="A5370" s="395"/>
      <c r="B5370" s="399"/>
      <c r="C5370" s="1129" t="s">
        <v>1195</v>
      </c>
      <c r="D5370" s="926"/>
      <c r="E5370" s="926"/>
      <c r="F5370" s="926"/>
      <c r="G5370" s="926"/>
      <c r="H5370" s="926"/>
      <c r="I5370" s="926"/>
      <c r="J5370" s="926"/>
      <c r="K5370" s="926"/>
      <c r="L5370" s="926"/>
      <c r="M5370" s="926"/>
      <c r="N5370" s="927"/>
      <c r="O5370" s="362"/>
    </row>
    <row r="5371" spans="1:15" ht="15.75" customHeight="1">
      <c r="A5371" s="395"/>
      <c r="B5371" s="399"/>
      <c r="C5371" s="920"/>
      <c r="D5371" s="922"/>
      <c r="E5371" s="922"/>
      <c r="F5371" s="922"/>
      <c r="G5371" s="922"/>
      <c r="H5371" s="922"/>
      <c r="I5371" s="922"/>
      <c r="J5371" s="922"/>
      <c r="K5371" s="922"/>
      <c r="L5371" s="922"/>
      <c r="M5371" s="922"/>
      <c r="N5371" s="924"/>
      <c r="O5371" s="362"/>
    </row>
    <row r="5372" spans="1:15" ht="15.75" customHeight="1">
      <c r="A5372" s="395"/>
      <c r="B5372" s="399"/>
      <c r="C5372" s="929"/>
      <c r="D5372" s="936"/>
      <c r="E5372" s="936"/>
      <c r="F5372" s="936"/>
      <c r="G5372" s="936"/>
      <c r="H5372" s="936"/>
      <c r="I5372" s="936"/>
      <c r="J5372" s="936"/>
      <c r="K5372" s="936"/>
      <c r="L5372" s="936"/>
      <c r="M5372" s="936"/>
      <c r="N5372" s="938"/>
      <c r="O5372" s="362"/>
    </row>
    <row r="5373" spans="1:15" ht="15.75" customHeight="1">
      <c r="A5373" s="395"/>
      <c r="B5373" s="399"/>
      <c r="C5373" s="1201" t="s">
        <v>17</v>
      </c>
      <c r="D5373" s="1131"/>
      <c r="E5373" s="1131"/>
      <c r="F5373" s="1000"/>
      <c r="G5373" s="1204" t="s">
        <v>1196</v>
      </c>
      <c r="H5373" s="1000"/>
      <c r="I5373" s="1204" t="s">
        <v>1197</v>
      </c>
      <c r="J5373" s="1000"/>
      <c r="K5373" s="670" t="s">
        <v>1213</v>
      </c>
      <c r="L5373" s="1204" t="s">
        <v>1199</v>
      </c>
      <c r="M5373" s="1000"/>
      <c r="N5373" s="671" t="s">
        <v>1200</v>
      </c>
      <c r="O5373" s="362"/>
    </row>
    <row r="5374" spans="1:15" ht="15.75" customHeight="1">
      <c r="A5374" s="395"/>
      <c r="B5374" s="399"/>
      <c r="C5374" s="1128" t="s">
        <v>1201</v>
      </c>
      <c r="D5374" s="940"/>
      <c r="E5374" s="940"/>
      <c r="F5374" s="941"/>
      <c r="G5374" s="1142"/>
      <c r="H5374" s="941"/>
      <c r="I5374" s="1142"/>
      <c r="J5374" s="941"/>
      <c r="K5374" s="429"/>
      <c r="L5374" s="1143">
        <v>0.05</v>
      </c>
      <c r="M5374" s="941"/>
      <c r="N5374" s="430">
        <f>+L5374*N5413</f>
        <v>33987.338061654664</v>
      </c>
      <c r="O5374" s="362"/>
    </row>
    <row r="5375" spans="1:15" ht="15.75" customHeight="1">
      <c r="A5375" s="395">
        <f t="array" ref="A5375">IF(C5375&lt;&gt;0,INDEX(CodEquipos,MATCH(C5375,Equipos,0),),)</f>
        <v>0</v>
      </c>
      <c r="B5375" s="399"/>
      <c r="C5375" s="1128"/>
      <c r="D5375" s="940"/>
      <c r="E5375" s="940"/>
      <c r="F5375" s="941"/>
      <c r="G5375" s="1142"/>
      <c r="H5375" s="941"/>
      <c r="I5375" s="1142"/>
      <c r="J5375" s="941"/>
      <c r="K5375" s="432" t="str">
        <f>IF($A5375&gt;0,(VLOOKUP($A5375,TablaEquipos,7,FALSE)),"")</f>
        <v/>
      </c>
      <c r="L5375" s="1146"/>
      <c r="M5375" s="941"/>
      <c r="N5375" s="430" t="str">
        <f t="shared" ref="N5375:N5379" si="391">IF(L5375&gt;0,K5375/L5375,"")</f>
        <v/>
      </c>
      <c r="O5375" s="362"/>
    </row>
    <row r="5376" spans="1:15" ht="15.75" customHeight="1">
      <c r="A5376" s="395">
        <f t="array" ref="A5376">IF(C5376&lt;&gt;0,INDEX(CodEquipos,MATCH(C5376,Equipos,0),),)</f>
        <v>0</v>
      </c>
      <c r="B5376" s="399"/>
      <c r="C5376" s="1128"/>
      <c r="D5376" s="940"/>
      <c r="E5376" s="940"/>
      <c r="F5376" s="941"/>
      <c r="G5376" s="1142"/>
      <c r="H5376" s="941"/>
      <c r="I5376" s="1142"/>
      <c r="J5376" s="941"/>
      <c r="K5376" s="432" t="str">
        <f>IF($A5376&gt;0,(VLOOKUP($A5376,TablaEquipos,7,FALSE)),"")</f>
        <v/>
      </c>
      <c r="L5376" s="1146"/>
      <c r="M5376" s="941"/>
      <c r="N5376" s="430" t="str">
        <f t="shared" si="391"/>
        <v/>
      </c>
      <c r="O5376" s="362"/>
    </row>
    <row r="5377" spans="1:15" ht="15.75" customHeight="1">
      <c r="A5377" s="395">
        <f t="array" ref="A5377">IF(C5377&lt;&gt;0,INDEX(CodEquipos,MATCH(C5377,Equipos,0),),)</f>
        <v>0</v>
      </c>
      <c r="B5377" s="399"/>
      <c r="C5377" s="1128"/>
      <c r="D5377" s="940"/>
      <c r="E5377" s="940"/>
      <c r="F5377" s="941"/>
      <c r="G5377" s="1142"/>
      <c r="H5377" s="941"/>
      <c r="I5377" s="1142"/>
      <c r="J5377" s="941"/>
      <c r="K5377" s="432" t="str">
        <f>IF($A5377&gt;0,(VLOOKUP($A5377,TablaEquipos,7,FALSE)),"")</f>
        <v/>
      </c>
      <c r="L5377" s="1146"/>
      <c r="M5377" s="941"/>
      <c r="N5377" s="430" t="str">
        <f t="shared" si="391"/>
        <v/>
      </c>
      <c r="O5377" s="362"/>
    </row>
    <row r="5378" spans="1:15" ht="15.75" customHeight="1">
      <c r="A5378" s="395">
        <f t="array" ref="A5378">IF(C5378&lt;&gt;0,INDEX(CodEquipos,MATCH(C5378,Equipos,0),),)</f>
        <v>0</v>
      </c>
      <c r="B5378" s="399"/>
      <c r="C5378" s="1128"/>
      <c r="D5378" s="940"/>
      <c r="E5378" s="940"/>
      <c r="F5378" s="941"/>
      <c r="G5378" s="1142"/>
      <c r="H5378" s="941"/>
      <c r="I5378" s="1142"/>
      <c r="J5378" s="941"/>
      <c r="K5378" s="432" t="str">
        <f>IF($A5378&gt;0,(VLOOKUP($A5378,TablaEquipos,7,FALSE)),"")</f>
        <v/>
      </c>
      <c r="L5378" s="1141"/>
      <c r="M5378" s="941"/>
      <c r="N5378" s="430" t="str">
        <f t="shared" si="391"/>
        <v/>
      </c>
      <c r="O5378" s="362"/>
    </row>
    <row r="5379" spans="1:15" ht="15.75" customHeight="1">
      <c r="A5379" s="395">
        <f t="array" ref="A5379">IF(C5379&lt;&gt;0,INDEX(CodEquipos,MATCH(C5379,Equipos,0),),)</f>
        <v>0</v>
      </c>
      <c r="B5379" s="399"/>
      <c r="C5379" s="1128"/>
      <c r="D5379" s="940"/>
      <c r="E5379" s="940"/>
      <c r="F5379" s="941"/>
      <c r="G5379" s="1144"/>
      <c r="H5379" s="1145"/>
      <c r="I5379" s="1144"/>
      <c r="J5379" s="1145"/>
      <c r="K5379" s="432" t="str">
        <f>IF($A5379&gt;0,(VLOOKUP($A5379,TablaEquipos,7,FALSE)),"")</f>
        <v/>
      </c>
      <c r="L5379" s="1208"/>
      <c r="M5379" s="1145"/>
      <c r="N5379" s="430" t="str">
        <f t="shared" si="391"/>
        <v/>
      </c>
      <c r="O5379" s="362"/>
    </row>
    <row r="5380" spans="1:15" ht="15.75" customHeight="1">
      <c r="A5380" s="395"/>
      <c r="B5380" s="399"/>
      <c r="C5380" s="1127" t="s">
        <v>1202</v>
      </c>
      <c r="D5380" s="965"/>
      <c r="E5380" s="965"/>
      <c r="F5380" s="965"/>
      <c r="G5380" s="965"/>
      <c r="H5380" s="965"/>
      <c r="I5380" s="965"/>
      <c r="J5380" s="965"/>
      <c r="K5380" s="965"/>
      <c r="L5380" s="965"/>
      <c r="M5380" s="966"/>
      <c r="N5380" s="433">
        <f>+SUM(N5374:N5379)</f>
        <v>33987.338061654664</v>
      </c>
      <c r="O5380" s="362"/>
    </row>
    <row r="5381" spans="1:15" ht="15.75" customHeight="1">
      <c r="A5381" s="395"/>
      <c r="B5381" s="399"/>
      <c r="C5381" s="1129" t="s">
        <v>1203</v>
      </c>
      <c r="D5381" s="926"/>
      <c r="E5381" s="926"/>
      <c r="F5381" s="926"/>
      <c r="G5381" s="926"/>
      <c r="H5381" s="926"/>
      <c r="I5381" s="926"/>
      <c r="J5381" s="926"/>
      <c r="K5381" s="926"/>
      <c r="L5381" s="926"/>
      <c r="M5381" s="926"/>
      <c r="N5381" s="927"/>
      <c r="O5381" s="362"/>
    </row>
    <row r="5382" spans="1:15" ht="15.75" customHeight="1">
      <c r="A5382" s="395"/>
      <c r="B5382" s="399"/>
      <c r="C5382" s="920"/>
      <c r="D5382" s="922"/>
      <c r="E5382" s="922"/>
      <c r="F5382" s="922"/>
      <c r="G5382" s="922"/>
      <c r="H5382" s="922"/>
      <c r="I5382" s="922"/>
      <c r="J5382" s="922"/>
      <c r="K5382" s="922"/>
      <c r="L5382" s="922"/>
      <c r="M5382" s="922"/>
      <c r="N5382" s="924"/>
      <c r="O5382" s="362"/>
    </row>
    <row r="5383" spans="1:15" ht="15.75" customHeight="1">
      <c r="A5383" s="395"/>
      <c r="B5383" s="399"/>
      <c r="C5383" s="929"/>
      <c r="D5383" s="936"/>
      <c r="E5383" s="936"/>
      <c r="F5383" s="936"/>
      <c r="G5383" s="936"/>
      <c r="H5383" s="936"/>
      <c r="I5383" s="936"/>
      <c r="J5383" s="936"/>
      <c r="K5383" s="936"/>
      <c r="L5383" s="936"/>
      <c r="M5383" s="936"/>
      <c r="N5383" s="938"/>
      <c r="O5383" s="362"/>
    </row>
    <row r="5384" spans="1:15" ht="15.75" customHeight="1">
      <c r="A5384" s="395"/>
      <c r="B5384" s="399"/>
      <c r="C5384" s="1201" t="s">
        <v>17</v>
      </c>
      <c r="D5384" s="1131"/>
      <c r="E5384" s="1131"/>
      <c r="F5384" s="1131"/>
      <c r="G5384" s="1131"/>
      <c r="H5384" s="1131"/>
      <c r="I5384" s="1000"/>
      <c r="J5384" s="672" t="s">
        <v>1192</v>
      </c>
      <c r="K5384" s="670" t="s">
        <v>950</v>
      </c>
      <c r="L5384" s="1204" t="s">
        <v>1204</v>
      </c>
      <c r="M5384" s="1000"/>
      <c r="N5384" s="671" t="s">
        <v>1200</v>
      </c>
      <c r="O5384" s="362"/>
    </row>
    <row r="5385" spans="1:15" ht="15.75" customHeight="1">
      <c r="A5385" s="395" t="str">
        <f t="array" ref="A5385">IF(C5385&lt;&gt;0,INDEX(CodMat,MATCH(C5385,Materiales,0),),)</f>
        <v>MAT_ELE-108</v>
      </c>
      <c r="B5385" s="399"/>
      <c r="C5385" s="1128" t="s">
        <v>2426</v>
      </c>
      <c r="D5385" s="940"/>
      <c r="E5385" s="940"/>
      <c r="F5385" s="940"/>
      <c r="G5385" s="940"/>
      <c r="H5385" s="940"/>
      <c r="I5385" s="941"/>
      <c r="J5385" s="435" t="str">
        <f t="shared" ref="J5385:J5392" si="392">IF($A5385&gt;0,(VLOOKUP($A5385,TablaInsumos,5,FALSE)),"")</f>
        <v>UND</v>
      </c>
      <c r="K5385" s="673">
        <v>1</v>
      </c>
      <c r="L5385" s="1134">
        <f t="shared" ref="L5385:L5392" si="393">IF($A5385&gt;0,(VLOOKUP($A5385,TablaInsumos,7,FALSE)),"")</f>
        <v>1771048</v>
      </c>
      <c r="M5385" s="941"/>
      <c r="N5385" s="430">
        <f t="shared" ref="N5385:N5392" si="394">IF(K5385&gt;0,L5385*K5385,"")</f>
        <v>1771048</v>
      </c>
      <c r="O5385" s="362"/>
    </row>
    <row r="5386" spans="1:15" ht="15.75" customHeight="1">
      <c r="A5386" s="395" t="str">
        <f t="array" ref="A5386">IF(C5386&lt;&gt;0,INDEX(CodMat,MATCH(C5386,Materiales,0),),)</f>
        <v>MAT_ELE-109</v>
      </c>
      <c r="B5386" s="399"/>
      <c r="C5386" s="1128" t="s">
        <v>2427</v>
      </c>
      <c r="D5386" s="940"/>
      <c r="E5386" s="940"/>
      <c r="F5386" s="940"/>
      <c r="G5386" s="940"/>
      <c r="H5386" s="940"/>
      <c r="I5386" s="941"/>
      <c r="J5386" s="435" t="str">
        <f t="shared" si="392"/>
        <v>UND</v>
      </c>
      <c r="K5386" s="673">
        <v>30</v>
      </c>
      <c r="L5386" s="1134">
        <f t="shared" si="393"/>
        <v>7320</v>
      </c>
      <c r="M5386" s="941"/>
      <c r="N5386" s="430">
        <f t="shared" si="394"/>
        <v>219600</v>
      </c>
      <c r="O5386" s="362"/>
    </row>
    <row r="5387" spans="1:15" ht="15.75" customHeight="1">
      <c r="A5387" s="395" t="str">
        <f t="array" ref="A5387">IF(C5387&lt;&gt;0,INDEX(CodMat,MATCH(C5387,Materiales,0),),)</f>
        <v>MAT_ELE-55</v>
      </c>
      <c r="B5387" s="399"/>
      <c r="C5387" s="1128" t="s">
        <v>2616</v>
      </c>
      <c r="D5387" s="940"/>
      <c r="E5387" s="940"/>
      <c r="F5387" s="940"/>
      <c r="G5387" s="940"/>
      <c r="H5387" s="940"/>
      <c r="I5387" s="941"/>
      <c r="J5387" s="435" t="str">
        <f t="shared" si="392"/>
        <v>UND</v>
      </c>
      <c r="K5387" s="673">
        <v>1</v>
      </c>
      <c r="L5387" s="1134">
        <f t="shared" si="393"/>
        <v>17105</v>
      </c>
      <c r="M5387" s="941"/>
      <c r="N5387" s="430">
        <f t="shared" si="394"/>
        <v>17105</v>
      </c>
      <c r="O5387" s="362"/>
    </row>
    <row r="5388" spans="1:15" ht="15.75" customHeight="1">
      <c r="A5388" s="395">
        <f t="array" ref="A5388">IF(C5388&lt;&gt;0,INDEX(CodMat,MATCH(C5388,Materiales,0),),)</f>
        <v>0</v>
      </c>
      <c r="B5388" s="399"/>
      <c r="C5388" s="1128"/>
      <c r="D5388" s="940"/>
      <c r="E5388" s="940"/>
      <c r="F5388" s="940"/>
      <c r="G5388" s="940"/>
      <c r="H5388" s="940"/>
      <c r="I5388" s="941"/>
      <c r="J5388" s="435" t="str">
        <f t="shared" si="392"/>
        <v/>
      </c>
      <c r="K5388" s="673"/>
      <c r="L5388" s="1134" t="str">
        <f t="shared" si="393"/>
        <v/>
      </c>
      <c r="M5388" s="941"/>
      <c r="N5388" s="430" t="str">
        <f t="shared" si="394"/>
        <v/>
      </c>
      <c r="O5388" s="362"/>
    </row>
    <row r="5389" spans="1:15" ht="15.75" customHeight="1">
      <c r="A5389" s="395">
        <f t="array" ref="A5389">IF(C5389&lt;&gt;0,INDEX(CodMat,MATCH(C5389,Materiales,0),),)</f>
        <v>0</v>
      </c>
      <c r="B5389" s="399"/>
      <c r="C5389" s="1128"/>
      <c r="D5389" s="940"/>
      <c r="E5389" s="940"/>
      <c r="F5389" s="940"/>
      <c r="G5389" s="940"/>
      <c r="H5389" s="940"/>
      <c r="I5389" s="941"/>
      <c r="J5389" s="435" t="str">
        <f t="shared" si="392"/>
        <v/>
      </c>
      <c r="K5389" s="436"/>
      <c r="L5389" s="1134" t="str">
        <f t="shared" si="393"/>
        <v/>
      </c>
      <c r="M5389" s="941"/>
      <c r="N5389" s="430" t="str">
        <f t="shared" si="394"/>
        <v/>
      </c>
      <c r="O5389" s="362"/>
    </row>
    <row r="5390" spans="1:15" ht="15.75" customHeight="1">
      <c r="A5390" s="395">
        <f t="array" ref="A5390">IF(C5390&lt;&gt;0,INDEX(CodMat,MATCH(C5390,Materiales,0),),)</f>
        <v>0</v>
      </c>
      <c r="B5390" s="399"/>
      <c r="C5390" s="1128"/>
      <c r="D5390" s="940"/>
      <c r="E5390" s="940"/>
      <c r="F5390" s="940"/>
      <c r="G5390" s="940"/>
      <c r="H5390" s="940"/>
      <c r="I5390" s="941"/>
      <c r="J5390" s="435" t="str">
        <f t="shared" si="392"/>
        <v/>
      </c>
      <c r="K5390" s="436"/>
      <c r="L5390" s="1134" t="str">
        <f t="shared" si="393"/>
        <v/>
      </c>
      <c r="M5390" s="941"/>
      <c r="N5390" s="430" t="str">
        <f t="shared" si="394"/>
        <v/>
      </c>
      <c r="O5390" s="362"/>
    </row>
    <row r="5391" spans="1:15" ht="15.75" customHeight="1">
      <c r="A5391" s="395">
        <f t="array" ref="A5391">IF(C5391&lt;&gt;0,INDEX(CodMat,MATCH(C5391,Materiales,0),),)</f>
        <v>0</v>
      </c>
      <c r="B5391" s="399"/>
      <c r="C5391" s="1128"/>
      <c r="D5391" s="940"/>
      <c r="E5391" s="940"/>
      <c r="F5391" s="940"/>
      <c r="G5391" s="940"/>
      <c r="H5391" s="940"/>
      <c r="I5391" s="941"/>
      <c r="J5391" s="435" t="str">
        <f t="shared" si="392"/>
        <v/>
      </c>
      <c r="K5391" s="436"/>
      <c r="L5391" s="1134" t="str">
        <f t="shared" si="393"/>
        <v/>
      </c>
      <c r="M5391" s="941"/>
      <c r="N5391" s="430" t="str">
        <f t="shared" si="394"/>
        <v/>
      </c>
      <c r="O5391" s="362"/>
    </row>
    <row r="5392" spans="1:15" ht="15.75" customHeight="1">
      <c r="A5392" s="395">
        <f t="array" ref="A5392">IF(C5392&lt;&gt;0,INDEX(CodMat,MATCH(C5392,Materiales,0),),)</f>
        <v>0</v>
      </c>
      <c r="B5392" s="399"/>
      <c r="C5392" s="1128"/>
      <c r="D5392" s="940"/>
      <c r="E5392" s="940"/>
      <c r="F5392" s="940"/>
      <c r="G5392" s="940"/>
      <c r="H5392" s="940"/>
      <c r="I5392" s="941"/>
      <c r="J5392" s="435" t="str">
        <f t="shared" si="392"/>
        <v/>
      </c>
      <c r="K5392" s="436"/>
      <c r="L5392" s="1205" t="str">
        <f t="shared" si="393"/>
        <v/>
      </c>
      <c r="M5392" s="1145"/>
      <c r="N5392" s="430" t="str">
        <f t="shared" si="394"/>
        <v/>
      </c>
      <c r="O5392" s="362"/>
    </row>
    <row r="5393" spans="1:15" ht="15.75" customHeight="1">
      <c r="A5393" s="395"/>
      <c r="B5393" s="399"/>
      <c r="C5393" s="1127" t="s">
        <v>1202</v>
      </c>
      <c r="D5393" s="965"/>
      <c r="E5393" s="965"/>
      <c r="F5393" s="965"/>
      <c r="G5393" s="965"/>
      <c r="H5393" s="965"/>
      <c r="I5393" s="965"/>
      <c r="J5393" s="965"/>
      <c r="K5393" s="965"/>
      <c r="L5393" s="965"/>
      <c r="M5393" s="966"/>
      <c r="N5393" s="433">
        <f>+SUM(N5385:N5392)</f>
        <v>2007753</v>
      </c>
      <c r="O5393" s="362"/>
    </row>
    <row r="5394" spans="1:15" ht="15.75" customHeight="1">
      <c r="A5394" s="395"/>
      <c r="B5394" s="399"/>
      <c r="C5394" s="1129" t="s">
        <v>1208</v>
      </c>
      <c r="D5394" s="926"/>
      <c r="E5394" s="926"/>
      <c r="F5394" s="926"/>
      <c r="G5394" s="926"/>
      <c r="H5394" s="926"/>
      <c r="I5394" s="926"/>
      <c r="J5394" s="926"/>
      <c r="K5394" s="926"/>
      <c r="L5394" s="926"/>
      <c r="M5394" s="926"/>
      <c r="N5394" s="927"/>
      <c r="O5394" s="362"/>
    </row>
    <row r="5395" spans="1:15" ht="15.75" customHeight="1">
      <c r="A5395" s="395"/>
      <c r="B5395" s="399"/>
      <c r="C5395" s="920"/>
      <c r="D5395" s="922"/>
      <c r="E5395" s="922"/>
      <c r="F5395" s="922"/>
      <c r="G5395" s="922"/>
      <c r="H5395" s="922"/>
      <c r="I5395" s="922"/>
      <c r="J5395" s="922"/>
      <c r="K5395" s="922"/>
      <c r="L5395" s="922"/>
      <c r="M5395" s="922"/>
      <c r="N5395" s="924"/>
      <c r="O5395" s="362"/>
    </row>
    <row r="5396" spans="1:15" ht="15.75" customHeight="1">
      <c r="A5396" s="395"/>
      <c r="B5396" s="399"/>
      <c r="C5396" s="929"/>
      <c r="D5396" s="936"/>
      <c r="E5396" s="936"/>
      <c r="F5396" s="936"/>
      <c r="G5396" s="936"/>
      <c r="H5396" s="936"/>
      <c r="I5396" s="936"/>
      <c r="J5396" s="936"/>
      <c r="K5396" s="936"/>
      <c r="L5396" s="936"/>
      <c r="M5396" s="936"/>
      <c r="N5396" s="938"/>
      <c r="O5396" s="362"/>
    </row>
    <row r="5397" spans="1:15" ht="15.75" customHeight="1">
      <c r="A5397" s="395"/>
      <c r="B5397" s="399"/>
      <c r="C5397" s="1201" t="s">
        <v>1209</v>
      </c>
      <c r="D5397" s="1131"/>
      <c r="E5397" s="1131"/>
      <c r="F5397" s="1131"/>
      <c r="G5397" s="1131"/>
      <c r="H5397" s="1000"/>
      <c r="I5397" s="670" t="s">
        <v>1210</v>
      </c>
      <c r="J5397" s="674" t="s">
        <v>1211</v>
      </c>
      <c r="K5397" s="675" t="s">
        <v>2318</v>
      </c>
      <c r="L5397" s="1204" t="s">
        <v>1213</v>
      </c>
      <c r="M5397" s="1000"/>
      <c r="N5397" s="671" t="s">
        <v>1200</v>
      </c>
      <c r="O5397" s="362"/>
    </row>
    <row r="5398" spans="1:15" ht="15.75" customHeight="1">
      <c r="A5398" s="395">
        <f t="array" ref="A5398">IF(C5398&lt;&gt;0,INDEX(CodTransporte,MATCH(C5398,Transporte,0),),)</f>
        <v>0</v>
      </c>
      <c r="B5398" s="399"/>
      <c r="C5398" s="1128"/>
      <c r="D5398" s="940"/>
      <c r="E5398" s="940"/>
      <c r="F5398" s="940"/>
      <c r="G5398" s="940"/>
      <c r="H5398" s="940"/>
      <c r="I5398" s="440"/>
      <c r="J5398" s="441" t="str">
        <f>IF($A5398&gt;0,(VLOOKUP($A5398,TablaTransporte,6,FALSE)),"")</f>
        <v/>
      </c>
      <c r="K5398" s="442" t="str">
        <f>IF($A5398&gt;0,(VLOOKUP($A5398,TablaTransporte,5,FALSE)),"")</f>
        <v/>
      </c>
      <c r="L5398" s="1134" t="str">
        <f>IF($A5398&gt;0,(VLOOKUP($A5398,TablaTransporte,7,FALSE)),"")</f>
        <v/>
      </c>
      <c r="M5398" s="941"/>
      <c r="N5398" s="430" t="str">
        <f t="shared" ref="N5398:N5402" si="395">IF(I5398&gt;0,J5398*L5398*I5398,"")</f>
        <v/>
      </c>
      <c r="O5398" s="362"/>
    </row>
    <row r="5399" spans="1:15" ht="15.75" customHeight="1">
      <c r="A5399" s="395">
        <f t="array" ref="A5399">IF(C5399&lt;&gt;0,INDEX(CodTransporte,MATCH(C5399,Transporte,0),),)</f>
        <v>0</v>
      </c>
      <c r="B5399" s="399"/>
      <c r="C5399" s="1128"/>
      <c r="D5399" s="940"/>
      <c r="E5399" s="940"/>
      <c r="F5399" s="940"/>
      <c r="G5399" s="940"/>
      <c r="H5399" s="940"/>
      <c r="I5399" s="440"/>
      <c r="J5399" s="441" t="str">
        <f>IF($A5399&gt;0,(VLOOKUP($A5399,TablaTransporte,6,FALSE)),"")</f>
        <v/>
      </c>
      <c r="K5399" s="442" t="str">
        <f>IF($A5399&gt;0,(VLOOKUP($A5399,TablaTransporte,5,FALSE)),"")</f>
        <v/>
      </c>
      <c r="L5399" s="1134" t="str">
        <f>IF($A5399&gt;0,(VLOOKUP($A5399,TablaTransporte,7,FALSE)),"")</f>
        <v/>
      </c>
      <c r="M5399" s="941"/>
      <c r="N5399" s="430" t="str">
        <f t="shared" si="395"/>
        <v/>
      </c>
      <c r="O5399" s="362"/>
    </row>
    <row r="5400" spans="1:15" ht="15.75" customHeight="1">
      <c r="A5400" s="395">
        <f t="array" ref="A5400">IF(C5400&lt;&gt;0,INDEX(CodTransporte,MATCH(C5400,Transporte,0),),)</f>
        <v>0</v>
      </c>
      <c r="B5400" s="399"/>
      <c r="C5400" s="1128"/>
      <c r="D5400" s="940"/>
      <c r="E5400" s="940"/>
      <c r="F5400" s="940"/>
      <c r="G5400" s="940"/>
      <c r="H5400" s="940"/>
      <c r="I5400" s="440"/>
      <c r="J5400" s="441" t="str">
        <f>IF($A5400&gt;0,(VLOOKUP($A5400,TablaTransporte,6,FALSE)),"")</f>
        <v/>
      </c>
      <c r="K5400" s="442" t="str">
        <f>IF($A5400&gt;0,(VLOOKUP($A5400,TablaTransporte,5,FALSE)),"")</f>
        <v/>
      </c>
      <c r="L5400" s="1134" t="str">
        <f>IF($A5400&gt;0,(VLOOKUP($A5400,TablaTransporte,7,FALSE)),"")</f>
        <v/>
      </c>
      <c r="M5400" s="941"/>
      <c r="N5400" s="430" t="str">
        <f t="shared" si="395"/>
        <v/>
      </c>
      <c r="O5400" s="362"/>
    </row>
    <row r="5401" spans="1:15" ht="15.75" customHeight="1">
      <c r="A5401" s="395">
        <f t="array" ref="A5401">IF(C5401&lt;&gt;0,INDEX(CodTransporte,MATCH(C5401,Transporte,0),),)</f>
        <v>0</v>
      </c>
      <c r="B5401" s="399"/>
      <c r="C5401" s="1128"/>
      <c r="D5401" s="940"/>
      <c r="E5401" s="940"/>
      <c r="F5401" s="940"/>
      <c r="G5401" s="940"/>
      <c r="H5401" s="940"/>
      <c r="I5401" s="440"/>
      <c r="J5401" s="441" t="str">
        <f>IF($A5401&gt;0,(VLOOKUP($A5401,TablaTransporte,6,FALSE)),"")</f>
        <v/>
      </c>
      <c r="K5401" s="442" t="str">
        <f>IF($A5401&gt;0,(VLOOKUP($A5401,TablaTransporte,5,FALSE)),"")</f>
        <v/>
      </c>
      <c r="L5401" s="1134" t="str">
        <f>IF($A5401&gt;0,(VLOOKUP($A5401,TablaTransporte,7,FALSE)),"")</f>
        <v/>
      </c>
      <c r="M5401" s="941"/>
      <c r="N5401" s="430" t="str">
        <f t="shared" si="395"/>
        <v/>
      </c>
      <c r="O5401" s="362"/>
    </row>
    <row r="5402" spans="1:15" ht="15.75" customHeight="1">
      <c r="A5402" s="395">
        <f t="array" ref="A5402">IF(C5402&lt;&gt;0,INDEX(CodTransporte,MATCH(C5402,Transporte,0),),)</f>
        <v>0</v>
      </c>
      <c r="B5402" s="399"/>
      <c r="C5402" s="1128"/>
      <c r="D5402" s="940"/>
      <c r="E5402" s="940"/>
      <c r="F5402" s="940"/>
      <c r="G5402" s="940"/>
      <c r="H5402" s="940"/>
      <c r="I5402" s="440"/>
      <c r="J5402" s="441" t="str">
        <f>IF($A5402&gt;0,(VLOOKUP($A5402,TablaTransporte,6,FALSE)),"")</f>
        <v/>
      </c>
      <c r="K5402" s="442" t="str">
        <f>IF($A5402&gt;0,(VLOOKUP($A5402,TablaTransporte,5,FALSE)),"")</f>
        <v/>
      </c>
      <c r="L5402" s="1205" t="str">
        <f>IF($A5402&gt;0,(VLOOKUP($A5402,TablaTransporte,7,FALSE)),"")</f>
        <v/>
      </c>
      <c r="M5402" s="1145"/>
      <c r="N5402" s="430" t="str">
        <f t="shared" si="395"/>
        <v/>
      </c>
      <c r="O5402" s="362"/>
    </row>
    <row r="5403" spans="1:15" ht="15.75" customHeight="1">
      <c r="A5403" s="395"/>
      <c r="B5403" s="399"/>
      <c r="C5403" s="1127" t="s">
        <v>1202</v>
      </c>
      <c r="D5403" s="965"/>
      <c r="E5403" s="965"/>
      <c r="F5403" s="965"/>
      <c r="G5403" s="965"/>
      <c r="H5403" s="965"/>
      <c r="I5403" s="965"/>
      <c r="J5403" s="965"/>
      <c r="K5403" s="965"/>
      <c r="L5403" s="965"/>
      <c r="M5403" s="966"/>
      <c r="N5403" s="433">
        <f>+SUM(N5398:N5402)</f>
        <v>0</v>
      </c>
      <c r="O5403" s="362"/>
    </row>
    <row r="5404" spans="1:15" ht="15.75" customHeight="1">
      <c r="A5404" s="395"/>
      <c r="B5404" s="399"/>
      <c r="C5404" s="1129" t="s">
        <v>1214</v>
      </c>
      <c r="D5404" s="926"/>
      <c r="E5404" s="926"/>
      <c r="F5404" s="926"/>
      <c r="G5404" s="926"/>
      <c r="H5404" s="926"/>
      <c r="I5404" s="926"/>
      <c r="J5404" s="926"/>
      <c r="K5404" s="926"/>
      <c r="L5404" s="926"/>
      <c r="M5404" s="926"/>
      <c r="N5404" s="927"/>
      <c r="O5404" s="362"/>
    </row>
    <row r="5405" spans="1:15" ht="15.75" customHeight="1">
      <c r="A5405" s="395"/>
      <c r="B5405" s="399"/>
      <c r="C5405" s="920"/>
      <c r="D5405" s="922"/>
      <c r="E5405" s="922"/>
      <c r="F5405" s="922"/>
      <c r="G5405" s="922"/>
      <c r="H5405" s="922"/>
      <c r="I5405" s="922"/>
      <c r="J5405" s="922"/>
      <c r="K5405" s="922"/>
      <c r="L5405" s="922"/>
      <c r="M5405" s="922"/>
      <c r="N5405" s="924"/>
      <c r="O5405" s="362"/>
    </row>
    <row r="5406" spans="1:15" ht="15.75" customHeight="1">
      <c r="A5406" s="395"/>
      <c r="B5406" s="399"/>
      <c r="C5406" s="929"/>
      <c r="D5406" s="936"/>
      <c r="E5406" s="936"/>
      <c r="F5406" s="936"/>
      <c r="G5406" s="936"/>
      <c r="H5406" s="936"/>
      <c r="I5406" s="936"/>
      <c r="J5406" s="936"/>
      <c r="K5406" s="936"/>
      <c r="L5406" s="936"/>
      <c r="M5406" s="936"/>
      <c r="N5406" s="938"/>
      <c r="O5406" s="362"/>
    </row>
    <row r="5407" spans="1:15" ht="15.75" customHeight="1">
      <c r="A5407" s="395"/>
      <c r="B5407" s="399"/>
      <c r="C5407" s="1201" t="s">
        <v>1215</v>
      </c>
      <c r="D5407" s="1131"/>
      <c r="E5407" s="1131"/>
      <c r="F5407" s="1131"/>
      <c r="G5407" s="1131"/>
      <c r="H5407" s="1000"/>
      <c r="I5407" s="670" t="s">
        <v>1216</v>
      </c>
      <c r="J5407" s="676" t="s">
        <v>1217</v>
      </c>
      <c r="K5407" s="677" t="s">
        <v>1218</v>
      </c>
      <c r="L5407" s="1206" t="s">
        <v>1199</v>
      </c>
      <c r="M5407" s="1000"/>
      <c r="N5407" s="678" t="s">
        <v>1200</v>
      </c>
      <c r="O5407" s="362"/>
    </row>
    <row r="5408" spans="1:15" ht="15.75" customHeight="1">
      <c r="A5408" s="395" t="str">
        <f t="array" ref="A5408">IF(C5408&lt;&gt;0,INDEX(CodMO,MATCH(C5408,MO,0),),)</f>
        <v>M.O-20</v>
      </c>
      <c r="B5408" s="399"/>
      <c r="C5408" s="1128" t="s">
        <v>247</v>
      </c>
      <c r="D5408" s="940"/>
      <c r="E5408" s="940"/>
      <c r="F5408" s="940"/>
      <c r="G5408" s="940"/>
      <c r="H5408" s="940"/>
      <c r="I5408" s="447">
        <f>IF($A5408&gt;0,(VLOOKUP($A5408,TablaMO,8,FALSE)),"")</f>
        <v>366787.33333333331</v>
      </c>
      <c r="J5408" s="448">
        <f>IF($A5408&gt;0,(VLOOKUP($A5408,TablaMO,10,FALSE)),"")</f>
        <v>0.67071666666666663</v>
      </c>
      <c r="K5408" s="447">
        <f>IF($A5408&gt;0,(VLOOKUP($A5408,TablaMO,11,FALSE)),"")</f>
        <v>612798</v>
      </c>
      <c r="L5408" s="1146">
        <v>0.90150926043156876</v>
      </c>
      <c r="M5408" s="941"/>
      <c r="N5408" s="430">
        <f t="shared" ref="N5408:N5412" si="396">IF(L5408&gt;0,K5408/L5408,"")</f>
        <v>679746.76123309322</v>
      </c>
      <c r="O5408" s="362"/>
    </row>
    <row r="5409" spans="1:18" ht="15.75" customHeight="1">
      <c r="A5409" s="395">
        <f t="array" ref="A5409">IF(C5409&lt;&gt;0,INDEX(CodMO,MATCH(C5409,MO,0),),)</f>
        <v>0</v>
      </c>
      <c r="B5409" s="399"/>
      <c r="C5409" s="1128"/>
      <c r="D5409" s="940"/>
      <c r="E5409" s="940"/>
      <c r="F5409" s="940"/>
      <c r="G5409" s="940"/>
      <c r="H5409" s="940"/>
      <c r="I5409" s="447" t="str">
        <f>IF($A5409&gt;0,(VLOOKUP($A5409,TablaMO,8,FALSE)),"")</f>
        <v/>
      </c>
      <c r="J5409" s="448" t="str">
        <f>IF($A5409&gt;0,(VLOOKUP($A5409,TablaMO,10,FALSE)),"")</f>
        <v/>
      </c>
      <c r="K5409" s="447" t="str">
        <f>IF($A5409&gt;0,(VLOOKUP($A5409,TablaMO,11,FALSE)),"")</f>
        <v/>
      </c>
      <c r="L5409" s="1146"/>
      <c r="M5409" s="941"/>
      <c r="N5409" s="430" t="str">
        <f t="shared" si="396"/>
        <v/>
      </c>
      <c r="O5409" s="362"/>
    </row>
    <row r="5410" spans="1:18" ht="15.75" customHeight="1">
      <c r="A5410" s="395">
        <f t="array" ref="A5410">IF(C5410&lt;&gt;0,INDEX(CodMO,MATCH(C5410,MO,0),),)</f>
        <v>0</v>
      </c>
      <c r="B5410" s="399"/>
      <c r="C5410" s="1128"/>
      <c r="D5410" s="940"/>
      <c r="E5410" s="940"/>
      <c r="F5410" s="940"/>
      <c r="G5410" s="940"/>
      <c r="H5410" s="940"/>
      <c r="I5410" s="447" t="str">
        <f>IF($A5410&gt;0,(VLOOKUP($A5410,TablaMO,8,FALSE)),"")</f>
        <v/>
      </c>
      <c r="J5410" s="448" t="str">
        <f>IF($A5410&gt;0,(VLOOKUP($A5410,TablaMO,10,FALSE)),"")</f>
        <v/>
      </c>
      <c r="K5410" s="447" t="str">
        <f>IF($A5410&gt;0,(VLOOKUP($A5410,TablaMO,11,FALSE)),"")</f>
        <v/>
      </c>
      <c r="L5410" s="1146"/>
      <c r="M5410" s="941"/>
      <c r="N5410" s="430" t="str">
        <f t="shared" si="396"/>
        <v/>
      </c>
      <c r="O5410" s="362"/>
    </row>
    <row r="5411" spans="1:18" ht="15.75" customHeight="1">
      <c r="A5411" s="395">
        <f t="array" ref="A5411">IF(C5411&lt;&gt;0,INDEX(CodMO,MATCH(C5411,MO,0),),)</f>
        <v>0</v>
      </c>
      <c r="B5411" s="399"/>
      <c r="C5411" s="1128"/>
      <c r="D5411" s="940"/>
      <c r="E5411" s="940"/>
      <c r="F5411" s="940"/>
      <c r="G5411" s="940"/>
      <c r="H5411" s="940"/>
      <c r="I5411" s="447" t="str">
        <f>IF($A5411&gt;0,(VLOOKUP($A5411,TablaMO,8,FALSE)),"")</f>
        <v/>
      </c>
      <c r="J5411" s="448" t="str">
        <f>IF($A5411&gt;0,(VLOOKUP($A5411,TablaMO,10,FALSE)),"")</f>
        <v/>
      </c>
      <c r="K5411" s="447" t="str">
        <f>IF($A5411&gt;0,(VLOOKUP($A5411,TablaMO,11,FALSE)),"")</f>
        <v/>
      </c>
      <c r="L5411" s="1146"/>
      <c r="M5411" s="941"/>
      <c r="N5411" s="430" t="str">
        <f t="shared" si="396"/>
        <v/>
      </c>
      <c r="O5411" s="362"/>
    </row>
    <row r="5412" spans="1:18" ht="15.75" customHeight="1">
      <c r="A5412" s="395">
        <f t="array" ref="A5412">IF(C5412&lt;&gt;0,INDEX(CodMO,MATCH(C5412,MO,0),),)</f>
        <v>0</v>
      </c>
      <c r="B5412" s="399"/>
      <c r="C5412" s="1128"/>
      <c r="D5412" s="940"/>
      <c r="E5412" s="940"/>
      <c r="F5412" s="940"/>
      <c r="G5412" s="940"/>
      <c r="H5412" s="940"/>
      <c r="I5412" s="447" t="str">
        <f>IF($A5412&gt;0,(VLOOKUP($A5412,TablaMO,8,FALSE)),"")</f>
        <v/>
      </c>
      <c r="J5412" s="448" t="str">
        <f>IF($A5412&gt;0,(VLOOKUP($A5412,TablaMO,10,FALSE)),"")</f>
        <v/>
      </c>
      <c r="K5412" s="447" t="str">
        <f>IF($A5412&gt;0,(VLOOKUP($A5412,TablaMO,11,FALSE)),"")</f>
        <v/>
      </c>
      <c r="L5412" s="1146"/>
      <c r="M5412" s="941"/>
      <c r="N5412" s="430" t="str">
        <f t="shared" si="396"/>
        <v/>
      </c>
      <c r="O5412" s="362"/>
    </row>
    <row r="5413" spans="1:18" ht="15.75" customHeight="1">
      <c r="A5413" s="395"/>
      <c r="B5413" s="399"/>
      <c r="C5413" s="1127" t="s">
        <v>1202</v>
      </c>
      <c r="D5413" s="965"/>
      <c r="E5413" s="965"/>
      <c r="F5413" s="965"/>
      <c r="G5413" s="965"/>
      <c r="H5413" s="965"/>
      <c r="I5413" s="965"/>
      <c r="J5413" s="965"/>
      <c r="K5413" s="965"/>
      <c r="L5413" s="965"/>
      <c r="M5413" s="966"/>
      <c r="N5413" s="433">
        <f>+SUM(N5408:N5412)</f>
        <v>679746.76123309322</v>
      </c>
      <c r="O5413" s="362"/>
    </row>
    <row r="5414" spans="1:18" ht="15.75" customHeight="1">
      <c r="B5414" s="679"/>
      <c r="O5414" s="362"/>
    </row>
    <row r="5415" spans="1:18" ht="15.75" customHeight="1">
      <c r="B5415" s="679"/>
      <c r="C5415" s="1198" t="s">
        <v>1219</v>
      </c>
      <c r="D5415" s="965"/>
      <c r="E5415" s="965"/>
      <c r="F5415" s="965"/>
      <c r="G5415" s="965"/>
      <c r="H5415" s="965"/>
      <c r="I5415" s="965"/>
      <c r="J5415" s="965"/>
      <c r="K5415" s="965"/>
      <c r="L5415" s="965"/>
      <c r="M5415" s="966"/>
      <c r="N5415" s="680">
        <f>ROUND(SUM(N5413,N5403,N5393,N5380),0)</f>
        <v>2721487</v>
      </c>
      <c r="O5415" s="362"/>
      <c r="Q5415" s="681">
        <f>VLOOKUP(C5369,PROPUESTASASERCO,8,FALSE)</f>
        <v>2721487</v>
      </c>
      <c r="R5415" s="682">
        <f>Q5415-N5415</f>
        <v>0</v>
      </c>
    </row>
    <row r="5416" spans="1:18" ht="15.75" customHeight="1">
      <c r="B5416" s="679"/>
      <c r="C5416" s="1129" t="s">
        <v>1220</v>
      </c>
      <c r="D5416" s="926"/>
      <c r="E5416" s="926"/>
      <c r="F5416" s="926"/>
      <c r="G5416" s="926"/>
      <c r="H5416" s="926"/>
      <c r="I5416" s="926"/>
      <c r="J5416" s="926"/>
      <c r="K5416" s="926"/>
      <c r="L5416" s="926"/>
      <c r="M5416" s="926"/>
      <c r="N5416" s="927"/>
      <c r="O5416" s="362"/>
    </row>
    <row r="5417" spans="1:18" ht="15.75" customHeight="1">
      <c r="B5417" s="679"/>
      <c r="C5417" s="920"/>
      <c r="D5417" s="922"/>
      <c r="E5417" s="922"/>
      <c r="F5417" s="922"/>
      <c r="G5417" s="922"/>
      <c r="H5417" s="922"/>
      <c r="I5417" s="922"/>
      <c r="J5417" s="922"/>
      <c r="K5417" s="922"/>
      <c r="L5417" s="922"/>
      <c r="M5417" s="922"/>
      <c r="N5417" s="924"/>
      <c r="O5417" s="362"/>
    </row>
    <row r="5418" spans="1:18" ht="15.75" customHeight="1">
      <c r="B5418" s="679"/>
      <c r="C5418" s="929"/>
      <c r="D5418" s="936"/>
      <c r="E5418" s="936"/>
      <c r="F5418" s="936"/>
      <c r="G5418" s="936"/>
      <c r="H5418" s="936"/>
      <c r="I5418" s="936"/>
      <c r="J5418" s="936"/>
      <c r="K5418" s="936"/>
      <c r="L5418" s="936"/>
      <c r="M5418" s="936"/>
      <c r="N5418" s="938"/>
      <c r="O5418" s="362"/>
    </row>
    <row r="5419" spans="1:18" ht="15.75" customHeight="1">
      <c r="B5419" s="679"/>
      <c r="C5419" s="1201" t="s">
        <v>1221</v>
      </c>
      <c r="D5419" s="1131"/>
      <c r="E5419" s="1131"/>
      <c r="F5419" s="1131"/>
      <c r="G5419" s="1131"/>
      <c r="H5419" s="1132"/>
      <c r="I5419" s="674"/>
      <c r="J5419" s="674"/>
      <c r="K5419" s="674"/>
      <c r="L5419" s="1206" t="s">
        <v>1222</v>
      </c>
      <c r="M5419" s="1000"/>
      <c r="N5419" s="678" t="s">
        <v>1223</v>
      </c>
      <c r="O5419" s="362"/>
    </row>
    <row r="5420" spans="1:18" ht="15.75" customHeight="1">
      <c r="B5420" s="679"/>
      <c r="C5420" s="1128" t="s">
        <v>19</v>
      </c>
      <c r="D5420" s="940"/>
      <c r="E5420" s="940"/>
      <c r="F5420" s="940"/>
      <c r="G5420" s="940"/>
      <c r="H5420" s="940"/>
      <c r="I5420" s="452"/>
      <c r="J5420" s="452"/>
      <c r="K5420" s="452"/>
      <c r="L5420" s="1148">
        <v>0</v>
      </c>
      <c r="M5420" s="941"/>
      <c r="N5420" s="430">
        <f>+L5420*N5415</f>
        <v>0</v>
      </c>
      <c r="O5420" s="362"/>
    </row>
    <row r="5421" spans="1:18" ht="15.75" customHeight="1">
      <c r="B5421" s="679"/>
      <c r="C5421" s="454" t="s">
        <v>20</v>
      </c>
      <c r="D5421" s="455"/>
      <c r="E5421" s="455"/>
      <c r="F5421" s="455"/>
      <c r="G5421" s="455"/>
      <c r="H5421" s="455"/>
      <c r="I5421" s="452"/>
      <c r="J5421" s="452"/>
      <c r="K5421" s="452"/>
      <c r="L5421" s="1148">
        <v>0</v>
      </c>
      <c r="M5421" s="941"/>
      <c r="N5421" s="430">
        <f>+L5421*N5415</f>
        <v>0</v>
      </c>
      <c r="O5421" s="362"/>
    </row>
    <row r="5422" spans="1:18" ht="15.75" customHeight="1">
      <c r="B5422" s="679"/>
      <c r="C5422" s="456" t="s">
        <v>21</v>
      </c>
      <c r="D5422" s="457"/>
      <c r="E5422" s="457"/>
      <c r="F5422" s="457"/>
      <c r="G5422" s="457"/>
      <c r="H5422" s="457"/>
      <c r="I5422" s="458"/>
      <c r="J5422" s="458"/>
      <c r="K5422" s="458"/>
      <c r="L5422" s="1148">
        <v>0</v>
      </c>
      <c r="M5422" s="941"/>
      <c r="N5422" s="430">
        <f>+L5422*N5415</f>
        <v>0</v>
      </c>
      <c r="O5422" s="362"/>
    </row>
    <row r="5423" spans="1:18" ht="15.75" customHeight="1">
      <c r="B5423" s="679"/>
      <c r="C5423" s="1127" t="s">
        <v>1202</v>
      </c>
      <c r="D5423" s="965"/>
      <c r="E5423" s="965"/>
      <c r="F5423" s="965"/>
      <c r="G5423" s="965"/>
      <c r="H5423" s="965"/>
      <c r="I5423" s="965"/>
      <c r="J5423" s="965"/>
      <c r="K5423" s="965"/>
      <c r="L5423" s="965"/>
      <c r="M5423" s="966"/>
      <c r="N5423" s="433">
        <f>+SUM(N5420:N5422)</f>
        <v>0</v>
      </c>
      <c r="O5423" s="362"/>
    </row>
    <row r="5424" spans="1:18" ht="15.75" customHeight="1">
      <c r="B5424" s="679"/>
      <c r="C5424" s="418"/>
      <c r="D5424" s="39"/>
      <c r="E5424" s="39"/>
      <c r="F5424" s="39"/>
      <c r="G5424" s="39"/>
      <c r="H5424" s="39"/>
      <c r="I5424" s="39"/>
      <c r="J5424" s="39"/>
      <c r="K5424" s="39"/>
      <c r="L5424" s="39"/>
      <c r="M5424" s="39"/>
      <c r="N5424" s="40"/>
      <c r="O5424" s="362"/>
    </row>
    <row r="5425" spans="2:15" ht="15.75" customHeight="1">
      <c r="B5425" s="679"/>
      <c r="C5425" s="1198" t="s">
        <v>1224</v>
      </c>
      <c r="D5425" s="965"/>
      <c r="E5425" s="965"/>
      <c r="F5425" s="965"/>
      <c r="G5425" s="965"/>
      <c r="H5425" s="965"/>
      <c r="I5425" s="965"/>
      <c r="J5425" s="965"/>
      <c r="K5425" s="965"/>
      <c r="L5425" s="965"/>
      <c r="M5425" s="966"/>
      <c r="N5425" s="683">
        <f>+ROUND(SUM(N5423,N5415),0)</f>
        <v>2721487</v>
      </c>
      <c r="O5425" s="362"/>
    </row>
    <row r="5426" spans="2:15" ht="15.75" customHeight="1">
      <c r="B5426" s="679"/>
      <c r="C5426" s="418"/>
      <c r="D5426" s="39" t="s">
        <v>1225</v>
      </c>
      <c r="E5426" s="39"/>
      <c r="F5426" s="39"/>
      <c r="G5426" s="184"/>
      <c r="H5426" s="184"/>
      <c r="I5426" s="184"/>
      <c r="J5426" s="39" t="s">
        <v>1225</v>
      </c>
      <c r="K5426" s="39"/>
      <c r="L5426" s="39"/>
      <c r="M5426" s="39"/>
      <c r="N5426" s="40"/>
      <c r="O5426" s="362"/>
    </row>
    <row r="5427" spans="2:15" ht="15.75" customHeight="1">
      <c r="B5427" s="679"/>
      <c r="C5427" s="418"/>
      <c r="D5427" s="39" t="s">
        <v>1226</v>
      </c>
      <c r="E5427" s="39"/>
      <c r="F5427" s="39"/>
      <c r="G5427" s="184"/>
      <c r="H5427" s="184"/>
      <c r="I5427" s="184"/>
      <c r="J5427" s="39" t="s">
        <v>1227</v>
      </c>
      <c r="K5427" s="39"/>
      <c r="L5427" s="39"/>
      <c r="M5427" s="39"/>
      <c r="N5427" s="40"/>
      <c r="O5427" s="362"/>
    </row>
    <row r="5428" spans="2:15" ht="15.75" customHeight="1">
      <c r="B5428" s="679"/>
      <c r="C5428" s="404"/>
      <c r="D5428" s="39" t="s">
        <v>1228</v>
      </c>
      <c r="E5428" s="42"/>
      <c r="F5428" s="42"/>
      <c r="G5428" s="184"/>
      <c r="H5428" s="184"/>
      <c r="I5428" s="184"/>
      <c r="J5428" s="39" t="s">
        <v>1228</v>
      </c>
      <c r="K5428" s="42"/>
      <c r="L5428" s="42"/>
      <c r="M5428" s="42"/>
      <c r="N5428" s="43"/>
      <c r="O5428" s="362"/>
    </row>
    <row r="5429" spans="2:15" ht="15.75" customHeight="1">
      <c r="B5429" s="679"/>
      <c r="C5429" s="418"/>
      <c r="D5429" s="39"/>
      <c r="E5429" s="39"/>
      <c r="F5429" s="39"/>
      <c r="G5429" s="39" t="s">
        <v>1229</v>
      </c>
      <c r="H5429" s="39"/>
      <c r="I5429" s="39"/>
      <c r="J5429" s="39"/>
      <c r="K5429" s="39"/>
      <c r="L5429" s="39"/>
      <c r="M5429" s="39"/>
      <c r="N5429" s="40"/>
      <c r="O5429" s="362"/>
    </row>
    <row r="5430" spans="2:15" ht="15.75" customHeight="1">
      <c r="B5430" s="679"/>
      <c r="C5430" s="466"/>
      <c r="D5430" s="467"/>
      <c r="E5430" s="467"/>
      <c r="F5430" s="39"/>
      <c r="G5430" s="39"/>
      <c r="H5430" s="39"/>
      <c r="I5430" s="39"/>
      <c r="J5430" s="1149"/>
      <c r="K5430" s="922"/>
      <c r="L5430" s="922"/>
      <c r="M5430" s="922"/>
      <c r="N5430" s="924"/>
      <c r="O5430" s="362"/>
    </row>
    <row r="5431" spans="2:15" ht="15.75" customHeight="1">
      <c r="B5431" s="679"/>
      <c r="C5431" s="1150"/>
      <c r="D5431" s="936"/>
      <c r="E5431" s="936"/>
      <c r="F5431" s="416"/>
      <c r="G5431" s="416"/>
      <c r="H5431" s="416"/>
      <c r="I5431" s="416"/>
      <c r="J5431" s="936"/>
      <c r="K5431" s="936"/>
      <c r="L5431" s="936"/>
      <c r="M5431" s="936"/>
      <c r="N5431" s="938"/>
      <c r="O5431" s="362"/>
    </row>
    <row r="5432" spans="2:15" ht="15.75" customHeight="1">
      <c r="B5432" s="684"/>
      <c r="C5432" s="685"/>
      <c r="D5432" s="685"/>
      <c r="E5432" s="685"/>
      <c r="F5432" s="685"/>
      <c r="G5432" s="685"/>
      <c r="H5432" s="685"/>
      <c r="I5432" s="685"/>
      <c r="J5432" s="685"/>
      <c r="K5432" s="685"/>
      <c r="L5432" s="685"/>
      <c r="M5432" s="685"/>
      <c r="N5432" s="685"/>
      <c r="O5432" s="686"/>
    </row>
    <row r="5433" spans="2:15" ht="15.75" customHeight="1">
      <c r="B5433" s="205"/>
      <c r="C5433" s="205"/>
      <c r="D5433" s="205"/>
      <c r="E5433" s="205"/>
      <c r="F5433" s="205"/>
      <c r="G5433" s="205"/>
      <c r="H5433" s="205"/>
      <c r="I5433" s="205"/>
      <c r="J5433" s="205"/>
      <c r="K5433" s="205"/>
      <c r="L5433" s="205"/>
      <c r="M5433" s="205"/>
      <c r="N5433" s="205"/>
      <c r="O5433" s="205"/>
    </row>
  </sheetData>
  <mergeCells count="7188">
    <mergeCell ref="C2570:F2570"/>
    <mergeCell ref="G2570:H2570"/>
    <mergeCell ref="I2570:J2570"/>
    <mergeCell ref="L2570:M2570"/>
    <mergeCell ref="C2585:I2585"/>
    <mergeCell ref="L2585:M2585"/>
    <mergeCell ref="C2586:I2586"/>
    <mergeCell ref="L2179:M2179"/>
    <mergeCell ref="C2180:H2180"/>
    <mergeCell ref="L2180:M2180"/>
    <mergeCell ref="C2181:H2181"/>
    <mergeCell ref="L2181:M2181"/>
    <mergeCell ref="C2182:H2182"/>
    <mergeCell ref="L2182:M2182"/>
    <mergeCell ref="C2183:H2183"/>
    <mergeCell ref="C2589:I2589"/>
    <mergeCell ref="L2589:M2589"/>
    <mergeCell ref="C2590:I2590"/>
    <mergeCell ref="L2590:M2590"/>
    <mergeCell ref="C2591:I2591"/>
    <mergeCell ref="L2591:M2591"/>
    <mergeCell ref="C2184:H2184"/>
    <mergeCell ref="L2184:M2184"/>
    <mergeCell ref="C2185:M2185"/>
    <mergeCell ref="C2187:M2187"/>
    <mergeCell ref="C2188:N2190"/>
    <mergeCell ref="C2191:H2191"/>
    <mergeCell ref="L2191:M2191"/>
    <mergeCell ref="C2192:H2192"/>
    <mergeCell ref="L2192:M2192"/>
    <mergeCell ref="L2193:M2193"/>
    <mergeCell ref="L2194:M2194"/>
    <mergeCell ref="C2195:M2195"/>
    <mergeCell ref="C2197:M2197"/>
    <mergeCell ref="J2202:N2203"/>
    <mergeCell ref="C2203:E2203"/>
    <mergeCell ref="L2565:M2565"/>
    <mergeCell ref="D2566:K2566"/>
    <mergeCell ref="L2566:M2566"/>
    <mergeCell ref="C2158:I2158"/>
    <mergeCell ref="L2158:M2158"/>
    <mergeCell ref="C2159:I2159"/>
    <mergeCell ref="L2159:M2159"/>
    <mergeCell ref="L2183:M2183"/>
    <mergeCell ref="C2160:I2160"/>
    <mergeCell ref="L2160:M2160"/>
    <mergeCell ref="C2161:I2161"/>
    <mergeCell ref="L2161:M2161"/>
    <mergeCell ref="C2162:I2162"/>
    <mergeCell ref="L2162:M2162"/>
    <mergeCell ref="C2163:I2163"/>
    <mergeCell ref="L2163:M2163"/>
    <mergeCell ref="C2164:I2164"/>
    <mergeCell ref="L2164:M2164"/>
    <mergeCell ref="C2165:M2165"/>
    <mergeCell ref="C2166:N2168"/>
    <mergeCell ref="C2169:H2169"/>
    <mergeCell ref="L2169:M2169"/>
    <mergeCell ref="C2170:H2170"/>
    <mergeCell ref="L2170:M2170"/>
    <mergeCell ref="C2171:H2171"/>
    <mergeCell ref="L2171:M2171"/>
    <mergeCell ref="C2172:H2172"/>
    <mergeCell ref="L2172:M2172"/>
    <mergeCell ref="C2173:H2173"/>
    <mergeCell ref="L2173:M2173"/>
    <mergeCell ref="C2174:H2174"/>
    <mergeCell ref="L2174:M2174"/>
    <mergeCell ref="C2175:M2175"/>
    <mergeCell ref="C2176:N2178"/>
    <mergeCell ref="C2179:H2179"/>
    <mergeCell ref="C2149:F2149"/>
    <mergeCell ref="G2149:H2149"/>
    <mergeCell ref="I2149:J2149"/>
    <mergeCell ref="L2149:M2149"/>
    <mergeCell ref="C2150:F2150"/>
    <mergeCell ref="G2150:H2150"/>
    <mergeCell ref="I2150:J2150"/>
    <mergeCell ref="L2150:M2150"/>
    <mergeCell ref="C2151:F2151"/>
    <mergeCell ref="G2151:H2151"/>
    <mergeCell ref="I2151:J2151"/>
    <mergeCell ref="L2151:M2151"/>
    <mergeCell ref="C2152:M2152"/>
    <mergeCell ref="C2153:N2155"/>
    <mergeCell ref="C2156:I2156"/>
    <mergeCell ref="L2156:M2156"/>
    <mergeCell ref="C2157:I2157"/>
    <mergeCell ref="L2157:M2157"/>
    <mergeCell ref="L3432:M3432"/>
    <mergeCell ref="C3432:I3432"/>
    <mergeCell ref="C3433:I3433"/>
    <mergeCell ref="L3433:M3433"/>
    <mergeCell ref="C3434:I3434"/>
    <mergeCell ref="L3434:M3434"/>
    <mergeCell ref="C3435:M3435"/>
    <mergeCell ref="C3436:N3438"/>
    <mergeCell ref="C5049:I5049"/>
    <mergeCell ref="C5050:I5050"/>
    <mergeCell ref="C5051:I5051"/>
    <mergeCell ref="L5049:M5049"/>
    <mergeCell ref="L5050:M5050"/>
    <mergeCell ref="L5051:M5051"/>
    <mergeCell ref="C2126:D2134"/>
    <mergeCell ref="E2126:K2127"/>
    <mergeCell ref="L2126:M2127"/>
    <mergeCell ref="N2126:N2127"/>
    <mergeCell ref="E2128:K2128"/>
    <mergeCell ref="L2128:N2128"/>
    <mergeCell ref="E2129:K2131"/>
    <mergeCell ref="L2129:L2130"/>
    <mergeCell ref="M2129:M2130"/>
    <mergeCell ref="N2129:N2130"/>
    <mergeCell ref="L2131:N2131"/>
    <mergeCell ref="E2133:K2134"/>
    <mergeCell ref="L2133:L2134"/>
    <mergeCell ref="M2133:M2134"/>
    <mergeCell ref="N2133:N2134"/>
    <mergeCell ref="D2136:L2136"/>
    <mergeCell ref="D2137:L2137"/>
    <mergeCell ref="C2138:N2138"/>
    <mergeCell ref="G3421:H3421"/>
    <mergeCell ref="I3421:J3421"/>
    <mergeCell ref="L3421:M3421"/>
    <mergeCell ref="L3427:M3427"/>
    <mergeCell ref="L3428:M3428"/>
    <mergeCell ref="C3421:F3421"/>
    <mergeCell ref="C3422:M3422"/>
    <mergeCell ref="C3423:N3425"/>
    <mergeCell ref="C3426:I3426"/>
    <mergeCell ref="L3426:M3426"/>
    <mergeCell ref="C3427:I3427"/>
    <mergeCell ref="C3428:I3428"/>
    <mergeCell ref="C3429:I3429"/>
    <mergeCell ref="L3429:M3429"/>
    <mergeCell ref="C3430:I3430"/>
    <mergeCell ref="L3430:M3430"/>
    <mergeCell ref="C3431:I3431"/>
    <mergeCell ref="L3431:M3431"/>
    <mergeCell ref="L3418:M3418"/>
    <mergeCell ref="L3419:M3419"/>
    <mergeCell ref="C3416:F3416"/>
    <mergeCell ref="G3416:H3416"/>
    <mergeCell ref="I3416:J3416"/>
    <mergeCell ref="L3416:M3416"/>
    <mergeCell ref="G3417:H3417"/>
    <mergeCell ref="I3417:J3417"/>
    <mergeCell ref="L3417:M3417"/>
    <mergeCell ref="C3417:F3417"/>
    <mergeCell ref="C3418:F3418"/>
    <mergeCell ref="G3418:H3418"/>
    <mergeCell ref="I3418:J3418"/>
    <mergeCell ref="C3419:F3419"/>
    <mergeCell ref="G3419:H3419"/>
    <mergeCell ref="I3419:J3419"/>
    <mergeCell ref="C3420:F3420"/>
    <mergeCell ref="G3420:H3420"/>
    <mergeCell ref="I3420:J3420"/>
    <mergeCell ref="L3420:M3420"/>
    <mergeCell ref="C3412:N3414"/>
    <mergeCell ref="C3415:F3415"/>
    <mergeCell ref="G3415:H3415"/>
    <mergeCell ref="I3415:J3415"/>
    <mergeCell ref="L3415:M3415"/>
    <mergeCell ref="C3355:H3355"/>
    <mergeCell ref="L3355:M3355"/>
    <mergeCell ref="C3356:H3356"/>
    <mergeCell ref="L3356:M3356"/>
    <mergeCell ref="C3357:H3357"/>
    <mergeCell ref="L3357:M3357"/>
    <mergeCell ref="L3358:M3358"/>
    <mergeCell ref="C3358:H3358"/>
    <mergeCell ref="C3359:H3359"/>
    <mergeCell ref="L3359:M3359"/>
    <mergeCell ref="C3360:H3360"/>
    <mergeCell ref="L3360:M3360"/>
    <mergeCell ref="C3361:M3361"/>
    <mergeCell ref="C3362:N3364"/>
    <mergeCell ref="C3365:H3365"/>
    <mergeCell ref="L3365:M3365"/>
    <mergeCell ref="C3366:H3366"/>
    <mergeCell ref="L3366:M3366"/>
    <mergeCell ref="C3367:H3367"/>
    <mergeCell ref="L3367:M3367"/>
    <mergeCell ref="L3368:M3368"/>
    <mergeCell ref="C3368:H3368"/>
    <mergeCell ref="C3369:H3369"/>
    <mergeCell ref="L3369:M3369"/>
    <mergeCell ref="C3370:H3370"/>
    <mergeCell ref="L3370:M3370"/>
    <mergeCell ref="C3371:M3371"/>
    <mergeCell ref="M3403:M3404"/>
    <mergeCell ref="N3403:N3404"/>
    <mergeCell ref="C3381:M3381"/>
    <mergeCell ref="C3383:M3383"/>
    <mergeCell ref="J3388:N3389"/>
    <mergeCell ref="C3389:E3389"/>
    <mergeCell ref="C3396:D3404"/>
    <mergeCell ref="L3396:M3397"/>
    <mergeCell ref="N3396:N3397"/>
    <mergeCell ref="E3403:K3404"/>
    <mergeCell ref="L3403:L3404"/>
    <mergeCell ref="D3406:L3406"/>
    <mergeCell ref="D3407:L3407"/>
    <mergeCell ref="C3408:N3408"/>
    <mergeCell ref="D3410:K3410"/>
    <mergeCell ref="L3410:M3410"/>
    <mergeCell ref="D3411:K3411"/>
    <mergeCell ref="L3411:M3411"/>
    <mergeCell ref="E3396:K3397"/>
    <mergeCell ref="E3398:K3398"/>
    <mergeCell ref="C3346:I3346"/>
    <mergeCell ref="L3346:M3346"/>
    <mergeCell ref="C3347:I3347"/>
    <mergeCell ref="L3347:M3347"/>
    <mergeCell ref="L3348:M3348"/>
    <mergeCell ref="C3348:I3348"/>
    <mergeCell ref="C3349:I3349"/>
    <mergeCell ref="L3349:M3349"/>
    <mergeCell ref="C3350:I3350"/>
    <mergeCell ref="L3350:M3350"/>
    <mergeCell ref="C3351:M3351"/>
    <mergeCell ref="C3352:N3354"/>
    <mergeCell ref="L3398:N3398"/>
    <mergeCell ref="E3399:K3401"/>
    <mergeCell ref="L3399:L3400"/>
    <mergeCell ref="M3399:M3400"/>
    <mergeCell ref="N3399:N3400"/>
    <mergeCell ref="L3401:N3401"/>
    <mergeCell ref="C3373:M3373"/>
    <mergeCell ref="C3374:N3376"/>
    <mergeCell ref="C3377:H3377"/>
    <mergeCell ref="L3377:M3377"/>
    <mergeCell ref="C3378:H3378"/>
    <mergeCell ref="L3378:M3378"/>
    <mergeCell ref="L3379:M3379"/>
    <mergeCell ref="L3380:M3380"/>
    <mergeCell ref="C3336:F3336"/>
    <mergeCell ref="G3336:H3336"/>
    <mergeCell ref="I3336:J3336"/>
    <mergeCell ref="L3336:M3336"/>
    <mergeCell ref="G3337:H3337"/>
    <mergeCell ref="I3337:J3337"/>
    <mergeCell ref="L3337:M3337"/>
    <mergeCell ref="L3343:M3343"/>
    <mergeCell ref="L3344:M3344"/>
    <mergeCell ref="C3337:F3337"/>
    <mergeCell ref="C3338:M3338"/>
    <mergeCell ref="C3339:N3341"/>
    <mergeCell ref="C3342:I3342"/>
    <mergeCell ref="L3342:M3342"/>
    <mergeCell ref="C3343:I3343"/>
    <mergeCell ref="C3344:I3344"/>
    <mergeCell ref="C3345:I3345"/>
    <mergeCell ref="L3345:M3345"/>
    <mergeCell ref="C3286:H3286"/>
    <mergeCell ref="L3286:M3286"/>
    <mergeCell ref="C3287:M3287"/>
    <mergeCell ref="C3289:M3289"/>
    <mergeCell ref="C3290:N3292"/>
    <mergeCell ref="C3293:H3293"/>
    <mergeCell ref="L3293:M3293"/>
    <mergeCell ref="C3294:H3294"/>
    <mergeCell ref="L3294:M3294"/>
    <mergeCell ref="L3295:M3295"/>
    <mergeCell ref="L3296:M3296"/>
    <mergeCell ref="E3312:K3313"/>
    <mergeCell ref="E3314:K3314"/>
    <mergeCell ref="L3334:M3334"/>
    <mergeCell ref="L3335:M3335"/>
    <mergeCell ref="C3332:F3332"/>
    <mergeCell ref="G3332:H3332"/>
    <mergeCell ref="I3332:J3332"/>
    <mergeCell ref="L3332:M3332"/>
    <mergeCell ref="G3333:H3333"/>
    <mergeCell ref="I3333:J3333"/>
    <mergeCell ref="L3333:M3333"/>
    <mergeCell ref="C3333:F3333"/>
    <mergeCell ref="C3334:F3334"/>
    <mergeCell ref="G3334:H3334"/>
    <mergeCell ref="I3334:J3334"/>
    <mergeCell ref="C3335:F3335"/>
    <mergeCell ref="G3335:H3335"/>
    <mergeCell ref="I3335:J3335"/>
    <mergeCell ref="C3328:N3330"/>
    <mergeCell ref="C3331:F3331"/>
    <mergeCell ref="G3331:H3331"/>
    <mergeCell ref="L3095:M3095"/>
    <mergeCell ref="C3095:I3095"/>
    <mergeCell ref="C3096:I3096"/>
    <mergeCell ref="L3096:M3096"/>
    <mergeCell ref="C3097:I3097"/>
    <mergeCell ref="L3097:M3097"/>
    <mergeCell ref="C3098:M3098"/>
    <mergeCell ref="C3099:N3101"/>
    <mergeCell ref="L3314:N3314"/>
    <mergeCell ref="E3315:K3317"/>
    <mergeCell ref="L3315:L3316"/>
    <mergeCell ref="M3315:M3316"/>
    <mergeCell ref="N3315:N3316"/>
    <mergeCell ref="L3317:N3317"/>
    <mergeCell ref="M3319:M3320"/>
    <mergeCell ref="N3319:N3320"/>
    <mergeCell ref="C3297:M3297"/>
    <mergeCell ref="C3299:M3299"/>
    <mergeCell ref="J3304:N3305"/>
    <mergeCell ref="C3305:E3305"/>
    <mergeCell ref="C3312:D3320"/>
    <mergeCell ref="L3312:M3313"/>
    <mergeCell ref="N3312:N3313"/>
    <mergeCell ref="C3271:H3271"/>
    <mergeCell ref="L3271:M3271"/>
    <mergeCell ref="C3272:H3272"/>
    <mergeCell ref="L3272:M3272"/>
    <mergeCell ref="C3273:H3273"/>
    <mergeCell ref="L3273:M3273"/>
    <mergeCell ref="L3274:M3274"/>
    <mergeCell ref="C3274:H3274"/>
    <mergeCell ref="C3275:H3275"/>
    <mergeCell ref="G3084:H3084"/>
    <mergeCell ref="I3084:J3084"/>
    <mergeCell ref="L3084:M3084"/>
    <mergeCell ref="L3090:M3090"/>
    <mergeCell ref="L3091:M3091"/>
    <mergeCell ref="C3084:F3084"/>
    <mergeCell ref="C3085:M3085"/>
    <mergeCell ref="C3086:N3088"/>
    <mergeCell ref="C3089:I3089"/>
    <mergeCell ref="L3089:M3089"/>
    <mergeCell ref="C3090:I3090"/>
    <mergeCell ref="C3091:I3091"/>
    <mergeCell ref="C3092:I3092"/>
    <mergeCell ref="L3092:M3092"/>
    <mergeCell ref="C3093:I3093"/>
    <mergeCell ref="L3093:M3093"/>
    <mergeCell ref="C3094:I3094"/>
    <mergeCell ref="L3094:M3094"/>
    <mergeCell ref="L3081:M3081"/>
    <mergeCell ref="L3082:M3082"/>
    <mergeCell ref="C3079:F3079"/>
    <mergeCell ref="G3079:H3079"/>
    <mergeCell ref="I3079:J3079"/>
    <mergeCell ref="L3079:M3079"/>
    <mergeCell ref="G3080:H3080"/>
    <mergeCell ref="I3080:J3080"/>
    <mergeCell ref="L3080:M3080"/>
    <mergeCell ref="C3080:F3080"/>
    <mergeCell ref="C3081:F3081"/>
    <mergeCell ref="G3081:H3081"/>
    <mergeCell ref="I3081:J3081"/>
    <mergeCell ref="C3082:F3082"/>
    <mergeCell ref="G3082:H3082"/>
    <mergeCell ref="I3082:J3082"/>
    <mergeCell ref="C3083:F3083"/>
    <mergeCell ref="G3083:H3083"/>
    <mergeCell ref="I3083:J3083"/>
    <mergeCell ref="L3083:M3083"/>
    <mergeCell ref="C3075:N3077"/>
    <mergeCell ref="C3078:F3078"/>
    <mergeCell ref="G3078:H3078"/>
    <mergeCell ref="I3078:J3078"/>
    <mergeCell ref="L3078:M3078"/>
    <mergeCell ref="C3018:H3018"/>
    <mergeCell ref="L3018:M3018"/>
    <mergeCell ref="C3019:H3019"/>
    <mergeCell ref="L3019:M3019"/>
    <mergeCell ref="C3020:H3020"/>
    <mergeCell ref="L3020:M3020"/>
    <mergeCell ref="L3021:M3021"/>
    <mergeCell ref="C3021:H3021"/>
    <mergeCell ref="C3022:H3022"/>
    <mergeCell ref="L3022:M3022"/>
    <mergeCell ref="C3023:H3023"/>
    <mergeCell ref="L3023:M3023"/>
    <mergeCell ref="C3024:M3024"/>
    <mergeCell ref="C3025:N3027"/>
    <mergeCell ref="C3028:H3028"/>
    <mergeCell ref="L3028:M3028"/>
    <mergeCell ref="C3029:H3029"/>
    <mergeCell ref="L3029:M3029"/>
    <mergeCell ref="C3030:H3030"/>
    <mergeCell ref="L3030:M3030"/>
    <mergeCell ref="L3031:M3031"/>
    <mergeCell ref="C3031:H3031"/>
    <mergeCell ref="C3032:H3032"/>
    <mergeCell ref="L3032:M3032"/>
    <mergeCell ref="C3033:H3033"/>
    <mergeCell ref="L3033:M3033"/>
    <mergeCell ref="C3034:M3034"/>
    <mergeCell ref="M3066:M3067"/>
    <mergeCell ref="N3066:N3067"/>
    <mergeCell ref="C3044:M3044"/>
    <mergeCell ref="C3046:M3046"/>
    <mergeCell ref="J3051:N3052"/>
    <mergeCell ref="C3052:E3052"/>
    <mergeCell ref="C3059:D3067"/>
    <mergeCell ref="L3059:M3060"/>
    <mergeCell ref="N3059:N3060"/>
    <mergeCell ref="E3066:K3067"/>
    <mergeCell ref="L3066:L3067"/>
    <mergeCell ref="D3069:L3069"/>
    <mergeCell ref="D3070:L3070"/>
    <mergeCell ref="C3071:N3071"/>
    <mergeCell ref="D3073:K3073"/>
    <mergeCell ref="L3073:M3073"/>
    <mergeCell ref="D3074:K3074"/>
    <mergeCell ref="L3074:M3074"/>
    <mergeCell ref="E3059:K3060"/>
    <mergeCell ref="E3061:K3061"/>
    <mergeCell ref="C3008:I3008"/>
    <mergeCell ref="L3008:M3008"/>
    <mergeCell ref="C3009:I3009"/>
    <mergeCell ref="L3009:M3009"/>
    <mergeCell ref="C3010:I3010"/>
    <mergeCell ref="L3010:M3010"/>
    <mergeCell ref="L3011:M3011"/>
    <mergeCell ref="C3011:I3011"/>
    <mergeCell ref="C3012:I3012"/>
    <mergeCell ref="L3012:M3012"/>
    <mergeCell ref="C3013:I3013"/>
    <mergeCell ref="L3013:M3013"/>
    <mergeCell ref="C3014:M3014"/>
    <mergeCell ref="C3015:N3017"/>
    <mergeCell ref="L3061:N3061"/>
    <mergeCell ref="E3062:K3064"/>
    <mergeCell ref="L3062:L3063"/>
    <mergeCell ref="M3062:M3063"/>
    <mergeCell ref="N3062:N3063"/>
    <mergeCell ref="L3064:N3064"/>
    <mergeCell ref="C3036:M3036"/>
    <mergeCell ref="C3037:N3039"/>
    <mergeCell ref="C3040:H3040"/>
    <mergeCell ref="L3040:M3040"/>
    <mergeCell ref="C3041:H3041"/>
    <mergeCell ref="L3041:M3041"/>
    <mergeCell ref="L3042:M3042"/>
    <mergeCell ref="L3043:M3043"/>
    <mergeCell ref="E2978:K2980"/>
    <mergeCell ref="L2978:L2979"/>
    <mergeCell ref="M2978:M2979"/>
    <mergeCell ref="N2978:N2979"/>
    <mergeCell ref="L2980:N2980"/>
    <mergeCell ref="M2982:M2983"/>
    <mergeCell ref="D2985:L2985"/>
    <mergeCell ref="D2986:L2986"/>
    <mergeCell ref="C2999:F2999"/>
    <mergeCell ref="G2999:H2999"/>
    <mergeCell ref="I2999:J2999"/>
    <mergeCell ref="L2999:M2999"/>
    <mergeCell ref="G3000:H3000"/>
    <mergeCell ref="I3000:J3000"/>
    <mergeCell ref="L3000:M3000"/>
    <mergeCell ref="L3006:M3006"/>
    <mergeCell ref="L3007:M3007"/>
    <mergeCell ref="C3000:F3000"/>
    <mergeCell ref="C3001:M3001"/>
    <mergeCell ref="C3002:N3004"/>
    <mergeCell ref="C3005:I3005"/>
    <mergeCell ref="L3005:M3005"/>
    <mergeCell ref="C3006:I3006"/>
    <mergeCell ref="C3007:I3007"/>
    <mergeCell ref="L2997:M2997"/>
    <mergeCell ref="L2998:M2998"/>
    <mergeCell ref="C2995:F2995"/>
    <mergeCell ref="G2995:H2995"/>
    <mergeCell ref="I2995:J2995"/>
    <mergeCell ref="L2995:M2995"/>
    <mergeCell ref="G2996:H2996"/>
    <mergeCell ref="I2996:J2996"/>
    <mergeCell ref="L2996:M2996"/>
    <mergeCell ref="C2996:F2996"/>
    <mergeCell ref="C2997:F2997"/>
    <mergeCell ref="G2997:H2997"/>
    <mergeCell ref="I2997:J2997"/>
    <mergeCell ref="C2998:F2998"/>
    <mergeCell ref="G2998:H2998"/>
    <mergeCell ref="I2998:J2998"/>
    <mergeCell ref="C2991:N2993"/>
    <mergeCell ref="C2994:F2994"/>
    <mergeCell ref="G2994:H2994"/>
    <mergeCell ref="I2994:J2994"/>
    <mergeCell ref="L2994:M2994"/>
    <mergeCell ref="L2947:M2947"/>
    <mergeCell ref="C2947:H2947"/>
    <mergeCell ref="C2948:H2948"/>
    <mergeCell ref="L2948:M2948"/>
    <mergeCell ref="C2949:H2949"/>
    <mergeCell ref="L2949:M2949"/>
    <mergeCell ref="C2950:M2950"/>
    <mergeCell ref="C2952:M2952"/>
    <mergeCell ref="C2953:N2955"/>
    <mergeCell ref="C2956:H2956"/>
    <mergeCell ref="L2956:M2956"/>
    <mergeCell ref="C2957:H2957"/>
    <mergeCell ref="L2957:M2957"/>
    <mergeCell ref="L2958:M2958"/>
    <mergeCell ref="L2959:M2959"/>
    <mergeCell ref="E2975:K2976"/>
    <mergeCell ref="E2977:K2977"/>
    <mergeCell ref="L2977:N2977"/>
    <mergeCell ref="C2925:I2925"/>
    <mergeCell ref="L2925:M2925"/>
    <mergeCell ref="C2926:I2926"/>
    <mergeCell ref="L2926:M2926"/>
    <mergeCell ref="L2927:M2927"/>
    <mergeCell ref="C2927:I2927"/>
    <mergeCell ref="C2928:I2928"/>
    <mergeCell ref="L2928:M2928"/>
    <mergeCell ref="C2929:I2929"/>
    <mergeCell ref="L2929:M2929"/>
    <mergeCell ref="C2930:M2930"/>
    <mergeCell ref="C2931:N2933"/>
    <mergeCell ref="C2924:I2924"/>
    <mergeCell ref="L2924:M2924"/>
    <mergeCell ref="L2944:M2944"/>
    <mergeCell ref="C2945:H2945"/>
    <mergeCell ref="L2945:M2945"/>
    <mergeCell ref="C2987:N2987"/>
    <mergeCell ref="D2989:K2989"/>
    <mergeCell ref="L2989:M2989"/>
    <mergeCell ref="D2990:K2990"/>
    <mergeCell ref="L2990:M2990"/>
    <mergeCell ref="C2934:H2934"/>
    <mergeCell ref="L2934:M2934"/>
    <mergeCell ref="C2935:H2935"/>
    <mergeCell ref="L2935:M2935"/>
    <mergeCell ref="C2936:H2936"/>
    <mergeCell ref="L2936:M2936"/>
    <mergeCell ref="L2937:M2937"/>
    <mergeCell ref="C2937:H2937"/>
    <mergeCell ref="C2938:H2938"/>
    <mergeCell ref="L2938:M2938"/>
    <mergeCell ref="C2939:H2939"/>
    <mergeCell ref="L2939:M2939"/>
    <mergeCell ref="C2940:M2940"/>
    <mergeCell ref="C2941:N2943"/>
    <mergeCell ref="C2944:H2944"/>
    <mergeCell ref="N2982:N2983"/>
    <mergeCell ref="C2960:M2960"/>
    <mergeCell ref="C2962:M2962"/>
    <mergeCell ref="J2967:N2968"/>
    <mergeCell ref="C2968:E2968"/>
    <mergeCell ref="C2975:D2983"/>
    <mergeCell ref="L2975:M2976"/>
    <mergeCell ref="N2975:N2976"/>
    <mergeCell ref="E2982:K2983"/>
    <mergeCell ref="L2982:L2983"/>
    <mergeCell ref="C2946:H2946"/>
    <mergeCell ref="L2946:M2946"/>
    <mergeCell ref="C2841:I2841"/>
    <mergeCell ref="L2841:M2841"/>
    <mergeCell ref="C2842:I2842"/>
    <mergeCell ref="L2842:M2842"/>
    <mergeCell ref="L2843:M2843"/>
    <mergeCell ref="C2843:I2843"/>
    <mergeCell ref="C2844:I2844"/>
    <mergeCell ref="L2844:M2844"/>
    <mergeCell ref="C2845:I2845"/>
    <mergeCell ref="L2845:M2845"/>
    <mergeCell ref="C2846:M2846"/>
    <mergeCell ref="C2847:N2849"/>
    <mergeCell ref="L2893:N2893"/>
    <mergeCell ref="E2894:K2896"/>
    <mergeCell ref="L2894:L2895"/>
    <mergeCell ref="M2894:M2895"/>
    <mergeCell ref="N2894:N2895"/>
    <mergeCell ref="L2896:N2896"/>
    <mergeCell ref="C2876:M2876"/>
    <mergeCell ref="C2878:M2878"/>
    <mergeCell ref="J2883:N2884"/>
    <mergeCell ref="C2884:E2884"/>
    <mergeCell ref="C2891:D2899"/>
    <mergeCell ref="L2891:M2892"/>
    <mergeCell ref="N2891:N2892"/>
    <mergeCell ref="E2898:K2899"/>
    <mergeCell ref="L2898:L2899"/>
    <mergeCell ref="C2855:H2855"/>
    <mergeCell ref="L2855:M2855"/>
    <mergeCell ref="C2856:M2856"/>
    <mergeCell ref="C2857:N2859"/>
    <mergeCell ref="C2860:H2860"/>
    <mergeCell ref="C2831:F2831"/>
    <mergeCell ref="G2831:H2831"/>
    <mergeCell ref="I2831:J2831"/>
    <mergeCell ref="L2831:M2831"/>
    <mergeCell ref="G2832:H2832"/>
    <mergeCell ref="I2832:J2832"/>
    <mergeCell ref="L2832:M2832"/>
    <mergeCell ref="L2838:M2838"/>
    <mergeCell ref="L2839:M2839"/>
    <mergeCell ref="C2832:F2832"/>
    <mergeCell ref="C2833:M2833"/>
    <mergeCell ref="C2834:N2836"/>
    <mergeCell ref="C2837:I2837"/>
    <mergeCell ref="L2837:M2837"/>
    <mergeCell ref="C2838:I2838"/>
    <mergeCell ref="C2839:I2839"/>
    <mergeCell ref="C2840:I2840"/>
    <mergeCell ref="L2840:M2840"/>
    <mergeCell ref="C2780:H2780"/>
    <mergeCell ref="L2780:M2780"/>
    <mergeCell ref="C2781:H2781"/>
    <mergeCell ref="L2781:M2781"/>
    <mergeCell ref="C2782:M2782"/>
    <mergeCell ref="C2784:M2784"/>
    <mergeCell ref="C2785:N2787"/>
    <mergeCell ref="C2788:H2788"/>
    <mergeCell ref="L2788:M2788"/>
    <mergeCell ref="C2789:H2789"/>
    <mergeCell ref="L2789:M2789"/>
    <mergeCell ref="L2790:M2790"/>
    <mergeCell ref="L2791:M2791"/>
    <mergeCell ref="E2807:K2808"/>
    <mergeCell ref="E2809:K2809"/>
    <mergeCell ref="L2829:M2829"/>
    <mergeCell ref="L2830:M2830"/>
    <mergeCell ref="C2827:F2827"/>
    <mergeCell ref="G2827:H2827"/>
    <mergeCell ref="I2827:J2827"/>
    <mergeCell ref="L2827:M2827"/>
    <mergeCell ref="G2828:H2828"/>
    <mergeCell ref="I2828:J2828"/>
    <mergeCell ref="L2828:M2828"/>
    <mergeCell ref="C2828:F2828"/>
    <mergeCell ref="C2829:F2829"/>
    <mergeCell ref="G2829:H2829"/>
    <mergeCell ref="I2829:J2829"/>
    <mergeCell ref="C2830:F2830"/>
    <mergeCell ref="G2830:H2830"/>
    <mergeCell ref="I2830:J2830"/>
    <mergeCell ref="L2809:N2809"/>
    <mergeCell ref="L2768:M2768"/>
    <mergeCell ref="L2769:M2769"/>
    <mergeCell ref="C2769:H2769"/>
    <mergeCell ref="C2770:H2770"/>
    <mergeCell ref="L2770:M2770"/>
    <mergeCell ref="C2771:H2771"/>
    <mergeCell ref="L2771:M2771"/>
    <mergeCell ref="C2772:M2772"/>
    <mergeCell ref="C2773:N2775"/>
    <mergeCell ref="C2776:H2776"/>
    <mergeCell ref="L2776:M2776"/>
    <mergeCell ref="C2777:H2777"/>
    <mergeCell ref="L2777:M2777"/>
    <mergeCell ref="C2778:H2778"/>
    <mergeCell ref="L2778:M2778"/>
    <mergeCell ref="L2779:M2779"/>
    <mergeCell ref="C2779:H2779"/>
    <mergeCell ref="E2810:K2812"/>
    <mergeCell ref="L2810:L2811"/>
    <mergeCell ref="M2810:M2811"/>
    <mergeCell ref="N2810:N2811"/>
    <mergeCell ref="L2812:N2812"/>
    <mergeCell ref="M2814:M2815"/>
    <mergeCell ref="N2814:N2815"/>
    <mergeCell ref="C2807:D2815"/>
    <mergeCell ref="L2807:M2808"/>
    <mergeCell ref="N2807:N2808"/>
    <mergeCell ref="E2814:K2815"/>
    <mergeCell ref="L2814:L2815"/>
    <mergeCell ref="D2817:L2817"/>
    <mergeCell ref="D2818:L2818"/>
    <mergeCell ref="C2819:N2819"/>
    <mergeCell ref="D2821:K2821"/>
    <mergeCell ref="L2821:M2821"/>
    <mergeCell ref="C2915:F2915"/>
    <mergeCell ref="G2915:H2915"/>
    <mergeCell ref="I2915:J2915"/>
    <mergeCell ref="L2915:M2915"/>
    <mergeCell ref="G2916:H2916"/>
    <mergeCell ref="I2916:J2916"/>
    <mergeCell ref="L2916:M2916"/>
    <mergeCell ref="L2922:M2922"/>
    <mergeCell ref="L2923:M2923"/>
    <mergeCell ref="C2916:F2916"/>
    <mergeCell ref="C2917:M2917"/>
    <mergeCell ref="C2918:N2920"/>
    <mergeCell ref="C2921:I2921"/>
    <mergeCell ref="L2921:M2921"/>
    <mergeCell ref="C2922:I2922"/>
    <mergeCell ref="C2923:I2923"/>
    <mergeCell ref="C2868:M2868"/>
    <mergeCell ref="C2869:N2871"/>
    <mergeCell ref="C2872:H2872"/>
    <mergeCell ref="L2872:M2872"/>
    <mergeCell ref="C2873:H2873"/>
    <mergeCell ref="L2873:M2873"/>
    <mergeCell ref="L2874:M2874"/>
    <mergeCell ref="L2875:M2875"/>
    <mergeCell ref="E2891:K2892"/>
    <mergeCell ref="E2893:K2893"/>
    <mergeCell ref="L2913:M2913"/>
    <mergeCell ref="L2914:M2914"/>
    <mergeCell ref="C2911:F2911"/>
    <mergeCell ref="G2911:H2911"/>
    <mergeCell ref="L2905:M2905"/>
    <mergeCell ref="D2906:K2906"/>
    <mergeCell ref="I2911:J2911"/>
    <mergeCell ref="L2911:M2911"/>
    <mergeCell ref="G2912:H2912"/>
    <mergeCell ref="I2912:J2912"/>
    <mergeCell ref="L2912:M2912"/>
    <mergeCell ref="C2912:F2912"/>
    <mergeCell ref="C2913:F2913"/>
    <mergeCell ref="G2913:H2913"/>
    <mergeCell ref="I2913:J2913"/>
    <mergeCell ref="C2914:F2914"/>
    <mergeCell ref="G2914:H2914"/>
    <mergeCell ref="I2914:J2914"/>
    <mergeCell ref="M2898:M2899"/>
    <mergeCell ref="N2898:N2899"/>
    <mergeCell ref="D2901:L2901"/>
    <mergeCell ref="D2902:L2902"/>
    <mergeCell ref="C2903:N2903"/>
    <mergeCell ref="D2905:K2905"/>
    <mergeCell ref="L2906:M2906"/>
    <mergeCell ref="C2907:N2909"/>
    <mergeCell ref="C2910:F2910"/>
    <mergeCell ref="G2910:H2910"/>
    <mergeCell ref="I2910:J2910"/>
    <mergeCell ref="L2910:M2910"/>
    <mergeCell ref="L2860:M2860"/>
    <mergeCell ref="C2861:H2861"/>
    <mergeCell ref="L2861:M2861"/>
    <mergeCell ref="C2862:H2862"/>
    <mergeCell ref="L2862:M2862"/>
    <mergeCell ref="L2863:M2863"/>
    <mergeCell ref="C2863:H2863"/>
    <mergeCell ref="C2864:H2864"/>
    <mergeCell ref="L2864:M2864"/>
    <mergeCell ref="C2865:H2865"/>
    <mergeCell ref="L2865:M2865"/>
    <mergeCell ref="C2866:M2866"/>
    <mergeCell ref="L2759:M2759"/>
    <mergeCell ref="C2759:I2759"/>
    <mergeCell ref="C2760:I2760"/>
    <mergeCell ref="L2760:M2760"/>
    <mergeCell ref="C2761:I2761"/>
    <mergeCell ref="L2761:M2761"/>
    <mergeCell ref="C2762:M2762"/>
    <mergeCell ref="C2763:N2765"/>
    <mergeCell ref="C2850:H2850"/>
    <mergeCell ref="L2850:M2850"/>
    <mergeCell ref="C2851:H2851"/>
    <mergeCell ref="L2851:M2851"/>
    <mergeCell ref="C2852:H2852"/>
    <mergeCell ref="L2852:M2852"/>
    <mergeCell ref="L2853:M2853"/>
    <mergeCell ref="C2853:H2853"/>
    <mergeCell ref="C2854:H2854"/>
    <mergeCell ref="L2854:M2854"/>
    <mergeCell ref="C2792:M2792"/>
    <mergeCell ref="C2794:M2794"/>
    <mergeCell ref="J2799:N2800"/>
    <mergeCell ref="C2800:E2800"/>
    <mergeCell ref="C2823:N2825"/>
    <mergeCell ref="C2826:F2826"/>
    <mergeCell ref="G2826:H2826"/>
    <mergeCell ref="I2826:J2826"/>
    <mergeCell ref="L2826:M2826"/>
    <mergeCell ref="C2766:H2766"/>
    <mergeCell ref="L2766:M2766"/>
    <mergeCell ref="C2767:H2767"/>
    <mergeCell ref="L2767:M2767"/>
    <mergeCell ref="C2768:H2768"/>
    <mergeCell ref="G2748:H2748"/>
    <mergeCell ref="I2748:J2748"/>
    <mergeCell ref="L2748:M2748"/>
    <mergeCell ref="L2754:M2754"/>
    <mergeCell ref="L2755:M2755"/>
    <mergeCell ref="C2748:F2748"/>
    <mergeCell ref="C2749:M2749"/>
    <mergeCell ref="C2750:N2752"/>
    <mergeCell ref="C2753:I2753"/>
    <mergeCell ref="L2753:M2753"/>
    <mergeCell ref="C2754:I2754"/>
    <mergeCell ref="C2755:I2755"/>
    <mergeCell ref="C2756:I2756"/>
    <mergeCell ref="L2756:M2756"/>
    <mergeCell ref="C2757:I2757"/>
    <mergeCell ref="L2757:M2757"/>
    <mergeCell ref="C2758:I2758"/>
    <mergeCell ref="L2758:M2758"/>
    <mergeCell ref="D2822:K2822"/>
    <mergeCell ref="L2822:M2822"/>
    <mergeCell ref="L2745:M2745"/>
    <mergeCell ref="L2746:M2746"/>
    <mergeCell ref="C2743:F2743"/>
    <mergeCell ref="G2743:H2743"/>
    <mergeCell ref="I2743:J2743"/>
    <mergeCell ref="L2743:M2743"/>
    <mergeCell ref="G2744:H2744"/>
    <mergeCell ref="I2744:J2744"/>
    <mergeCell ref="L2744:M2744"/>
    <mergeCell ref="C2744:F2744"/>
    <mergeCell ref="C2745:F2745"/>
    <mergeCell ref="G2745:H2745"/>
    <mergeCell ref="I2745:J2745"/>
    <mergeCell ref="C2746:F2746"/>
    <mergeCell ref="G2746:H2746"/>
    <mergeCell ref="I2746:J2746"/>
    <mergeCell ref="C2747:F2747"/>
    <mergeCell ref="G2747:H2747"/>
    <mergeCell ref="I2747:J2747"/>
    <mergeCell ref="L2747:M2747"/>
    <mergeCell ref="C2739:N2741"/>
    <mergeCell ref="C2742:F2742"/>
    <mergeCell ref="G2742:H2742"/>
    <mergeCell ref="I2742:J2742"/>
    <mergeCell ref="L2742:M2742"/>
    <mergeCell ref="C2682:H2682"/>
    <mergeCell ref="L2682:M2682"/>
    <mergeCell ref="C2683:H2683"/>
    <mergeCell ref="L2683:M2683"/>
    <mergeCell ref="C2684:H2684"/>
    <mergeCell ref="L2684:M2684"/>
    <mergeCell ref="L2685:M2685"/>
    <mergeCell ref="C2685:H2685"/>
    <mergeCell ref="C2686:H2686"/>
    <mergeCell ref="L2686:M2686"/>
    <mergeCell ref="C2687:H2687"/>
    <mergeCell ref="L2687:M2687"/>
    <mergeCell ref="C2688:M2688"/>
    <mergeCell ref="C2689:N2691"/>
    <mergeCell ref="C2692:H2692"/>
    <mergeCell ref="L2692:M2692"/>
    <mergeCell ref="C2693:H2693"/>
    <mergeCell ref="L2693:M2693"/>
    <mergeCell ref="C2694:H2694"/>
    <mergeCell ref="L2694:M2694"/>
    <mergeCell ref="L2695:M2695"/>
    <mergeCell ref="C2695:H2695"/>
    <mergeCell ref="C2696:H2696"/>
    <mergeCell ref="L2696:M2696"/>
    <mergeCell ref="C2697:H2697"/>
    <mergeCell ref="L2697:M2697"/>
    <mergeCell ref="C2698:M2698"/>
    <mergeCell ref="M2730:M2731"/>
    <mergeCell ref="N2730:N2731"/>
    <mergeCell ref="C2708:M2708"/>
    <mergeCell ref="C2710:M2710"/>
    <mergeCell ref="J2715:N2716"/>
    <mergeCell ref="C2716:E2716"/>
    <mergeCell ref="C2723:D2731"/>
    <mergeCell ref="L2723:M2724"/>
    <mergeCell ref="N2723:N2724"/>
    <mergeCell ref="E2730:K2731"/>
    <mergeCell ref="L2730:L2731"/>
    <mergeCell ref="D2733:L2733"/>
    <mergeCell ref="D2734:L2734"/>
    <mergeCell ref="C2735:N2735"/>
    <mergeCell ref="D2737:K2737"/>
    <mergeCell ref="L2737:M2737"/>
    <mergeCell ref="D2738:K2738"/>
    <mergeCell ref="L2738:M2738"/>
    <mergeCell ref="E2723:K2724"/>
    <mergeCell ref="E2725:K2725"/>
    <mergeCell ref="C2672:I2672"/>
    <mergeCell ref="L2672:M2672"/>
    <mergeCell ref="C2673:I2673"/>
    <mergeCell ref="L2673:M2673"/>
    <mergeCell ref="C2674:I2674"/>
    <mergeCell ref="L2674:M2674"/>
    <mergeCell ref="L2675:M2675"/>
    <mergeCell ref="C2675:I2675"/>
    <mergeCell ref="C2676:I2676"/>
    <mergeCell ref="L2676:M2676"/>
    <mergeCell ref="C2677:I2677"/>
    <mergeCell ref="L2677:M2677"/>
    <mergeCell ref="C2678:M2678"/>
    <mergeCell ref="C2679:N2681"/>
    <mergeCell ref="L2725:N2725"/>
    <mergeCell ref="E2726:K2728"/>
    <mergeCell ref="L2726:L2727"/>
    <mergeCell ref="M2726:M2727"/>
    <mergeCell ref="N2726:N2727"/>
    <mergeCell ref="L2728:N2728"/>
    <mergeCell ref="C2700:M2700"/>
    <mergeCell ref="C2701:N2703"/>
    <mergeCell ref="C2704:H2704"/>
    <mergeCell ref="L2704:M2704"/>
    <mergeCell ref="C2705:H2705"/>
    <mergeCell ref="L2705:M2705"/>
    <mergeCell ref="L2706:M2706"/>
    <mergeCell ref="L2707:M2707"/>
    <mergeCell ref="L2658:M2658"/>
    <mergeCell ref="L2641:N2641"/>
    <mergeCell ref="E2642:K2644"/>
    <mergeCell ref="L2642:L2643"/>
    <mergeCell ref="M2642:M2643"/>
    <mergeCell ref="N2642:N2643"/>
    <mergeCell ref="L2644:N2644"/>
    <mergeCell ref="M2646:M2647"/>
    <mergeCell ref="C2663:F2663"/>
    <mergeCell ref="G2663:H2663"/>
    <mergeCell ref="I2663:J2663"/>
    <mergeCell ref="L2663:M2663"/>
    <mergeCell ref="G2664:H2664"/>
    <mergeCell ref="I2664:J2664"/>
    <mergeCell ref="L2664:M2664"/>
    <mergeCell ref="L2670:M2670"/>
    <mergeCell ref="L2671:M2671"/>
    <mergeCell ref="C2664:F2664"/>
    <mergeCell ref="C2665:M2665"/>
    <mergeCell ref="C2666:N2668"/>
    <mergeCell ref="C2669:I2669"/>
    <mergeCell ref="L2669:M2669"/>
    <mergeCell ref="C2670:I2670"/>
    <mergeCell ref="C2671:I2671"/>
    <mergeCell ref="E2646:K2647"/>
    <mergeCell ref="L2646:L2647"/>
    <mergeCell ref="L2612:M2612"/>
    <mergeCell ref="C2613:M2613"/>
    <mergeCell ref="C2615:M2615"/>
    <mergeCell ref="C2616:N2618"/>
    <mergeCell ref="C2619:H2619"/>
    <mergeCell ref="L2619:M2619"/>
    <mergeCell ref="C2620:H2620"/>
    <mergeCell ref="L2620:M2620"/>
    <mergeCell ref="L2621:M2621"/>
    <mergeCell ref="L2622:M2622"/>
    <mergeCell ref="E2639:K2640"/>
    <mergeCell ref="E2641:K2641"/>
    <mergeCell ref="L2661:M2661"/>
    <mergeCell ref="L2662:M2662"/>
    <mergeCell ref="C2659:F2659"/>
    <mergeCell ref="G2659:H2659"/>
    <mergeCell ref="I2659:J2659"/>
    <mergeCell ref="L2659:M2659"/>
    <mergeCell ref="G2660:H2660"/>
    <mergeCell ref="I2660:J2660"/>
    <mergeCell ref="L2660:M2660"/>
    <mergeCell ref="C2660:F2660"/>
    <mergeCell ref="C2661:F2661"/>
    <mergeCell ref="G2661:H2661"/>
    <mergeCell ref="I2661:J2661"/>
    <mergeCell ref="C2662:F2662"/>
    <mergeCell ref="G2662:H2662"/>
    <mergeCell ref="I2662:J2662"/>
    <mergeCell ref="C2655:N2657"/>
    <mergeCell ref="C2658:F2658"/>
    <mergeCell ref="G2658:H2658"/>
    <mergeCell ref="I2658:J2658"/>
    <mergeCell ref="L2586:M2586"/>
    <mergeCell ref="L2587:M2587"/>
    <mergeCell ref="C2587:I2587"/>
    <mergeCell ref="C2588:I2588"/>
    <mergeCell ref="L2588:M2588"/>
    <mergeCell ref="C2592:I2592"/>
    <mergeCell ref="L2592:M2592"/>
    <mergeCell ref="C2593:M2593"/>
    <mergeCell ref="C2594:N2596"/>
    <mergeCell ref="L2582:M2582"/>
    <mergeCell ref="L2583:M2583"/>
    <mergeCell ref="L2607:M2607"/>
    <mergeCell ref="C2608:H2608"/>
    <mergeCell ref="L2608:M2608"/>
    <mergeCell ref="C2609:H2609"/>
    <mergeCell ref="L2609:M2609"/>
    <mergeCell ref="L2610:M2610"/>
    <mergeCell ref="C2610:H2610"/>
    <mergeCell ref="C2611:H2611"/>
    <mergeCell ref="D2649:L2649"/>
    <mergeCell ref="D2650:L2650"/>
    <mergeCell ref="C2651:N2651"/>
    <mergeCell ref="D2653:K2653"/>
    <mergeCell ref="L2653:M2653"/>
    <mergeCell ref="D2654:K2654"/>
    <mergeCell ref="L2654:M2654"/>
    <mergeCell ref="C2597:H2597"/>
    <mergeCell ref="L2597:M2597"/>
    <mergeCell ref="C2598:H2598"/>
    <mergeCell ref="L2598:M2598"/>
    <mergeCell ref="C2599:H2599"/>
    <mergeCell ref="L2599:M2599"/>
    <mergeCell ref="L2600:M2600"/>
    <mergeCell ref="C2600:H2600"/>
    <mergeCell ref="C2601:H2601"/>
    <mergeCell ref="L2601:M2601"/>
    <mergeCell ref="C2602:H2602"/>
    <mergeCell ref="L2602:M2602"/>
    <mergeCell ref="C2603:M2603"/>
    <mergeCell ref="C2604:N2606"/>
    <mergeCell ref="C2607:H2607"/>
    <mergeCell ref="N2646:N2647"/>
    <mergeCell ref="C2623:M2623"/>
    <mergeCell ref="C2625:M2625"/>
    <mergeCell ref="J2630:N2631"/>
    <mergeCell ref="C2631:E2631"/>
    <mergeCell ref="C2639:D2647"/>
    <mergeCell ref="L2639:M2640"/>
    <mergeCell ref="N2639:N2640"/>
    <mergeCell ref="L2611:M2611"/>
    <mergeCell ref="C2612:H2612"/>
    <mergeCell ref="C2500:I2500"/>
    <mergeCell ref="L2500:M2500"/>
    <mergeCell ref="C2501:I2501"/>
    <mergeCell ref="L2501:M2501"/>
    <mergeCell ref="C2502:I2502"/>
    <mergeCell ref="L2502:M2502"/>
    <mergeCell ref="L2503:M2503"/>
    <mergeCell ref="C2503:I2503"/>
    <mergeCell ref="C2504:I2504"/>
    <mergeCell ref="L2504:M2504"/>
    <mergeCell ref="C2505:I2505"/>
    <mergeCell ref="L2505:M2505"/>
    <mergeCell ref="C2506:M2506"/>
    <mergeCell ref="C2507:N2509"/>
    <mergeCell ref="L2553:N2553"/>
    <mergeCell ref="E2554:K2556"/>
    <mergeCell ref="L2554:L2555"/>
    <mergeCell ref="M2554:M2555"/>
    <mergeCell ref="N2554:N2555"/>
    <mergeCell ref="L2556:N2556"/>
    <mergeCell ref="C2536:M2536"/>
    <mergeCell ref="C2538:M2538"/>
    <mergeCell ref="J2543:N2544"/>
    <mergeCell ref="C2544:E2544"/>
    <mergeCell ref="C2551:D2559"/>
    <mergeCell ref="L2551:M2552"/>
    <mergeCell ref="N2551:N2552"/>
    <mergeCell ref="E2558:K2559"/>
    <mergeCell ref="L2558:L2559"/>
    <mergeCell ref="N2558:N2559"/>
    <mergeCell ref="C2577:M2577"/>
    <mergeCell ref="C2490:F2490"/>
    <mergeCell ref="G2490:H2490"/>
    <mergeCell ref="I2490:J2490"/>
    <mergeCell ref="C2491:F2491"/>
    <mergeCell ref="G2491:H2491"/>
    <mergeCell ref="I2491:J2491"/>
    <mergeCell ref="L2491:M2491"/>
    <mergeCell ref="G2492:H2492"/>
    <mergeCell ref="I2492:J2492"/>
    <mergeCell ref="L2492:M2492"/>
    <mergeCell ref="L2498:M2498"/>
    <mergeCell ref="L2499:M2499"/>
    <mergeCell ref="C2492:F2492"/>
    <mergeCell ref="C2493:M2493"/>
    <mergeCell ref="C2494:N2496"/>
    <mergeCell ref="C2497:I2497"/>
    <mergeCell ref="L2497:M2497"/>
    <mergeCell ref="C2498:I2498"/>
    <mergeCell ref="C2499:I2499"/>
    <mergeCell ref="C2438:H2438"/>
    <mergeCell ref="L2438:M2438"/>
    <mergeCell ref="L2439:M2439"/>
    <mergeCell ref="C2439:H2439"/>
    <mergeCell ref="C2440:H2440"/>
    <mergeCell ref="L2440:M2440"/>
    <mergeCell ref="C2441:H2441"/>
    <mergeCell ref="L2441:M2441"/>
    <mergeCell ref="C2442:M2442"/>
    <mergeCell ref="C2444:M2444"/>
    <mergeCell ref="C2445:N2447"/>
    <mergeCell ref="C2448:H2448"/>
    <mergeCell ref="L2448:M2448"/>
    <mergeCell ref="C2449:H2449"/>
    <mergeCell ref="L2449:M2449"/>
    <mergeCell ref="L2450:M2450"/>
    <mergeCell ref="L2451:M2451"/>
    <mergeCell ref="C2426:H2426"/>
    <mergeCell ref="L2426:M2426"/>
    <mergeCell ref="C2427:H2427"/>
    <mergeCell ref="L2427:M2427"/>
    <mergeCell ref="C2428:H2428"/>
    <mergeCell ref="L2428:M2428"/>
    <mergeCell ref="L2429:M2429"/>
    <mergeCell ref="C2429:H2429"/>
    <mergeCell ref="C2430:H2430"/>
    <mergeCell ref="L2430:M2430"/>
    <mergeCell ref="C2431:H2431"/>
    <mergeCell ref="L2431:M2431"/>
    <mergeCell ref="C2432:M2432"/>
    <mergeCell ref="C2433:N2435"/>
    <mergeCell ref="C2436:H2436"/>
    <mergeCell ref="L2436:M2436"/>
    <mergeCell ref="C2437:H2437"/>
    <mergeCell ref="L2437:M2437"/>
    <mergeCell ref="C2452:M2452"/>
    <mergeCell ref="C2454:M2454"/>
    <mergeCell ref="J2459:N2460"/>
    <mergeCell ref="C2460:E2460"/>
    <mergeCell ref="C2467:D2475"/>
    <mergeCell ref="L2467:M2468"/>
    <mergeCell ref="N2467:N2468"/>
    <mergeCell ref="E2474:K2475"/>
    <mergeCell ref="L2474:L2475"/>
    <mergeCell ref="D2477:L2477"/>
    <mergeCell ref="D2478:L2478"/>
    <mergeCell ref="C2479:N2479"/>
    <mergeCell ref="D2481:K2481"/>
    <mergeCell ref="L2481:M2481"/>
    <mergeCell ref="D2482:K2482"/>
    <mergeCell ref="L2482:M2482"/>
    <mergeCell ref="C2483:N2485"/>
    <mergeCell ref="E2467:K2468"/>
    <mergeCell ref="E2469:K2469"/>
    <mergeCell ref="L2469:N2469"/>
    <mergeCell ref="E2470:K2472"/>
    <mergeCell ref="L2470:L2471"/>
    <mergeCell ref="M2470:M2471"/>
    <mergeCell ref="N2470:N2471"/>
    <mergeCell ref="L2472:N2472"/>
    <mergeCell ref="M2474:M2475"/>
    <mergeCell ref="N2474:N2475"/>
    <mergeCell ref="C2486:F2486"/>
    <mergeCell ref="G2486:H2486"/>
    <mergeCell ref="I2486:J2486"/>
    <mergeCell ref="L2486:M2486"/>
    <mergeCell ref="L2489:M2489"/>
    <mergeCell ref="L2490:M2490"/>
    <mergeCell ref="C2487:F2487"/>
    <mergeCell ref="G2487:H2487"/>
    <mergeCell ref="I2487:J2487"/>
    <mergeCell ref="L2487:M2487"/>
    <mergeCell ref="G2488:H2488"/>
    <mergeCell ref="I2488:J2488"/>
    <mergeCell ref="C2575:F2575"/>
    <mergeCell ref="G2575:H2575"/>
    <mergeCell ref="I2575:J2575"/>
    <mergeCell ref="L2575:M2575"/>
    <mergeCell ref="G2576:H2576"/>
    <mergeCell ref="I2576:J2576"/>
    <mergeCell ref="L2576:M2576"/>
    <mergeCell ref="C2576:F2576"/>
    <mergeCell ref="G2574:H2574"/>
    <mergeCell ref="I2574:J2574"/>
    <mergeCell ref="M2558:M2559"/>
    <mergeCell ref="D2561:L2561"/>
    <mergeCell ref="D2562:L2562"/>
    <mergeCell ref="C2563:N2563"/>
    <mergeCell ref="D2565:K2565"/>
    <mergeCell ref="L2488:M2488"/>
    <mergeCell ref="C2488:F2488"/>
    <mergeCell ref="C2489:F2489"/>
    <mergeCell ref="G2489:H2489"/>
    <mergeCell ref="I2489:J2489"/>
    <mergeCell ref="C2578:N2580"/>
    <mergeCell ref="C2581:I2581"/>
    <mergeCell ref="L2581:M2581"/>
    <mergeCell ref="C2582:I2582"/>
    <mergeCell ref="C2583:I2583"/>
    <mergeCell ref="C2584:I2584"/>
    <mergeCell ref="L2584:M2584"/>
    <mergeCell ref="C2528:M2528"/>
    <mergeCell ref="C2529:N2531"/>
    <mergeCell ref="C2532:H2532"/>
    <mergeCell ref="L2532:M2532"/>
    <mergeCell ref="C2533:H2533"/>
    <mergeCell ref="L2533:M2533"/>
    <mergeCell ref="L2534:M2534"/>
    <mergeCell ref="L2535:M2535"/>
    <mergeCell ref="E2551:K2552"/>
    <mergeCell ref="E2553:K2553"/>
    <mergeCell ref="L2573:M2573"/>
    <mergeCell ref="L2574:M2574"/>
    <mergeCell ref="C2571:F2571"/>
    <mergeCell ref="G2571:H2571"/>
    <mergeCell ref="I2571:J2571"/>
    <mergeCell ref="L2571:M2571"/>
    <mergeCell ref="G2572:H2572"/>
    <mergeCell ref="I2572:J2572"/>
    <mergeCell ref="L2572:M2572"/>
    <mergeCell ref="C2572:F2572"/>
    <mergeCell ref="C2573:F2573"/>
    <mergeCell ref="G2573:H2573"/>
    <mergeCell ref="I2573:J2573"/>
    <mergeCell ref="C2574:F2574"/>
    <mergeCell ref="C2567:N2569"/>
    <mergeCell ref="I3331:J3331"/>
    <mergeCell ref="L3331:M3331"/>
    <mergeCell ref="C2510:H2510"/>
    <mergeCell ref="L2510:M2510"/>
    <mergeCell ref="C2511:H2511"/>
    <mergeCell ref="L2511:M2511"/>
    <mergeCell ref="C2512:H2512"/>
    <mergeCell ref="L2512:M2512"/>
    <mergeCell ref="L2513:M2513"/>
    <mergeCell ref="C2513:H2513"/>
    <mergeCell ref="C2514:H2514"/>
    <mergeCell ref="L2514:M2514"/>
    <mergeCell ref="C2515:H2515"/>
    <mergeCell ref="L2515:M2515"/>
    <mergeCell ref="C2516:M2516"/>
    <mergeCell ref="C2517:N2519"/>
    <mergeCell ref="C2520:H2520"/>
    <mergeCell ref="L2520:M2520"/>
    <mergeCell ref="C2521:H2521"/>
    <mergeCell ref="L2521:M2521"/>
    <mergeCell ref="C2522:H2522"/>
    <mergeCell ref="L2522:M2522"/>
    <mergeCell ref="L2523:M2523"/>
    <mergeCell ref="C2523:H2523"/>
    <mergeCell ref="C2524:H2524"/>
    <mergeCell ref="L2524:M2524"/>
    <mergeCell ref="C2525:H2525"/>
    <mergeCell ref="L2525:M2525"/>
    <mergeCell ref="C2526:M2526"/>
    <mergeCell ref="L3242:M3242"/>
    <mergeCell ref="D3243:K3243"/>
    <mergeCell ref="L3243:M3243"/>
    <mergeCell ref="C3244:N3246"/>
    <mergeCell ref="C3247:F3247"/>
    <mergeCell ref="G3247:H3247"/>
    <mergeCell ref="I3247:J3247"/>
    <mergeCell ref="L3247:M3247"/>
    <mergeCell ref="E3319:K3320"/>
    <mergeCell ref="L3319:L3320"/>
    <mergeCell ref="D3322:L3322"/>
    <mergeCell ref="D3323:L3323"/>
    <mergeCell ref="C3324:N3324"/>
    <mergeCell ref="D3326:K3326"/>
    <mergeCell ref="L3326:M3326"/>
    <mergeCell ref="D3327:K3327"/>
    <mergeCell ref="L3327:M3327"/>
    <mergeCell ref="L3275:M3275"/>
    <mergeCell ref="C3276:H3276"/>
    <mergeCell ref="L3276:M3276"/>
    <mergeCell ref="C3277:M3277"/>
    <mergeCell ref="C3278:N3280"/>
    <mergeCell ref="C3281:H3281"/>
    <mergeCell ref="L3281:M3281"/>
    <mergeCell ref="C3282:H3282"/>
    <mergeCell ref="L3282:M3282"/>
    <mergeCell ref="C3283:H3283"/>
    <mergeCell ref="L3283:M3283"/>
    <mergeCell ref="L3284:M3284"/>
    <mergeCell ref="C3284:H3284"/>
    <mergeCell ref="C3285:H3285"/>
    <mergeCell ref="L3285:M3285"/>
    <mergeCell ref="C3262:I3262"/>
    <mergeCell ref="L3262:M3262"/>
    <mergeCell ref="C3263:I3263"/>
    <mergeCell ref="C3178:I3178"/>
    <mergeCell ref="L3178:M3178"/>
    <mergeCell ref="C3179:I3179"/>
    <mergeCell ref="L3179:M3179"/>
    <mergeCell ref="L3180:M3180"/>
    <mergeCell ref="C3180:I3180"/>
    <mergeCell ref="C3181:I3181"/>
    <mergeCell ref="L3181:M3181"/>
    <mergeCell ref="C3182:I3182"/>
    <mergeCell ref="L3182:M3182"/>
    <mergeCell ref="C3183:M3183"/>
    <mergeCell ref="C3184:N3186"/>
    <mergeCell ref="L3230:N3230"/>
    <mergeCell ref="E3231:K3233"/>
    <mergeCell ref="L3231:L3232"/>
    <mergeCell ref="M3231:M3232"/>
    <mergeCell ref="N3231:N3232"/>
    <mergeCell ref="L3233:N3233"/>
    <mergeCell ref="C3213:M3213"/>
    <mergeCell ref="C3215:M3215"/>
    <mergeCell ref="J3220:N3221"/>
    <mergeCell ref="C3221:E3221"/>
    <mergeCell ref="C3228:D3236"/>
    <mergeCell ref="L3228:M3229"/>
    <mergeCell ref="N3228:N3229"/>
    <mergeCell ref="E3235:K3236"/>
    <mergeCell ref="L3235:L3236"/>
    <mergeCell ref="C3168:F3168"/>
    <mergeCell ref="G3168:H3168"/>
    <mergeCell ref="I3168:J3168"/>
    <mergeCell ref="L3168:M3168"/>
    <mergeCell ref="G3169:H3169"/>
    <mergeCell ref="I3169:J3169"/>
    <mergeCell ref="L3169:M3169"/>
    <mergeCell ref="L3175:M3175"/>
    <mergeCell ref="L3176:M3176"/>
    <mergeCell ref="C3169:F3169"/>
    <mergeCell ref="C3170:M3170"/>
    <mergeCell ref="C3171:N3173"/>
    <mergeCell ref="C3174:I3174"/>
    <mergeCell ref="L3174:M3174"/>
    <mergeCell ref="C3175:I3175"/>
    <mergeCell ref="C3176:I3176"/>
    <mergeCell ref="C3177:I3177"/>
    <mergeCell ref="L3177:M3177"/>
    <mergeCell ref="C3116:H3116"/>
    <mergeCell ref="L3116:M3116"/>
    <mergeCell ref="C3117:H3117"/>
    <mergeCell ref="L3117:M3117"/>
    <mergeCell ref="C3118:M3118"/>
    <mergeCell ref="C3120:M3120"/>
    <mergeCell ref="C3121:N3123"/>
    <mergeCell ref="C3124:H3124"/>
    <mergeCell ref="L3124:M3124"/>
    <mergeCell ref="C3125:H3125"/>
    <mergeCell ref="L3125:M3125"/>
    <mergeCell ref="L3126:M3126"/>
    <mergeCell ref="L3127:M3127"/>
    <mergeCell ref="E3144:K3145"/>
    <mergeCell ref="E3146:K3146"/>
    <mergeCell ref="L3166:M3166"/>
    <mergeCell ref="L3167:M3167"/>
    <mergeCell ref="C3164:F3164"/>
    <mergeCell ref="G3164:H3164"/>
    <mergeCell ref="I3164:J3164"/>
    <mergeCell ref="L3164:M3164"/>
    <mergeCell ref="G3165:H3165"/>
    <mergeCell ref="I3165:J3165"/>
    <mergeCell ref="L3165:M3165"/>
    <mergeCell ref="C3165:F3165"/>
    <mergeCell ref="C3166:F3166"/>
    <mergeCell ref="G3166:H3166"/>
    <mergeCell ref="I3166:J3166"/>
    <mergeCell ref="C3167:F3167"/>
    <mergeCell ref="G3167:H3167"/>
    <mergeCell ref="I3167:J3167"/>
    <mergeCell ref="L3104:M3104"/>
    <mergeCell ref="L3105:M3105"/>
    <mergeCell ref="C3105:H3105"/>
    <mergeCell ref="C3106:H3106"/>
    <mergeCell ref="L3106:M3106"/>
    <mergeCell ref="C3107:H3107"/>
    <mergeCell ref="L3107:M3107"/>
    <mergeCell ref="C3108:M3108"/>
    <mergeCell ref="C3109:N3111"/>
    <mergeCell ref="C3112:H3112"/>
    <mergeCell ref="L3112:M3112"/>
    <mergeCell ref="C3113:H3113"/>
    <mergeCell ref="L3113:M3113"/>
    <mergeCell ref="C3114:H3114"/>
    <mergeCell ref="L3114:M3114"/>
    <mergeCell ref="L3115:M3115"/>
    <mergeCell ref="C3115:H3115"/>
    <mergeCell ref="L3263:M3263"/>
    <mergeCell ref="L3264:M3264"/>
    <mergeCell ref="C3264:I3264"/>
    <mergeCell ref="C3265:I3265"/>
    <mergeCell ref="L3265:M3265"/>
    <mergeCell ref="C3266:I3266"/>
    <mergeCell ref="L3266:M3266"/>
    <mergeCell ref="C3267:M3267"/>
    <mergeCell ref="C3268:N3270"/>
    <mergeCell ref="L3146:N3146"/>
    <mergeCell ref="E3147:K3149"/>
    <mergeCell ref="L3147:L3148"/>
    <mergeCell ref="M3147:M3148"/>
    <mergeCell ref="N3147:N3148"/>
    <mergeCell ref="L3149:N3149"/>
    <mergeCell ref="M3151:M3152"/>
    <mergeCell ref="N3151:N3152"/>
    <mergeCell ref="C3144:D3152"/>
    <mergeCell ref="L3144:M3145"/>
    <mergeCell ref="N3144:N3145"/>
    <mergeCell ref="E3151:K3152"/>
    <mergeCell ref="L3151:L3152"/>
    <mergeCell ref="D3154:L3154"/>
    <mergeCell ref="D3155:L3155"/>
    <mergeCell ref="C3156:N3156"/>
    <mergeCell ref="D3158:K3158"/>
    <mergeCell ref="L3158:M3158"/>
    <mergeCell ref="D3159:K3159"/>
    <mergeCell ref="L3159:M3159"/>
    <mergeCell ref="C3252:F3252"/>
    <mergeCell ref="G3252:H3252"/>
    <mergeCell ref="I3252:J3252"/>
    <mergeCell ref="L3252:M3252"/>
    <mergeCell ref="G3253:H3253"/>
    <mergeCell ref="I3253:J3253"/>
    <mergeCell ref="L3253:M3253"/>
    <mergeCell ref="L3259:M3259"/>
    <mergeCell ref="L3260:M3260"/>
    <mergeCell ref="C3253:F3253"/>
    <mergeCell ref="C3254:M3254"/>
    <mergeCell ref="C3255:N3257"/>
    <mergeCell ref="C3258:I3258"/>
    <mergeCell ref="L3258:M3258"/>
    <mergeCell ref="C3259:I3259"/>
    <mergeCell ref="C3260:I3260"/>
    <mergeCell ref="C3261:I3261"/>
    <mergeCell ref="L3261:M3261"/>
    <mergeCell ref="C3205:M3205"/>
    <mergeCell ref="C3206:N3208"/>
    <mergeCell ref="C3209:H3209"/>
    <mergeCell ref="L3209:M3209"/>
    <mergeCell ref="C3210:H3210"/>
    <mergeCell ref="L3210:M3210"/>
    <mergeCell ref="L3211:M3211"/>
    <mergeCell ref="L3212:M3212"/>
    <mergeCell ref="E3228:K3229"/>
    <mergeCell ref="E3230:K3230"/>
    <mergeCell ref="L3250:M3250"/>
    <mergeCell ref="L3251:M3251"/>
    <mergeCell ref="C3248:F3248"/>
    <mergeCell ref="G3248:H3248"/>
    <mergeCell ref="I3248:J3248"/>
    <mergeCell ref="L3248:M3248"/>
    <mergeCell ref="G3249:H3249"/>
    <mergeCell ref="I3249:J3249"/>
    <mergeCell ref="L3249:M3249"/>
    <mergeCell ref="C3249:F3249"/>
    <mergeCell ref="C3250:F3250"/>
    <mergeCell ref="G3250:H3250"/>
    <mergeCell ref="I3250:J3250"/>
    <mergeCell ref="C3251:F3251"/>
    <mergeCell ref="G3251:H3251"/>
    <mergeCell ref="I3251:J3251"/>
    <mergeCell ref="M3235:M3236"/>
    <mergeCell ref="N3235:N3236"/>
    <mergeCell ref="D3238:L3238"/>
    <mergeCell ref="D3239:L3239"/>
    <mergeCell ref="C3240:N3240"/>
    <mergeCell ref="D3242:K3242"/>
    <mergeCell ref="C3192:H3192"/>
    <mergeCell ref="L3192:M3192"/>
    <mergeCell ref="C3193:M3193"/>
    <mergeCell ref="C3194:N3196"/>
    <mergeCell ref="C3197:H3197"/>
    <mergeCell ref="L3197:M3197"/>
    <mergeCell ref="C3198:H3198"/>
    <mergeCell ref="L3198:M3198"/>
    <mergeCell ref="C3199:H3199"/>
    <mergeCell ref="L3199:M3199"/>
    <mergeCell ref="L3200:M3200"/>
    <mergeCell ref="C3200:H3200"/>
    <mergeCell ref="C3201:H3201"/>
    <mergeCell ref="L3201:M3201"/>
    <mergeCell ref="C3202:H3202"/>
    <mergeCell ref="L3202:M3202"/>
    <mergeCell ref="C3203:M3203"/>
    <mergeCell ref="L2419:M2419"/>
    <mergeCell ref="C2419:I2419"/>
    <mergeCell ref="C2420:I2420"/>
    <mergeCell ref="L2420:M2420"/>
    <mergeCell ref="C2421:I2421"/>
    <mergeCell ref="L2421:M2421"/>
    <mergeCell ref="C2422:M2422"/>
    <mergeCell ref="C2423:N2425"/>
    <mergeCell ref="C3187:H3187"/>
    <mergeCell ref="L3187:M3187"/>
    <mergeCell ref="C3188:H3188"/>
    <mergeCell ref="L3188:M3188"/>
    <mergeCell ref="C3189:H3189"/>
    <mergeCell ref="L3189:M3189"/>
    <mergeCell ref="L3190:M3190"/>
    <mergeCell ref="C3190:H3190"/>
    <mergeCell ref="C3191:H3191"/>
    <mergeCell ref="L3191:M3191"/>
    <mergeCell ref="C3128:M3128"/>
    <mergeCell ref="C3130:M3130"/>
    <mergeCell ref="J3135:N3136"/>
    <mergeCell ref="C3136:E3136"/>
    <mergeCell ref="C3160:N3162"/>
    <mergeCell ref="C3163:F3163"/>
    <mergeCell ref="G3163:H3163"/>
    <mergeCell ref="I3163:J3163"/>
    <mergeCell ref="L3163:M3163"/>
    <mergeCell ref="C3102:H3102"/>
    <mergeCell ref="L3102:M3102"/>
    <mergeCell ref="C3103:H3103"/>
    <mergeCell ref="L3103:M3103"/>
    <mergeCell ref="C3104:H3104"/>
    <mergeCell ref="G2408:H2408"/>
    <mergeCell ref="I2408:J2408"/>
    <mergeCell ref="L2408:M2408"/>
    <mergeCell ref="L2414:M2414"/>
    <mergeCell ref="L2415:M2415"/>
    <mergeCell ref="C2408:F2408"/>
    <mergeCell ref="C2409:M2409"/>
    <mergeCell ref="C2410:N2412"/>
    <mergeCell ref="C2413:I2413"/>
    <mergeCell ref="L2413:M2413"/>
    <mergeCell ref="C2414:I2414"/>
    <mergeCell ref="C2415:I2415"/>
    <mergeCell ref="C2416:I2416"/>
    <mergeCell ref="L2416:M2416"/>
    <mergeCell ref="C2417:I2417"/>
    <mergeCell ref="L2417:M2417"/>
    <mergeCell ref="C2418:I2418"/>
    <mergeCell ref="L2418:M2418"/>
    <mergeCell ref="L2405:M2405"/>
    <mergeCell ref="L2406:M2406"/>
    <mergeCell ref="C2403:F2403"/>
    <mergeCell ref="G2403:H2403"/>
    <mergeCell ref="I2403:J2403"/>
    <mergeCell ref="L2403:M2403"/>
    <mergeCell ref="G2404:H2404"/>
    <mergeCell ref="I2404:J2404"/>
    <mergeCell ref="L2404:M2404"/>
    <mergeCell ref="C2404:F2404"/>
    <mergeCell ref="C2405:F2405"/>
    <mergeCell ref="G2405:H2405"/>
    <mergeCell ref="I2405:J2405"/>
    <mergeCell ref="C2406:F2406"/>
    <mergeCell ref="G2406:H2406"/>
    <mergeCell ref="I2406:J2406"/>
    <mergeCell ref="C2407:F2407"/>
    <mergeCell ref="G2407:H2407"/>
    <mergeCell ref="I2407:J2407"/>
    <mergeCell ref="L2407:M2407"/>
    <mergeCell ref="C2399:N2401"/>
    <mergeCell ref="C2402:F2402"/>
    <mergeCell ref="G2402:H2402"/>
    <mergeCell ref="I2402:J2402"/>
    <mergeCell ref="L2402:M2402"/>
    <mergeCell ref="C2342:H2342"/>
    <mergeCell ref="L2342:M2342"/>
    <mergeCell ref="C2343:H2343"/>
    <mergeCell ref="L2343:M2343"/>
    <mergeCell ref="C2344:H2344"/>
    <mergeCell ref="L2344:M2344"/>
    <mergeCell ref="L2345:M2345"/>
    <mergeCell ref="C2345:H2345"/>
    <mergeCell ref="C2346:H2346"/>
    <mergeCell ref="L2346:M2346"/>
    <mergeCell ref="C2347:H2347"/>
    <mergeCell ref="L2347:M2347"/>
    <mergeCell ref="C2348:M2348"/>
    <mergeCell ref="C2349:N2351"/>
    <mergeCell ref="C2352:H2352"/>
    <mergeCell ref="L2352:M2352"/>
    <mergeCell ref="C2353:H2353"/>
    <mergeCell ref="L2353:M2353"/>
    <mergeCell ref="C2354:H2354"/>
    <mergeCell ref="L2354:M2354"/>
    <mergeCell ref="L2355:M2355"/>
    <mergeCell ref="C2355:H2355"/>
    <mergeCell ref="C2356:H2356"/>
    <mergeCell ref="L2356:M2356"/>
    <mergeCell ref="C2357:H2357"/>
    <mergeCell ref="L2357:M2357"/>
    <mergeCell ref="C2358:M2358"/>
    <mergeCell ref="M2390:M2391"/>
    <mergeCell ref="N2390:N2391"/>
    <mergeCell ref="C2368:M2368"/>
    <mergeCell ref="C2370:M2370"/>
    <mergeCell ref="J2375:N2376"/>
    <mergeCell ref="C2376:E2376"/>
    <mergeCell ref="C2383:D2391"/>
    <mergeCell ref="L2383:M2384"/>
    <mergeCell ref="N2383:N2384"/>
    <mergeCell ref="E2390:K2391"/>
    <mergeCell ref="L2390:L2391"/>
    <mergeCell ref="D2393:L2393"/>
    <mergeCell ref="D2394:L2394"/>
    <mergeCell ref="C2395:N2395"/>
    <mergeCell ref="D2397:K2397"/>
    <mergeCell ref="L2397:M2397"/>
    <mergeCell ref="D2398:K2398"/>
    <mergeCell ref="L2398:M2398"/>
    <mergeCell ref="E2383:K2384"/>
    <mergeCell ref="E2385:K2385"/>
    <mergeCell ref="C2333:I2333"/>
    <mergeCell ref="L2333:M2333"/>
    <mergeCell ref="C2334:I2334"/>
    <mergeCell ref="L2334:M2334"/>
    <mergeCell ref="L2335:M2335"/>
    <mergeCell ref="C2335:I2335"/>
    <mergeCell ref="C2336:I2336"/>
    <mergeCell ref="L2336:M2336"/>
    <mergeCell ref="C2337:I2337"/>
    <mergeCell ref="L2337:M2337"/>
    <mergeCell ref="C2338:M2338"/>
    <mergeCell ref="C2339:N2341"/>
    <mergeCell ref="L2385:N2385"/>
    <mergeCell ref="E2386:K2388"/>
    <mergeCell ref="L2386:L2387"/>
    <mergeCell ref="M2386:M2387"/>
    <mergeCell ref="N2386:N2387"/>
    <mergeCell ref="L2388:N2388"/>
    <mergeCell ref="C2360:M2360"/>
    <mergeCell ref="C2361:N2363"/>
    <mergeCell ref="C2364:H2364"/>
    <mergeCell ref="L2364:M2364"/>
    <mergeCell ref="C2365:H2365"/>
    <mergeCell ref="L2365:M2365"/>
    <mergeCell ref="L2366:M2366"/>
    <mergeCell ref="L2367:M2367"/>
    <mergeCell ref="C2323:F2323"/>
    <mergeCell ref="G2323:H2323"/>
    <mergeCell ref="I2323:J2323"/>
    <mergeCell ref="L2323:M2323"/>
    <mergeCell ref="G2324:H2324"/>
    <mergeCell ref="I2324:J2324"/>
    <mergeCell ref="L2324:M2324"/>
    <mergeCell ref="L2330:M2330"/>
    <mergeCell ref="L2331:M2331"/>
    <mergeCell ref="C2324:F2324"/>
    <mergeCell ref="C2325:M2325"/>
    <mergeCell ref="C2326:N2328"/>
    <mergeCell ref="C2329:I2329"/>
    <mergeCell ref="L2329:M2329"/>
    <mergeCell ref="C2330:I2330"/>
    <mergeCell ref="C2331:I2331"/>
    <mergeCell ref="C2332:I2332"/>
    <mergeCell ref="L2332:M2332"/>
    <mergeCell ref="L2321:M2321"/>
    <mergeCell ref="L2322:M2322"/>
    <mergeCell ref="C2319:F2319"/>
    <mergeCell ref="G2319:H2319"/>
    <mergeCell ref="I2319:J2319"/>
    <mergeCell ref="L2319:M2319"/>
    <mergeCell ref="G2320:H2320"/>
    <mergeCell ref="I2320:J2320"/>
    <mergeCell ref="L2320:M2320"/>
    <mergeCell ref="C2320:F2320"/>
    <mergeCell ref="C2321:F2321"/>
    <mergeCell ref="G2321:H2321"/>
    <mergeCell ref="I2321:J2321"/>
    <mergeCell ref="C2322:F2322"/>
    <mergeCell ref="G2322:H2322"/>
    <mergeCell ref="I2322:J2322"/>
    <mergeCell ref="D2309:L2309"/>
    <mergeCell ref="D2310:L2310"/>
    <mergeCell ref="C2311:N2311"/>
    <mergeCell ref="D2313:K2313"/>
    <mergeCell ref="L2313:M2313"/>
    <mergeCell ref="L1995:M1995"/>
    <mergeCell ref="C1995:I1995"/>
    <mergeCell ref="C1996:I1996"/>
    <mergeCell ref="L1996:M1996"/>
    <mergeCell ref="C1997:I1997"/>
    <mergeCell ref="L1997:M1997"/>
    <mergeCell ref="C1998:M1998"/>
    <mergeCell ref="C1999:N2001"/>
    <mergeCell ref="L2301:N2301"/>
    <mergeCell ref="E2302:K2304"/>
    <mergeCell ref="L2302:L2303"/>
    <mergeCell ref="M2302:M2303"/>
    <mergeCell ref="N2302:N2303"/>
    <mergeCell ref="L2304:N2304"/>
    <mergeCell ref="M2306:M2307"/>
    <mergeCell ref="N2306:N2307"/>
    <mergeCell ref="C2284:M2284"/>
    <mergeCell ref="C2286:M2286"/>
    <mergeCell ref="J2291:N2292"/>
    <mergeCell ref="C2292:E2292"/>
    <mergeCell ref="C2299:D2307"/>
    <mergeCell ref="L2299:M2300"/>
    <mergeCell ref="N2299:N2300"/>
    <mergeCell ref="C2258:H2258"/>
    <mergeCell ref="L2258:M2258"/>
    <mergeCell ref="C2259:H2259"/>
    <mergeCell ref="L2259:M2259"/>
    <mergeCell ref="C2260:H2260"/>
    <mergeCell ref="L2260:M2260"/>
    <mergeCell ref="L2261:M2261"/>
    <mergeCell ref="C2261:H2261"/>
    <mergeCell ref="C2262:H2262"/>
    <mergeCell ref="G1984:H1984"/>
    <mergeCell ref="I1984:J1984"/>
    <mergeCell ref="L1984:M1984"/>
    <mergeCell ref="L1990:M1990"/>
    <mergeCell ref="L1991:M1991"/>
    <mergeCell ref="C1984:F1984"/>
    <mergeCell ref="C1985:M1985"/>
    <mergeCell ref="C1986:N1988"/>
    <mergeCell ref="C1989:I1989"/>
    <mergeCell ref="L1989:M1989"/>
    <mergeCell ref="C1990:I1990"/>
    <mergeCell ref="C1991:I1991"/>
    <mergeCell ref="C1992:I1992"/>
    <mergeCell ref="L1992:M1992"/>
    <mergeCell ref="C1993:I1993"/>
    <mergeCell ref="L1993:M1993"/>
    <mergeCell ref="C1994:I1994"/>
    <mergeCell ref="L1994:M1994"/>
    <mergeCell ref="L1981:M1981"/>
    <mergeCell ref="L1982:M1982"/>
    <mergeCell ref="C1979:F1979"/>
    <mergeCell ref="G1979:H1979"/>
    <mergeCell ref="I1979:J1979"/>
    <mergeCell ref="L1979:M1979"/>
    <mergeCell ref="G1980:H1980"/>
    <mergeCell ref="I1980:J1980"/>
    <mergeCell ref="L1980:M1980"/>
    <mergeCell ref="C1980:F1980"/>
    <mergeCell ref="C1981:F1981"/>
    <mergeCell ref="G1981:H1981"/>
    <mergeCell ref="I1981:J1981"/>
    <mergeCell ref="C1982:F1982"/>
    <mergeCell ref="G1982:H1982"/>
    <mergeCell ref="I1982:J1982"/>
    <mergeCell ref="C1983:F1983"/>
    <mergeCell ref="G1983:H1983"/>
    <mergeCell ref="I1983:J1983"/>
    <mergeCell ref="L1983:M1983"/>
    <mergeCell ref="C1975:N1977"/>
    <mergeCell ref="C1978:F1978"/>
    <mergeCell ref="G1978:H1978"/>
    <mergeCell ref="I1978:J1978"/>
    <mergeCell ref="L1978:M1978"/>
    <mergeCell ref="C1917:H1917"/>
    <mergeCell ref="L1917:M1917"/>
    <mergeCell ref="C1918:H1918"/>
    <mergeCell ref="L1918:M1918"/>
    <mergeCell ref="C1919:H1919"/>
    <mergeCell ref="L1919:M1919"/>
    <mergeCell ref="L1920:M1920"/>
    <mergeCell ref="C1920:H1920"/>
    <mergeCell ref="C1921:H1921"/>
    <mergeCell ref="L1921:M1921"/>
    <mergeCell ref="C1922:H1922"/>
    <mergeCell ref="L1922:M1922"/>
    <mergeCell ref="C1923:M1923"/>
    <mergeCell ref="C1924:N1926"/>
    <mergeCell ref="C1927:H1927"/>
    <mergeCell ref="L1927:M1927"/>
    <mergeCell ref="C1928:H1928"/>
    <mergeCell ref="L1928:M1928"/>
    <mergeCell ref="C1929:H1929"/>
    <mergeCell ref="L1929:M1929"/>
    <mergeCell ref="L1930:M1930"/>
    <mergeCell ref="C1930:H1930"/>
    <mergeCell ref="C1931:H1931"/>
    <mergeCell ref="L1931:M1931"/>
    <mergeCell ref="C1932:H1932"/>
    <mergeCell ref="L1932:M1932"/>
    <mergeCell ref="C1933:M1933"/>
    <mergeCell ref="M1966:M1967"/>
    <mergeCell ref="N1966:N1967"/>
    <mergeCell ref="C1943:M1943"/>
    <mergeCell ref="C1945:M1945"/>
    <mergeCell ref="J1950:N1951"/>
    <mergeCell ref="C1951:E1951"/>
    <mergeCell ref="C1959:D1967"/>
    <mergeCell ref="L1959:M1960"/>
    <mergeCell ref="N1959:N1960"/>
    <mergeCell ref="E1966:K1967"/>
    <mergeCell ref="L1966:L1967"/>
    <mergeCell ref="D1969:L1969"/>
    <mergeCell ref="D1970:L1970"/>
    <mergeCell ref="C1971:N1971"/>
    <mergeCell ref="D1973:K1973"/>
    <mergeCell ref="L1973:M1973"/>
    <mergeCell ref="D1974:K1974"/>
    <mergeCell ref="L1974:M1974"/>
    <mergeCell ref="E1959:K1960"/>
    <mergeCell ref="E1961:K1961"/>
    <mergeCell ref="C1907:I1907"/>
    <mergeCell ref="L1907:M1907"/>
    <mergeCell ref="C1908:I1908"/>
    <mergeCell ref="L1908:M1908"/>
    <mergeCell ref="C1909:I1909"/>
    <mergeCell ref="L1909:M1909"/>
    <mergeCell ref="L1910:M1910"/>
    <mergeCell ref="C1910:I1910"/>
    <mergeCell ref="C1911:I1911"/>
    <mergeCell ref="L1911:M1911"/>
    <mergeCell ref="C1912:I1912"/>
    <mergeCell ref="L1912:M1912"/>
    <mergeCell ref="C1913:M1913"/>
    <mergeCell ref="C1914:N1916"/>
    <mergeCell ref="L1961:N1961"/>
    <mergeCell ref="E1962:K1964"/>
    <mergeCell ref="L1962:L1963"/>
    <mergeCell ref="M1962:M1963"/>
    <mergeCell ref="N1962:N1963"/>
    <mergeCell ref="L1964:N1964"/>
    <mergeCell ref="C1935:M1935"/>
    <mergeCell ref="C1936:N1938"/>
    <mergeCell ref="C1939:H1939"/>
    <mergeCell ref="L1939:M1939"/>
    <mergeCell ref="C1940:H1940"/>
    <mergeCell ref="L1940:M1940"/>
    <mergeCell ref="L1941:M1941"/>
    <mergeCell ref="L1942:M1942"/>
    <mergeCell ref="E1877:K1879"/>
    <mergeCell ref="L1877:L1878"/>
    <mergeCell ref="M1877:M1878"/>
    <mergeCell ref="N1877:N1878"/>
    <mergeCell ref="L1879:N1879"/>
    <mergeCell ref="M1881:M1882"/>
    <mergeCell ref="D1884:L1884"/>
    <mergeCell ref="D1885:L1885"/>
    <mergeCell ref="C1898:F1898"/>
    <mergeCell ref="G1898:H1898"/>
    <mergeCell ref="I1898:J1898"/>
    <mergeCell ref="L1898:M1898"/>
    <mergeCell ref="G1899:H1899"/>
    <mergeCell ref="I1899:J1899"/>
    <mergeCell ref="L1899:M1899"/>
    <mergeCell ref="L1905:M1905"/>
    <mergeCell ref="L1906:M1906"/>
    <mergeCell ref="C1899:F1899"/>
    <mergeCell ref="C1900:M1900"/>
    <mergeCell ref="C1901:N1903"/>
    <mergeCell ref="C1904:I1904"/>
    <mergeCell ref="L1904:M1904"/>
    <mergeCell ref="C1905:I1905"/>
    <mergeCell ref="C1906:I1906"/>
    <mergeCell ref="L1896:M1896"/>
    <mergeCell ref="L1897:M1897"/>
    <mergeCell ref="C1894:F1894"/>
    <mergeCell ref="G1894:H1894"/>
    <mergeCell ref="I1894:J1894"/>
    <mergeCell ref="L1894:M1894"/>
    <mergeCell ref="G1895:H1895"/>
    <mergeCell ref="I1895:J1895"/>
    <mergeCell ref="L1895:M1895"/>
    <mergeCell ref="C1895:F1895"/>
    <mergeCell ref="C1896:F1896"/>
    <mergeCell ref="G1896:H1896"/>
    <mergeCell ref="I1896:J1896"/>
    <mergeCell ref="C1897:F1897"/>
    <mergeCell ref="G1897:H1897"/>
    <mergeCell ref="I1897:J1897"/>
    <mergeCell ref="C1890:N1892"/>
    <mergeCell ref="C1893:F1893"/>
    <mergeCell ref="G1893:H1893"/>
    <mergeCell ref="I1893:J1893"/>
    <mergeCell ref="L1893:M1893"/>
    <mergeCell ref="L1845:M1845"/>
    <mergeCell ref="C1845:H1845"/>
    <mergeCell ref="C1846:H1846"/>
    <mergeCell ref="L1846:M1846"/>
    <mergeCell ref="C1847:H1847"/>
    <mergeCell ref="L1847:M1847"/>
    <mergeCell ref="C1848:M1848"/>
    <mergeCell ref="C1850:M1850"/>
    <mergeCell ref="C1851:N1853"/>
    <mergeCell ref="C1854:H1854"/>
    <mergeCell ref="L1854:M1854"/>
    <mergeCell ref="C1855:H1855"/>
    <mergeCell ref="L1855:M1855"/>
    <mergeCell ref="L1856:M1856"/>
    <mergeCell ref="L1857:M1857"/>
    <mergeCell ref="E1874:K1875"/>
    <mergeCell ref="E1876:K1876"/>
    <mergeCell ref="L1876:N1876"/>
    <mergeCell ref="C1823:I1823"/>
    <mergeCell ref="L1823:M1823"/>
    <mergeCell ref="C1824:I1824"/>
    <mergeCell ref="L1824:M1824"/>
    <mergeCell ref="L1825:M1825"/>
    <mergeCell ref="C1825:I1825"/>
    <mergeCell ref="C1826:I1826"/>
    <mergeCell ref="L1826:M1826"/>
    <mergeCell ref="C1827:I1827"/>
    <mergeCell ref="L1827:M1827"/>
    <mergeCell ref="C1828:M1828"/>
    <mergeCell ref="C1829:N1831"/>
    <mergeCell ref="C1822:I1822"/>
    <mergeCell ref="L1822:M1822"/>
    <mergeCell ref="L1842:M1842"/>
    <mergeCell ref="C1843:H1843"/>
    <mergeCell ref="L1843:M1843"/>
    <mergeCell ref="C1886:N1886"/>
    <mergeCell ref="D1888:K1888"/>
    <mergeCell ref="L1888:M1888"/>
    <mergeCell ref="D1889:K1889"/>
    <mergeCell ref="L1889:M1889"/>
    <mergeCell ref="C1832:H1832"/>
    <mergeCell ref="L1832:M1832"/>
    <mergeCell ref="C1833:H1833"/>
    <mergeCell ref="L1833:M1833"/>
    <mergeCell ref="C1834:H1834"/>
    <mergeCell ref="L1834:M1834"/>
    <mergeCell ref="L1835:M1835"/>
    <mergeCell ref="C1835:H1835"/>
    <mergeCell ref="C1836:H1836"/>
    <mergeCell ref="L1836:M1836"/>
    <mergeCell ref="C1837:H1837"/>
    <mergeCell ref="L1837:M1837"/>
    <mergeCell ref="C1838:M1838"/>
    <mergeCell ref="C1839:N1841"/>
    <mergeCell ref="C1842:H1842"/>
    <mergeCell ref="N1881:N1882"/>
    <mergeCell ref="C1858:M1858"/>
    <mergeCell ref="C1860:M1860"/>
    <mergeCell ref="J1865:N1866"/>
    <mergeCell ref="C1866:E1866"/>
    <mergeCell ref="C1874:D1882"/>
    <mergeCell ref="L1874:M1875"/>
    <mergeCell ref="N1874:N1875"/>
    <mergeCell ref="E1881:K1882"/>
    <mergeCell ref="L1881:L1882"/>
    <mergeCell ref="C1844:H1844"/>
    <mergeCell ref="L1844:M1844"/>
    <mergeCell ref="C1738:I1738"/>
    <mergeCell ref="L1738:M1738"/>
    <mergeCell ref="C1739:I1739"/>
    <mergeCell ref="L1739:M1739"/>
    <mergeCell ref="L1740:M1740"/>
    <mergeCell ref="C1740:I1740"/>
    <mergeCell ref="C1741:I1741"/>
    <mergeCell ref="L1741:M1741"/>
    <mergeCell ref="C1742:I1742"/>
    <mergeCell ref="L1742:M1742"/>
    <mergeCell ref="C1743:M1743"/>
    <mergeCell ref="C1744:N1746"/>
    <mergeCell ref="L1791:N1791"/>
    <mergeCell ref="E1792:K1794"/>
    <mergeCell ref="L1792:L1793"/>
    <mergeCell ref="M1792:M1793"/>
    <mergeCell ref="N1792:N1793"/>
    <mergeCell ref="L1794:N1794"/>
    <mergeCell ref="C1773:M1773"/>
    <mergeCell ref="C1775:M1775"/>
    <mergeCell ref="J1780:N1781"/>
    <mergeCell ref="C1781:E1781"/>
    <mergeCell ref="C1789:D1797"/>
    <mergeCell ref="L1789:M1790"/>
    <mergeCell ref="N1789:N1790"/>
    <mergeCell ref="E1796:K1797"/>
    <mergeCell ref="L1796:L1797"/>
    <mergeCell ref="C1752:H1752"/>
    <mergeCell ref="L1752:M1752"/>
    <mergeCell ref="C1753:M1753"/>
    <mergeCell ref="C1754:N1756"/>
    <mergeCell ref="C1757:H1757"/>
    <mergeCell ref="C1728:F1728"/>
    <mergeCell ref="G1728:H1728"/>
    <mergeCell ref="I1728:J1728"/>
    <mergeCell ref="L1728:M1728"/>
    <mergeCell ref="G1729:H1729"/>
    <mergeCell ref="I1729:J1729"/>
    <mergeCell ref="L1729:M1729"/>
    <mergeCell ref="L1735:M1735"/>
    <mergeCell ref="L1736:M1736"/>
    <mergeCell ref="C1729:F1729"/>
    <mergeCell ref="C1730:M1730"/>
    <mergeCell ref="C1731:N1733"/>
    <mergeCell ref="C1734:I1734"/>
    <mergeCell ref="L1734:M1734"/>
    <mergeCell ref="C1735:I1735"/>
    <mergeCell ref="C1736:I1736"/>
    <mergeCell ref="C1737:I1737"/>
    <mergeCell ref="L1737:M1737"/>
    <mergeCell ref="C1676:H1676"/>
    <mergeCell ref="L1676:M1676"/>
    <mergeCell ref="C1677:H1677"/>
    <mergeCell ref="L1677:M1677"/>
    <mergeCell ref="C1678:M1678"/>
    <mergeCell ref="C1680:M1680"/>
    <mergeCell ref="C1681:N1683"/>
    <mergeCell ref="C1684:H1684"/>
    <mergeCell ref="L1684:M1684"/>
    <mergeCell ref="C1685:H1685"/>
    <mergeCell ref="L1685:M1685"/>
    <mergeCell ref="L1686:M1686"/>
    <mergeCell ref="L1687:M1687"/>
    <mergeCell ref="E1704:K1705"/>
    <mergeCell ref="E1706:K1706"/>
    <mergeCell ref="L1726:M1726"/>
    <mergeCell ref="L1727:M1727"/>
    <mergeCell ref="C1724:F1724"/>
    <mergeCell ref="G1724:H1724"/>
    <mergeCell ref="I1724:J1724"/>
    <mergeCell ref="L1724:M1724"/>
    <mergeCell ref="G1725:H1725"/>
    <mergeCell ref="I1725:J1725"/>
    <mergeCell ref="L1725:M1725"/>
    <mergeCell ref="C1725:F1725"/>
    <mergeCell ref="C1726:F1726"/>
    <mergeCell ref="G1726:H1726"/>
    <mergeCell ref="I1726:J1726"/>
    <mergeCell ref="C1727:F1727"/>
    <mergeCell ref="G1727:H1727"/>
    <mergeCell ref="I1727:J1727"/>
    <mergeCell ref="L1706:N1706"/>
    <mergeCell ref="L1664:M1664"/>
    <mergeCell ref="L1665:M1665"/>
    <mergeCell ref="C1665:H1665"/>
    <mergeCell ref="C1666:H1666"/>
    <mergeCell ref="L1666:M1666"/>
    <mergeCell ref="C1667:H1667"/>
    <mergeCell ref="L1667:M1667"/>
    <mergeCell ref="C1668:M1668"/>
    <mergeCell ref="C1669:N1671"/>
    <mergeCell ref="C1672:H1672"/>
    <mergeCell ref="L1672:M1672"/>
    <mergeCell ref="C1673:H1673"/>
    <mergeCell ref="L1673:M1673"/>
    <mergeCell ref="C1674:H1674"/>
    <mergeCell ref="L1674:M1674"/>
    <mergeCell ref="L1675:M1675"/>
    <mergeCell ref="C1675:H1675"/>
    <mergeCell ref="E1707:K1709"/>
    <mergeCell ref="L1707:L1708"/>
    <mergeCell ref="M1707:M1708"/>
    <mergeCell ref="N1707:N1708"/>
    <mergeCell ref="L1709:N1709"/>
    <mergeCell ref="M1711:M1712"/>
    <mergeCell ref="N1711:N1712"/>
    <mergeCell ref="C1704:D1712"/>
    <mergeCell ref="L1704:M1705"/>
    <mergeCell ref="N1704:N1705"/>
    <mergeCell ref="E1711:K1712"/>
    <mergeCell ref="L1711:L1712"/>
    <mergeCell ref="D1714:L1714"/>
    <mergeCell ref="D1715:L1715"/>
    <mergeCell ref="C1716:N1716"/>
    <mergeCell ref="D1718:K1718"/>
    <mergeCell ref="L1718:M1718"/>
    <mergeCell ref="C1813:F1813"/>
    <mergeCell ref="G1813:H1813"/>
    <mergeCell ref="I1813:J1813"/>
    <mergeCell ref="L1813:M1813"/>
    <mergeCell ref="G1814:H1814"/>
    <mergeCell ref="I1814:J1814"/>
    <mergeCell ref="L1814:M1814"/>
    <mergeCell ref="L1820:M1820"/>
    <mergeCell ref="L1821:M1821"/>
    <mergeCell ref="C1814:F1814"/>
    <mergeCell ref="C1815:M1815"/>
    <mergeCell ref="C1816:N1818"/>
    <mergeCell ref="C1819:I1819"/>
    <mergeCell ref="L1819:M1819"/>
    <mergeCell ref="C1820:I1820"/>
    <mergeCell ref="C1821:I1821"/>
    <mergeCell ref="C1765:M1765"/>
    <mergeCell ref="C1766:N1768"/>
    <mergeCell ref="C1769:H1769"/>
    <mergeCell ref="L1769:M1769"/>
    <mergeCell ref="C1770:H1770"/>
    <mergeCell ref="L1770:M1770"/>
    <mergeCell ref="L1771:M1771"/>
    <mergeCell ref="L1772:M1772"/>
    <mergeCell ref="E1789:K1790"/>
    <mergeCell ref="E1791:K1791"/>
    <mergeCell ref="L1811:M1811"/>
    <mergeCell ref="L1812:M1812"/>
    <mergeCell ref="C1809:F1809"/>
    <mergeCell ref="G1809:H1809"/>
    <mergeCell ref="L1803:M1803"/>
    <mergeCell ref="D1804:K1804"/>
    <mergeCell ref="I1809:J1809"/>
    <mergeCell ref="L1809:M1809"/>
    <mergeCell ref="G1810:H1810"/>
    <mergeCell ref="I1810:J1810"/>
    <mergeCell ref="L1810:M1810"/>
    <mergeCell ref="C1810:F1810"/>
    <mergeCell ref="C1811:F1811"/>
    <mergeCell ref="G1811:H1811"/>
    <mergeCell ref="I1811:J1811"/>
    <mergeCell ref="C1812:F1812"/>
    <mergeCell ref="G1812:H1812"/>
    <mergeCell ref="I1812:J1812"/>
    <mergeCell ref="M1796:M1797"/>
    <mergeCell ref="N1796:N1797"/>
    <mergeCell ref="D1799:L1799"/>
    <mergeCell ref="D1800:L1800"/>
    <mergeCell ref="C1801:N1801"/>
    <mergeCell ref="D1803:K1803"/>
    <mergeCell ref="L1804:M1804"/>
    <mergeCell ref="C1805:N1807"/>
    <mergeCell ref="C1808:F1808"/>
    <mergeCell ref="G1808:H1808"/>
    <mergeCell ref="I1808:J1808"/>
    <mergeCell ref="L1808:M1808"/>
    <mergeCell ref="L1757:M1757"/>
    <mergeCell ref="C1758:H1758"/>
    <mergeCell ref="L1758:M1758"/>
    <mergeCell ref="C1759:H1759"/>
    <mergeCell ref="L1759:M1759"/>
    <mergeCell ref="L1760:M1760"/>
    <mergeCell ref="C1760:H1760"/>
    <mergeCell ref="C1761:H1761"/>
    <mergeCell ref="L1761:M1761"/>
    <mergeCell ref="C1762:H1762"/>
    <mergeCell ref="L1762:M1762"/>
    <mergeCell ref="C1763:M1763"/>
    <mergeCell ref="L1655:M1655"/>
    <mergeCell ref="C1655:I1655"/>
    <mergeCell ref="C1656:I1656"/>
    <mergeCell ref="L1656:M1656"/>
    <mergeCell ref="C1657:I1657"/>
    <mergeCell ref="L1657:M1657"/>
    <mergeCell ref="C1658:M1658"/>
    <mergeCell ref="C1659:N1661"/>
    <mergeCell ref="C1747:H1747"/>
    <mergeCell ref="L1747:M1747"/>
    <mergeCell ref="C1748:H1748"/>
    <mergeCell ref="L1748:M1748"/>
    <mergeCell ref="C1749:H1749"/>
    <mergeCell ref="L1749:M1749"/>
    <mergeCell ref="L1750:M1750"/>
    <mergeCell ref="C1750:H1750"/>
    <mergeCell ref="C1751:H1751"/>
    <mergeCell ref="L1751:M1751"/>
    <mergeCell ref="C1688:M1688"/>
    <mergeCell ref="C1690:M1690"/>
    <mergeCell ref="J1695:N1696"/>
    <mergeCell ref="C1696:E1696"/>
    <mergeCell ref="C1720:N1722"/>
    <mergeCell ref="C1723:F1723"/>
    <mergeCell ref="G1723:H1723"/>
    <mergeCell ref="I1723:J1723"/>
    <mergeCell ref="L1723:M1723"/>
    <mergeCell ref="C1662:H1662"/>
    <mergeCell ref="L1662:M1662"/>
    <mergeCell ref="C1663:H1663"/>
    <mergeCell ref="L1663:M1663"/>
    <mergeCell ref="C1664:H1664"/>
    <mergeCell ref="G1644:H1644"/>
    <mergeCell ref="I1644:J1644"/>
    <mergeCell ref="L1644:M1644"/>
    <mergeCell ref="L1650:M1650"/>
    <mergeCell ref="L1651:M1651"/>
    <mergeCell ref="C1644:F1644"/>
    <mergeCell ref="C1645:M1645"/>
    <mergeCell ref="C1646:N1648"/>
    <mergeCell ref="C1649:I1649"/>
    <mergeCell ref="L1649:M1649"/>
    <mergeCell ref="C1650:I1650"/>
    <mergeCell ref="C1651:I1651"/>
    <mergeCell ref="C1652:I1652"/>
    <mergeCell ref="L1652:M1652"/>
    <mergeCell ref="C1653:I1653"/>
    <mergeCell ref="L1653:M1653"/>
    <mergeCell ref="C1654:I1654"/>
    <mergeCell ref="L1654:M1654"/>
    <mergeCell ref="D1719:K1719"/>
    <mergeCell ref="L1719:M1719"/>
    <mergeCell ref="L1641:M1641"/>
    <mergeCell ref="L1642:M1642"/>
    <mergeCell ref="C1639:F1639"/>
    <mergeCell ref="G1639:H1639"/>
    <mergeCell ref="I1639:J1639"/>
    <mergeCell ref="L1639:M1639"/>
    <mergeCell ref="G1640:H1640"/>
    <mergeCell ref="I1640:J1640"/>
    <mergeCell ref="L1640:M1640"/>
    <mergeCell ref="C1640:F1640"/>
    <mergeCell ref="C1641:F1641"/>
    <mergeCell ref="G1641:H1641"/>
    <mergeCell ref="I1641:J1641"/>
    <mergeCell ref="C1642:F1642"/>
    <mergeCell ref="G1642:H1642"/>
    <mergeCell ref="I1642:J1642"/>
    <mergeCell ref="C1643:F1643"/>
    <mergeCell ref="G1643:H1643"/>
    <mergeCell ref="I1643:J1643"/>
    <mergeCell ref="L1643:M1643"/>
    <mergeCell ref="C1635:N1637"/>
    <mergeCell ref="C1638:F1638"/>
    <mergeCell ref="G1638:H1638"/>
    <mergeCell ref="I1638:J1638"/>
    <mergeCell ref="L1638:M1638"/>
    <mergeCell ref="C1577:H1577"/>
    <mergeCell ref="L1577:M1577"/>
    <mergeCell ref="C1578:H1578"/>
    <mergeCell ref="L1578:M1578"/>
    <mergeCell ref="C1579:H1579"/>
    <mergeCell ref="L1579:M1579"/>
    <mergeCell ref="L1580:M1580"/>
    <mergeCell ref="C1580:H1580"/>
    <mergeCell ref="C1581:H1581"/>
    <mergeCell ref="L1581:M1581"/>
    <mergeCell ref="C1582:H1582"/>
    <mergeCell ref="L1582:M1582"/>
    <mergeCell ref="C1583:M1583"/>
    <mergeCell ref="C1584:N1586"/>
    <mergeCell ref="C1587:H1587"/>
    <mergeCell ref="L1587:M1587"/>
    <mergeCell ref="C1588:H1588"/>
    <mergeCell ref="L1588:M1588"/>
    <mergeCell ref="C1589:H1589"/>
    <mergeCell ref="L1589:M1589"/>
    <mergeCell ref="L1590:M1590"/>
    <mergeCell ref="C1590:H1590"/>
    <mergeCell ref="C1591:H1591"/>
    <mergeCell ref="L1591:M1591"/>
    <mergeCell ref="C1592:H1592"/>
    <mergeCell ref="L1592:M1592"/>
    <mergeCell ref="C1593:M1593"/>
    <mergeCell ref="M1626:M1627"/>
    <mergeCell ref="N1626:N1627"/>
    <mergeCell ref="C1603:M1603"/>
    <mergeCell ref="C1605:M1605"/>
    <mergeCell ref="J1610:N1611"/>
    <mergeCell ref="C1611:E1611"/>
    <mergeCell ref="C1619:D1627"/>
    <mergeCell ref="L1619:M1620"/>
    <mergeCell ref="N1619:N1620"/>
    <mergeCell ref="E1626:K1627"/>
    <mergeCell ref="L1626:L1627"/>
    <mergeCell ref="D1629:L1629"/>
    <mergeCell ref="D1630:L1630"/>
    <mergeCell ref="C1631:N1631"/>
    <mergeCell ref="D1633:K1633"/>
    <mergeCell ref="L1633:M1633"/>
    <mergeCell ref="D1634:K1634"/>
    <mergeCell ref="L1634:M1634"/>
    <mergeCell ref="E1619:K1620"/>
    <mergeCell ref="E1621:K1621"/>
    <mergeCell ref="C1567:I1567"/>
    <mergeCell ref="L1567:M1567"/>
    <mergeCell ref="C1568:I1568"/>
    <mergeCell ref="L1568:M1568"/>
    <mergeCell ref="C1569:I1569"/>
    <mergeCell ref="L1569:M1569"/>
    <mergeCell ref="L1570:M1570"/>
    <mergeCell ref="C1570:I1570"/>
    <mergeCell ref="C1571:I1571"/>
    <mergeCell ref="L1571:M1571"/>
    <mergeCell ref="C1572:I1572"/>
    <mergeCell ref="L1572:M1572"/>
    <mergeCell ref="C1573:M1573"/>
    <mergeCell ref="C1574:N1576"/>
    <mergeCell ref="L1621:N1621"/>
    <mergeCell ref="E1622:K1624"/>
    <mergeCell ref="L1622:L1623"/>
    <mergeCell ref="M1622:M1623"/>
    <mergeCell ref="N1622:N1623"/>
    <mergeCell ref="L1624:N1624"/>
    <mergeCell ref="C1595:M1595"/>
    <mergeCell ref="C1596:N1598"/>
    <mergeCell ref="C1599:H1599"/>
    <mergeCell ref="L1599:M1599"/>
    <mergeCell ref="C1600:H1600"/>
    <mergeCell ref="L1600:M1600"/>
    <mergeCell ref="L1601:M1601"/>
    <mergeCell ref="L1602:M1602"/>
    <mergeCell ref="N1537:N1538"/>
    <mergeCell ref="C1558:F1558"/>
    <mergeCell ref="G1558:H1558"/>
    <mergeCell ref="I1558:J1558"/>
    <mergeCell ref="L1558:M1558"/>
    <mergeCell ref="G1559:H1559"/>
    <mergeCell ref="I1559:J1559"/>
    <mergeCell ref="L1559:M1559"/>
    <mergeCell ref="L1565:M1565"/>
    <mergeCell ref="L1566:M1566"/>
    <mergeCell ref="C1559:F1559"/>
    <mergeCell ref="C1560:M1560"/>
    <mergeCell ref="C1561:N1563"/>
    <mergeCell ref="C1564:I1564"/>
    <mergeCell ref="L1564:M1564"/>
    <mergeCell ref="C1565:I1565"/>
    <mergeCell ref="C1566:I1566"/>
    <mergeCell ref="D1544:L1544"/>
    <mergeCell ref="D1545:L1545"/>
    <mergeCell ref="C1546:N1546"/>
    <mergeCell ref="D1548:K1548"/>
    <mergeCell ref="L1548:M1548"/>
    <mergeCell ref="L1515:M1515"/>
    <mergeCell ref="L1516:M1516"/>
    <mergeCell ref="L1517:M1517"/>
    <mergeCell ref="E1534:K1535"/>
    <mergeCell ref="E1536:K1536"/>
    <mergeCell ref="L1556:M1556"/>
    <mergeCell ref="L1557:M1557"/>
    <mergeCell ref="C1554:F1554"/>
    <mergeCell ref="G1554:H1554"/>
    <mergeCell ref="I1554:J1554"/>
    <mergeCell ref="L1554:M1554"/>
    <mergeCell ref="G1555:H1555"/>
    <mergeCell ref="I1555:J1555"/>
    <mergeCell ref="L1555:M1555"/>
    <mergeCell ref="C1555:F1555"/>
    <mergeCell ref="C1556:F1556"/>
    <mergeCell ref="G1556:H1556"/>
    <mergeCell ref="I1556:J1556"/>
    <mergeCell ref="C1557:F1557"/>
    <mergeCell ref="G1557:H1557"/>
    <mergeCell ref="I1557:J1557"/>
    <mergeCell ref="D1549:K1549"/>
    <mergeCell ref="L1549:M1549"/>
    <mergeCell ref="C1550:N1552"/>
    <mergeCell ref="C1553:F1553"/>
    <mergeCell ref="G1553:H1553"/>
    <mergeCell ref="I1553:J1553"/>
    <mergeCell ref="L1553:M1553"/>
    <mergeCell ref="L1536:N1536"/>
    <mergeCell ref="E1537:K1539"/>
    <mergeCell ref="L1537:L1538"/>
    <mergeCell ref="M1537:M1538"/>
    <mergeCell ref="C1461:N1461"/>
    <mergeCell ref="D1463:K1463"/>
    <mergeCell ref="L1463:M1463"/>
    <mergeCell ref="D1464:K1464"/>
    <mergeCell ref="L1464:M1464"/>
    <mergeCell ref="C1465:N1467"/>
    <mergeCell ref="C1468:F1468"/>
    <mergeCell ref="G1468:H1468"/>
    <mergeCell ref="I1468:J1468"/>
    <mergeCell ref="L1468:M1468"/>
    <mergeCell ref="E1541:K1542"/>
    <mergeCell ref="L1541:L1542"/>
    <mergeCell ref="C1483:I1483"/>
    <mergeCell ref="L1483:M1483"/>
    <mergeCell ref="C1484:I1484"/>
    <mergeCell ref="L1484:M1484"/>
    <mergeCell ref="L1485:M1485"/>
    <mergeCell ref="C1485:I1485"/>
    <mergeCell ref="C1486:I1486"/>
    <mergeCell ref="L1486:M1486"/>
    <mergeCell ref="C1487:I1487"/>
    <mergeCell ref="L1487:M1487"/>
    <mergeCell ref="L1502:M1502"/>
    <mergeCell ref="C1503:H1503"/>
    <mergeCell ref="L1503:M1503"/>
    <mergeCell ref="C1504:H1504"/>
    <mergeCell ref="L1504:M1504"/>
    <mergeCell ref="L1505:M1505"/>
    <mergeCell ref="C1505:H1505"/>
    <mergeCell ref="C1506:H1506"/>
    <mergeCell ref="L1506:M1506"/>
    <mergeCell ref="C1507:H1507"/>
    <mergeCell ref="C1492:H1492"/>
    <mergeCell ref="L1492:M1492"/>
    <mergeCell ref="C1493:H1493"/>
    <mergeCell ref="L1493:M1493"/>
    <mergeCell ref="C1494:H1494"/>
    <mergeCell ref="L1494:M1494"/>
    <mergeCell ref="L1495:M1495"/>
    <mergeCell ref="C1495:H1495"/>
    <mergeCell ref="C1496:H1496"/>
    <mergeCell ref="L1496:M1496"/>
    <mergeCell ref="C1497:H1497"/>
    <mergeCell ref="L1497:M1497"/>
    <mergeCell ref="C1498:M1498"/>
    <mergeCell ref="C1499:N1501"/>
    <mergeCell ref="C1502:H1502"/>
    <mergeCell ref="L1539:N1539"/>
    <mergeCell ref="M1541:M1542"/>
    <mergeCell ref="N1541:N1542"/>
    <mergeCell ref="C1518:M1518"/>
    <mergeCell ref="C1520:M1520"/>
    <mergeCell ref="J1525:N1526"/>
    <mergeCell ref="C1526:E1526"/>
    <mergeCell ref="C1534:D1542"/>
    <mergeCell ref="L1534:M1535"/>
    <mergeCell ref="N1534:N1535"/>
    <mergeCell ref="L1507:M1507"/>
    <mergeCell ref="C1508:M1508"/>
    <mergeCell ref="C1510:M1510"/>
    <mergeCell ref="C1511:N1513"/>
    <mergeCell ref="C1514:H1514"/>
    <mergeCell ref="L1514:M1514"/>
    <mergeCell ref="C1515:H1515"/>
    <mergeCell ref="C1397:I1397"/>
    <mergeCell ref="L1397:M1397"/>
    <mergeCell ref="C1398:I1398"/>
    <mergeCell ref="L1398:M1398"/>
    <mergeCell ref="C1399:I1399"/>
    <mergeCell ref="L1399:M1399"/>
    <mergeCell ref="L1400:M1400"/>
    <mergeCell ref="C1400:I1400"/>
    <mergeCell ref="C1401:I1401"/>
    <mergeCell ref="L1401:M1401"/>
    <mergeCell ref="C1402:I1402"/>
    <mergeCell ref="L1402:M1402"/>
    <mergeCell ref="C1403:M1403"/>
    <mergeCell ref="C1404:N1406"/>
    <mergeCell ref="L1451:N1451"/>
    <mergeCell ref="E1452:K1454"/>
    <mergeCell ref="L1452:L1453"/>
    <mergeCell ref="M1452:M1453"/>
    <mergeCell ref="N1452:N1453"/>
    <mergeCell ref="L1454:N1454"/>
    <mergeCell ref="C1433:M1433"/>
    <mergeCell ref="C1435:M1435"/>
    <mergeCell ref="J1440:N1441"/>
    <mergeCell ref="C1441:E1441"/>
    <mergeCell ref="C1449:D1457"/>
    <mergeCell ref="L1449:M1450"/>
    <mergeCell ref="N1449:N1450"/>
    <mergeCell ref="E1456:K1457"/>
    <mergeCell ref="L1456:L1457"/>
    <mergeCell ref="L1418:M1418"/>
    <mergeCell ref="C1419:H1419"/>
    <mergeCell ref="L1419:M1419"/>
    <mergeCell ref="L1385:M1385"/>
    <mergeCell ref="C1385:F1385"/>
    <mergeCell ref="C1386:F1386"/>
    <mergeCell ref="G1386:H1386"/>
    <mergeCell ref="I1386:J1386"/>
    <mergeCell ref="C1387:F1387"/>
    <mergeCell ref="G1387:H1387"/>
    <mergeCell ref="I1387:J1387"/>
    <mergeCell ref="C1388:F1388"/>
    <mergeCell ref="G1388:H1388"/>
    <mergeCell ref="I1388:J1388"/>
    <mergeCell ref="L1388:M1388"/>
    <mergeCell ref="G1389:H1389"/>
    <mergeCell ref="I1389:J1389"/>
    <mergeCell ref="L1389:M1389"/>
    <mergeCell ref="L1395:M1395"/>
    <mergeCell ref="L1396:M1396"/>
    <mergeCell ref="C1389:F1389"/>
    <mergeCell ref="C1390:M1390"/>
    <mergeCell ref="C1391:N1393"/>
    <mergeCell ref="C1394:I1394"/>
    <mergeCell ref="L1394:M1394"/>
    <mergeCell ref="C1395:I1395"/>
    <mergeCell ref="C1396:I1396"/>
    <mergeCell ref="C1334:H1334"/>
    <mergeCell ref="L1334:M1334"/>
    <mergeCell ref="L1335:M1335"/>
    <mergeCell ref="C1335:H1335"/>
    <mergeCell ref="C1336:H1336"/>
    <mergeCell ref="L1336:M1336"/>
    <mergeCell ref="C1337:H1337"/>
    <mergeCell ref="L1337:M1337"/>
    <mergeCell ref="C1338:M1338"/>
    <mergeCell ref="C1340:M1340"/>
    <mergeCell ref="C1341:N1343"/>
    <mergeCell ref="C1344:H1344"/>
    <mergeCell ref="L1344:M1344"/>
    <mergeCell ref="C1345:H1345"/>
    <mergeCell ref="L1345:M1345"/>
    <mergeCell ref="L1346:M1346"/>
    <mergeCell ref="L1347:M1347"/>
    <mergeCell ref="C1322:H1322"/>
    <mergeCell ref="L1322:M1322"/>
    <mergeCell ref="C1323:H1323"/>
    <mergeCell ref="L1323:M1323"/>
    <mergeCell ref="C1324:H1324"/>
    <mergeCell ref="L1324:M1324"/>
    <mergeCell ref="L1325:M1325"/>
    <mergeCell ref="C1325:H1325"/>
    <mergeCell ref="C1326:H1326"/>
    <mergeCell ref="L1326:M1326"/>
    <mergeCell ref="C1327:H1327"/>
    <mergeCell ref="L1327:M1327"/>
    <mergeCell ref="C1328:M1328"/>
    <mergeCell ref="C1329:N1331"/>
    <mergeCell ref="C1332:H1332"/>
    <mergeCell ref="L1332:M1332"/>
    <mergeCell ref="C1333:H1333"/>
    <mergeCell ref="L1333:M1333"/>
    <mergeCell ref="C1348:M1348"/>
    <mergeCell ref="C1350:M1350"/>
    <mergeCell ref="J1355:N1356"/>
    <mergeCell ref="C1356:E1356"/>
    <mergeCell ref="C1364:D1372"/>
    <mergeCell ref="L1364:M1365"/>
    <mergeCell ref="N1364:N1365"/>
    <mergeCell ref="E1371:K1372"/>
    <mergeCell ref="L1371:L1372"/>
    <mergeCell ref="D1374:L1374"/>
    <mergeCell ref="D1375:L1375"/>
    <mergeCell ref="C1376:N1376"/>
    <mergeCell ref="D1378:K1378"/>
    <mergeCell ref="L1378:M1378"/>
    <mergeCell ref="D1379:K1379"/>
    <mergeCell ref="L1379:M1379"/>
    <mergeCell ref="C1380:N1382"/>
    <mergeCell ref="E1364:K1365"/>
    <mergeCell ref="E1366:K1366"/>
    <mergeCell ref="C1488:M1488"/>
    <mergeCell ref="C1489:N1491"/>
    <mergeCell ref="L1366:N1366"/>
    <mergeCell ref="E1367:K1369"/>
    <mergeCell ref="L1367:L1368"/>
    <mergeCell ref="M1367:M1368"/>
    <mergeCell ref="N1367:N1368"/>
    <mergeCell ref="L1369:N1369"/>
    <mergeCell ref="M1371:M1372"/>
    <mergeCell ref="N1371:N1372"/>
    <mergeCell ref="C1383:F1383"/>
    <mergeCell ref="G1383:H1383"/>
    <mergeCell ref="I1383:J1383"/>
    <mergeCell ref="L1383:M1383"/>
    <mergeCell ref="L1386:M1386"/>
    <mergeCell ref="L1387:M1387"/>
    <mergeCell ref="C1384:F1384"/>
    <mergeCell ref="G1384:H1384"/>
    <mergeCell ref="I1384:J1384"/>
    <mergeCell ref="L1384:M1384"/>
    <mergeCell ref="G1385:H1385"/>
    <mergeCell ref="I1385:J1385"/>
    <mergeCell ref="C1473:F1473"/>
    <mergeCell ref="G1473:H1473"/>
    <mergeCell ref="I1473:J1473"/>
    <mergeCell ref="L1473:M1473"/>
    <mergeCell ref="G1474:H1474"/>
    <mergeCell ref="I1474:J1474"/>
    <mergeCell ref="L1474:M1474"/>
    <mergeCell ref="L1480:M1480"/>
    <mergeCell ref="L1481:M1481"/>
    <mergeCell ref="C1474:F1474"/>
    <mergeCell ref="C1475:M1475"/>
    <mergeCell ref="C1476:N1478"/>
    <mergeCell ref="C1479:I1479"/>
    <mergeCell ref="L1479:M1479"/>
    <mergeCell ref="C1480:I1480"/>
    <mergeCell ref="C1481:I1481"/>
    <mergeCell ref="C1482:I1482"/>
    <mergeCell ref="L1482:M1482"/>
    <mergeCell ref="L1422:M1422"/>
    <mergeCell ref="C1423:M1423"/>
    <mergeCell ref="C1425:M1425"/>
    <mergeCell ref="C1426:N1428"/>
    <mergeCell ref="C1429:H1429"/>
    <mergeCell ref="L1429:M1429"/>
    <mergeCell ref="C1430:H1430"/>
    <mergeCell ref="L1430:M1430"/>
    <mergeCell ref="L1431:M1431"/>
    <mergeCell ref="L1432:M1432"/>
    <mergeCell ref="E1449:K1450"/>
    <mergeCell ref="E1451:K1451"/>
    <mergeCell ref="L1471:M1471"/>
    <mergeCell ref="L1472:M1472"/>
    <mergeCell ref="C1469:F1469"/>
    <mergeCell ref="G1469:H1469"/>
    <mergeCell ref="I1469:J1469"/>
    <mergeCell ref="L1469:M1469"/>
    <mergeCell ref="G1470:H1470"/>
    <mergeCell ref="I1470:J1470"/>
    <mergeCell ref="L1470:M1470"/>
    <mergeCell ref="C1470:F1470"/>
    <mergeCell ref="C1471:F1471"/>
    <mergeCell ref="G1471:H1471"/>
    <mergeCell ref="I1471:J1471"/>
    <mergeCell ref="C1472:F1472"/>
    <mergeCell ref="G1472:H1472"/>
    <mergeCell ref="I1472:J1472"/>
    <mergeCell ref="M1456:M1457"/>
    <mergeCell ref="N1456:N1457"/>
    <mergeCell ref="D1459:L1459"/>
    <mergeCell ref="D1460:L1460"/>
    <mergeCell ref="D2314:K2314"/>
    <mergeCell ref="L2314:M2314"/>
    <mergeCell ref="C2315:N2317"/>
    <mergeCell ref="C2318:F2318"/>
    <mergeCell ref="G2318:H2318"/>
    <mergeCell ref="I2318:J2318"/>
    <mergeCell ref="L2318:M2318"/>
    <mergeCell ref="C1407:H1407"/>
    <mergeCell ref="L1407:M1407"/>
    <mergeCell ref="C1408:H1408"/>
    <mergeCell ref="L1408:M1408"/>
    <mergeCell ref="C1409:H1409"/>
    <mergeCell ref="L1409:M1409"/>
    <mergeCell ref="L1410:M1410"/>
    <mergeCell ref="C1410:H1410"/>
    <mergeCell ref="C1411:H1411"/>
    <mergeCell ref="L1411:M1411"/>
    <mergeCell ref="C1412:H1412"/>
    <mergeCell ref="L1412:M1412"/>
    <mergeCell ref="C1413:M1413"/>
    <mergeCell ref="C1414:N1416"/>
    <mergeCell ref="C1417:H1417"/>
    <mergeCell ref="L1417:M1417"/>
    <mergeCell ref="C1418:H1418"/>
    <mergeCell ref="L1420:M1420"/>
    <mergeCell ref="C1420:H1420"/>
    <mergeCell ref="C1421:H1421"/>
    <mergeCell ref="L1421:M1421"/>
    <mergeCell ref="C1422:H1422"/>
    <mergeCell ref="D2226:L2226"/>
    <mergeCell ref="C2227:N2227"/>
    <mergeCell ref="D2229:K2229"/>
    <mergeCell ref="L2229:M2229"/>
    <mergeCell ref="D2230:K2230"/>
    <mergeCell ref="L2230:M2230"/>
    <mergeCell ref="C2231:N2233"/>
    <mergeCell ref="C2234:F2234"/>
    <mergeCell ref="G2234:H2234"/>
    <mergeCell ref="I2234:J2234"/>
    <mergeCell ref="L2234:M2234"/>
    <mergeCell ref="E2306:K2307"/>
    <mergeCell ref="L2306:L2307"/>
    <mergeCell ref="C2076:I2076"/>
    <mergeCell ref="L2076:M2076"/>
    <mergeCell ref="C2077:I2077"/>
    <mergeCell ref="L2077:M2077"/>
    <mergeCell ref="L2078:M2078"/>
    <mergeCell ref="C2078:I2078"/>
    <mergeCell ref="C2079:I2079"/>
    <mergeCell ref="L2079:M2079"/>
    <mergeCell ref="C2080:I2080"/>
    <mergeCell ref="L2080:M2080"/>
    <mergeCell ref="C2081:M2081"/>
    <mergeCell ref="C2082:N2084"/>
    <mergeCell ref="L2217:N2217"/>
    <mergeCell ref="E2218:K2220"/>
    <mergeCell ref="L2262:M2262"/>
    <mergeCell ref="C2263:H2263"/>
    <mergeCell ref="L2263:M2263"/>
    <mergeCell ref="C2264:M2264"/>
    <mergeCell ref="C2265:N2267"/>
    <mergeCell ref="C2268:H2268"/>
    <mergeCell ref="L2268:M2268"/>
    <mergeCell ref="C2269:H2269"/>
    <mergeCell ref="L2269:M2269"/>
    <mergeCell ref="C2270:H2270"/>
    <mergeCell ref="L2270:M2270"/>
    <mergeCell ref="L2271:M2271"/>
    <mergeCell ref="C2271:H2271"/>
    <mergeCell ref="C2272:H2272"/>
    <mergeCell ref="L2272:M2272"/>
    <mergeCell ref="C2273:H2273"/>
    <mergeCell ref="L2273:M2273"/>
    <mergeCell ref="C2274:M2274"/>
    <mergeCell ref="C2276:M2276"/>
    <mergeCell ref="C2277:N2279"/>
    <mergeCell ref="C2280:H2280"/>
    <mergeCell ref="L2280:M2280"/>
    <mergeCell ref="C2281:H2281"/>
    <mergeCell ref="L2281:M2281"/>
    <mergeCell ref="L2282:M2282"/>
    <mergeCell ref="L2283:M2283"/>
    <mergeCell ref="E2299:K2300"/>
    <mergeCell ref="E2301:K2301"/>
    <mergeCell ref="L2218:L2219"/>
    <mergeCell ref="M2218:M2219"/>
    <mergeCell ref="N2218:N2219"/>
    <mergeCell ref="L2220:N2220"/>
    <mergeCell ref="C2111:M2111"/>
    <mergeCell ref="C2113:M2113"/>
    <mergeCell ref="J2118:N2119"/>
    <mergeCell ref="C2119:E2119"/>
    <mergeCell ref="C2215:D2223"/>
    <mergeCell ref="L2215:M2216"/>
    <mergeCell ref="N2215:N2216"/>
    <mergeCell ref="E2222:K2223"/>
    <mergeCell ref="L2222:L2223"/>
    <mergeCell ref="D2140:K2140"/>
    <mergeCell ref="L2140:M2140"/>
    <mergeCell ref="D2141:K2141"/>
    <mergeCell ref="L2141:M2141"/>
    <mergeCell ref="C2142:N2144"/>
    <mergeCell ref="C2145:F2145"/>
    <mergeCell ref="G2145:H2145"/>
    <mergeCell ref="I2145:J2145"/>
    <mergeCell ref="L2146:M2146"/>
    <mergeCell ref="C2147:F2147"/>
    <mergeCell ref="G2147:H2147"/>
    <mergeCell ref="I2147:J2147"/>
    <mergeCell ref="L2147:M2147"/>
    <mergeCell ref="C2148:F2148"/>
    <mergeCell ref="G2148:H2148"/>
    <mergeCell ref="C2066:F2066"/>
    <mergeCell ref="G2066:H2066"/>
    <mergeCell ref="I2066:J2066"/>
    <mergeCell ref="L2066:M2066"/>
    <mergeCell ref="G2067:H2067"/>
    <mergeCell ref="I2067:J2067"/>
    <mergeCell ref="L2067:M2067"/>
    <mergeCell ref="L2073:M2073"/>
    <mergeCell ref="L2074:M2074"/>
    <mergeCell ref="C2067:F2067"/>
    <mergeCell ref="C2068:M2068"/>
    <mergeCell ref="C2069:N2071"/>
    <mergeCell ref="C2072:I2072"/>
    <mergeCell ref="L2072:M2072"/>
    <mergeCell ref="C2073:I2073"/>
    <mergeCell ref="C2074:I2074"/>
    <mergeCell ref="C2075:I2075"/>
    <mergeCell ref="L2075:M2075"/>
    <mergeCell ref="C2100:H2100"/>
    <mergeCell ref="L2100:M2100"/>
    <mergeCell ref="C2101:M2101"/>
    <mergeCell ref="I2148:J2148"/>
    <mergeCell ref="L2148:M2148"/>
    <mergeCell ref="L2026:M2026"/>
    <mergeCell ref="L2027:M2027"/>
    <mergeCell ref="E2042:K2043"/>
    <mergeCell ref="E2044:K2044"/>
    <mergeCell ref="L2064:M2064"/>
    <mergeCell ref="L2065:M2065"/>
    <mergeCell ref="C2062:F2062"/>
    <mergeCell ref="G2062:H2062"/>
    <mergeCell ref="I2062:J2062"/>
    <mergeCell ref="L2062:M2062"/>
    <mergeCell ref="G2063:H2063"/>
    <mergeCell ref="I2063:J2063"/>
    <mergeCell ref="L2063:M2063"/>
    <mergeCell ref="C2063:F2063"/>
    <mergeCell ref="C2064:F2064"/>
    <mergeCell ref="G2064:H2064"/>
    <mergeCell ref="I2064:J2064"/>
    <mergeCell ref="C2065:F2065"/>
    <mergeCell ref="G2065:H2065"/>
    <mergeCell ref="I2065:J2065"/>
    <mergeCell ref="C2249:I2249"/>
    <mergeCell ref="L2249:M2249"/>
    <mergeCell ref="C2250:I2250"/>
    <mergeCell ref="L2250:M2250"/>
    <mergeCell ref="L2251:M2251"/>
    <mergeCell ref="C2251:I2251"/>
    <mergeCell ref="C2252:I2252"/>
    <mergeCell ref="L2252:M2252"/>
    <mergeCell ref="C2253:I2253"/>
    <mergeCell ref="L2253:M2253"/>
    <mergeCell ref="C2254:M2254"/>
    <mergeCell ref="C2255:N2257"/>
    <mergeCell ref="L2044:N2044"/>
    <mergeCell ref="E2045:K2047"/>
    <mergeCell ref="L2045:L2046"/>
    <mergeCell ref="M2045:M2046"/>
    <mergeCell ref="N2045:N2046"/>
    <mergeCell ref="L2047:N2047"/>
    <mergeCell ref="M2049:M2050"/>
    <mergeCell ref="N2049:N2050"/>
    <mergeCell ref="C2042:D2050"/>
    <mergeCell ref="L2042:M2043"/>
    <mergeCell ref="N2042:N2043"/>
    <mergeCell ref="E2049:K2050"/>
    <mergeCell ref="L2049:L2050"/>
    <mergeCell ref="D2052:L2052"/>
    <mergeCell ref="D2053:L2053"/>
    <mergeCell ref="C2054:N2054"/>
    <mergeCell ref="D2056:K2056"/>
    <mergeCell ref="L2056:M2056"/>
    <mergeCell ref="D2057:K2057"/>
    <mergeCell ref="L2057:M2057"/>
    <mergeCell ref="C2239:F2239"/>
    <mergeCell ref="G2239:H2239"/>
    <mergeCell ref="I2239:J2239"/>
    <mergeCell ref="L2239:M2239"/>
    <mergeCell ref="G2240:H2240"/>
    <mergeCell ref="I2240:J2240"/>
    <mergeCell ref="L2240:M2240"/>
    <mergeCell ref="L2246:M2246"/>
    <mergeCell ref="L2247:M2247"/>
    <mergeCell ref="C2240:F2240"/>
    <mergeCell ref="C2241:M2241"/>
    <mergeCell ref="C2242:N2244"/>
    <mergeCell ref="C2245:I2245"/>
    <mergeCell ref="L2245:M2245"/>
    <mergeCell ref="C2246:I2246"/>
    <mergeCell ref="C2247:I2247"/>
    <mergeCell ref="C2248:I2248"/>
    <mergeCell ref="L2248:M2248"/>
    <mergeCell ref="C2104:N2106"/>
    <mergeCell ref="C2107:H2107"/>
    <mergeCell ref="L2107:M2107"/>
    <mergeCell ref="C2108:H2108"/>
    <mergeCell ref="L2108:M2108"/>
    <mergeCell ref="L2109:M2109"/>
    <mergeCell ref="L2110:M2110"/>
    <mergeCell ref="E2215:K2216"/>
    <mergeCell ref="E2217:K2217"/>
    <mergeCell ref="L2237:M2237"/>
    <mergeCell ref="L2238:M2238"/>
    <mergeCell ref="C2235:F2235"/>
    <mergeCell ref="G2235:H2235"/>
    <mergeCell ref="I2235:J2235"/>
    <mergeCell ref="L2235:M2235"/>
    <mergeCell ref="G2236:H2236"/>
    <mergeCell ref="I2236:J2236"/>
    <mergeCell ref="L2236:M2236"/>
    <mergeCell ref="C2236:F2236"/>
    <mergeCell ref="C2237:F2237"/>
    <mergeCell ref="G2237:H2237"/>
    <mergeCell ref="I2237:J2237"/>
    <mergeCell ref="C2238:F2238"/>
    <mergeCell ref="G2238:H2238"/>
    <mergeCell ref="I2238:J2238"/>
    <mergeCell ref="M2222:M2223"/>
    <mergeCell ref="N2222:N2223"/>
    <mergeCell ref="D2225:L2225"/>
    <mergeCell ref="L2145:M2145"/>
    <mergeCell ref="C2146:F2146"/>
    <mergeCell ref="G2146:H2146"/>
    <mergeCell ref="I2146:J2146"/>
    <mergeCell ref="C2089:H2089"/>
    <mergeCell ref="L2089:M2089"/>
    <mergeCell ref="C2090:H2090"/>
    <mergeCell ref="L2090:M2090"/>
    <mergeCell ref="C2091:M2091"/>
    <mergeCell ref="C2092:N2094"/>
    <mergeCell ref="C2095:H2095"/>
    <mergeCell ref="L2095:M2095"/>
    <mergeCell ref="C2096:H2096"/>
    <mergeCell ref="L2096:M2096"/>
    <mergeCell ref="C2097:H2097"/>
    <mergeCell ref="L2097:M2097"/>
    <mergeCell ref="L2098:M2098"/>
    <mergeCell ref="C2098:H2098"/>
    <mergeCell ref="C2099:H2099"/>
    <mergeCell ref="L2099:M2099"/>
    <mergeCell ref="C2103:M2103"/>
    <mergeCell ref="C2087:H2087"/>
    <mergeCell ref="L2087:M2087"/>
    <mergeCell ref="C2028:M2028"/>
    <mergeCell ref="C2030:M2030"/>
    <mergeCell ref="J2035:N2036"/>
    <mergeCell ref="C2036:E2036"/>
    <mergeCell ref="C2058:N2060"/>
    <mergeCell ref="C2061:F2061"/>
    <mergeCell ref="G2061:H2061"/>
    <mergeCell ref="I2061:J2061"/>
    <mergeCell ref="L2061:M2061"/>
    <mergeCell ref="C2002:H2002"/>
    <mergeCell ref="L2002:M2002"/>
    <mergeCell ref="C2003:H2003"/>
    <mergeCell ref="L2003:M2003"/>
    <mergeCell ref="C2004:H2004"/>
    <mergeCell ref="L2088:M2088"/>
    <mergeCell ref="C2088:H2088"/>
    <mergeCell ref="L2004:M2004"/>
    <mergeCell ref="L2005:M2005"/>
    <mergeCell ref="C2005:H2005"/>
    <mergeCell ref="C2006:H2006"/>
    <mergeCell ref="L2006:M2006"/>
    <mergeCell ref="C2007:H2007"/>
    <mergeCell ref="L2007:M2007"/>
    <mergeCell ref="C2008:M2008"/>
    <mergeCell ref="C2009:N2011"/>
    <mergeCell ref="C2012:H2012"/>
    <mergeCell ref="L2012:M2012"/>
    <mergeCell ref="C2013:H2013"/>
    <mergeCell ref="L2013:M2013"/>
    <mergeCell ref="C2014:H2014"/>
    <mergeCell ref="C1312:I1312"/>
    <mergeCell ref="L1312:M1312"/>
    <mergeCell ref="C1313:I1313"/>
    <mergeCell ref="L1313:M1313"/>
    <mergeCell ref="C1314:I1314"/>
    <mergeCell ref="L1314:M1314"/>
    <mergeCell ref="L1315:M1315"/>
    <mergeCell ref="C1315:I1315"/>
    <mergeCell ref="C1316:I1316"/>
    <mergeCell ref="L1316:M1316"/>
    <mergeCell ref="C1317:I1317"/>
    <mergeCell ref="L1317:M1317"/>
    <mergeCell ref="C1318:M1318"/>
    <mergeCell ref="C1319:N1321"/>
    <mergeCell ref="C2085:H2085"/>
    <mergeCell ref="L2085:M2085"/>
    <mergeCell ref="C2086:H2086"/>
    <mergeCell ref="L2086:M2086"/>
    <mergeCell ref="L2014:M2014"/>
    <mergeCell ref="L2015:M2015"/>
    <mergeCell ref="C2015:H2015"/>
    <mergeCell ref="C2016:H2016"/>
    <mergeCell ref="L2016:M2016"/>
    <mergeCell ref="C2017:H2017"/>
    <mergeCell ref="L2017:M2017"/>
    <mergeCell ref="C2018:M2018"/>
    <mergeCell ref="C2020:M2020"/>
    <mergeCell ref="C2021:N2023"/>
    <mergeCell ref="C2024:H2024"/>
    <mergeCell ref="L2024:M2024"/>
    <mergeCell ref="C2025:H2025"/>
    <mergeCell ref="L2025:M2025"/>
    <mergeCell ref="L1293:M1293"/>
    <mergeCell ref="D1294:K1294"/>
    <mergeCell ref="L1294:M1294"/>
    <mergeCell ref="C1295:N1297"/>
    <mergeCell ref="C1298:F1298"/>
    <mergeCell ref="G1298:H1298"/>
    <mergeCell ref="I1298:J1298"/>
    <mergeCell ref="L1298:M1298"/>
    <mergeCell ref="C1303:F1303"/>
    <mergeCell ref="G1303:H1303"/>
    <mergeCell ref="I1303:J1303"/>
    <mergeCell ref="L1303:M1303"/>
    <mergeCell ref="G1304:H1304"/>
    <mergeCell ref="I1304:J1304"/>
    <mergeCell ref="L1304:M1304"/>
    <mergeCell ref="L1310:M1310"/>
    <mergeCell ref="L1311:M1311"/>
    <mergeCell ref="C1304:F1304"/>
    <mergeCell ref="C1305:M1305"/>
    <mergeCell ref="C1306:N1308"/>
    <mergeCell ref="C1309:I1309"/>
    <mergeCell ref="L1309:M1309"/>
    <mergeCell ref="C1310:I1310"/>
    <mergeCell ref="C1311:I1311"/>
    <mergeCell ref="L1240:M1240"/>
    <mergeCell ref="C1240:H1240"/>
    <mergeCell ref="C1241:H1241"/>
    <mergeCell ref="L1241:M1241"/>
    <mergeCell ref="C1242:H1242"/>
    <mergeCell ref="L1242:M1242"/>
    <mergeCell ref="C1243:M1243"/>
    <mergeCell ref="C1244:N1246"/>
    <mergeCell ref="C1247:H1247"/>
    <mergeCell ref="L1247:M1247"/>
    <mergeCell ref="C1248:H1248"/>
    <mergeCell ref="L1248:M1248"/>
    <mergeCell ref="L1301:M1301"/>
    <mergeCell ref="L1302:M1302"/>
    <mergeCell ref="C1299:F1299"/>
    <mergeCell ref="G1299:H1299"/>
    <mergeCell ref="I1299:J1299"/>
    <mergeCell ref="L1299:M1299"/>
    <mergeCell ref="G1300:H1300"/>
    <mergeCell ref="I1300:J1300"/>
    <mergeCell ref="L1300:M1300"/>
    <mergeCell ref="C1300:F1300"/>
    <mergeCell ref="C1301:F1301"/>
    <mergeCell ref="G1301:H1301"/>
    <mergeCell ref="I1301:J1301"/>
    <mergeCell ref="C1302:F1302"/>
    <mergeCell ref="G1302:H1302"/>
    <mergeCell ref="I1302:J1302"/>
    <mergeCell ref="D1289:L1289"/>
    <mergeCell ref="D1290:L1290"/>
    <mergeCell ref="C1291:N1291"/>
    <mergeCell ref="D1293:K1293"/>
    <mergeCell ref="M1286:M1287"/>
    <mergeCell ref="N1286:N1287"/>
    <mergeCell ref="C1263:M1263"/>
    <mergeCell ref="C1265:M1265"/>
    <mergeCell ref="J1270:N1271"/>
    <mergeCell ref="C1271:E1271"/>
    <mergeCell ref="C1279:D1287"/>
    <mergeCell ref="L1279:M1280"/>
    <mergeCell ref="N1279:N1280"/>
    <mergeCell ref="E1286:K1287"/>
    <mergeCell ref="L1286:L1287"/>
    <mergeCell ref="L1250:M1250"/>
    <mergeCell ref="C1250:H1250"/>
    <mergeCell ref="C1251:H1251"/>
    <mergeCell ref="L1251:M1251"/>
    <mergeCell ref="C1252:H1252"/>
    <mergeCell ref="L1252:M1252"/>
    <mergeCell ref="C1253:M1253"/>
    <mergeCell ref="L1261:M1261"/>
    <mergeCell ref="L1262:M1262"/>
    <mergeCell ref="E1279:K1280"/>
    <mergeCell ref="E1281:K1281"/>
    <mergeCell ref="C1228:I1228"/>
    <mergeCell ref="L1228:M1228"/>
    <mergeCell ref="C1229:I1229"/>
    <mergeCell ref="L1229:M1229"/>
    <mergeCell ref="L1230:M1230"/>
    <mergeCell ref="C1230:I1230"/>
    <mergeCell ref="C1231:I1231"/>
    <mergeCell ref="L1231:M1231"/>
    <mergeCell ref="C1232:I1232"/>
    <mergeCell ref="L1232:M1232"/>
    <mergeCell ref="C1233:M1233"/>
    <mergeCell ref="C1234:N1236"/>
    <mergeCell ref="L1281:N1281"/>
    <mergeCell ref="E1282:K1284"/>
    <mergeCell ref="L1282:L1283"/>
    <mergeCell ref="M1282:M1283"/>
    <mergeCell ref="N1282:N1283"/>
    <mergeCell ref="L1284:N1284"/>
    <mergeCell ref="C1249:H1249"/>
    <mergeCell ref="L1249:M1249"/>
    <mergeCell ref="C1255:M1255"/>
    <mergeCell ref="C1256:N1258"/>
    <mergeCell ref="C1259:H1259"/>
    <mergeCell ref="L1259:M1259"/>
    <mergeCell ref="C1260:H1260"/>
    <mergeCell ref="L1260:M1260"/>
    <mergeCell ref="C1237:H1237"/>
    <mergeCell ref="L1237:M1237"/>
    <mergeCell ref="C1238:H1238"/>
    <mergeCell ref="L1238:M1238"/>
    <mergeCell ref="C1239:H1239"/>
    <mergeCell ref="L1239:M1239"/>
    <mergeCell ref="C1218:F1218"/>
    <mergeCell ref="G1218:H1218"/>
    <mergeCell ref="I1218:J1218"/>
    <mergeCell ref="L1218:M1218"/>
    <mergeCell ref="G1219:H1219"/>
    <mergeCell ref="I1219:J1219"/>
    <mergeCell ref="L1219:M1219"/>
    <mergeCell ref="L1225:M1225"/>
    <mergeCell ref="L1226:M1226"/>
    <mergeCell ref="C1219:F1219"/>
    <mergeCell ref="C1220:M1220"/>
    <mergeCell ref="C1221:N1223"/>
    <mergeCell ref="C1224:I1224"/>
    <mergeCell ref="L1224:M1224"/>
    <mergeCell ref="C1225:I1225"/>
    <mergeCell ref="C1226:I1226"/>
    <mergeCell ref="C1227:I1227"/>
    <mergeCell ref="L1227:M1227"/>
    <mergeCell ref="C1171:N1173"/>
    <mergeCell ref="C1174:H1174"/>
    <mergeCell ref="L1174:M1174"/>
    <mergeCell ref="C1175:H1175"/>
    <mergeCell ref="L1175:M1175"/>
    <mergeCell ref="L1176:M1176"/>
    <mergeCell ref="L1177:M1177"/>
    <mergeCell ref="E1194:K1195"/>
    <mergeCell ref="E1196:K1196"/>
    <mergeCell ref="L1216:M1216"/>
    <mergeCell ref="L1217:M1217"/>
    <mergeCell ref="C1214:F1214"/>
    <mergeCell ref="G1214:H1214"/>
    <mergeCell ref="I1214:J1214"/>
    <mergeCell ref="L1214:M1214"/>
    <mergeCell ref="G1215:H1215"/>
    <mergeCell ref="I1215:J1215"/>
    <mergeCell ref="L1215:M1215"/>
    <mergeCell ref="C1215:F1215"/>
    <mergeCell ref="C1216:F1216"/>
    <mergeCell ref="G1216:H1216"/>
    <mergeCell ref="I1216:J1216"/>
    <mergeCell ref="C1217:F1217"/>
    <mergeCell ref="G1217:H1217"/>
    <mergeCell ref="I1217:J1217"/>
    <mergeCell ref="C1210:N1212"/>
    <mergeCell ref="C1213:F1213"/>
    <mergeCell ref="G1213:H1213"/>
    <mergeCell ref="I1213:J1213"/>
    <mergeCell ref="L1213:M1213"/>
    <mergeCell ref="D1209:K1209"/>
    <mergeCell ref="L1209:M1209"/>
    <mergeCell ref="C803:I803"/>
    <mergeCell ref="L803:M803"/>
    <mergeCell ref="C804:I804"/>
    <mergeCell ref="L804:M804"/>
    <mergeCell ref="L805:M805"/>
    <mergeCell ref="C805:I805"/>
    <mergeCell ref="C806:I806"/>
    <mergeCell ref="L806:M806"/>
    <mergeCell ref="C807:I807"/>
    <mergeCell ref="L807:M807"/>
    <mergeCell ref="C808:M808"/>
    <mergeCell ref="C809:N811"/>
    <mergeCell ref="L1196:N1196"/>
    <mergeCell ref="E1197:K1199"/>
    <mergeCell ref="L1197:L1198"/>
    <mergeCell ref="M1197:M1198"/>
    <mergeCell ref="N1197:N1198"/>
    <mergeCell ref="L1199:N1199"/>
    <mergeCell ref="C1178:M1178"/>
    <mergeCell ref="C1180:M1180"/>
    <mergeCell ref="J1185:N1186"/>
    <mergeCell ref="C1186:E1186"/>
    <mergeCell ref="C1194:D1202"/>
    <mergeCell ref="L1194:M1195"/>
    <mergeCell ref="N1194:N1195"/>
    <mergeCell ref="C1152:H1152"/>
    <mergeCell ref="L1152:M1152"/>
    <mergeCell ref="C1153:H1153"/>
    <mergeCell ref="L1153:M1153"/>
    <mergeCell ref="C1154:H1154"/>
    <mergeCell ref="L1154:M1154"/>
    <mergeCell ref="L1155:M1155"/>
    <mergeCell ref="C793:F793"/>
    <mergeCell ref="G793:H793"/>
    <mergeCell ref="I793:J793"/>
    <mergeCell ref="L793:M793"/>
    <mergeCell ref="G794:H794"/>
    <mergeCell ref="I794:J794"/>
    <mergeCell ref="L794:M794"/>
    <mergeCell ref="L800:M800"/>
    <mergeCell ref="L801:M801"/>
    <mergeCell ref="C794:F794"/>
    <mergeCell ref="C795:M795"/>
    <mergeCell ref="C796:N798"/>
    <mergeCell ref="C799:I799"/>
    <mergeCell ref="L799:M799"/>
    <mergeCell ref="C800:I800"/>
    <mergeCell ref="C801:I801"/>
    <mergeCell ref="C802:I802"/>
    <mergeCell ref="L802:M802"/>
    <mergeCell ref="C742:H742"/>
    <mergeCell ref="L742:M742"/>
    <mergeCell ref="C743:M743"/>
    <mergeCell ref="C745:M745"/>
    <mergeCell ref="C746:N748"/>
    <mergeCell ref="C749:H749"/>
    <mergeCell ref="L749:M749"/>
    <mergeCell ref="C750:H750"/>
    <mergeCell ref="L750:M750"/>
    <mergeCell ref="L751:M751"/>
    <mergeCell ref="L752:M752"/>
    <mergeCell ref="E769:K770"/>
    <mergeCell ref="E771:K771"/>
    <mergeCell ref="L791:M791"/>
    <mergeCell ref="L792:M792"/>
    <mergeCell ref="C789:F789"/>
    <mergeCell ref="G789:H789"/>
    <mergeCell ref="I789:J789"/>
    <mergeCell ref="L789:M789"/>
    <mergeCell ref="G790:H790"/>
    <mergeCell ref="I790:J790"/>
    <mergeCell ref="L790:M790"/>
    <mergeCell ref="C790:F790"/>
    <mergeCell ref="C791:F791"/>
    <mergeCell ref="G791:H791"/>
    <mergeCell ref="I791:J791"/>
    <mergeCell ref="C792:F792"/>
    <mergeCell ref="G792:H792"/>
    <mergeCell ref="I792:J792"/>
    <mergeCell ref="C785:N787"/>
    <mergeCell ref="C788:F788"/>
    <mergeCell ref="G788:H788"/>
    <mergeCell ref="L635:M635"/>
    <mergeCell ref="C635:I635"/>
    <mergeCell ref="C636:I636"/>
    <mergeCell ref="L636:M636"/>
    <mergeCell ref="C637:I637"/>
    <mergeCell ref="L637:M637"/>
    <mergeCell ref="C638:M638"/>
    <mergeCell ref="C639:N641"/>
    <mergeCell ref="C727:H727"/>
    <mergeCell ref="L727:M727"/>
    <mergeCell ref="C728:H728"/>
    <mergeCell ref="L728:M728"/>
    <mergeCell ref="C729:H729"/>
    <mergeCell ref="L729:M729"/>
    <mergeCell ref="L730:M730"/>
    <mergeCell ref="C730:H730"/>
    <mergeCell ref="C731:H731"/>
    <mergeCell ref="L731:M731"/>
    <mergeCell ref="C718:I718"/>
    <mergeCell ref="L718:M718"/>
    <mergeCell ref="C719:I719"/>
    <mergeCell ref="L719:M719"/>
    <mergeCell ref="L720:M720"/>
    <mergeCell ref="C720:I720"/>
    <mergeCell ref="C721:I721"/>
    <mergeCell ref="L721:M721"/>
    <mergeCell ref="C722:I722"/>
    <mergeCell ref="L722:M722"/>
    <mergeCell ref="C723:M723"/>
    <mergeCell ref="C724:N726"/>
    <mergeCell ref="E684:K685"/>
    <mergeCell ref="E686:K686"/>
    <mergeCell ref="G624:H624"/>
    <mergeCell ref="I624:J624"/>
    <mergeCell ref="L624:M624"/>
    <mergeCell ref="L630:M630"/>
    <mergeCell ref="L631:M631"/>
    <mergeCell ref="C624:F624"/>
    <mergeCell ref="C625:M625"/>
    <mergeCell ref="C626:N628"/>
    <mergeCell ref="C629:I629"/>
    <mergeCell ref="L629:M629"/>
    <mergeCell ref="C630:I630"/>
    <mergeCell ref="C631:I631"/>
    <mergeCell ref="C632:I632"/>
    <mergeCell ref="L632:M632"/>
    <mergeCell ref="C633:I633"/>
    <mergeCell ref="L633:M633"/>
    <mergeCell ref="C634:I634"/>
    <mergeCell ref="L634:M634"/>
    <mergeCell ref="L621:M621"/>
    <mergeCell ref="L622:M622"/>
    <mergeCell ref="C619:F619"/>
    <mergeCell ref="G619:H619"/>
    <mergeCell ref="I619:J619"/>
    <mergeCell ref="L619:M619"/>
    <mergeCell ref="G620:H620"/>
    <mergeCell ref="I620:J620"/>
    <mergeCell ref="L620:M620"/>
    <mergeCell ref="C620:F620"/>
    <mergeCell ref="C621:F621"/>
    <mergeCell ref="G621:H621"/>
    <mergeCell ref="I621:J621"/>
    <mergeCell ref="C622:F622"/>
    <mergeCell ref="G622:H622"/>
    <mergeCell ref="I622:J622"/>
    <mergeCell ref="C623:F623"/>
    <mergeCell ref="G623:H623"/>
    <mergeCell ref="I623:J623"/>
    <mergeCell ref="L623:M623"/>
    <mergeCell ref="C615:N617"/>
    <mergeCell ref="C618:F618"/>
    <mergeCell ref="G618:H618"/>
    <mergeCell ref="I618:J618"/>
    <mergeCell ref="L618:M618"/>
    <mergeCell ref="C557:H557"/>
    <mergeCell ref="L557:M557"/>
    <mergeCell ref="C558:H558"/>
    <mergeCell ref="L558:M558"/>
    <mergeCell ref="C559:H559"/>
    <mergeCell ref="L559:M559"/>
    <mergeCell ref="L560:M560"/>
    <mergeCell ref="C560:H560"/>
    <mergeCell ref="C561:H561"/>
    <mergeCell ref="L561:M561"/>
    <mergeCell ref="C562:H562"/>
    <mergeCell ref="L562:M562"/>
    <mergeCell ref="C563:M563"/>
    <mergeCell ref="C564:N566"/>
    <mergeCell ref="C567:H567"/>
    <mergeCell ref="L567:M567"/>
    <mergeCell ref="C568:H568"/>
    <mergeCell ref="L568:M568"/>
    <mergeCell ref="C569:H569"/>
    <mergeCell ref="L569:M569"/>
    <mergeCell ref="L570:M570"/>
    <mergeCell ref="C570:H570"/>
    <mergeCell ref="C571:H571"/>
    <mergeCell ref="L571:M571"/>
    <mergeCell ref="C572:H572"/>
    <mergeCell ref="L572:M572"/>
    <mergeCell ref="C573:M573"/>
    <mergeCell ref="M606:M607"/>
    <mergeCell ref="N606:N607"/>
    <mergeCell ref="C583:M583"/>
    <mergeCell ref="C585:M585"/>
    <mergeCell ref="J590:N591"/>
    <mergeCell ref="C591:E591"/>
    <mergeCell ref="C599:D607"/>
    <mergeCell ref="L599:M600"/>
    <mergeCell ref="N599:N600"/>
    <mergeCell ref="E606:K607"/>
    <mergeCell ref="L606:L607"/>
    <mergeCell ref="D609:L609"/>
    <mergeCell ref="D610:L610"/>
    <mergeCell ref="C611:N611"/>
    <mergeCell ref="D613:K613"/>
    <mergeCell ref="L613:M613"/>
    <mergeCell ref="D614:K614"/>
    <mergeCell ref="L614:M614"/>
    <mergeCell ref="E599:K600"/>
    <mergeCell ref="E601:K601"/>
    <mergeCell ref="C547:I547"/>
    <mergeCell ref="L547:M547"/>
    <mergeCell ref="C548:I548"/>
    <mergeCell ref="L548:M548"/>
    <mergeCell ref="C549:I549"/>
    <mergeCell ref="L549:M549"/>
    <mergeCell ref="L550:M550"/>
    <mergeCell ref="C550:I550"/>
    <mergeCell ref="C551:I551"/>
    <mergeCell ref="L551:M551"/>
    <mergeCell ref="C552:I552"/>
    <mergeCell ref="L552:M552"/>
    <mergeCell ref="C553:M553"/>
    <mergeCell ref="C554:N556"/>
    <mergeCell ref="L601:N601"/>
    <mergeCell ref="E602:K604"/>
    <mergeCell ref="L602:L603"/>
    <mergeCell ref="M602:M603"/>
    <mergeCell ref="N602:N603"/>
    <mergeCell ref="L604:N604"/>
    <mergeCell ref="C575:M575"/>
    <mergeCell ref="C576:N578"/>
    <mergeCell ref="C579:H579"/>
    <mergeCell ref="L579:M579"/>
    <mergeCell ref="C580:H580"/>
    <mergeCell ref="L580:M580"/>
    <mergeCell ref="L581:M581"/>
    <mergeCell ref="L582:M582"/>
    <mergeCell ref="E517:K519"/>
    <mergeCell ref="L517:L518"/>
    <mergeCell ref="M517:M518"/>
    <mergeCell ref="N517:N518"/>
    <mergeCell ref="L519:N519"/>
    <mergeCell ref="M521:M522"/>
    <mergeCell ref="D524:L524"/>
    <mergeCell ref="D525:L525"/>
    <mergeCell ref="C538:F538"/>
    <mergeCell ref="G538:H538"/>
    <mergeCell ref="I538:J538"/>
    <mergeCell ref="L538:M538"/>
    <mergeCell ref="G539:H539"/>
    <mergeCell ref="I539:J539"/>
    <mergeCell ref="L539:M539"/>
    <mergeCell ref="L545:M545"/>
    <mergeCell ref="L546:M546"/>
    <mergeCell ref="C539:F539"/>
    <mergeCell ref="C540:M540"/>
    <mergeCell ref="C541:N543"/>
    <mergeCell ref="C544:I544"/>
    <mergeCell ref="L544:M544"/>
    <mergeCell ref="C545:I545"/>
    <mergeCell ref="C546:I546"/>
    <mergeCell ref="L536:M536"/>
    <mergeCell ref="L537:M537"/>
    <mergeCell ref="C534:F534"/>
    <mergeCell ref="G534:H534"/>
    <mergeCell ref="I534:J534"/>
    <mergeCell ref="L534:M534"/>
    <mergeCell ref="G535:H535"/>
    <mergeCell ref="I535:J535"/>
    <mergeCell ref="L535:M535"/>
    <mergeCell ref="C535:F535"/>
    <mergeCell ref="C536:F536"/>
    <mergeCell ref="G536:H536"/>
    <mergeCell ref="I536:J536"/>
    <mergeCell ref="C537:F537"/>
    <mergeCell ref="G537:H537"/>
    <mergeCell ref="I537:J537"/>
    <mergeCell ref="C530:N532"/>
    <mergeCell ref="C533:F533"/>
    <mergeCell ref="G533:H533"/>
    <mergeCell ref="I533:J533"/>
    <mergeCell ref="L533:M533"/>
    <mergeCell ref="L485:M485"/>
    <mergeCell ref="C485:H485"/>
    <mergeCell ref="C486:H486"/>
    <mergeCell ref="L486:M486"/>
    <mergeCell ref="C487:H487"/>
    <mergeCell ref="L487:M487"/>
    <mergeCell ref="C488:M488"/>
    <mergeCell ref="C490:M490"/>
    <mergeCell ref="C491:N493"/>
    <mergeCell ref="C494:H494"/>
    <mergeCell ref="L494:M494"/>
    <mergeCell ref="C495:H495"/>
    <mergeCell ref="L495:M495"/>
    <mergeCell ref="L496:M496"/>
    <mergeCell ref="L497:M497"/>
    <mergeCell ref="E514:K515"/>
    <mergeCell ref="E516:K516"/>
    <mergeCell ref="L516:N516"/>
    <mergeCell ref="C463:I463"/>
    <mergeCell ref="L463:M463"/>
    <mergeCell ref="C464:I464"/>
    <mergeCell ref="L464:M464"/>
    <mergeCell ref="L465:M465"/>
    <mergeCell ref="C465:I465"/>
    <mergeCell ref="C466:I466"/>
    <mergeCell ref="L466:M466"/>
    <mergeCell ref="C467:I467"/>
    <mergeCell ref="L467:M467"/>
    <mergeCell ref="C468:M468"/>
    <mergeCell ref="C469:N471"/>
    <mergeCell ref="C462:I462"/>
    <mergeCell ref="L462:M462"/>
    <mergeCell ref="L482:M482"/>
    <mergeCell ref="C483:H483"/>
    <mergeCell ref="L483:M483"/>
    <mergeCell ref="C526:N526"/>
    <mergeCell ref="D528:K528"/>
    <mergeCell ref="L528:M528"/>
    <mergeCell ref="D529:K529"/>
    <mergeCell ref="L529:M529"/>
    <mergeCell ref="C472:H472"/>
    <mergeCell ref="L472:M472"/>
    <mergeCell ref="C473:H473"/>
    <mergeCell ref="L473:M473"/>
    <mergeCell ref="C474:H474"/>
    <mergeCell ref="L474:M474"/>
    <mergeCell ref="L475:M475"/>
    <mergeCell ref="C475:H475"/>
    <mergeCell ref="C476:H476"/>
    <mergeCell ref="L476:M476"/>
    <mergeCell ref="C477:H477"/>
    <mergeCell ref="L477:M477"/>
    <mergeCell ref="C478:M478"/>
    <mergeCell ref="C479:N481"/>
    <mergeCell ref="C482:H482"/>
    <mergeCell ref="N521:N522"/>
    <mergeCell ref="C498:M498"/>
    <mergeCell ref="C500:M500"/>
    <mergeCell ref="J505:N506"/>
    <mergeCell ref="C506:E506"/>
    <mergeCell ref="C514:D522"/>
    <mergeCell ref="L514:M515"/>
    <mergeCell ref="N514:N515"/>
    <mergeCell ref="E521:K522"/>
    <mergeCell ref="L521:L522"/>
    <mergeCell ref="C484:H484"/>
    <mergeCell ref="L484:M484"/>
    <mergeCell ref="C378:I378"/>
    <mergeCell ref="L378:M378"/>
    <mergeCell ref="C379:I379"/>
    <mergeCell ref="L379:M379"/>
    <mergeCell ref="L380:M380"/>
    <mergeCell ref="C380:I380"/>
    <mergeCell ref="C381:I381"/>
    <mergeCell ref="L381:M381"/>
    <mergeCell ref="C382:I382"/>
    <mergeCell ref="L382:M382"/>
    <mergeCell ref="C383:M383"/>
    <mergeCell ref="C384:N386"/>
    <mergeCell ref="L431:N431"/>
    <mergeCell ref="E432:K434"/>
    <mergeCell ref="L432:L433"/>
    <mergeCell ref="M432:M433"/>
    <mergeCell ref="N432:N433"/>
    <mergeCell ref="L434:N434"/>
    <mergeCell ref="C413:M413"/>
    <mergeCell ref="C415:M415"/>
    <mergeCell ref="J420:N421"/>
    <mergeCell ref="C421:E421"/>
    <mergeCell ref="C429:D437"/>
    <mergeCell ref="L429:M430"/>
    <mergeCell ref="N429:N430"/>
    <mergeCell ref="E436:K437"/>
    <mergeCell ref="L436:L437"/>
    <mergeCell ref="C392:H392"/>
    <mergeCell ref="L392:M392"/>
    <mergeCell ref="C393:M393"/>
    <mergeCell ref="C394:N396"/>
    <mergeCell ref="C397:H397"/>
    <mergeCell ref="C368:F368"/>
    <mergeCell ref="G368:H368"/>
    <mergeCell ref="I368:J368"/>
    <mergeCell ref="L368:M368"/>
    <mergeCell ref="G369:H369"/>
    <mergeCell ref="I369:J369"/>
    <mergeCell ref="L369:M369"/>
    <mergeCell ref="L375:M375"/>
    <mergeCell ref="L376:M376"/>
    <mergeCell ref="C369:F369"/>
    <mergeCell ref="C370:M370"/>
    <mergeCell ref="C371:N373"/>
    <mergeCell ref="C374:I374"/>
    <mergeCell ref="L374:M374"/>
    <mergeCell ref="C375:I375"/>
    <mergeCell ref="C376:I376"/>
    <mergeCell ref="C377:I377"/>
    <mergeCell ref="L377:M377"/>
    <mergeCell ref="C316:H316"/>
    <mergeCell ref="L316:M316"/>
    <mergeCell ref="C317:H317"/>
    <mergeCell ref="L317:M317"/>
    <mergeCell ref="C318:M318"/>
    <mergeCell ref="C320:M320"/>
    <mergeCell ref="C321:N323"/>
    <mergeCell ref="C324:H324"/>
    <mergeCell ref="L324:M324"/>
    <mergeCell ref="C325:H325"/>
    <mergeCell ref="L325:M325"/>
    <mergeCell ref="L326:M326"/>
    <mergeCell ref="L327:M327"/>
    <mergeCell ref="E344:K345"/>
    <mergeCell ref="E346:K346"/>
    <mergeCell ref="L366:M366"/>
    <mergeCell ref="L367:M367"/>
    <mergeCell ref="C364:F364"/>
    <mergeCell ref="G364:H364"/>
    <mergeCell ref="I364:J364"/>
    <mergeCell ref="L364:M364"/>
    <mergeCell ref="G365:H365"/>
    <mergeCell ref="I365:J365"/>
    <mergeCell ref="L365:M365"/>
    <mergeCell ref="C365:F365"/>
    <mergeCell ref="C366:F366"/>
    <mergeCell ref="G366:H366"/>
    <mergeCell ref="I366:J366"/>
    <mergeCell ref="C367:F367"/>
    <mergeCell ref="G367:H367"/>
    <mergeCell ref="I367:J367"/>
    <mergeCell ref="L346:N346"/>
    <mergeCell ref="L304:M304"/>
    <mergeCell ref="L305:M305"/>
    <mergeCell ref="C305:H305"/>
    <mergeCell ref="C306:H306"/>
    <mergeCell ref="L306:M306"/>
    <mergeCell ref="C307:H307"/>
    <mergeCell ref="L307:M307"/>
    <mergeCell ref="C308:M308"/>
    <mergeCell ref="C309:N311"/>
    <mergeCell ref="C312:H312"/>
    <mergeCell ref="L312:M312"/>
    <mergeCell ref="C313:H313"/>
    <mergeCell ref="L313:M313"/>
    <mergeCell ref="C314:H314"/>
    <mergeCell ref="L314:M314"/>
    <mergeCell ref="L315:M315"/>
    <mergeCell ref="C315:H315"/>
    <mergeCell ref="E347:K349"/>
    <mergeCell ref="L347:L348"/>
    <mergeCell ref="M347:M348"/>
    <mergeCell ref="N347:N348"/>
    <mergeCell ref="L349:N349"/>
    <mergeCell ref="M351:M352"/>
    <mergeCell ref="N351:N352"/>
    <mergeCell ref="C344:D352"/>
    <mergeCell ref="L344:M345"/>
    <mergeCell ref="N344:N345"/>
    <mergeCell ref="E351:K352"/>
    <mergeCell ref="L351:L352"/>
    <mergeCell ref="D354:L354"/>
    <mergeCell ref="D355:L355"/>
    <mergeCell ref="C356:N356"/>
    <mergeCell ref="D358:K358"/>
    <mergeCell ref="L358:M358"/>
    <mergeCell ref="C453:F453"/>
    <mergeCell ref="G453:H453"/>
    <mergeCell ref="I453:J453"/>
    <mergeCell ref="L453:M453"/>
    <mergeCell ref="G454:H454"/>
    <mergeCell ref="I454:J454"/>
    <mergeCell ref="L454:M454"/>
    <mergeCell ref="L460:M460"/>
    <mergeCell ref="L461:M461"/>
    <mergeCell ref="C454:F454"/>
    <mergeCell ref="C455:M455"/>
    <mergeCell ref="C456:N458"/>
    <mergeCell ref="C459:I459"/>
    <mergeCell ref="L459:M459"/>
    <mergeCell ref="C460:I460"/>
    <mergeCell ref="C461:I461"/>
    <mergeCell ref="C405:M405"/>
    <mergeCell ref="C406:N408"/>
    <mergeCell ref="C409:H409"/>
    <mergeCell ref="L409:M409"/>
    <mergeCell ref="C410:H410"/>
    <mergeCell ref="L410:M410"/>
    <mergeCell ref="L411:M411"/>
    <mergeCell ref="L412:M412"/>
    <mergeCell ref="E429:K430"/>
    <mergeCell ref="E431:K431"/>
    <mergeCell ref="L451:M451"/>
    <mergeCell ref="L452:M452"/>
    <mergeCell ref="C449:F449"/>
    <mergeCell ref="G449:H449"/>
    <mergeCell ref="L443:M443"/>
    <mergeCell ref="D444:K444"/>
    <mergeCell ref="I449:J449"/>
    <mergeCell ref="L449:M449"/>
    <mergeCell ref="G450:H450"/>
    <mergeCell ref="I450:J450"/>
    <mergeCell ref="L450:M450"/>
    <mergeCell ref="C450:F450"/>
    <mergeCell ref="C451:F451"/>
    <mergeCell ref="G451:H451"/>
    <mergeCell ref="I451:J451"/>
    <mergeCell ref="C452:F452"/>
    <mergeCell ref="G452:H452"/>
    <mergeCell ref="I452:J452"/>
    <mergeCell ref="M436:M437"/>
    <mergeCell ref="N436:N437"/>
    <mergeCell ref="D439:L439"/>
    <mergeCell ref="D440:L440"/>
    <mergeCell ref="C441:N441"/>
    <mergeCell ref="D443:K443"/>
    <mergeCell ref="L444:M444"/>
    <mergeCell ref="C445:N447"/>
    <mergeCell ref="C448:F448"/>
    <mergeCell ref="G448:H448"/>
    <mergeCell ref="I448:J448"/>
    <mergeCell ref="L448:M448"/>
    <mergeCell ref="L397:M397"/>
    <mergeCell ref="C398:H398"/>
    <mergeCell ref="L398:M398"/>
    <mergeCell ref="C399:H399"/>
    <mergeCell ref="L399:M399"/>
    <mergeCell ref="L400:M400"/>
    <mergeCell ref="C400:H400"/>
    <mergeCell ref="C401:H401"/>
    <mergeCell ref="L401:M401"/>
    <mergeCell ref="C402:H402"/>
    <mergeCell ref="L402:M402"/>
    <mergeCell ref="C403:M403"/>
    <mergeCell ref="L295:M295"/>
    <mergeCell ref="C295:I295"/>
    <mergeCell ref="C296:I296"/>
    <mergeCell ref="L296:M296"/>
    <mergeCell ref="C297:I297"/>
    <mergeCell ref="L297:M297"/>
    <mergeCell ref="C298:M298"/>
    <mergeCell ref="C299:N301"/>
    <mergeCell ref="C387:H387"/>
    <mergeCell ref="L387:M387"/>
    <mergeCell ref="C388:H388"/>
    <mergeCell ref="L388:M388"/>
    <mergeCell ref="C389:H389"/>
    <mergeCell ref="L389:M389"/>
    <mergeCell ref="L390:M390"/>
    <mergeCell ref="C390:H390"/>
    <mergeCell ref="C391:H391"/>
    <mergeCell ref="L391:M391"/>
    <mergeCell ref="C328:M328"/>
    <mergeCell ref="C330:M330"/>
    <mergeCell ref="J335:N336"/>
    <mergeCell ref="C336:E336"/>
    <mergeCell ref="C360:N362"/>
    <mergeCell ref="C363:F363"/>
    <mergeCell ref="G363:H363"/>
    <mergeCell ref="I363:J363"/>
    <mergeCell ref="L363:M363"/>
    <mergeCell ref="C302:H302"/>
    <mergeCell ref="L302:M302"/>
    <mergeCell ref="C303:H303"/>
    <mergeCell ref="L303:M303"/>
    <mergeCell ref="C304:H304"/>
    <mergeCell ref="G284:H284"/>
    <mergeCell ref="I284:J284"/>
    <mergeCell ref="L284:M284"/>
    <mergeCell ref="L290:M290"/>
    <mergeCell ref="L291:M291"/>
    <mergeCell ref="C284:F284"/>
    <mergeCell ref="C285:M285"/>
    <mergeCell ref="C286:N288"/>
    <mergeCell ref="C289:I289"/>
    <mergeCell ref="L289:M289"/>
    <mergeCell ref="C290:I290"/>
    <mergeCell ref="C291:I291"/>
    <mergeCell ref="C292:I292"/>
    <mergeCell ref="L292:M292"/>
    <mergeCell ref="C293:I293"/>
    <mergeCell ref="L293:M293"/>
    <mergeCell ref="C294:I294"/>
    <mergeCell ref="L294:M294"/>
    <mergeCell ref="D359:K359"/>
    <mergeCell ref="L359:M359"/>
    <mergeCell ref="L281:M281"/>
    <mergeCell ref="L282:M282"/>
    <mergeCell ref="C279:F279"/>
    <mergeCell ref="G279:H279"/>
    <mergeCell ref="I279:J279"/>
    <mergeCell ref="L279:M279"/>
    <mergeCell ref="G280:H280"/>
    <mergeCell ref="I280:J280"/>
    <mergeCell ref="L280:M280"/>
    <mergeCell ref="C280:F280"/>
    <mergeCell ref="C281:F281"/>
    <mergeCell ref="G281:H281"/>
    <mergeCell ref="I281:J281"/>
    <mergeCell ref="C282:F282"/>
    <mergeCell ref="G282:H282"/>
    <mergeCell ref="I282:J282"/>
    <mergeCell ref="C283:F283"/>
    <mergeCell ref="G283:H283"/>
    <mergeCell ref="I283:J283"/>
    <mergeCell ref="L283:M283"/>
    <mergeCell ref="C275:N277"/>
    <mergeCell ref="C278:F278"/>
    <mergeCell ref="G278:H278"/>
    <mergeCell ref="I278:J278"/>
    <mergeCell ref="L278:M278"/>
    <mergeCell ref="C217:H217"/>
    <mergeCell ref="L217:M217"/>
    <mergeCell ref="C218:H218"/>
    <mergeCell ref="L218:M218"/>
    <mergeCell ref="C219:H219"/>
    <mergeCell ref="L219:M219"/>
    <mergeCell ref="L220:M220"/>
    <mergeCell ref="C220:H220"/>
    <mergeCell ref="C221:H221"/>
    <mergeCell ref="L221:M221"/>
    <mergeCell ref="C222:H222"/>
    <mergeCell ref="L222:M222"/>
    <mergeCell ref="C223:M223"/>
    <mergeCell ref="C224:N226"/>
    <mergeCell ref="C227:H227"/>
    <mergeCell ref="L227:M227"/>
    <mergeCell ref="C228:H228"/>
    <mergeCell ref="L228:M228"/>
    <mergeCell ref="C229:H229"/>
    <mergeCell ref="L229:M229"/>
    <mergeCell ref="L230:M230"/>
    <mergeCell ref="C230:H230"/>
    <mergeCell ref="C231:H231"/>
    <mergeCell ref="L231:M231"/>
    <mergeCell ref="C232:H232"/>
    <mergeCell ref="L232:M232"/>
    <mergeCell ref="C233:M233"/>
    <mergeCell ref="M266:M267"/>
    <mergeCell ref="N266:N267"/>
    <mergeCell ref="C243:M243"/>
    <mergeCell ref="C245:M245"/>
    <mergeCell ref="J250:N251"/>
    <mergeCell ref="C251:E251"/>
    <mergeCell ref="C259:D267"/>
    <mergeCell ref="L259:M260"/>
    <mergeCell ref="N259:N260"/>
    <mergeCell ref="E266:K267"/>
    <mergeCell ref="L266:L267"/>
    <mergeCell ref="D269:L269"/>
    <mergeCell ref="D270:L270"/>
    <mergeCell ref="C271:N271"/>
    <mergeCell ref="D273:K273"/>
    <mergeCell ref="L273:M273"/>
    <mergeCell ref="D274:K274"/>
    <mergeCell ref="L274:M274"/>
    <mergeCell ref="E259:K260"/>
    <mergeCell ref="E261:K261"/>
    <mergeCell ref="C208:I208"/>
    <mergeCell ref="L208:M208"/>
    <mergeCell ref="C209:I209"/>
    <mergeCell ref="L209:M209"/>
    <mergeCell ref="L210:M210"/>
    <mergeCell ref="C210:I210"/>
    <mergeCell ref="C211:I211"/>
    <mergeCell ref="L211:M211"/>
    <mergeCell ref="C212:I212"/>
    <mergeCell ref="L212:M212"/>
    <mergeCell ref="C213:M213"/>
    <mergeCell ref="C214:N216"/>
    <mergeCell ref="L261:N261"/>
    <mergeCell ref="E262:K264"/>
    <mergeCell ref="L262:L263"/>
    <mergeCell ref="M262:M263"/>
    <mergeCell ref="N262:N263"/>
    <mergeCell ref="L264:N264"/>
    <mergeCell ref="C235:M235"/>
    <mergeCell ref="C236:N238"/>
    <mergeCell ref="C239:H239"/>
    <mergeCell ref="L239:M239"/>
    <mergeCell ref="C240:H240"/>
    <mergeCell ref="L240:M240"/>
    <mergeCell ref="L241:M241"/>
    <mergeCell ref="L242:M242"/>
    <mergeCell ref="C198:F198"/>
    <mergeCell ref="G198:H198"/>
    <mergeCell ref="I198:J198"/>
    <mergeCell ref="L198:M198"/>
    <mergeCell ref="G199:H199"/>
    <mergeCell ref="I199:J199"/>
    <mergeCell ref="L199:M199"/>
    <mergeCell ref="L205:M205"/>
    <mergeCell ref="L206:M206"/>
    <mergeCell ref="C199:F199"/>
    <mergeCell ref="C200:M200"/>
    <mergeCell ref="C201:N203"/>
    <mergeCell ref="C204:I204"/>
    <mergeCell ref="L204:M204"/>
    <mergeCell ref="C205:I205"/>
    <mergeCell ref="C206:I206"/>
    <mergeCell ref="C207:I207"/>
    <mergeCell ref="L207:M207"/>
    <mergeCell ref="E174:K175"/>
    <mergeCell ref="E176:K176"/>
    <mergeCell ref="L196:M196"/>
    <mergeCell ref="L197:M197"/>
    <mergeCell ref="C194:F194"/>
    <mergeCell ref="G194:H194"/>
    <mergeCell ref="I194:J194"/>
    <mergeCell ref="L194:M194"/>
    <mergeCell ref="G195:H195"/>
    <mergeCell ref="I195:J195"/>
    <mergeCell ref="L195:M195"/>
    <mergeCell ref="C195:F195"/>
    <mergeCell ref="C196:F196"/>
    <mergeCell ref="G196:H196"/>
    <mergeCell ref="I196:J196"/>
    <mergeCell ref="C197:F197"/>
    <mergeCell ref="G197:H197"/>
    <mergeCell ref="I197:J197"/>
    <mergeCell ref="D188:K188"/>
    <mergeCell ref="L188:M188"/>
    <mergeCell ref="D189:K189"/>
    <mergeCell ref="L189:M189"/>
    <mergeCell ref="C190:N192"/>
    <mergeCell ref="C193:F193"/>
    <mergeCell ref="G193:H193"/>
    <mergeCell ref="I193:J193"/>
    <mergeCell ref="C160:M160"/>
    <mergeCell ref="J165:N166"/>
    <mergeCell ref="C138:M138"/>
    <mergeCell ref="C139:N141"/>
    <mergeCell ref="C142:H142"/>
    <mergeCell ref="L142:M142"/>
    <mergeCell ref="C143:H143"/>
    <mergeCell ref="L143:M143"/>
    <mergeCell ref="C144:H144"/>
    <mergeCell ref="L144:M144"/>
    <mergeCell ref="L145:M145"/>
    <mergeCell ref="C145:H145"/>
    <mergeCell ref="C146:H146"/>
    <mergeCell ref="L146:M146"/>
    <mergeCell ref="C147:H147"/>
    <mergeCell ref="L147:M147"/>
    <mergeCell ref="C148:M148"/>
    <mergeCell ref="C150:M150"/>
    <mergeCell ref="C151:N153"/>
    <mergeCell ref="C154:H154"/>
    <mergeCell ref="L154:M154"/>
    <mergeCell ref="C155:H155"/>
    <mergeCell ref="L155:M155"/>
    <mergeCell ref="L156:M156"/>
    <mergeCell ref="L157:M157"/>
    <mergeCell ref="L122:M122"/>
    <mergeCell ref="L137:M137"/>
    <mergeCell ref="L193:M193"/>
    <mergeCell ref="L176:N176"/>
    <mergeCell ref="E177:K179"/>
    <mergeCell ref="L177:L178"/>
    <mergeCell ref="M177:M178"/>
    <mergeCell ref="N177:N178"/>
    <mergeCell ref="L179:N179"/>
    <mergeCell ref="M181:M182"/>
    <mergeCell ref="N181:N182"/>
    <mergeCell ref="C174:D182"/>
    <mergeCell ref="L174:M175"/>
    <mergeCell ref="N174:N175"/>
    <mergeCell ref="C123:I123"/>
    <mergeCell ref="L123:M123"/>
    <mergeCell ref="C124:I124"/>
    <mergeCell ref="L124:M124"/>
    <mergeCell ref="L125:M125"/>
    <mergeCell ref="C125:I125"/>
    <mergeCell ref="C126:I126"/>
    <mergeCell ref="L126:M126"/>
    <mergeCell ref="C127:I127"/>
    <mergeCell ref="L127:M127"/>
    <mergeCell ref="C128:M128"/>
    <mergeCell ref="C129:N131"/>
    <mergeCell ref="E181:K182"/>
    <mergeCell ref="L181:L182"/>
    <mergeCell ref="D184:L184"/>
    <mergeCell ref="D185:L185"/>
    <mergeCell ref="C186:N186"/>
    <mergeCell ref="C158:M158"/>
    <mergeCell ref="G108:H108"/>
    <mergeCell ref="I108:J108"/>
    <mergeCell ref="L108:M108"/>
    <mergeCell ref="C166:E166"/>
    <mergeCell ref="C132:H132"/>
    <mergeCell ref="L132:M132"/>
    <mergeCell ref="C133:H133"/>
    <mergeCell ref="L133:M133"/>
    <mergeCell ref="C134:H134"/>
    <mergeCell ref="L134:M134"/>
    <mergeCell ref="L135:M135"/>
    <mergeCell ref="C135:H135"/>
    <mergeCell ref="C136:H136"/>
    <mergeCell ref="L136:M136"/>
    <mergeCell ref="C137:H137"/>
    <mergeCell ref="C113:F113"/>
    <mergeCell ref="G113:H113"/>
    <mergeCell ref="I113:J113"/>
    <mergeCell ref="L113:M113"/>
    <mergeCell ref="G114:H114"/>
    <mergeCell ref="I114:J114"/>
    <mergeCell ref="L114:M114"/>
    <mergeCell ref="L120:M120"/>
    <mergeCell ref="L121:M121"/>
    <mergeCell ref="C114:F114"/>
    <mergeCell ref="C115:M115"/>
    <mergeCell ref="C116:N118"/>
    <mergeCell ref="C119:I119"/>
    <mergeCell ref="L119:M119"/>
    <mergeCell ref="C120:I120"/>
    <mergeCell ref="C121:I121"/>
    <mergeCell ref="C122:I122"/>
    <mergeCell ref="L56:M56"/>
    <mergeCell ref="C57:H57"/>
    <mergeCell ref="L57:M57"/>
    <mergeCell ref="L70:M70"/>
    <mergeCell ref="L71:M71"/>
    <mergeCell ref="E89:K90"/>
    <mergeCell ref="E91:K91"/>
    <mergeCell ref="L111:M111"/>
    <mergeCell ref="L112:M112"/>
    <mergeCell ref="C109:F109"/>
    <mergeCell ref="G109:H109"/>
    <mergeCell ref="I109:J109"/>
    <mergeCell ref="L109:M109"/>
    <mergeCell ref="G110:H110"/>
    <mergeCell ref="I110:J110"/>
    <mergeCell ref="L110:M110"/>
    <mergeCell ref="C110:F110"/>
    <mergeCell ref="C111:F111"/>
    <mergeCell ref="G111:H111"/>
    <mergeCell ref="I111:J111"/>
    <mergeCell ref="C112:F112"/>
    <mergeCell ref="G112:H112"/>
    <mergeCell ref="I112:J112"/>
    <mergeCell ref="D99:L99"/>
    <mergeCell ref="D100:L100"/>
    <mergeCell ref="C101:N101"/>
    <mergeCell ref="D103:K103"/>
    <mergeCell ref="L103:M103"/>
    <mergeCell ref="D104:K104"/>
    <mergeCell ref="L104:M104"/>
    <mergeCell ref="C105:N107"/>
    <mergeCell ref="C108:F108"/>
    <mergeCell ref="C58:H58"/>
    <mergeCell ref="L58:M58"/>
    <mergeCell ref="C64:M64"/>
    <mergeCell ref="C65:N67"/>
    <mergeCell ref="C68:H68"/>
    <mergeCell ref="L68:M68"/>
    <mergeCell ref="C69:H69"/>
    <mergeCell ref="L69:M69"/>
    <mergeCell ref="L39:M39"/>
    <mergeCell ref="C39:I39"/>
    <mergeCell ref="C40:I40"/>
    <mergeCell ref="L40:M40"/>
    <mergeCell ref="C41:I41"/>
    <mergeCell ref="L41:M41"/>
    <mergeCell ref="C42:M42"/>
    <mergeCell ref="C43:N45"/>
    <mergeCell ref="L91:N91"/>
    <mergeCell ref="C46:H46"/>
    <mergeCell ref="L46:M46"/>
    <mergeCell ref="C47:H47"/>
    <mergeCell ref="L47:M47"/>
    <mergeCell ref="C48:H48"/>
    <mergeCell ref="L48:M48"/>
    <mergeCell ref="L49:M49"/>
    <mergeCell ref="C49:H49"/>
    <mergeCell ref="C50:H50"/>
    <mergeCell ref="L50:M50"/>
    <mergeCell ref="C51:H51"/>
    <mergeCell ref="L51:M51"/>
    <mergeCell ref="C52:M52"/>
    <mergeCell ref="C53:N55"/>
    <mergeCell ref="C56:H56"/>
    <mergeCell ref="E92:K94"/>
    <mergeCell ref="L92:L93"/>
    <mergeCell ref="M92:M93"/>
    <mergeCell ref="N92:N93"/>
    <mergeCell ref="L94:N94"/>
    <mergeCell ref="M96:M97"/>
    <mergeCell ref="N96:N97"/>
    <mergeCell ref="C72:M72"/>
    <mergeCell ref="C74:M74"/>
    <mergeCell ref="J79:N80"/>
    <mergeCell ref="C80:E80"/>
    <mergeCell ref="C89:D97"/>
    <mergeCell ref="L89:M90"/>
    <mergeCell ref="N89:N90"/>
    <mergeCell ref="E96:K97"/>
    <mergeCell ref="L96:L97"/>
    <mergeCell ref="L59:M59"/>
    <mergeCell ref="C59:H59"/>
    <mergeCell ref="C60:H60"/>
    <mergeCell ref="L60:M60"/>
    <mergeCell ref="C61:H61"/>
    <mergeCell ref="L61:M61"/>
    <mergeCell ref="C62:M62"/>
    <mergeCell ref="G28:H28"/>
    <mergeCell ref="I28:J28"/>
    <mergeCell ref="L28:M28"/>
    <mergeCell ref="L34:M34"/>
    <mergeCell ref="L35:M35"/>
    <mergeCell ref="C28:F28"/>
    <mergeCell ref="C29:M29"/>
    <mergeCell ref="C30:N32"/>
    <mergeCell ref="C33:I33"/>
    <mergeCell ref="L33:M33"/>
    <mergeCell ref="C34:I34"/>
    <mergeCell ref="C35:I35"/>
    <mergeCell ref="C36:I36"/>
    <mergeCell ref="L36:M36"/>
    <mergeCell ref="C37:I37"/>
    <mergeCell ref="L37:M37"/>
    <mergeCell ref="C38:I38"/>
    <mergeCell ref="L38:M38"/>
    <mergeCell ref="L25:M25"/>
    <mergeCell ref="L26:M26"/>
    <mergeCell ref="C23:F23"/>
    <mergeCell ref="G23:H23"/>
    <mergeCell ref="I23:J23"/>
    <mergeCell ref="L23:M23"/>
    <mergeCell ref="G24:H24"/>
    <mergeCell ref="I24:J24"/>
    <mergeCell ref="L24:M24"/>
    <mergeCell ref="C24:F24"/>
    <mergeCell ref="C25:F25"/>
    <mergeCell ref="G25:H25"/>
    <mergeCell ref="I25:J25"/>
    <mergeCell ref="C26:F26"/>
    <mergeCell ref="G26:H26"/>
    <mergeCell ref="I26:J26"/>
    <mergeCell ref="C27:F27"/>
    <mergeCell ref="G27:H27"/>
    <mergeCell ref="I27:J27"/>
    <mergeCell ref="L27:M27"/>
    <mergeCell ref="L6:L7"/>
    <mergeCell ref="M6:M7"/>
    <mergeCell ref="N6:N7"/>
    <mergeCell ref="L8:N8"/>
    <mergeCell ref="M10:M11"/>
    <mergeCell ref="N10:N11"/>
    <mergeCell ref="C3:D11"/>
    <mergeCell ref="E3:K4"/>
    <mergeCell ref="L3:M4"/>
    <mergeCell ref="N3:N4"/>
    <mergeCell ref="E5:K5"/>
    <mergeCell ref="L5:N5"/>
    <mergeCell ref="E6:K8"/>
    <mergeCell ref="E10:K11"/>
    <mergeCell ref="L10:L11"/>
    <mergeCell ref="D13:L13"/>
    <mergeCell ref="D14:L14"/>
    <mergeCell ref="C15:N15"/>
    <mergeCell ref="D17:K17"/>
    <mergeCell ref="L17:M17"/>
    <mergeCell ref="D18:K18"/>
    <mergeCell ref="L18:M18"/>
    <mergeCell ref="C19:N21"/>
    <mergeCell ref="C22:F22"/>
    <mergeCell ref="G22:H22"/>
    <mergeCell ref="I22:J22"/>
    <mergeCell ref="L22:M22"/>
    <mergeCell ref="E1201:K1202"/>
    <mergeCell ref="L1201:L1202"/>
    <mergeCell ref="D1204:L1204"/>
    <mergeCell ref="D1205:L1205"/>
    <mergeCell ref="C1206:N1206"/>
    <mergeCell ref="D1208:K1208"/>
    <mergeCell ref="L1208:M1208"/>
    <mergeCell ref="M1201:M1202"/>
    <mergeCell ref="N1201:N1202"/>
    <mergeCell ref="C1155:H1155"/>
    <mergeCell ref="C1156:H1156"/>
    <mergeCell ref="L1156:M1156"/>
    <mergeCell ref="C1157:H1157"/>
    <mergeCell ref="L1157:M1157"/>
    <mergeCell ref="C1158:M1158"/>
    <mergeCell ref="C1159:N1161"/>
    <mergeCell ref="C1162:H1162"/>
    <mergeCell ref="L1162:M1162"/>
    <mergeCell ref="C1163:H1163"/>
    <mergeCell ref="L1163:M1163"/>
    <mergeCell ref="C1164:H1164"/>
    <mergeCell ref="L1164:M1164"/>
    <mergeCell ref="L1165:M1165"/>
    <mergeCell ref="C1165:H1165"/>
    <mergeCell ref="C1166:H1166"/>
    <mergeCell ref="L1166:M1166"/>
    <mergeCell ref="C1167:H1167"/>
    <mergeCell ref="L1167:M1167"/>
    <mergeCell ref="C1168:M1168"/>
    <mergeCell ref="C1170:M1170"/>
    <mergeCell ref="C1058:I1058"/>
    <mergeCell ref="L1058:M1058"/>
    <mergeCell ref="C1059:I1059"/>
    <mergeCell ref="L1059:M1059"/>
    <mergeCell ref="L1060:M1060"/>
    <mergeCell ref="C1060:I1060"/>
    <mergeCell ref="C1061:I1061"/>
    <mergeCell ref="L1061:M1061"/>
    <mergeCell ref="C1062:I1062"/>
    <mergeCell ref="L1062:M1062"/>
    <mergeCell ref="C1063:M1063"/>
    <mergeCell ref="C1064:N1066"/>
    <mergeCell ref="L1111:N1111"/>
    <mergeCell ref="E1112:K1114"/>
    <mergeCell ref="L1112:L1113"/>
    <mergeCell ref="M1112:M1113"/>
    <mergeCell ref="N1112:N1113"/>
    <mergeCell ref="L1114:N1114"/>
    <mergeCell ref="C1093:M1093"/>
    <mergeCell ref="C1095:M1095"/>
    <mergeCell ref="J1100:N1101"/>
    <mergeCell ref="C1101:E1101"/>
    <mergeCell ref="C1109:D1117"/>
    <mergeCell ref="L1109:M1110"/>
    <mergeCell ref="N1109:N1110"/>
    <mergeCell ref="E1116:K1117"/>
    <mergeCell ref="L1116:L1117"/>
    <mergeCell ref="C1085:M1085"/>
    <mergeCell ref="C1086:N1088"/>
    <mergeCell ref="C1089:H1089"/>
    <mergeCell ref="L1089:M1089"/>
    <mergeCell ref="C1090:H1090"/>
    <mergeCell ref="C1048:F1048"/>
    <mergeCell ref="G1048:H1048"/>
    <mergeCell ref="I1048:J1048"/>
    <mergeCell ref="L1048:M1048"/>
    <mergeCell ref="G1049:H1049"/>
    <mergeCell ref="I1049:J1049"/>
    <mergeCell ref="L1049:M1049"/>
    <mergeCell ref="L1055:M1055"/>
    <mergeCell ref="L1056:M1056"/>
    <mergeCell ref="C1049:F1049"/>
    <mergeCell ref="C1050:M1050"/>
    <mergeCell ref="C1051:N1053"/>
    <mergeCell ref="C1054:I1054"/>
    <mergeCell ref="L1054:M1054"/>
    <mergeCell ref="C1055:I1055"/>
    <mergeCell ref="C1056:I1056"/>
    <mergeCell ref="C1057:I1057"/>
    <mergeCell ref="L1057:M1057"/>
    <mergeCell ref="C1072:H1072"/>
    <mergeCell ref="L1072:M1072"/>
    <mergeCell ref="C1073:M1073"/>
    <mergeCell ref="C1074:N1076"/>
    <mergeCell ref="C1077:H1077"/>
    <mergeCell ref="L1077:M1077"/>
    <mergeCell ref="C996:H996"/>
    <mergeCell ref="L996:M996"/>
    <mergeCell ref="C997:H997"/>
    <mergeCell ref="L997:M997"/>
    <mergeCell ref="C998:M998"/>
    <mergeCell ref="C1000:M1000"/>
    <mergeCell ref="C1001:N1003"/>
    <mergeCell ref="C1004:H1004"/>
    <mergeCell ref="L1004:M1004"/>
    <mergeCell ref="C1005:H1005"/>
    <mergeCell ref="L1005:M1005"/>
    <mergeCell ref="L1006:M1006"/>
    <mergeCell ref="L1007:M1007"/>
    <mergeCell ref="E1024:K1025"/>
    <mergeCell ref="E1026:K1026"/>
    <mergeCell ref="L1046:M1046"/>
    <mergeCell ref="L1047:M1047"/>
    <mergeCell ref="C1044:F1044"/>
    <mergeCell ref="G1044:H1044"/>
    <mergeCell ref="I1044:J1044"/>
    <mergeCell ref="L1044:M1044"/>
    <mergeCell ref="G1045:H1045"/>
    <mergeCell ref="I1045:J1045"/>
    <mergeCell ref="L1045:M1045"/>
    <mergeCell ref="C1045:F1045"/>
    <mergeCell ref="C1046:F1046"/>
    <mergeCell ref="G1046:H1046"/>
    <mergeCell ref="I1046:J1046"/>
    <mergeCell ref="C1047:F1047"/>
    <mergeCell ref="G1047:H1047"/>
    <mergeCell ref="I1047:J1047"/>
    <mergeCell ref="L984:M984"/>
    <mergeCell ref="L985:M985"/>
    <mergeCell ref="C985:H985"/>
    <mergeCell ref="C986:H986"/>
    <mergeCell ref="L986:M986"/>
    <mergeCell ref="C987:H987"/>
    <mergeCell ref="L987:M987"/>
    <mergeCell ref="C988:M988"/>
    <mergeCell ref="C989:N991"/>
    <mergeCell ref="C992:H992"/>
    <mergeCell ref="L992:M992"/>
    <mergeCell ref="C993:H993"/>
    <mergeCell ref="L993:M993"/>
    <mergeCell ref="C994:H994"/>
    <mergeCell ref="L994:M994"/>
    <mergeCell ref="L995:M995"/>
    <mergeCell ref="C995:H995"/>
    <mergeCell ref="C1143:I1143"/>
    <mergeCell ref="L1143:M1143"/>
    <mergeCell ref="C1144:I1144"/>
    <mergeCell ref="L1144:M1144"/>
    <mergeCell ref="L1145:M1145"/>
    <mergeCell ref="C1145:I1145"/>
    <mergeCell ref="C1146:I1146"/>
    <mergeCell ref="L1146:M1146"/>
    <mergeCell ref="C1147:I1147"/>
    <mergeCell ref="L1147:M1147"/>
    <mergeCell ref="C1148:M1148"/>
    <mergeCell ref="C1149:N1151"/>
    <mergeCell ref="L1026:N1026"/>
    <mergeCell ref="E1027:K1029"/>
    <mergeCell ref="L1027:L1028"/>
    <mergeCell ref="M1027:M1028"/>
    <mergeCell ref="N1027:N1028"/>
    <mergeCell ref="L1029:N1029"/>
    <mergeCell ref="M1031:M1032"/>
    <mergeCell ref="N1031:N1032"/>
    <mergeCell ref="C1024:D1032"/>
    <mergeCell ref="L1024:M1025"/>
    <mergeCell ref="N1024:N1025"/>
    <mergeCell ref="E1031:K1032"/>
    <mergeCell ref="L1031:L1032"/>
    <mergeCell ref="D1034:L1034"/>
    <mergeCell ref="D1035:L1035"/>
    <mergeCell ref="C1036:N1036"/>
    <mergeCell ref="D1038:K1038"/>
    <mergeCell ref="L1038:M1038"/>
    <mergeCell ref="D1039:K1039"/>
    <mergeCell ref="L1039:M1039"/>
    <mergeCell ref="C1133:F1133"/>
    <mergeCell ref="G1133:H1133"/>
    <mergeCell ref="I1133:J1133"/>
    <mergeCell ref="L1133:M1133"/>
    <mergeCell ref="G1134:H1134"/>
    <mergeCell ref="I1134:J1134"/>
    <mergeCell ref="L1134:M1134"/>
    <mergeCell ref="L1140:M1140"/>
    <mergeCell ref="L1141:M1141"/>
    <mergeCell ref="C1134:F1134"/>
    <mergeCell ref="C1135:M1135"/>
    <mergeCell ref="C1136:N1138"/>
    <mergeCell ref="C1139:I1139"/>
    <mergeCell ref="L1139:M1139"/>
    <mergeCell ref="C1140:I1140"/>
    <mergeCell ref="C1141:I1141"/>
    <mergeCell ref="C1142:I1142"/>
    <mergeCell ref="L1142:M1142"/>
    <mergeCell ref="L1131:M1131"/>
    <mergeCell ref="L1132:M1132"/>
    <mergeCell ref="C1129:F1129"/>
    <mergeCell ref="G1129:H1129"/>
    <mergeCell ref="I1129:J1129"/>
    <mergeCell ref="L1129:M1129"/>
    <mergeCell ref="G1130:H1130"/>
    <mergeCell ref="I1130:J1130"/>
    <mergeCell ref="L1130:M1130"/>
    <mergeCell ref="C1130:F1130"/>
    <mergeCell ref="C1131:F1131"/>
    <mergeCell ref="G1131:H1131"/>
    <mergeCell ref="I1131:J1131"/>
    <mergeCell ref="C1132:F1132"/>
    <mergeCell ref="G1132:H1132"/>
    <mergeCell ref="I1132:J1132"/>
    <mergeCell ref="M1116:M1117"/>
    <mergeCell ref="L1123:M1123"/>
    <mergeCell ref="D1124:K1124"/>
    <mergeCell ref="L1124:M1124"/>
    <mergeCell ref="C1125:N1127"/>
    <mergeCell ref="C1128:F1128"/>
    <mergeCell ref="G1128:H1128"/>
    <mergeCell ref="I1128:J1128"/>
    <mergeCell ref="L1128:M1128"/>
    <mergeCell ref="N1116:N1117"/>
    <mergeCell ref="D1119:L1119"/>
    <mergeCell ref="D1120:L1120"/>
    <mergeCell ref="C1121:N1121"/>
    <mergeCell ref="D1123:K1123"/>
    <mergeCell ref="C1078:H1078"/>
    <mergeCell ref="L1078:M1078"/>
    <mergeCell ref="C1079:H1079"/>
    <mergeCell ref="L1079:M1079"/>
    <mergeCell ref="L1080:M1080"/>
    <mergeCell ref="C1080:H1080"/>
    <mergeCell ref="C1081:H1081"/>
    <mergeCell ref="L1081:M1081"/>
    <mergeCell ref="C1082:H1082"/>
    <mergeCell ref="L1082:M1082"/>
    <mergeCell ref="C1083:M1083"/>
    <mergeCell ref="L1090:M1090"/>
    <mergeCell ref="L1091:M1091"/>
    <mergeCell ref="L1092:M1092"/>
    <mergeCell ref="E1109:K1110"/>
    <mergeCell ref="E1111:K1111"/>
    <mergeCell ref="L975:M975"/>
    <mergeCell ref="C975:I975"/>
    <mergeCell ref="C976:I976"/>
    <mergeCell ref="L976:M976"/>
    <mergeCell ref="C977:I977"/>
    <mergeCell ref="L977:M977"/>
    <mergeCell ref="C978:M978"/>
    <mergeCell ref="C979:N981"/>
    <mergeCell ref="C1067:H1067"/>
    <mergeCell ref="L1067:M1067"/>
    <mergeCell ref="C1068:H1068"/>
    <mergeCell ref="L1068:M1068"/>
    <mergeCell ref="C1069:H1069"/>
    <mergeCell ref="L1069:M1069"/>
    <mergeCell ref="L1070:M1070"/>
    <mergeCell ref="C1070:H1070"/>
    <mergeCell ref="C1071:H1071"/>
    <mergeCell ref="L1071:M1071"/>
    <mergeCell ref="C1008:M1008"/>
    <mergeCell ref="C1010:M1010"/>
    <mergeCell ref="J1015:N1016"/>
    <mergeCell ref="C1016:E1016"/>
    <mergeCell ref="C1040:N1042"/>
    <mergeCell ref="C1043:F1043"/>
    <mergeCell ref="G1043:H1043"/>
    <mergeCell ref="I1043:J1043"/>
    <mergeCell ref="L1043:M1043"/>
    <mergeCell ref="C982:H982"/>
    <mergeCell ref="L982:M982"/>
    <mergeCell ref="C983:H983"/>
    <mergeCell ref="L983:M983"/>
    <mergeCell ref="C984:H984"/>
    <mergeCell ref="G964:H964"/>
    <mergeCell ref="I964:J964"/>
    <mergeCell ref="L964:M964"/>
    <mergeCell ref="L970:M970"/>
    <mergeCell ref="L971:M971"/>
    <mergeCell ref="C964:F964"/>
    <mergeCell ref="C965:M965"/>
    <mergeCell ref="C966:N968"/>
    <mergeCell ref="C969:I969"/>
    <mergeCell ref="L969:M969"/>
    <mergeCell ref="C970:I970"/>
    <mergeCell ref="C971:I971"/>
    <mergeCell ref="C972:I972"/>
    <mergeCell ref="L972:M972"/>
    <mergeCell ref="C973:I973"/>
    <mergeCell ref="L973:M973"/>
    <mergeCell ref="C974:I974"/>
    <mergeCell ref="L974:M974"/>
    <mergeCell ref="L961:M961"/>
    <mergeCell ref="L962:M962"/>
    <mergeCell ref="C959:F959"/>
    <mergeCell ref="G959:H959"/>
    <mergeCell ref="I959:J959"/>
    <mergeCell ref="L959:M959"/>
    <mergeCell ref="G960:H960"/>
    <mergeCell ref="I960:J960"/>
    <mergeCell ref="L960:M960"/>
    <mergeCell ref="C960:F960"/>
    <mergeCell ref="C961:F961"/>
    <mergeCell ref="G961:H961"/>
    <mergeCell ref="I961:J961"/>
    <mergeCell ref="C962:F962"/>
    <mergeCell ref="G962:H962"/>
    <mergeCell ref="I962:J962"/>
    <mergeCell ref="C963:F963"/>
    <mergeCell ref="G963:H963"/>
    <mergeCell ref="I963:J963"/>
    <mergeCell ref="L963:M963"/>
    <mergeCell ref="C955:N957"/>
    <mergeCell ref="C958:F958"/>
    <mergeCell ref="G958:H958"/>
    <mergeCell ref="I958:J958"/>
    <mergeCell ref="L958:M958"/>
    <mergeCell ref="C897:H897"/>
    <mergeCell ref="L897:M897"/>
    <mergeCell ref="C898:H898"/>
    <mergeCell ref="L898:M898"/>
    <mergeCell ref="C899:H899"/>
    <mergeCell ref="L899:M899"/>
    <mergeCell ref="L900:M900"/>
    <mergeCell ref="C900:H900"/>
    <mergeCell ref="C901:H901"/>
    <mergeCell ref="L901:M901"/>
    <mergeCell ref="C902:H902"/>
    <mergeCell ref="L902:M902"/>
    <mergeCell ref="C903:M903"/>
    <mergeCell ref="C904:N906"/>
    <mergeCell ref="C907:H907"/>
    <mergeCell ref="L907:M907"/>
    <mergeCell ref="C908:H908"/>
    <mergeCell ref="L908:M908"/>
    <mergeCell ref="C909:H909"/>
    <mergeCell ref="L909:M909"/>
    <mergeCell ref="L910:M910"/>
    <mergeCell ref="C910:H910"/>
    <mergeCell ref="C911:H911"/>
    <mergeCell ref="L911:M911"/>
    <mergeCell ref="C912:H912"/>
    <mergeCell ref="L912:M912"/>
    <mergeCell ref="C913:M913"/>
    <mergeCell ref="M946:M947"/>
    <mergeCell ref="N946:N947"/>
    <mergeCell ref="C923:M923"/>
    <mergeCell ref="C925:M925"/>
    <mergeCell ref="J930:N931"/>
    <mergeCell ref="C931:E931"/>
    <mergeCell ref="C939:D947"/>
    <mergeCell ref="L939:M940"/>
    <mergeCell ref="N939:N940"/>
    <mergeCell ref="E946:K947"/>
    <mergeCell ref="L946:L947"/>
    <mergeCell ref="D949:L949"/>
    <mergeCell ref="D950:L950"/>
    <mergeCell ref="C951:N951"/>
    <mergeCell ref="D953:K953"/>
    <mergeCell ref="L953:M953"/>
    <mergeCell ref="D954:K954"/>
    <mergeCell ref="L954:M954"/>
    <mergeCell ref="E939:K940"/>
    <mergeCell ref="E941:K941"/>
    <mergeCell ref="C888:I888"/>
    <mergeCell ref="L888:M888"/>
    <mergeCell ref="C889:I889"/>
    <mergeCell ref="L889:M889"/>
    <mergeCell ref="L890:M890"/>
    <mergeCell ref="C890:I890"/>
    <mergeCell ref="C891:I891"/>
    <mergeCell ref="L891:M891"/>
    <mergeCell ref="C892:I892"/>
    <mergeCell ref="L892:M892"/>
    <mergeCell ref="C893:M893"/>
    <mergeCell ref="C894:N896"/>
    <mergeCell ref="L941:N941"/>
    <mergeCell ref="E942:K944"/>
    <mergeCell ref="L942:L943"/>
    <mergeCell ref="M942:M943"/>
    <mergeCell ref="N942:N943"/>
    <mergeCell ref="L944:N944"/>
    <mergeCell ref="C915:M915"/>
    <mergeCell ref="C916:N918"/>
    <mergeCell ref="C919:H919"/>
    <mergeCell ref="L919:M919"/>
    <mergeCell ref="C920:H920"/>
    <mergeCell ref="L920:M920"/>
    <mergeCell ref="L921:M921"/>
    <mergeCell ref="L922:M922"/>
    <mergeCell ref="C878:F878"/>
    <mergeCell ref="G878:H878"/>
    <mergeCell ref="I878:J878"/>
    <mergeCell ref="L878:M878"/>
    <mergeCell ref="G879:H879"/>
    <mergeCell ref="I879:J879"/>
    <mergeCell ref="L879:M879"/>
    <mergeCell ref="L885:M885"/>
    <mergeCell ref="L886:M886"/>
    <mergeCell ref="C879:F879"/>
    <mergeCell ref="C880:M880"/>
    <mergeCell ref="C881:N883"/>
    <mergeCell ref="C884:I884"/>
    <mergeCell ref="L884:M884"/>
    <mergeCell ref="C885:I885"/>
    <mergeCell ref="C886:I886"/>
    <mergeCell ref="C887:I887"/>
    <mergeCell ref="L887:M887"/>
    <mergeCell ref="L876:M876"/>
    <mergeCell ref="L877:M877"/>
    <mergeCell ref="C874:F874"/>
    <mergeCell ref="G874:H874"/>
    <mergeCell ref="I874:J874"/>
    <mergeCell ref="L874:M874"/>
    <mergeCell ref="G875:H875"/>
    <mergeCell ref="I875:J875"/>
    <mergeCell ref="L875:M875"/>
    <mergeCell ref="C875:F875"/>
    <mergeCell ref="C876:F876"/>
    <mergeCell ref="G876:H876"/>
    <mergeCell ref="I876:J876"/>
    <mergeCell ref="C877:F877"/>
    <mergeCell ref="G877:H877"/>
    <mergeCell ref="I877:J877"/>
    <mergeCell ref="L854:M855"/>
    <mergeCell ref="L825:M825"/>
    <mergeCell ref="C825:H825"/>
    <mergeCell ref="C826:H826"/>
    <mergeCell ref="L826:M826"/>
    <mergeCell ref="C827:H827"/>
    <mergeCell ref="L827:M827"/>
    <mergeCell ref="C828:M828"/>
    <mergeCell ref="C830:M830"/>
    <mergeCell ref="C831:N833"/>
    <mergeCell ref="C834:H834"/>
    <mergeCell ref="L834:M834"/>
    <mergeCell ref="C835:H835"/>
    <mergeCell ref="L835:M835"/>
    <mergeCell ref="L836:M836"/>
    <mergeCell ref="L837:M837"/>
    <mergeCell ref="E854:K855"/>
    <mergeCell ref="E856:K856"/>
    <mergeCell ref="C813:H813"/>
    <mergeCell ref="L813:M813"/>
    <mergeCell ref="C814:H814"/>
    <mergeCell ref="L814:M814"/>
    <mergeCell ref="L815:M815"/>
    <mergeCell ref="C815:H815"/>
    <mergeCell ref="C816:H816"/>
    <mergeCell ref="L816:M816"/>
    <mergeCell ref="C817:H817"/>
    <mergeCell ref="L817:M817"/>
    <mergeCell ref="C818:M818"/>
    <mergeCell ref="C819:N821"/>
    <mergeCell ref="C822:H822"/>
    <mergeCell ref="L822:M822"/>
    <mergeCell ref="C823:H823"/>
    <mergeCell ref="L823:M823"/>
    <mergeCell ref="C824:H824"/>
    <mergeCell ref="L824:M824"/>
    <mergeCell ref="I788:J788"/>
    <mergeCell ref="L788:M788"/>
    <mergeCell ref="E861:K862"/>
    <mergeCell ref="L861:L862"/>
    <mergeCell ref="D864:L864"/>
    <mergeCell ref="D865:L865"/>
    <mergeCell ref="C866:N866"/>
    <mergeCell ref="D868:K868"/>
    <mergeCell ref="L868:M868"/>
    <mergeCell ref="D869:K869"/>
    <mergeCell ref="L869:M869"/>
    <mergeCell ref="C870:N872"/>
    <mergeCell ref="C873:F873"/>
    <mergeCell ref="G873:H873"/>
    <mergeCell ref="I873:J873"/>
    <mergeCell ref="L873:M873"/>
    <mergeCell ref="L856:N856"/>
    <mergeCell ref="E857:K859"/>
    <mergeCell ref="L857:L858"/>
    <mergeCell ref="M857:M858"/>
    <mergeCell ref="N857:N858"/>
    <mergeCell ref="L859:N859"/>
    <mergeCell ref="M861:M862"/>
    <mergeCell ref="N861:N862"/>
    <mergeCell ref="C838:M838"/>
    <mergeCell ref="C840:M840"/>
    <mergeCell ref="J845:N846"/>
    <mergeCell ref="C846:E846"/>
    <mergeCell ref="C854:D862"/>
    <mergeCell ref="N854:N855"/>
    <mergeCell ref="C812:H812"/>
    <mergeCell ref="L812:M812"/>
    <mergeCell ref="M776:M777"/>
    <mergeCell ref="N776:N777"/>
    <mergeCell ref="C753:M753"/>
    <mergeCell ref="C755:M755"/>
    <mergeCell ref="J760:N761"/>
    <mergeCell ref="C761:E761"/>
    <mergeCell ref="C769:D777"/>
    <mergeCell ref="L769:M770"/>
    <mergeCell ref="N769:N770"/>
    <mergeCell ref="E776:K777"/>
    <mergeCell ref="L776:L777"/>
    <mergeCell ref="D779:L779"/>
    <mergeCell ref="D780:L780"/>
    <mergeCell ref="C781:N781"/>
    <mergeCell ref="D783:K783"/>
    <mergeCell ref="L783:M783"/>
    <mergeCell ref="D784:K784"/>
    <mergeCell ref="L784:M784"/>
    <mergeCell ref="L771:N771"/>
    <mergeCell ref="E772:K774"/>
    <mergeCell ref="L772:L773"/>
    <mergeCell ref="M772:M773"/>
    <mergeCell ref="N772:N773"/>
    <mergeCell ref="L774:N774"/>
    <mergeCell ref="C732:H732"/>
    <mergeCell ref="L732:M732"/>
    <mergeCell ref="C733:M733"/>
    <mergeCell ref="C734:N736"/>
    <mergeCell ref="C737:H737"/>
    <mergeCell ref="L737:M737"/>
    <mergeCell ref="C738:H738"/>
    <mergeCell ref="L738:M738"/>
    <mergeCell ref="C739:H739"/>
    <mergeCell ref="L739:M739"/>
    <mergeCell ref="L740:M740"/>
    <mergeCell ref="C740:H740"/>
    <mergeCell ref="C741:H741"/>
    <mergeCell ref="L741:M741"/>
    <mergeCell ref="C708:F708"/>
    <mergeCell ref="G708:H708"/>
    <mergeCell ref="I708:J708"/>
    <mergeCell ref="L708:M708"/>
    <mergeCell ref="G709:H709"/>
    <mergeCell ref="I709:J709"/>
    <mergeCell ref="L709:M709"/>
    <mergeCell ref="L715:M715"/>
    <mergeCell ref="L716:M716"/>
    <mergeCell ref="C709:F709"/>
    <mergeCell ref="C710:M710"/>
    <mergeCell ref="C711:N713"/>
    <mergeCell ref="C714:I714"/>
    <mergeCell ref="L714:M714"/>
    <mergeCell ref="C715:I715"/>
    <mergeCell ref="C716:I716"/>
    <mergeCell ref="C717:I717"/>
    <mergeCell ref="L717:M717"/>
    <mergeCell ref="L706:M706"/>
    <mergeCell ref="L707:M707"/>
    <mergeCell ref="C704:F704"/>
    <mergeCell ref="G704:H704"/>
    <mergeCell ref="I704:J704"/>
    <mergeCell ref="L704:M704"/>
    <mergeCell ref="G705:H705"/>
    <mergeCell ref="I705:J705"/>
    <mergeCell ref="L705:M705"/>
    <mergeCell ref="C705:F705"/>
    <mergeCell ref="C706:F706"/>
    <mergeCell ref="G706:H706"/>
    <mergeCell ref="I706:J706"/>
    <mergeCell ref="C707:F707"/>
    <mergeCell ref="G707:H707"/>
    <mergeCell ref="I707:J707"/>
    <mergeCell ref="C654:H654"/>
    <mergeCell ref="L654:M654"/>
    <mergeCell ref="L655:M655"/>
    <mergeCell ref="C655:H655"/>
    <mergeCell ref="C656:H656"/>
    <mergeCell ref="L656:M656"/>
    <mergeCell ref="C657:H657"/>
    <mergeCell ref="L657:M657"/>
    <mergeCell ref="C658:M658"/>
    <mergeCell ref="C660:M660"/>
    <mergeCell ref="C661:N663"/>
    <mergeCell ref="C664:H664"/>
    <mergeCell ref="L664:M664"/>
    <mergeCell ref="C665:H665"/>
    <mergeCell ref="L665:M665"/>
    <mergeCell ref="L666:M666"/>
    <mergeCell ref="L667:M667"/>
    <mergeCell ref="C642:H642"/>
    <mergeCell ref="L642:M642"/>
    <mergeCell ref="C643:H643"/>
    <mergeCell ref="L643:M643"/>
    <mergeCell ref="C644:H644"/>
    <mergeCell ref="L644:M644"/>
    <mergeCell ref="L645:M645"/>
    <mergeCell ref="C645:H645"/>
    <mergeCell ref="C646:H646"/>
    <mergeCell ref="L646:M646"/>
    <mergeCell ref="C647:H647"/>
    <mergeCell ref="L647:M647"/>
    <mergeCell ref="C648:M648"/>
    <mergeCell ref="C649:N651"/>
    <mergeCell ref="C652:H652"/>
    <mergeCell ref="L652:M652"/>
    <mergeCell ref="C653:H653"/>
    <mergeCell ref="L653:M653"/>
    <mergeCell ref="C4805:N4807"/>
    <mergeCell ref="C4808:H4808"/>
    <mergeCell ref="C4809:H4809"/>
    <mergeCell ref="L686:N686"/>
    <mergeCell ref="E687:K689"/>
    <mergeCell ref="L687:L688"/>
    <mergeCell ref="M687:M688"/>
    <mergeCell ref="N687:N688"/>
    <mergeCell ref="L689:N689"/>
    <mergeCell ref="M691:M692"/>
    <mergeCell ref="N691:N692"/>
    <mergeCell ref="C668:M668"/>
    <mergeCell ref="C670:M670"/>
    <mergeCell ref="J675:N676"/>
    <mergeCell ref="C676:E676"/>
    <mergeCell ref="C684:D692"/>
    <mergeCell ref="L684:M685"/>
    <mergeCell ref="N684:N685"/>
    <mergeCell ref="E691:K692"/>
    <mergeCell ref="L691:L692"/>
    <mergeCell ref="D694:L694"/>
    <mergeCell ref="D695:L695"/>
    <mergeCell ref="C696:N696"/>
    <mergeCell ref="D698:K698"/>
    <mergeCell ref="L698:M698"/>
    <mergeCell ref="D699:K699"/>
    <mergeCell ref="L699:M699"/>
    <mergeCell ref="C700:N702"/>
    <mergeCell ref="C703:F703"/>
    <mergeCell ref="G703:H703"/>
    <mergeCell ref="I703:J703"/>
    <mergeCell ref="L703:M703"/>
    <mergeCell ref="C4793:I4793"/>
    <mergeCell ref="L4793:M4793"/>
    <mergeCell ref="C4794:M4794"/>
    <mergeCell ref="C4795:N4797"/>
    <mergeCell ref="C4798:H4798"/>
    <mergeCell ref="C4799:H4799"/>
    <mergeCell ref="L4798:M4798"/>
    <mergeCell ref="L4799:M4799"/>
    <mergeCell ref="C4800:H4800"/>
    <mergeCell ref="L4800:M4800"/>
    <mergeCell ref="C4801:H4801"/>
    <mergeCell ref="L4801:M4801"/>
    <mergeCell ref="L4802:M4802"/>
    <mergeCell ref="C4802:H4802"/>
    <mergeCell ref="C4803:H4803"/>
    <mergeCell ref="L4803:M4803"/>
    <mergeCell ref="C4804:M4804"/>
    <mergeCell ref="C4781:M4781"/>
    <mergeCell ref="C4782:N4784"/>
    <mergeCell ref="L4785:M4785"/>
    <mergeCell ref="C4785:I4785"/>
    <mergeCell ref="C4786:I4786"/>
    <mergeCell ref="L4786:M4786"/>
    <mergeCell ref="C4787:I4787"/>
    <mergeCell ref="L4787:M4787"/>
    <mergeCell ref="C4788:I4788"/>
    <mergeCell ref="C4789:I4789"/>
    <mergeCell ref="L4788:M4788"/>
    <mergeCell ref="L4789:M4789"/>
    <mergeCell ref="C4790:I4790"/>
    <mergeCell ref="L4790:M4790"/>
    <mergeCell ref="C4791:I4791"/>
    <mergeCell ref="L4791:M4791"/>
    <mergeCell ref="L4792:M4792"/>
    <mergeCell ref="C4792:I4792"/>
    <mergeCell ref="I4774:J4774"/>
    <mergeCell ref="L4774:M4774"/>
    <mergeCell ref="C4775:F4775"/>
    <mergeCell ref="G4775:H4775"/>
    <mergeCell ref="I4775:J4775"/>
    <mergeCell ref="L4775:M4775"/>
    <mergeCell ref="G4776:H4776"/>
    <mergeCell ref="I4776:J4776"/>
    <mergeCell ref="L4776:M4776"/>
    <mergeCell ref="C4779:F4779"/>
    <mergeCell ref="G4779:H4779"/>
    <mergeCell ref="I4779:J4779"/>
    <mergeCell ref="C4780:F4780"/>
    <mergeCell ref="G4780:H4780"/>
    <mergeCell ref="I4780:J4780"/>
    <mergeCell ref="C4776:F4776"/>
    <mergeCell ref="C4777:F4777"/>
    <mergeCell ref="G4777:H4777"/>
    <mergeCell ref="I4777:J4777"/>
    <mergeCell ref="C4778:F4778"/>
    <mergeCell ref="G4778:H4778"/>
    <mergeCell ref="I4778:J4778"/>
    <mergeCell ref="L4777:M4777"/>
    <mergeCell ref="L4778:M4778"/>
    <mergeCell ref="L4779:M4779"/>
    <mergeCell ref="L4780:M4780"/>
    <mergeCell ref="L4677:L4678"/>
    <mergeCell ref="D4680:L4680"/>
    <mergeCell ref="D4681:L4681"/>
    <mergeCell ref="C4682:N4682"/>
    <mergeCell ref="D4684:K4684"/>
    <mergeCell ref="L4684:M4684"/>
    <mergeCell ref="C4735:H4735"/>
    <mergeCell ref="C4736:H4736"/>
    <mergeCell ref="L4736:M4736"/>
    <mergeCell ref="L4737:M4737"/>
    <mergeCell ref="L4738:M4738"/>
    <mergeCell ref="C4739:M4739"/>
    <mergeCell ref="C4741:M4741"/>
    <mergeCell ref="D4770:K4770"/>
    <mergeCell ref="L4770:M4770"/>
    <mergeCell ref="C4771:N4773"/>
    <mergeCell ref="C4720:N4722"/>
    <mergeCell ref="C4723:H4723"/>
    <mergeCell ref="C4724:H4724"/>
    <mergeCell ref="L4723:M4723"/>
    <mergeCell ref="L4724:M4724"/>
    <mergeCell ref="C4725:H4725"/>
    <mergeCell ref="L4725:M4725"/>
    <mergeCell ref="C4726:H4726"/>
    <mergeCell ref="L4726:M4726"/>
    <mergeCell ref="L4727:M4727"/>
    <mergeCell ref="C4727:H4727"/>
    <mergeCell ref="C4728:H4728"/>
    <mergeCell ref="L4728:M4728"/>
    <mergeCell ref="C4729:M4729"/>
    <mergeCell ref="C4731:M4731"/>
    <mergeCell ref="C4732:N4734"/>
    <mergeCell ref="L4735:M4735"/>
    <mergeCell ref="C4708:I4708"/>
    <mergeCell ref="L4708:M4708"/>
    <mergeCell ref="C4709:M4709"/>
    <mergeCell ref="C4710:N4712"/>
    <mergeCell ref="C4713:H4713"/>
    <mergeCell ref="C4714:H4714"/>
    <mergeCell ref="L4713:M4713"/>
    <mergeCell ref="L4714:M4714"/>
    <mergeCell ref="C4715:H4715"/>
    <mergeCell ref="L4715:M4715"/>
    <mergeCell ref="C4716:H4716"/>
    <mergeCell ref="L4716:M4716"/>
    <mergeCell ref="L4717:M4717"/>
    <mergeCell ref="C4717:H4717"/>
    <mergeCell ref="C4718:H4718"/>
    <mergeCell ref="L4718:M4718"/>
    <mergeCell ref="C4719:M4719"/>
    <mergeCell ref="C4696:M4696"/>
    <mergeCell ref="C4697:N4699"/>
    <mergeCell ref="L4700:M4700"/>
    <mergeCell ref="C4700:I4700"/>
    <mergeCell ref="C4701:I4701"/>
    <mergeCell ref="L4701:M4701"/>
    <mergeCell ref="C4702:I4702"/>
    <mergeCell ref="L4702:M4702"/>
    <mergeCell ref="C4703:I4703"/>
    <mergeCell ref="C4704:I4704"/>
    <mergeCell ref="L4703:M4703"/>
    <mergeCell ref="L4704:M4704"/>
    <mergeCell ref="C4705:I4705"/>
    <mergeCell ref="L4705:M4705"/>
    <mergeCell ref="C4706:I4706"/>
    <mergeCell ref="L4706:M4706"/>
    <mergeCell ref="L4707:M4707"/>
    <mergeCell ref="C4707:I4707"/>
    <mergeCell ref="C4689:F4689"/>
    <mergeCell ref="G4689:H4689"/>
    <mergeCell ref="I4689:J4689"/>
    <mergeCell ref="L4689:M4689"/>
    <mergeCell ref="C4690:F4690"/>
    <mergeCell ref="G4690:H4690"/>
    <mergeCell ref="I4690:J4690"/>
    <mergeCell ref="L4690:M4690"/>
    <mergeCell ref="G4691:H4691"/>
    <mergeCell ref="I4691:J4691"/>
    <mergeCell ref="L4691:M4691"/>
    <mergeCell ref="C4694:F4694"/>
    <mergeCell ref="G4694:H4694"/>
    <mergeCell ref="I4694:J4694"/>
    <mergeCell ref="C4695:F4695"/>
    <mergeCell ref="G4695:H4695"/>
    <mergeCell ref="I4695:J4695"/>
    <mergeCell ref="C4691:F4691"/>
    <mergeCell ref="C4692:F4692"/>
    <mergeCell ref="G4692:H4692"/>
    <mergeCell ref="I4692:J4692"/>
    <mergeCell ref="C4693:F4693"/>
    <mergeCell ref="G4693:H4693"/>
    <mergeCell ref="I4693:J4693"/>
    <mergeCell ref="L4692:M4692"/>
    <mergeCell ref="L4693:M4693"/>
    <mergeCell ref="L4694:M4694"/>
    <mergeCell ref="L4695:M4695"/>
    <mergeCell ref="L4593:L4594"/>
    <mergeCell ref="D4596:L4596"/>
    <mergeCell ref="D4597:L4597"/>
    <mergeCell ref="C4598:N4598"/>
    <mergeCell ref="D4600:K4600"/>
    <mergeCell ref="L4600:M4600"/>
    <mergeCell ref="C4651:H4651"/>
    <mergeCell ref="C4652:H4652"/>
    <mergeCell ref="L4652:M4652"/>
    <mergeCell ref="L4653:M4653"/>
    <mergeCell ref="L4654:M4654"/>
    <mergeCell ref="C4655:M4655"/>
    <mergeCell ref="C4657:M4657"/>
    <mergeCell ref="D4685:K4685"/>
    <mergeCell ref="L4685:M4685"/>
    <mergeCell ref="C4686:N4688"/>
    <mergeCell ref="E4672:K4672"/>
    <mergeCell ref="E4673:K4675"/>
    <mergeCell ref="L4673:L4674"/>
    <mergeCell ref="M4673:M4674"/>
    <mergeCell ref="N4673:N4674"/>
    <mergeCell ref="L4675:N4675"/>
    <mergeCell ref="M4677:M4678"/>
    <mergeCell ref="N4677:N4678"/>
    <mergeCell ref="J4662:N4663"/>
    <mergeCell ref="C4663:E4663"/>
    <mergeCell ref="C4670:D4678"/>
    <mergeCell ref="E4670:K4671"/>
    <mergeCell ref="L4670:M4671"/>
    <mergeCell ref="N4670:N4671"/>
    <mergeCell ref="L4672:N4672"/>
    <mergeCell ref="E4677:K4678"/>
    <mergeCell ref="C4636:N4638"/>
    <mergeCell ref="C4639:H4639"/>
    <mergeCell ref="C4640:H4640"/>
    <mergeCell ref="L4639:M4639"/>
    <mergeCell ref="L4640:M4640"/>
    <mergeCell ref="C4641:H4641"/>
    <mergeCell ref="L4641:M4641"/>
    <mergeCell ref="C4642:H4642"/>
    <mergeCell ref="L4642:M4642"/>
    <mergeCell ref="L4643:M4643"/>
    <mergeCell ref="C4643:H4643"/>
    <mergeCell ref="C4644:H4644"/>
    <mergeCell ref="L4644:M4644"/>
    <mergeCell ref="C4645:M4645"/>
    <mergeCell ref="C4647:M4647"/>
    <mergeCell ref="C4648:N4650"/>
    <mergeCell ref="L4651:M4651"/>
    <mergeCell ref="C4624:I4624"/>
    <mergeCell ref="L4624:M4624"/>
    <mergeCell ref="C4625:M4625"/>
    <mergeCell ref="C4626:N4628"/>
    <mergeCell ref="C4629:H4629"/>
    <mergeCell ref="C4630:H4630"/>
    <mergeCell ref="L4629:M4629"/>
    <mergeCell ref="L4630:M4630"/>
    <mergeCell ref="C4631:H4631"/>
    <mergeCell ref="L4631:M4631"/>
    <mergeCell ref="C4632:H4632"/>
    <mergeCell ref="L4632:M4632"/>
    <mergeCell ref="L4633:M4633"/>
    <mergeCell ref="C4633:H4633"/>
    <mergeCell ref="C4634:H4634"/>
    <mergeCell ref="L4634:M4634"/>
    <mergeCell ref="C4635:M4635"/>
    <mergeCell ref="C4612:M4612"/>
    <mergeCell ref="C4613:N4615"/>
    <mergeCell ref="L4616:M4616"/>
    <mergeCell ref="C4616:I4616"/>
    <mergeCell ref="C4617:I4617"/>
    <mergeCell ref="L4617:M4617"/>
    <mergeCell ref="C4618:I4618"/>
    <mergeCell ref="L4618:M4618"/>
    <mergeCell ref="C4619:I4619"/>
    <mergeCell ref="C4620:I4620"/>
    <mergeCell ref="L4619:M4619"/>
    <mergeCell ref="L4620:M4620"/>
    <mergeCell ref="C4621:I4621"/>
    <mergeCell ref="L4621:M4621"/>
    <mergeCell ref="C4622:I4622"/>
    <mergeCell ref="L4622:M4622"/>
    <mergeCell ref="L4623:M4623"/>
    <mergeCell ref="C4623:I4623"/>
    <mergeCell ref="C4605:F4605"/>
    <mergeCell ref="G4605:H4605"/>
    <mergeCell ref="I4605:J4605"/>
    <mergeCell ref="L4605:M4605"/>
    <mergeCell ref="C4606:F4606"/>
    <mergeCell ref="G4606:H4606"/>
    <mergeCell ref="I4606:J4606"/>
    <mergeCell ref="L4606:M4606"/>
    <mergeCell ref="G4607:H4607"/>
    <mergeCell ref="I4607:J4607"/>
    <mergeCell ref="L4607:M4607"/>
    <mergeCell ref="C4610:F4610"/>
    <mergeCell ref="G4610:H4610"/>
    <mergeCell ref="I4610:J4610"/>
    <mergeCell ref="C4611:F4611"/>
    <mergeCell ref="G4611:H4611"/>
    <mergeCell ref="I4611:J4611"/>
    <mergeCell ref="C4607:F4607"/>
    <mergeCell ref="C4608:F4608"/>
    <mergeCell ref="G4608:H4608"/>
    <mergeCell ref="I4608:J4608"/>
    <mergeCell ref="C4609:F4609"/>
    <mergeCell ref="G4609:H4609"/>
    <mergeCell ref="I4609:J4609"/>
    <mergeCell ref="L4608:M4608"/>
    <mergeCell ref="L4609:M4609"/>
    <mergeCell ref="L4610:M4610"/>
    <mergeCell ref="L4611:M4611"/>
    <mergeCell ref="L4508:L4509"/>
    <mergeCell ref="D4511:L4511"/>
    <mergeCell ref="D4512:L4512"/>
    <mergeCell ref="C4513:N4513"/>
    <mergeCell ref="D4515:K4515"/>
    <mergeCell ref="L4515:M4515"/>
    <mergeCell ref="C4566:H4566"/>
    <mergeCell ref="C4567:H4567"/>
    <mergeCell ref="L4567:M4567"/>
    <mergeCell ref="L4568:M4568"/>
    <mergeCell ref="L4569:M4569"/>
    <mergeCell ref="C4570:M4570"/>
    <mergeCell ref="C4572:M4572"/>
    <mergeCell ref="D4601:K4601"/>
    <mergeCell ref="L4601:M4601"/>
    <mergeCell ref="C4602:N4604"/>
    <mergeCell ref="E4588:K4588"/>
    <mergeCell ref="E4589:K4591"/>
    <mergeCell ref="L4589:L4590"/>
    <mergeCell ref="M4589:M4590"/>
    <mergeCell ref="N4589:N4590"/>
    <mergeCell ref="L4591:N4591"/>
    <mergeCell ref="M4593:M4594"/>
    <mergeCell ref="N4593:N4594"/>
    <mergeCell ref="J4577:N4578"/>
    <mergeCell ref="C4578:E4578"/>
    <mergeCell ref="C4586:D4594"/>
    <mergeCell ref="E4586:K4587"/>
    <mergeCell ref="L4586:M4587"/>
    <mergeCell ref="N4586:N4587"/>
    <mergeCell ref="L4588:N4588"/>
    <mergeCell ref="E4593:K4594"/>
    <mergeCell ref="C4551:N4553"/>
    <mergeCell ref="C4554:H4554"/>
    <mergeCell ref="C4555:H4555"/>
    <mergeCell ref="L4554:M4554"/>
    <mergeCell ref="L4555:M4555"/>
    <mergeCell ref="C4556:H4556"/>
    <mergeCell ref="L4556:M4556"/>
    <mergeCell ref="C4557:H4557"/>
    <mergeCell ref="L4557:M4557"/>
    <mergeCell ref="L4558:M4558"/>
    <mergeCell ref="C4558:H4558"/>
    <mergeCell ref="C4559:H4559"/>
    <mergeCell ref="L4559:M4559"/>
    <mergeCell ref="C4560:M4560"/>
    <mergeCell ref="C4562:M4562"/>
    <mergeCell ref="C4563:N4565"/>
    <mergeCell ref="L4566:M4566"/>
    <mergeCell ref="C4539:I4539"/>
    <mergeCell ref="L4539:M4539"/>
    <mergeCell ref="C4540:M4540"/>
    <mergeCell ref="C4541:N4543"/>
    <mergeCell ref="C4544:H4544"/>
    <mergeCell ref="C4545:H4545"/>
    <mergeCell ref="L4544:M4544"/>
    <mergeCell ref="L4545:M4545"/>
    <mergeCell ref="C4546:H4546"/>
    <mergeCell ref="L4546:M4546"/>
    <mergeCell ref="C4547:H4547"/>
    <mergeCell ref="L4547:M4547"/>
    <mergeCell ref="L4548:M4548"/>
    <mergeCell ref="C4548:H4548"/>
    <mergeCell ref="C4549:H4549"/>
    <mergeCell ref="L4549:M4549"/>
    <mergeCell ref="C4550:M4550"/>
    <mergeCell ref="C4527:M4527"/>
    <mergeCell ref="C4528:N4530"/>
    <mergeCell ref="L4531:M4531"/>
    <mergeCell ref="C4531:I4531"/>
    <mergeCell ref="C4532:I4532"/>
    <mergeCell ref="L4532:M4532"/>
    <mergeCell ref="C4533:I4533"/>
    <mergeCell ref="L4533:M4533"/>
    <mergeCell ref="C4534:I4534"/>
    <mergeCell ref="C4535:I4535"/>
    <mergeCell ref="L4534:M4534"/>
    <mergeCell ref="L4535:M4535"/>
    <mergeCell ref="C4536:I4536"/>
    <mergeCell ref="L4536:M4536"/>
    <mergeCell ref="C4537:I4537"/>
    <mergeCell ref="L4537:M4537"/>
    <mergeCell ref="L4538:M4538"/>
    <mergeCell ref="C4538:I4538"/>
    <mergeCell ref="C4520:F4520"/>
    <mergeCell ref="G4520:H4520"/>
    <mergeCell ref="I4520:J4520"/>
    <mergeCell ref="L4520:M4520"/>
    <mergeCell ref="C4521:F4521"/>
    <mergeCell ref="G4521:H4521"/>
    <mergeCell ref="I4521:J4521"/>
    <mergeCell ref="L4521:M4521"/>
    <mergeCell ref="G4522:H4522"/>
    <mergeCell ref="I4522:J4522"/>
    <mergeCell ref="L4522:M4522"/>
    <mergeCell ref="C4525:F4525"/>
    <mergeCell ref="G4525:H4525"/>
    <mergeCell ref="I4525:J4525"/>
    <mergeCell ref="C4526:F4526"/>
    <mergeCell ref="G4526:H4526"/>
    <mergeCell ref="I4526:J4526"/>
    <mergeCell ref="C4522:F4522"/>
    <mergeCell ref="C4523:F4523"/>
    <mergeCell ref="G4523:H4523"/>
    <mergeCell ref="I4523:J4523"/>
    <mergeCell ref="C4524:F4524"/>
    <mergeCell ref="G4524:H4524"/>
    <mergeCell ref="I4524:J4524"/>
    <mergeCell ref="L4523:M4523"/>
    <mergeCell ref="L4524:M4524"/>
    <mergeCell ref="L4525:M4525"/>
    <mergeCell ref="L4526:M4526"/>
    <mergeCell ref="L4424:L4425"/>
    <mergeCell ref="D4427:L4427"/>
    <mergeCell ref="D4428:L4428"/>
    <mergeCell ref="C4429:N4429"/>
    <mergeCell ref="D4431:K4431"/>
    <mergeCell ref="L4431:M4431"/>
    <mergeCell ref="C4482:H4482"/>
    <mergeCell ref="C4483:H4483"/>
    <mergeCell ref="L4483:M4483"/>
    <mergeCell ref="L4484:M4484"/>
    <mergeCell ref="L4485:M4485"/>
    <mergeCell ref="C4486:M4486"/>
    <mergeCell ref="C4488:M4488"/>
    <mergeCell ref="D4516:K4516"/>
    <mergeCell ref="L4516:M4516"/>
    <mergeCell ref="C4517:N4519"/>
    <mergeCell ref="E4503:K4503"/>
    <mergeCell ref="E4504:K4506"/>
    <mergeCell ref="L4504:L4505"/>
    <mergeCell ref="M4504:M4505"/>
    <mergeCell ref="N4504:N4505"/>
    <mergeCell ref="L4506:N4506"/>
    <mergeCell ref="M4508:M4509"/>
    <mergeCell ref="N4508:N4509"/>
    <mergeCell ref="J4493:N4494"/>
    <mergeCell ref="C4494:E4494"/>
    <mergeCell ref="C4501:D4509"/>
    <mergeCell ref="E4501:K4502"/>
    <mergeCell ref="L4501:M4502"/>
    <mergeCell ref="N4501:N4502"/>
    <mergeCell ref="L4503:N4503"/>
    <mergeCell ref="E4508:K4509"/>
    <mergeCell ref="C4467:N4469"/>
    <mergeCell ref="C4470:H4470"/>
    <mergeCell ref="C4471:H4471"/>
    <mergeCell ref="L4470:M4470"/>
    <mergeCell ref="L4471:M4471"/>
    <mergeCell ref="C4472:H4472"/>
    <mergeCell ref="L4472:M4472"/>
    <mergeCell ref="C4473:H4473"/>
    <mergeCell ref="L4473:M4473"/>
    <mergeCell ref="L4474:M4474"/>
    <mergeCell ref="C4474:H4474"/>
    <mergeCell ref="C4475:H4475"/>
    <mergeCell ref="L4475:M4475"/>
    <mergeCell ref="C4476:M4476"/>
    <mergeCell ref="C4478:M4478"/>
    <mergeCell ref="C4479:N4481"/>
    <mergeCell ref="L4482:M4482"/>
    <mergeCell ref="C4455:I4455"/>
    <mergeCell ref="L4455:M4455"/>
    <mergeCell ref="C4456:M4456"/>
    <mergeCell ref="C4457:N4459"/>
    <mergeCell ref="C4460:H4460"/>
    <mergeCell ref="C4461:H4461"/>
    <mergeCell ref="L4460:M4460"/>
    <mergeCell ref="L4461:M4461"/>
    <mergeCell ref="C4462:H4462"/>
    <mergeCell ref="L4462:M4462"/>
    <mergeCell ref="C4463:H4463"/>
    <mergeCell ref="L4463:M4463"/>
    <mergeCell ref="L4464:M4464"/>
    <mergeCell ref="C4464:H4464"/>
    <mergeCell ref="C4465:H4465"/>
    <mergeCell ref="L4465:M4465"/>
    <mergeCell ref="C4466:M4466"/>
    <mergeCell ref="C4443:M4443"/>
    <mergeCell ref="C4444:N4446"/>
    <mergeCell ref="L4447:M4447"/>
    <mergeCell ref="C4447:I4447"/>
    <mergeCell ref="C4448:I4448"/>
    <mergeCell ref="L4448:M4448"/>
    <mergeCell ref="C4449:I4449"/>
    <mergeCell ref="L4449:M4449"/>
    <mergeCell ref="C4450:I4450"/>
    <mergeCell ref="C4451:I4451"/>
    <mergeCell ref="L4450:M4450"/>
    <mergeCell ref="L4451:M4451"/>
    <mergeCell ref="C4452:I4452"/>
    <mergeCell ref="L4452:M4452"/>
    <mergeCell ref="C4453:I4453"/>
    <mergeCell ref="L4453:M4453"/>
    <mergeCell ref="L4454:M4454"/>
    <mergeCell ref="C4454:I4454"/>
    <mergeCell ref="C4433:N4435"/>
    <mergeCell ref="C4436:F4436"/>
    <mergeCell ref="G4436:H4436"/>
    <mergeCell ref="I4436:J4436"/>
    <mergeCell ref="L4436:M4436"/>
    <mergeCell ref="C4437:F4437"/>
    <mergeCell ref="G4437:H4437"/>
    <mergeCell ref="I4437:J4437"/>
    <mergeCell ref="L4437:M4437"/>
    <mergeCell ref="G4438:H4438"/>
    <mergeCell ref="I4438:J4438"/>
    <mergeCell ref="L4438:M4438"/>
    <mergeCell ref="C4441:F4441"/>
    <mergeCell ref="G4441:H4441"/>
    <mergeCell ref="I4441:J4441"/>
    <mergeCell ref="C4442:F4442"/>
    <mergeCell ref="G4442:H4442"/>
    <mergeCell ref="I4442:J4442"/>
    <mergeCell ref="C4438:F4438"/>
    <mergeCell ref="C4439:F4439"/>
    <mergeCell ref="G4439:H4439"/>
    <mergeCell ref="I4439:J4439"/>
    <mergeCell ref="C4440:F4440"/>
    <mergeCell ref="G4440:H4440"/>
    <mergeCell ref="I4440:J4440"/>
    <mergeCell ref="L4439:M4439"/>
    <mergeCell ref="L4440:M4440"/>
    <mergeCell ref="L4441:M4441"/>
    <mergeCell ref="L4442:M4442"/>
    <mergeCell ref="E4340:K4341"/>
    <mergeCell ref="L4340:L4341"/>
    <mergeCell ref="D4343:L4343"/>
    <mergeCell ref="D4344:L4344"/>
    <mergeCell ref="C4345:N4345"/>
    <mergeCell ref="D4347:K4347"/>
    <mergeCell ref="L4347:M4347"/>
    <mergeCell ref="C4398:H4398"/>
    <mergeCell ref="C4399:H4399"/>
    <mergeCell ref="L4399:M4399"/>
    <mergeCell ref="L4400:M4400"/>
    <mergeCell ref="L4401:M4401"/>
    <mergeCell ref="C4402:M4402"/>
    <mergeCell ref="C4404:M4404"/>
    <mergeCell ref="D4432:K4432"/>
    <mergeCell ref="L4432:M4432"/>
    <mergeCell ref="E4419:K4419"/>
    <mergeCell ref="E4420:K4422"/>
    <mergeCell ref="L4420:L4421"/>
    <mergeCell ref="M4420:M4421"/>
    <mergeCell ref="N4420:N4421"/>
    <mergeCell ref="L4422:N4422"/>
    <mergeCell ref="M4424:M4425"/>
    <mergeCell ref="N4424:N4425"/>
    <mergeCell ref="J4409:N4410"/>
    <mergeCell ref="C4410:E4410"/>
    <mergeCell ref="C4417:D4425"/>
    <mergeCell ref="E4417:K4418"/>
    <mergeCell ref="L4417:M4418"/>
    <mergeCell ref="N4417:N4418"/>
    <mergeCell ref="L4419:N4419"/>
    <mergeCell ref="E4424:K4425"/>
    <mergeCell ref="C4383:N4385"/>
    <mergeCell ref="C4386:H4386"/>
    <mergeCell ref="C4387:H4387"/>
    <mergeCell ref="L4386:M4386"/>
    <mergeCell ref="L4387:M4387"/>
    <mergeCell ref="C4388:H4388"/>
    <mergeCell ref="L4388:M4388"/>
    <mergeCell ref="C4389:H4389"/>
    <mergeCell ref="L4389:M4389"/>
    <mergeCell ref="L4390:M4390"/>
    <mergeCell ref="C4390:H4390"/>
    <mergeCell ref="C4391:H4391"/>
    <mergeCell ref="L4391:M4391"/>
    <mergeCell ref="C4392:M4392"/>
    <mergeCell ref="C4394:M4394"/>
    <mergeCell ref="C4395:N4397"/>
    <mergeCell ref="L4398:M4398"/>
    <mergeCell ref="C4371:I4371"/>
    <mergeCell ref="L4371:M4371"/>
    <mergeCell ref="C4372:M4372"/>
    <mergeCell ref="C4373:N4375"/>
    <mergeCell ref="C4376:H4376"/>
    <mergeCell ref="C4377:H4377"/>
    <mergeCell ref="L4376:M4376"/>
    <mergeCell ref="L4377:M4377"/>
    <mergeCell ref="C4378:H4378"/>
    <mergeCell ref="L4378:M4378"/>
    <mergeCell ref="C4379:H4379"/>
    <mergeCell ref="L4379:M4379"/>
    <mergeCell ref="L4380:M4380"/>
    <mergeCell ref="C4380:H4380"/>
    <mergeCell ref="C4381:H4381"/>
    <mergeCell ref="L4381:M4381"/>
    <mergeCell ref="C4382:M4382"/>
    <mergeCell ref="C4359:M4359"/>
    <mergeCell ref="C4360:N4362"/>
    <mergeCell ref="L4363:M4363"/>
    <mergeCell ref="C4363:I4363"/>
    <mergeCell ref="C4364:I4364"/>
    <mergeCell ref="L4364:M4364"/>
    <mergeCell ref="C4365:I4365"/>
    <mergeCell ref="L4365:M4365"/>
    <mergeCell ref="C4366:I4366"/>
    <mergeCell ref="C4367:I4367"/>
    <mergeCell ref="L4366:M4366"/>
    <mergeCell ref="L4367:M4367"/>
    <mergeCell ref="C4368:I4368"/>
    <mergeCell ref="L4368:M4368"/>
    <mergeCell ref="C4369:I4369"/>
    <mergeCell ref="L4369:M4369"/>
    <mergeCell ref="L4370:M4370"/>
    <mergeCell ref="C4370:I4370"/>
    <mergeCell ref="G4354:H4354"/>
    <mergeCell ref="I4354:J4354"/>
    <mergeCell ref="L4354:M4354"/>
    <mergeCell ref="C4357:F4357"/>
    <mergeCell ref="G4357:H4357"/>
    <mergeCell ref="I4357:J4357"/>
    <mergeCell ref="C4358:F4358"/>
    <mergeCell ref="G4358:H4358"/>
    <mergeCell ref="I4358:J4358"/>
    <mergeCell ref="C4354:F4354"/>
    <mergeCell ref="C4355:F4355"/>
    <mergeCell ref="G4355:H4355"/>
    <mergeCell ref="I4355:J4355"/>
    <mergeCell ref="C4356:F4356"/>
    <mergeCell ref="G4356:H4356"/>
    <mergeCell ref="I4356:J4356"/>
    <mergeCell ref="L4355:M4355"/>
    <mergeCell ref="L4356:M4356"/>
    <mergeCell ref="L4357:M4357"/>
    <mergeCell ref="L4358:M4358"/>
    <mergeCell ref="C4314:H4314"/>
    <mergeCell ref="L4314:M4314"/>
    <mergeCell ref="L4315:M4315"/>
    <mergeCell ref="L4316:M4316"/>
    <mergeCell ref="C4317:M4317"/>
    <mergeCell ref="C4319:M4319"/>
    <mergeCell ref="D4348:K4348"/>
    <mergeCell ref="L4348:M4348"/>
    <mergeCell ref="C4349:N4351"/>
    <mergeCell ref="C4352:F4352"/>
    <mergeCell ref="G4352:H4352"/>
    <mergeCell ref="I4352:J4352"/>
    <mergeCell ref="L4352:M4352"/>
    <mergeCell ref="C4353:F4353"/>
    <mergeCell ref="G4353:H4353"/>
    <mergeCell ref="I4353:J4353"/>
    <mergeCell ref="L4353:M4353"/>
    <mergeCell ref="E4335:K4335"/>
    <mergeCell ref="E4336:K4338"/>
    <mergeCell ref="L4336:L4337"/>
    <mergeCell ref="M4336:M4337"/>
    <mergeCell ref="N4336:N4337"/>
    <mergeCell ref="L4338:N4338"/>
    <mergeCell ref="M4340:M4341"/>
    <mergeCell ref="N4340:N4341"/>
    <mergeCell ref="J4324:N4325"/>
    <mergeCell ref="C4325:E4325"/>
    <mergeCell ref="C4333:D4341"/>
    <mergeCell ref="E4333:K4334"/>
    <mergeCell ref="L4333:M4334"/>
    <mergeCell ref="N4333:N4334"/>
    <mergeCell ref="L4335:N4335"/>
    <mergeCell ref="L4305:M4305"/>
    <mergeCell ref="C4305:H4305"/>
    <mergeCell ref="C4306:H4306"/>
    <mergeCell ref="L4306:M4306"/>
    <mergeCell ref="C4307:M4307"/>
    <mergeCell ref="C4309:M4309"/>
    <mergeCell ref="C4310:N4312"/>
    <mergeCell ref="L4313:M4313"/>
    <mergeCell ref="E4250:K4250"/>
    <mergeCell ref="E4251:K4253"/>
    <mergeCell ref="L4251:L4252"/>
    <mergeCell ref="M4251:M4252"/>
    <mergeCell ref="N4251:N4252"/>
    <mergeCell ref="L4253:N4253"/>
    <mergeCell ref="M4255:M4256"/>
    <mergeCell ref="N4255:N4256"/>
    <mergeCell ref="C4248:D4256"/>
    <mergeCell ref="E4248:K4249"/>
    <mergeCell ref="L4248:M4249"/>
    <mergeCell ref="N4248:N4249"/>
    <mergeCell ref="L4250:N4250"/>
    <mergeCell ref="E4255:K4256"/>
    <mergeCell ref="L4255:L4256"/>
    <mergeCell ref="D4258:L4258"/>
    <mergeCell ref="D4259:L4259"/>
    <mergeCell ref="C4260:N4260"/>
    <mergeCell ref="D4262:K4262"/>
    <mergeCell ref="L4262:M4262"/>
    <mergeCell ref="C4313:H4313"/>
    <mergeCell ref="C4293:H4293"/>
    <mergeCell ref="L4293:M4293"/>
    <mergeCell ref="C4294:H4294"/>
    <mergeCell ref="L4294:M4294"/>
    <mergeCell ref="L4295:M4295"/>
    <mergeCell ref="C4295:H4295"/>
    <mergeCell ref="C4296:H4296"/>
    <mergeCell ref="L4296:M4296"/>
    <mergeCell ref="C4297:M4297"/>
    <mergeCell ref="C4298:N4300"/>
    <mergeCell ref="C4301:H4301"/>
    <mergeCell ref="C4302:H4302"/>
    <mergeCell ref="L4301:M4301"/>
    <mergeCell ref="L4302:M4302"/>
    <mergeCell ref="C4303:H4303"/>
    <mergeCell ref="L4303:M4303"/>
    <mergeCell ref="C4304:H4304"/>
    <mergeCell ref="L4304:M4304"/>
    <mergeCell ref="C4281:I4281"/>
    <mergeCell ref="C4282:I4282"/>
    <mergeCell ref="L4281:M4281"/>
    <mergeCell ref="L4282:M4282"/>
    <mergeCell ref="C4283:I4283"/>
    <mergeCell ref="L4283:M4283"/>
    <mergeCell ref="C4284:I4284"/>
    <mergeCell ref="L4284:M4284"/>
    <mergeCell ref="L4285:M4285"/>
    <mergeCell ref="C4285:I4285"/>
    <mergeCell ref="C4286:I4286"/>
    <mergeCell ref="L4286:M4286"/>
    <mergeCell ref="C4287:M4287"/>
    <mergeCell ref="C4288:N4290"/>
    <mergeCell ref="C4291:H4291"/>
    <mergeCell ref="C4292:H4292"/>
    <mergeCell ref="L4291:M4291"/>
    <mergeCell ref="L4292:M4292"/>
    <mergeCell ref="C4270:F4270"/>
    <mergeCell ref="G4270:H4270"/>
    <mergeCell ref="I4270:J4270"/>
    <mergeCell ref="C4271:F4271"/>
    <mergeCell ref="G4271:H4271"/>
    <mergeCell ref="I4271:J4271"/>
    <mergeCell ref="L4270:M4270"/>
    <mergeCell ref="L4271:M4271"/>
    <mergeCell ref="L4272:M4272"/>
    <mergeCell ref="L4273:M4273"/>
    <mergeCell ref="C4274:M4274"/>
    <mergeCell ref="C4275:N4277"/>
    <mergeCell ref="L4278:M4278"/>
    <mergeCell ref="C4278:I4278"/>
    <mergeCell ref="C4279:I4279"/>
    <mergeCell ref="L4279:M4279"/>
    <mergeCell ref="C4280:I4280"/>
    <mergeCell ref="L4280:M4280"/>
    <mergeCell ref="E4170:K4171"/>
    <mergeCell ref="L4170:L4171"/>
    <mergeCell ref="D4173:L4173"/>
    <mergeCell ref="D4174:L4174"/>
    <mergeCell ref="C4175:N4175"/>
    <mergeCell ref="D4177:K4177"/>
    <mergeCell ref="L4177:M4177"/>
    <mergeCell ref="C4228:H4228"/>
    <mergeCell ref="C4229:H4229"/>
    <mergeCell ref="L4229:M4229"/>
    <mergeCell ref="L4230:M4230"/>
    <mergeCell ref="L4231:M4231"/>
    <mergeCell ref="C4232:M4232"/>
    <mergeCell ref="C4234:M4234"/>
    <mergeCell ref="D4263:K4263"/>
    <mergeCell ref="L4263:M4263"/>
    <mergeCell ref="C4264:N4266"/>
    <mergeCell ref="J4239:N4240"/>
    <mergeCell ref="C4240:E4240"/>
    <mergeCell ref="C4213:N4215"/>
    <mergeCell ref="C4216:H4216"/>
    <mergeCell ref="C4217:H4217"/>
    <mergeCell ref="C4189:M4189"/>
    <mergeCell ref="C4190:N4192"/>
    <mergeCell ref="L4193:M4193"/>
    <mergeCell ref="C4193:I4193"/>
    <mergeCell ref="C4194:I4194"/>
    <mergeCell ref="L4194:M4194"/>
    <mergeCell ref="C4195:I4195"/>
    <mergeCell ref="L4195:M4195"/>
    <mergeCell ref="C4196:I4196"/>
    <mergeCell ref="C4197:I4197"/>
    <mergeCell ref="L5401:M5401"/>
    <mergeCell ref="C5401:H5401"/>
    <mergeCell ref="C5402:H5402"/>
    <mergeCell ref="L5402:M5402"/>
    <mergeCell ref="C5403:M5403"/>
    <mergeCell ref="C5404:N5406"/>
    <mergeCell ref="C5407:H5407"/>
    <mergeCell ref="C5408:H5408"/>
    <mergeCell ref="L4216:M4216"/>
    <mergeCell ref="L4217:M4217"/>
    <mergeCell ref="C4218:H4218"/>
    <mergeCell ref="L4218:M4218"/>
    <mergeCell ref="C4219:H4219"/>
    <mergeCell ref="L4219:M4219"/>
    <mergeCell ref="L4220:M4220"/>
    <mergeCell ref="C4220:H4220"/>
    <mergeCell ref="C4221:H4221"/>
    <mergeCell ref="L4221:M4221"/>
    <mergeCell ref="C4222:M4222"/>
    <mergeCell ref="C4224:M4224"/>
    <mergeCell ref="C4225:N4227"/>
    <mergeCell ref="L4228:M4228"/>
    <mergeCell ref="C4267:F4267"/>
    <mergeCell ref="G4267:H4267"/>
    <mergeCell ref="I4267:J4267"/>
    <mergeCell ref="L4267:M4267"/>
    <mergeCell ref="C4268:F4268"/>
    <mergeCell ref="G4268:H4268"/>
    <mergeCell ref="I4268:J4268"/>
    <mergeCell ref="L4268:M4268"/>
    <mergeCell ref="G4269:H4269"/>
    <mergeCell ref="I4269:J4269"/>
    <mergeCell ref="C5389:I5389"/>
    <mergeCell ref="L5389:M5389"/>
    <mergeCell ref="C5390:I5390"/>
    <mergeCell ref="L5390:M5390"/>
    <mergeCell ref="L5391:M5391"/>
    <mergeCell ref="C5391:I5391"/>
    <mergeCell ref="C5392:I5392"/>
    <mergeCell ref="L5392:M5392"/>
    <mergeCell ref="C5393:M5393"/>
    <mergeCell ref="C5394:N5396"/>
    <mergeCell ref="C5397:H5397"/>
    <mergeCell ref="C5398:H5398"/>
    <mergeCell ref="L5397:M5397"/>
    <mergeCell ref="L5398:M5398"/>
    <mergeCell ref="C5399:H5399"/>
    <mergeCell ref="L5399:M5399"/>
    <mergeCell ref="C5400:H5400"/>
    <mergeCell ref="L5400:M5400"/>
    <mergeCell ref="G5377:H5377"/>
    <mergeCell ref="I5377:J5377"/>
    <mergeCell ref="L5376:M5376"/>
    <mergeCell ref="L5377:M5377"/>
    <mergeCell ref="L5378:M5378"/>
    <mergeCell ref="L5379:M5379"/>
    <mergeCell ref="C5380:M5380"/>
    <mergeCell ref="C5381:N5383"/>
    <mergeCell ref="L5384:M5384"/>
    <mergeCell ref="C5384:I5384"/>
    <mergeCell ref="C5385:I5385"/>
    <mergeCell ref="L5385:M5385"/>
    <mergeCell ref="C5386:I5386"/>
    <mergeCell ref="L5386:M5386"/>
    <mergeCell ref="C5387:I5387"/>
    <mergeCell ref="C5388:I5388"/>
    <mergeCell ref="L5387:M5387"/>
    <mergeCell ref="L5388:M5388"/>
    <mergeCell ref="G5376:H5376"/>
    <mergeCell ref="I5376:J5376"/>
    <mergeCell ref="C5377:F5377"/>
    <mergeCell ref="C5319:N5321"/>
    <mergeCell ref="J5345:N5346"/>
    <mergeCell ref="C5346:E5346"/>
    <mergeCell ref="C5307:I5307"/>
    <mergeCell ref="L5307:M5307"/>
    <mergeCell ref="C5308:M5308"/>
    <mergeCell ref="C5309:N5311"/>
    <mergeCell ref="C5312:H5312"/>
    <mergeCell ref="I5373:J5373"/>
    <mergeCell ref="L5373:M5373"/>
    <mergeCell ref="C5374:F5374"/>
    <mergeCell ref="G5374:H5374"/>
    <mergeCell ref="I5374:J5374"/>
    <mergeCell ref="L5374:M5374"/>
    <mergeCell ref="G5375:H5375"/>
    <mergeCell ref="I5375:J5375"/>
    <mergeCell ref="L5375:M5375"/>
    <mergeCell ref="C5375:F5375"/>
    <mergeCell ref="C5334:H5334"/>
    <mergeCell ref="C5335:H5335"/>
    <mergeCell ref="L5335:M5335"/>
    <mergeCell ref="L5336:M5336"/>
    <mergeCell ref="L5337:M5337"/>
    <mergeCell ref="C5338:M5338"/>
    <mergeCell ref="C5340:M5340"/>
    <mergeCell ref="D5369:K5369"/>
    <mergeCell ref="L5369:M5369"/>
    <mergeCell ref="C5370:N5372"/>
    <mergeCell ref="E5361:K5362"/>
    <mergeCell ref="L5361:L5362"/>
    <mergeCell ref="D5364:L5364"/>
    <mergeCell ref="D5365:L5365"/>
    <mergeCell ref="C5366:N5366"/>
    <mergeCell ref="D5368:K5368"/>
    <mergeCell ref="L5368:M5368"/>
    <mergeCell ref="J5430:N5431"/>
    <mergeCell ref="C5431:E5431"/>
    <mergeCell ref="C5419:H5419"/>
    <mergeCell ref="C5420:H5420"/>
    <mergeCell ref="L5420:M5420"/>
    <mergeCell ref="L5421:M5421"/>
    <mergeCell ref="L5422:M5422"/>
    <mergeCell ref="C5423:M5423"/>
    <mergeCell ref="C5425:M5425"/>
    <mergeCell ref="L5322:M5322"/>
    <mergeCell ref="L5323:M5323"/>
    <mergeCell ref="C5324:H5324"/>
    <mergeCell ref="L5324:M5324"/>
    <mergeCell ref="C5325:H5325"/>
    <mergeCell ref="L5325:M5325"/>
    <mergeCell ref="L5326:M5326"/>
    <mergeCell ref="C5326:H5326"/>
    <mergeCell ref="C5327:H5327"/>
    <mergeCell ref="L5327:M5327"/>
    <mergeCell ref="C5328:M5328"/>
    <mergeCell ref="C5330:M5330"/>
    <mergeCell ref="C5331:N5333"/>
    <mergeCell ref="L5334:M5334"/>
    <mergeCell ref="C5373:F5373"/>
    <mergeCell ref="G5373:H5373"/>
    <mergeCell ref="C5322:H5322"/>
    <mergeCell ref="C5323:H5323"/>
    <mergeCell ref="L5407:M5407"/>
    <mergeCell ref="L5408:M5408"/>
    <mergeCell ref="C5409:H5409"/>
    <mergeCell ref="L5409:M5409"/>
    <mergeCell ref="C5410:H5410"/>
    <mergeCell ref="L5410:M5410"/>
    <mergeCell ref="L5411:M5411"/>
    <mergeCell ref="C5411:H5411"/>
    <mergeCell ref="C5412:H5412"/>
    <mergeCell ref="L5412:M5412"/>
    <mergeCell ref="C5413:M5413"/>
    <mergeCell ref="C5415:M5415"/>
    <mergeCell ref="C5416:N5418"/>
    <mergeCell ref="L5419:M5419"/>
    <mergeCell ref="E5356:K5356"/>
    <mergeCell ref="E5357:K5359"/>
    <mergeCell ref="L5357:L5358"/>
    <mergeCell ref="M5357:M5358"/>
    <mergeCell ref="N5357:N5358"/>
    <mergeCell ref="L5359:N5359"/>
    <mergeCell ref="M5361:M5362"/>
    <mergeCell ref="N5361:N5362"/>
    <mergeCell ref="C5354:D5362"/>
    <mergeCell ref="E5354:K5355"/>
    <mergeCell ref="L5354:M5355"/>
    <mergeCell ref="N5354:N5355"/>
    <mergeCell ref="L5356:N5356"/>
    <mergeCell ref="C5378:F5378"/>
    <mergeCell ref="G5378:H5378"/>
    <mergeCell ref="I5378:J5378"/>
    <mergeCell ref="C5379:F5379"/>
    <mergeCell ref="G5379:H5379"/>
    <mergeCell ref="I5379:J5379"/>
    <mergeCell ref="C5376:F5376"/>
    <mergeCell ref="C5313:H5313"/>
    <mergeCell ref="L5312:M5312"/>
    <mergeCell ref="L5313:M5313"/>
    <mergeCell ref="C5314:H5314"/>
    <mergeCell ref="L5314:M5314"/>
    <mergeCell ref="C5315:H5315"/>
    <mergeCell ref="L5315:M5315"/>
    <mergeCell ref="L5316:M5316"/>
    <mergeCell ref="C5316:H5316"/>
    <mergeCell ref="C5317:H5317"/>
    <mergeCell ref="L5317:M5317"/>
    <mergeCell ref="C5318:M5318"/>
    <mergeCell ref="C5295:M5295"/>
    <mergeCell ref="C5296:N5298"/>
    <mergeCell ref="L5299:M5299"/>
    <mergeCell ref="C5299:I5299"/>
    <mergeCell ref="C5300:I5300"/>
    <mergeCell ref="L5300:M5300"/>
    <mergeCell ref="C5301:I5301"/>
    <mergeCell ref="L5301:M5301"/>
    <mergeCell ref="C5302:I5302"/>
    <mergeCell ref="C5303:I5303"/>
    <mergeCell ref="L5302:M5302"/>
    <mergeCell ref="L5303:M5303"/>
    <mergeCell ref="C5304:I5304"/>
    <mergeCell ref="L5304:M5304"/>
    <mergeCell ref="C5305:I5305"/>
    <mergeCell ref="L5305:M5305"/>
    <mergeCell ref="L5306:M5306"/>
    <mergeCell ref="C5306:I5306"/>
    <mergeCell ref="C5288:F5288"/>
    <mergeCell ref="G5288:H5288"/>
    <mergeCell ref="I5288:J5288"/>
    <mergeCell ref="L5288:M5288"/>
    <mergeCell ref="C5289:F5289"/>
    <mergeCell ref="G5289:H5289"/>
    <mergeCell ref="I5289:J5289"/>
    <mergeCell ref="L5289:M5289"/>
    <mergeCell ref="G5290:H5290"/>
    <mergeCell ref="I5290:J5290"/>
    <mergeCell ref="L5290:M5290"/>
    <mergeCell ref="C5293:F5293"/>
    <mergeCell ref="G5293:H5293"/>
    <mergeCell ref="I5293:J5293"/>
    <mergeCell ref="C5294:F5294"/>
    <mergeCell ref="G5294:H5294"/>
    <mergeCell ref="I5294:J5294"/>
    <mergeCell ref="C5290:F5290"/>
    <mergeCell ref="C5291:F5291"/>
    <mergeCell ref="G5291:H5291"/>
    <mergeCell ref="I5291:J5291"/>
    <mergeCell ref="C5292:F5292"/>
    <mergeCell ref="G5292:H5292"/>
    <mergeCell ref="I5292:J5292"/>
    <mergeCell ref="L5291:M5291"/>
    <mergeCell ref="L5292:M5292"/>
    <mergeCell ref="L5293:M5293"/>
    <mergeCell ref="L5294:M5294"/>
    <mergeCell ref="C5250:H5250"/>
    <mergeCell ref="L5250:M5250"/>
    <mergeCell ref="L5251:M5251"/>
    <mergeCell ref="L5252:M5252"/>
    <mergeCell ref="C5253:M5253"/>
    <mergeCell ref="C5255:M5255"/>
    <mergeCell ref="D5284:K5284"/>
    <mergeCell ref="L5284:M5284"/>
    <mergeCell ref="C5285:N5287"/>
    <mergeCell ref="E5271:K5271"/>
    <mergeCell ref="E5272:K5274"/>
    <mergeCell ref="L5272:L5273"/>
    <mergeCell ref="M5272:M5273"/>
    <mergeCell ref="N5272:N5273"/>
    <mergeCell ref="L5274:N5274"/>
    <mergeCell ref="M5276:M5277"/>
    <mergeCell ref="N5276:N5277"/>
    <mergeCell ref="J5260:N5261"/>
    <mergeCell ref="C5261:E5261"/>
    <mergeCell ref="C5269:D5277"/>
    <mergeCell ref="E5269:K5270"/>
    <mergeCell ref="L5269:M5270"/>
    <mergeCell ref="N5269:N5270"/>
    <mergeCell ref="L5271:N5271"/>
    <mergeCell ref="E5276:K5277"/>
    <mergeCell ref="L5276:L5277"/>
    <mergeCell ref="D5279:L5279"/>
    <mergeCell ref="D5280:L5280"/>
    <mergeCell ref="C5281:N5281"/>
    <mergeCell ref="D5283:K5283"/>
    <mergeCell ref="L5283:M5283"/>
    <mergeCell ref="C5234:N5236"/>
    <mergeCell ref="C5237:H5237"/>
    <mergeCell ref="C5238:H5238"/>
    <mergeCell ref="L5237:M5237"/>
    <mergeCell ref="L5238:M5238"/>
    <mergeCell ref="C5239:H5239"/>
    <mergeCell ref="L5239:M5239"/>
    <mergeCell ref="C5240:H5240"/>
    <mergeCell ref="L5240:M5240"/>
    <mergeCell ref="L5241:M5241"/>
    <mergeCell ref="C5241:H5241"/>
    <mergeCell ref="C5242:H5242"/>
    <mergeCell ref="L5242:M5242"/>
    <mergeCell ref="C5243:M5243"/>
    <mergeCell ref="C5245:M5245"/>
    <mergeCell ref="C5246:N5248"/>
    <mergeCell ref="L5249:M5249"/>
    <mergeCell ref="C5249:H5249"/>
    <mergeCell ref="C5222:I5222"/>
    <mergeCell ref="L5222:M5222"/>
    <mergeCell ref="C5223:M5223"/>
    <mergeCell ref="C5224:N5226"/>
    <mergeCell ref="C5227:H5227"/>
    <mergeCell ref="C5228:H5228"/>
    <mergeCell ref="L5227:M5227"/>
    <mergeCell ref="L5228:M5228"/>
    <mergeCell ref="C5229:H5229"/>
    <mergeCell ref="L5229:M5229"/>
    <mergeCell ref="C5230:H5230"/>
    <mergeCell ref="L5230:M5230"/>
    <mergeCell ref="L5231:M5231"/>
    <mergeCell ref="C5231:H5231"/>
    <mergeCell ref="C5232:H5232"/>
    <mergeCell ref="L5232:M5232"/>
    <mergeCell ref="C5233:M5233"/>
    <mergeCell ref="C5210:M5210"/>
    <mergeCell ref="C5211:N5213"/>
    <mergeCell ref="L5214:M5214"/>
    <mergeCell ref="C5214:I5214"/>
    <mergeCell ref="C5215:I5215"/>
    <mergeCell ref="L5215:M5215"/>
    <mergeCell ref="C5216:I5216"/>
    <mergeCell ref="L5216:M5216"/>
    <mergeCell ref="C5217:I5217"/>
    <mergeCell ref="C5218:I5218"/>
    <mergeCell ref="L5217:M5217"/>
    <mergeCell ref="L5218:M5218"/>
    <mergeCell ref="C5219:I5219"/>
    <mergeCell ref="L5219:M5219"/>
    <mergeCell ref="C5220:I5220"/>
    <mergeCell ref="L5220:M5220"/>
    <mergeCell ref="L5221:M5221"/>
    <mergeCell ref="C5221:I5221"/>
    <mergeCell ref="C5203:F5203"/>
    <mergeCell ref="G5203:H5203"/>
    <mergeCell ref="I5203:J5203"/>
    <mergeCell ref="L5203:M5203"/>
    <mergeCell ref="C5204:F5204"/>
    <mergeCell ref="G5204:H5204"/>
    <mergeCell ref="I5204:J5204"/>
    <mergeCell ref="L5204:M5204"/>
    <mergeCell ref="G5205:H5205"/>
    <mergeCell ref="I5205:J5205"/>
    <mergeCell ref="L5205:M5205"/>
    <mergeCell ref="C5208:F5208"/>
    <mergeCell ref="G5208:H5208"/>
    <mergeCell ref="I5208:J5208"/>
    <mergeCell ref="C5209:F5209"/>
    <mergeCell ref="G5209:H5209"/>
    <mergeCell ref="I5209:J5209"/>
    <mergeCell ref="C5205:F5205"/>
    <mergeCell ref="C5206:F5206"/>
    <mergeCell ref="G5206:H5206"/>
    <mergeCell ref="I5206:J5206"/>
    <mergeCell ref="C5207:F5207"/>
    <mergeCell ref="G5207:H5207"/>
    <mergeCell ref="I5207:J5207"/>
    <mergeCell ref="L5206:M5206"/>
    <mergeCell ref="L5207:M5207"/>
    <mergeCell ref="L5208:M5208"/>
    <mergeCell ref="L5209:M5209"/>
    <mergeCell ref="C5165:H5165"/>
    <mergeCell ref="L5165:M5165"/>
    <mergeCell ref="L5166:M5166"/>
    <mergeCell ref="L5167:M5167"/>
    <mergeCell ref="C5168:M5168"/>
    <mergeCell ref="C5170:M5170"/>
    <mergeCell ref="D5199:K5199"/>
    <mergeCell ref="L5199:M5199"/>
    <mergeCell ref="C5200:N5202"/>
    <mergeCell ref="E5186:K5186"/>
    <mergeCell ref="E5187:K5189"/>
    <mergeCell ref="L5187:L5188"/>
    <mergeCell ref="M5187:M5188"/>
    <mergeCell ref="N5187:N5188"/>
    <mergeCell ref="L5189:N5189"/>
    <mergeCell ref="M5191:M5192"/>
    <mergeCell ref="N5191:N5192"/>
    <mergeCell ref="J5175:N5176"/>
    <mergeCell ref="C5176:E5176"/>
    <mergeCell ref="C5184:D5192"/>
    <mergeCell ref="E5184:K5185"/>
    <mergeCell ref="L5184:M5185"/>
    <mergeCell ref="N5184:N5185"/>
    <mergeCell ref="L5186:N5186"/>
    <mergeCell ref="E5191:K5192"/>
    <mergeCell ref="L5191:L5192"/>
    <mergeCell ref="D5194:L5194"/>
    <mergeCell ref="D5195:L5195"/>
    <mergeCell ref="C5196:N5196"/>
    <mergeCell ref="D5198:K5198"/>
    <mergeCell ref="L5198:M5198"/>
    <mergeCell ref="C5149:N5151"/>
    <mergeCell ref="C5152:H5152"/>
    <mergeCell ref="C5153:H5153"/>
    <mergeCell ref="L5152:M5152"/>
    <mergeCell ref="L5153:M5153"/>
    <mergeCell ref="C5154:H5154"/>
    <mergeCell ref="L5154:M5154"/>
    <mergeCell ref="C5155:H5155"/>
    <mergeCell ref="L5155:M5155"/>
    <mergeCell ref="L5156:M5156"/>
    <mergeCell ref="C5156:H5156"/>
    <mergeCell ref="C5157:H5157"/>
    <mergeCell ref="L5157:M5157"/>
    <mergeCell ref="C5158:M5158"/>
    <mergeCell ref="C5160:M5160"/>
    <mergeCell ref="C5161:N5163"/>
    <mergeCell ref="L5164:M5164"/>
    <mergeCell ref="C5164:H5164"/>
    <mergeCell ref="C5137:I5137"/>
    <mergeCell ref="L5137:M5137"/>
    <mergeCell ref="C5138:M5138"/>
    <mergeCell ref="C5139:N5141"/>
    <mergeCell ref="C5142:H5142"/>
    <mergeCell ref="C5143:H5143"/>
    <mergeCell ref="L5142:M5142"/>
    <mergeCell ref="L5143:M5143"/>
    <mergeCell ref="C5144:H5144"/>
    <mergeCell ref="L5144:M5144"/>
    <mergeCell ref="C5145:H5145"/>
    <mergeCell ref="L5145:M5145"/>
    <mergeCell ref="L5146:M5146"/>
    <mergeCell ref="C5146:H5146"/>
    <mergeCell ref="C5147:H5147"/>
    <mergeCell ref="L5147:M5147"/>
    <mergeCell ref="C5148:M5148"/>
    <mergeCell ref="C5125:M5125"/>
    <mergeCell ref="C5126:N5128"/>
    <mergeCell ref="L5129:M5129"/>
    <mergeCell ref="C5129:I5129"/>
    <mergeCell ref="C5130:I5130"/>
    <mergeCell ref="L5130:M5130"/>
    <mergeCell ref="C5131:I5131"/>
    <mergeCell ref="L5131:M5131"/>
    <mergeCell ref="C5132:I5132"/>
    <mergeCell ref="C5133:I5133"/>
    <mergeCell ref="L5132:M5132"/>
    <mergeCell ref="L5133:M5133"/>
    <mergeCell ref="C5134:I5134"/>
    <mergeCell ref="L5134:M5134"/>
    <mergeCell ref="C5135:I5135"/>
    <mergeCell ref="L5135:M5135"/>
    <mergeCell ref="L5136:M5136"/>
    <mergeCell ref="C5136:I5136"/>
    <mergeCell ref="C5118:F5118"/>
    <mergeCell ref="G5118:H5118"/>
    <mergeCell ref="I5118:J5118"/>
    <mergeCell ref="L5118:M5118"/>
    <mergeCell ref="C5119:F5119"/>
    <mergeCell ref="G5119:H5119"/>
    <mergeCell ref="I5119:J5119"/>
    <mergeCell ref="L5119:M5119"/>
    <mergeCell ref="G5120:H5120"/>
    <mergeCell ref="I5120:J5120"/>
    <mergeCell ref="L5120:M5120"/>
    <mergeCell ref="C5123:F5123"/>
    <mergeCell ref="G5123:H5123"/>
    <mergeCell ref="I5123:J5123"/>
    <mergeCell ref="C5124:F5124"/>
    <mergeCell ref="G5124:H5124"/>
    <mergeCell ref="I5124:J5124"/>
    <mergeCell ref="C5120:F5120"/>
    <mergeCell ref="C5121:F5121"/>
    <mergeCell ref="G5121:H5121"/>
    <mergeCell ref="I5121:J5121"/>
    <mergeCell ref="C5122:F5122"/>
    <mergeCell ref="G5122:H5122"/>
    <mergeCell ref="I5122:J5122"/>
    <mergeCell ref="L5121:M5121"/>
    <mergeCell ref="L5122:M5122"/>
    <mergeCell ref="L5123:M5123"/>
    <mergeCell ref="L5124:M5124"/>
    <mergeCell ref="C5080:H5080"/>
    <mergeCell ref="L5080:M5080"/>
    <mergeCell ref="L5081:M5081"/>
    <mergeCell ref="L5082:M5082"/>
    <mergeCell ref="C5083:M5083"/>
    <mergeCell ref="C5085:M5085"/>
    <mergeCell ref="D5114:K5114"/>
    <mergeCell ref="L5114:M5114"/>
    <mergeCell ref="C5115:N5117"/>
    <mergeCell ref="E5101:K5101"/>
    <mergeCell ref="E5102:K5104"/>
    <mergeCell ref="L5102:L5103"/>
    <mergeCell ref="M5102:M5103"/>
    <mergeCell ref="N5102:N5103"/>
    <mergeCell ref="L5104:N5104"/>
    <mergeCell ref="M5106:M5107"/>
    <mergeCell ref="N5106:N5107"/>
    <mergeCell ref="J5090:N5091"/>
    <mergeCell ref="C5091:E5091"/>
    <mergeCell ref="C5099:D5107"/>
    <mergeCell ref="E5099:K5100"/>
    <mergeCell ref="L5099:M5100"/>
    <mergeCell ref="N5099:N5100"/>
    <mergeCell ref="L5101:N5101"/>
    <mergeCell ref="E5106:K5107"/>
    <mergeCell ref="L5106:L5107"/>
    <mergeCell ref="D5109:L5109"/>
    <mergeCell ref="D5110:L5110"/>
    <mergeCell ref="C5111:N5111"/>
    <mergeCell ref="D5113:K5113"/>
    <mergeCell ref="L5113:M5113"/>
    <mergeCell ref="C5064:N5066"/>
    <mergeCell ref="C5067:H5067"/>
    <mergeCell ref="C5068:H5068"/>
    <mergeCell ref="L5067:M5067"/>
    <mergeCell ref="L5068:M5068"/>
    <mergeCell ref="C5069:H5069"/>
    <mergeCell ref="L5069:M5069"/>
    <mergeCell ref="C5070:H5070"/>
    <mergeCell ref="L5070:M5070"/>
    <mergeCell ref="L5071:M5071"/>
    <mergeCell ref="C5071:H5071"/>
    <mergeCell ref="C5072:H5072"/>
    <mergeCell ref="L5072:M5072"/>
    <mergeCell ref="C5073:M5073"/>
    <mergeCell ref="C5075:M5075"/>
    <mergeCell ref="C5076:N5078"/>
    <mergeCell ref="L5079:M5079"/>
    <mergeCell ref="C5079:H5079"/>
    <mergeCell ref="C5052:I5052"/>
    <mergeCell ref="L5052:M5052"/>
    <mergeCell ref="C5053:M5053"/>
    <mergeCell ref="C5054:N5056"/>
    <mergeCell ref="C5057:H5057"/>
    <mergeCell ref="C5058:H5058"/>
    <mergeCell ref="L5057:M5057"/>
    <mergeCell ref="L5058:M5058"/>
    <mergeCell ref="C5059:H5059"/>
    <mergeCell ref="L5059:M5059"/>
    <mergeCell ref="C5060:H5060"/>
    <mergeCell ref="L5060:M5060"/>
    <mergeCell ref="L5061:M5061"/>
    <mergeCell ref="C5061:H5061"/>
    <mergeCell ref="C5062:H5062"/>
    <mergeCell ref="L5062:M5062"/>
    <mergeCell ref="C5063:M5063"/>
    <mergeCell ref="C5037:M5037"/>
    <mergeCell ref="C5038:N5040"/>
    <mergeCell ref="L5041:M5041"/>
    <mergeCell ref="C5041:I5041"/>
    <mergeCell ref="C5042:I5042"/>
    <mergeCell ref="L5042:M5042"/>
    <mergeCell ref="C5043:I5043"/>
    <mergeCell ref="L5043:M5043"/>
    <mergeCell ref="C5044:I5044"/>
    <mergeCell ref="C5045:I5045"/>
    <mergeCell ref="L5044:M5044"/>
    <mergeCell ref="L5045:M5045"/>
    <mergeCell ref="C5046:I5046"/>
    <mergeCell ref="L5046:M5046"/>
    <mergeCell ref="C5047:I5047"/>
    <mergeCell ref="L5047:M5047"/>
    <mergeCell ref="L5048:M5048"/>
    <mergeCell ref="C5048:I5048"/>
    <mergeCell ref="C5030:F5030"/>
    <mergeCell ref="G5030:H5030"/>
    <mergeCell ref="I5030:J5030"/>
    <mergeCell ref="L5030:M5030"/>
    <mergeCell ref="C5031:F5031"/>
    <mergeCell ref="G5031:H5031"/>
    <mergeCell ref="I5031:J5031"/>
    <mergeCell ref="L5031:M5031"/>
    <mergeCell ref="G5032:H5032"/>
    <mergeCell ref="I5032:J5032"/>
    <mergeCell ref="L5032:M5032"/>
    <mergeCell ref="C5035:F5035"/>
    <mergeCell ref="G5035:H5035"/>
    <mergeCell ref="I5035:J5035"/>
    <mergeCell ref="C5036:F5036"/>
    <mergeCell ref="G5036:H5036"/>
    <mergeCell ref="I5036:J5036"/>
    <mergeCell ref="C5032:F5032"/>
    <mergeCell ref="C5033:F5033"/>
    <mergeCell ref="G5033:H5033"/>
    <mergeCell ref="I5033:J5033"/>
    <mergeCell ref="C5034:F5034"/>
    <mergeCell ref="G5034:H5034"/>
    <mergeCell ref="I5034:J5034"/>
    <mergeCell ref="L5033:M5033"/>
    <mergeCell ref="L5034:M5034"/>
    <mergeCell ref="L5035:M5035"/>
    <mergeCell ref="L5036:M5036"/>
    <mergeCell ref="C4992:H4992"/>
    <mergeCell ref="L4992:M4992"/>
    <mergeCell ref="L4993:M4993"/>
    <mergeCell ref="L4994:M4994"/>
    <mergeCell ref="C4995:M4995"/>
    <mergeCell ref="C4997:M4997"/>
    <mergeCell ref="D5026:K5026"/>
    <mergeCell ref="L5026:M5026"/>
    <mergeCell ref="C5027:N5029"/>
    <mergeCell ref="E5013:K5013"/>
    <mergeCell ref="E5014:K5016"/>
    <mergeCell ref="L5014:L5015"/>
    <mergeCell ref="M5014:M5015"/>
    <mergeCell ref="N5014:N5015"/>
    <mergeCell ref="L5016:N5016"/>
    <mergeCell ref="M5018:M5019"/>
    <mergeCell ref="N5018:N5019"/>
    <mergeCell ref="J5002:N5003"/>
    <mergeCell ref="C5003:E5003"/>
    <mergeCell ref="C5011:D5019"/>
    <mergeCell ref="E5011:K5012"/>
    <mergeCell ref="L5011:M5012"/>
    <mergeCell ref="N5011:N5012"/>
    <mergeCell ref="L5013:N5013"/>
    <mergeCell ref="E5018:K5019"/>
    <mergeCell ref="L5018:L5019"/>
    <mergeCell ref="D5021:L5021"/>
    <mergeCell ref="D5022:L5022"/>
    <mergeCell ref="C5023:N5023"/>
    <mergeCell ref="D5025:K5025"/>
    <mergeCell ref="L5025:M5025"/>
    <mergeCell ref="C4976:N4978"/>
    <mergeCell ref="C4979:H4979"/>
    <mergeCell ref="C4980:H4980"/>
    <mergeCell ref="L4979:M4979"/>
    <mergeCell ref="L4980:M4980"/>
    <mergeCell ref="C4981:H4981"/>
    <mergeCell ref="L4981:M4981"/>
    <mergeCell ref="C4982:H4982"/>
    <mergeCell ref="L4982:M4982"/>
    <mergeCell ref="L4983:M4983"/>
    <mergeCell ref="C4983:H4983"/>
    <mergeCell ref="C4984:H4984"/>
    <mergeCell ref="L4984:M4984"/>
    <mergeCell ref="C4985:M4985"/>
    <mergeCell ref="C4987:M4987"/>
    <mergeCell ref="C4988:N4990"/>
    <mergeCell ref="L4991:M4991"/>
    <mergeCell ref="C4991:H4991"/>
    <mergeCell ref="C4964:I4964"/>
    <mergeCell ref="L4964:M4964"/>
    <mergeCell ref="C4965:M4965"/>
    <mergeCell ref="C4966:N4968"/>
    <mergeCell ref="C4969:H4969"/>
    <mergeCell ref="C4970:H4970"/>
    <mergeCell ref="L4969:M4969"/>
    <mergeCell ref="L4970:M4970"/>
    <mergeCell ref="C4971:H4971"/>
    <mergeCell ref="L4971:M4971"/>
    <mergeCell ref="C4972:H4972"/>
    <mergeCell ref="L4972:M4972"/>
    <mergeCell ref="L4973:M4973"/>
    <mergeCell ref="C4973:H4973"/>
    <mergeCell ref="C4974:H4974"/>
    <mergeCell ref="L4974:M4974"/>
    <mergeCell ref="C4975:M4975"/>
    <mergeCell ref="C4952:M4952"/>
    <mergeCell ref="C4953:N4955"/>
    <mergeCell ref="L4956:M4956"/>
    <mergeCell ref="C4956:I4956"/>
    <mergeCell ref="C4957:I4957"/>
    <mergeCell ref="L4957:M4957"/>
    <mergeCell ref="C4958:I4958"/>
    <mergeCell ref="L4958:M4958"/>
    <mergeCell ref="C4959:I4959"/>
    <mergeCell ref="C4960:I4960"/>
    <mergeCell ref="L4959:M4959"/>
    <mergeCell ref="L4960:M4960"/>
    <mergeCell ref="C4961:I4961"/>
    <mergeCell ref="L4961:M4961"/>
    <mergeCell ref="C4962:I4962"/>
    <mergeCell ref="L4962:M4962"/>
    <mergeCell ref="L4963:M4963"/>
    <mergeCell ref="C4963:I4963"/>
    <mergeCell ref="C4945:F4945"/>
    <mergeCell ref="G4945:H4945"/>
    <mergeCell ref="I4945:J4945"/>
    <mergeCell ref="L4945:M4945"/>
    <mergeCell ref="C4946:F4946"/>
    <mergeCell ref="G4946:H4946"/>
    <mergeCell ref="I4946:J4946"/>
    <mergeCell ref="L4946:M4946"/>
    <mergeCell ref="G4947:H4947"/>
    <mergeCell ref="I4947:J4947"/>
    <mergeCell ref="L4947:M4947"/>
    <mergeCell ref="C4950:F4950"/>
    <mergeCell ref="G4950:H4950"/>
    <mergeCell ref="I4950:J4950"/>
    <mergeCell ref="C4951:F4951"/>
    <mergeCell ref="G4951:H4951"/>
    <mergeCell ref="I4951:J4951"/>
    <mergeCell ref="C4947:F4947"/>
    <mergeCell ref="C4948:F4948"/>
    <mergeCell ref="G4948:H4948"/>
    <mergeCell ref="I4948:J4948"/>
    <mergeCell ref="C4949:F4949"/>
    <mergeCell ref="G4949:H4949"/>
    <mergeCell ref="I4949:J4949"/>
    <mergeCell ref="L4948:M4948"/>
    <mergeCell ref="L4949:M4949"/>
    <mergeCell ref="L4950:M4950"/>
    <mergeCell ref="L4951:M4951"/>
    <mergeCell ref="C4907:H4907"/>
    <mergeCell ref="L4907:M4907"/>
    <mergeCell ref="L4908:M4908"/>
    <mergeCell ref="L4909:M4909"/>
    <mergeCell ref="C4910:M4910"/>
    <mergeCell ref="C4912:M4912"/>
    <mergeCell ref="D4941:K4941"/>
    <mergeCell ref="L4941:M4941"/>
    <mergeCell ref="C4942:N4944"/>
    <mergeCell ref="E4928:K4928"/>
    <mergeCell ref="E4929:K4931"/>
    <mergeCell ref="L4929:L4930"/>
    <mergeCell ref="M4929:M4930"/>
    <mergeCell ref="N4929:N4930"/>
    <mergeCell ref="L4931:N4931"/>
    <mergeCell ref="M4933:M4934"/>
    <mergeCell ref="N4933:N4934"/>
    <mergeCell ref="J4917:N4918"/>
    <mergeCell ref="C4918:E4918"/>
    <mergeCell ref="C4926:D4934"/>
    <mergeCell ref="E4926:K4927"/>
    <mergeCell ref="L4926:M4927"/>
    <mergeCell ref="N4926:N4927"/>
    <mergeCell ref="L4928:N4928"/>
    <mergeCell ref="E4933:K4934"/>
    <mergeCell ref="L4933:L4934"/>
    <mergeCell ref="D4936:L4936"/>
    <mergeCell ref="D4937:L4937"/>
    <mergeCell ref="C4938:N4938"/>
    <mergeCell ref="D4940:K4940"/>
    <mergeCell ref="L4940:M4940"/>
    <mergeCell ref="C4891:N4893"/>
    <mergeCell ref="C4894:H4894"/>
    <mergeCell ref="C4895:H4895"/>
    <mergeCell ref="L4894:M4894"/>
    <mergeCell ref="L4895:M4895"/>
    <mergeCell ref="C4896:H4896"/>
    <mergeCell ref="L4896:M4896"/>
    <mergeCell ref="C4897:H4897"/>
    <mergeCell ref="L4897:M4897"/>
    <mergeCell ref="L4898:M4898"/>
    <mergeCell ref="C4898:H4898"/>
    <mergeCell ref="C4899:H4899"/>
    <mergeCell ref="L4899:M4899"/>
    <mergeCell ref="C4900:M4900"/>
    <mergeCell ref="C4902:M4902"/>
    <mergeCell ref="C4903:N4905"/>
    <mergeCell ref="L4906:M4906"/>
    <mergeCell ref="C4906:H4906"/>
    <mergeCell ref="C4879:I4879"/>
    <mergeCell ref="L4879:M4879"/>
    <mergeCell ref="C4880:M4880"/>
    <mergeCell ref="C4881:N4883"/>
    <mergeCell ref="C4884:H4884"/>
    <mergeCell ref="C4885:H4885"/>
    <mergeCell ref="L4884:M4884"/>
    <mergeCell ref="L4885:M4885"/>
    <mergeCell ref="C4886:H4886"/>
    <mergeCell ref="L4886:M4886"/>
    <mergeCell ref="C4887:H4887"/>
    <mergeCell ref="L4887:M4887"/>
    <mergeCell ref="L4888:M4888"/>
    <mergeCell ref="C4888:H4888"/>
    <mergeCell ref="C4889:H4889"/>
    <mergeCell ref="L4889:M4889"/>
    <mergeCell ref="C4890:M4890"/>
    <mergeCell ref="C4867:M4867"/>
    <mergeCell ref="C4868:N4870"/>
    <mergeCell ref="L4871:M4871"/>
    <mergeCell ref="C4871:I4871"/>
    <mergeCell ref="C4872:I4872"/>
    <mergeCell ref="L4872:M4872"/>
    <mergeCell ref="C4873:I4873"/>
    <mergeCell ref="L4873:M4873"/>
    <mergeCell ref="C4874:I4874"/>
    <mergeCell ref="C4875:I4875"/>
    <mergeCell ref="L4874:M4874"/>
    <mergeCell ref="L4875:M4875"/>
    <mergeCell ref="C4876:I4876"/>
    <mergeCell ref="L4876:M4876"/>
    <mergeCell ref="C4877:I4877"/>
    <mergeCell ref="L4877:M4877"/>
    <mergeCell ref="L4878:M4878"/>
    <mergeCell ref="C4878:I4878"/>
    <mergeCell ref="C4860:F4860"/>
    <mergeCell ref="G4860:H4860"/>
    <mergeCell ref="I4860:J4860"/>
    <mergeCell ref="L4860:M4860"/>
    <mergeCell ref="C4861:F4861"/>
    <mergeCell ref="G4861:H4861"/>
    <mergeCell ref="I4861:J4861"/>
    <mergeCell ref="L4861:M4861"/>
    <mergeCell ref="G4862:H4862"/>
    <mergeCell ref="I4862:J4862"/>
    <mergeCell ref="L4862:M4862"/>
    <mergeCell ref="C4865:F4865"/>
    <mergeCell ref="G4865:H4865"/>
    <mergeCell ref="I4865:J4865"/>
    <mergeCell ref="C4866:F4866"/>
    <mergeCell ref="G4866:H4866"/>
    <mergeCell ref="I4866:J4866"/>
    <mergeCell ref="C4862:F4862"/>
    <mergeCell ref="C4863:F4863"/>
    <mergeCell ref="G4863:H4863"/>
    <mergeCell ref="I4863:J4863"/>
    <mergeCell ref="C4864:F4864"/>
    <mergeCell ref="G4864:H4864"/>
    <mergeCell ref="I4864:J4864"/>
    <mergeCell ref="L4863:M4863"/>
    <mergeCell ref="L4864:M4864"/>
    <mergeCell ref="L4865:M4865"/>
    <mergeCell ref="L4866:M4866"/>
    <mergeCell ref="C4821:H4821"/>
    <mergeCell ref="L4821:M4821"/>
    <mergeCell ref="L4822:M4822"/>
    <mergeCell ref="L4823:M4823"/>
    <mergeCell ref="C4824:M4824"/>
    <mergeCell ref="C4826:M4826"/>
    <mergeCell ref="D4856:K4856"/>
    <mergeCell ref="L4856:M4856"/>
    <mergeCell ref="C4857:N4859"/>
    <mergeCell ref="E4843:K4843"/>
    <mergeCell ref="E4844:K4846"/>
    <mergeCell ref="L4844:L4845"/>
    <mergeCell ref="M4844:M4845"/>
    <mergeCell ref="N4844:N4845"/>
    <mergeCell ref="L4846:N4846"/>
    <mergeCell ref="M4848:M4849"/>
    <mergeCell ref="N4848:N4849"/>
    <mergeCell ref="J4831:N4832"/>
    <mergeCell ref="C4832:E4832"/>
    <mergeCell ref="C4841:D4849"/>
    <mergeCell ref="E4841:K4842"/>
    <mergeCell ref="L4841:M4842"/>
    <mergeCell ref="N4841:N4842"/>
    <mergeCell ref="L4843:N4843"/>
    <mergeCell ref="E4848:K4849"/>
    <mergeCell ref="L4848:L4849"/>
    <mergeCell ref="D4851:L4851"/>
    <mergeCell ref="D4852:L4852"/>
    <mergeCell ref="C4853:N4853"/>
    <mergeCell ref="D4855:K4855"/>
    <mergeCell ref="L4855:M4855"/>
    <mergeCell ref="L4808:M4808"/>
    <mergeCell ref="L4809:M4809"/>
    <mergeCell ref="C4810:H4810"/>
    <mergeCell ref="L4810:M4810"/>
    <mergeCell ref="C4811:H4811"/>
    <mergeCell ref="L4811:M4811"/>
    <mergeCell ref="L4812:M4812"/>
    <mergeCell ref="C4812:H4812"/>
    <mergeCell ref="C4813:H4813"/>
    <mergeCell ref="L4813:M4813"/>
    <mergeCell ref="C4814:M4814"/>
    <mergeCell ref="C4816:M4816"/>
    <mergeCell ref="C4817:N4819"/>
    <mergeCell ref="L4820:M4820"/>
    <mergeCell ref="E4757:K4757"/>
    <mergeCell ref="E4758:K4760"/>
    <mergeCell ref="L4758:L4759"/>
    <mergeCell ref="M4758:M4759"/>
    <mergeCell ref="N4758:N4759"/>
    <mergeCell ref="L4760:N4760"/>
    <mergeCell ref="M4762:M4763"/>
    <mergeCell ref="N4762:N4763"/>
    <mergeCell ref="E4762:K4763"/>
    <mergeCell ref="L4762:L4763"/>
    <mergeCell ref="D4765:L4765"/>
    <mergeCell ref="D4766:L4766"/>
    <mergeCell ref="C4767:N4767"/>
    <mergeCell ref="D4769:K4769"/>
    <mergeCell ref="L4769:M4769"/>
    <mergeCell ref="C4820:H4820"/>
    <mergeCell ref="C4774:F4774"/>
    <mergeCell ref="G4774:H4774"/>
    <mergeCell ref="J4746:N4747"/>
    <mergeCell ref="C4747:E4747"/>
    <mergeCell ref="C4755:D4763"/>
    <mergeCell ref="E4755:K4756"/>
    <mergeCell ref="L4755:M4756"/>
    <mergeCell ref="N4755:N4756"/>
    <mergeCell ref="L4757:N4757"/>
    <mergeCell ref="C4201:I4201"/>
    <mergeCell ref="L4201:M4201"/>
    <mergeCell ref="C4202:M4202"/>
    <mergeCell ref="C4203:N4205"/>
    <mergeCell ref="C4206:H4206"/>
    <mergeCell ref="C4207:H4207"/>
    <mergeCell ref="L4206:M4206"/>
    <mergeCell ref="L4207:M4207"/>
    <mergeCell ref="C4208:H4208"/>
    <mergeCell ref="L4208:M4208"/>
    <mergeCell ref="C4209:H4209"/>
    <mergeCell ref="L4209:M4209"/>
    <mergeCell ref="L4210:M4210"/>
    <mergeCell ref="C4210:H4210"/>
    <mergeCell ref="C4211:H4211"/>
    <mergeCell ref="L4211:M4211"/>
    <mergeCell ref="C4212:M4212"/>
    <mergeCell ref="L4269:M4269"/>
    <mergeCell ref="C4272:F4272"/>
    <mergeCell ref="G4272:H4272"/>
    <mergeCell ref="I4272:J4272"/>
    <mergeCell ref="C4273:F4273"/>
    <mergeCell ref="G4273:H4273"/>
    <mergeCell ref="I4273:J4273"/>
    <mergeCell ref="C4269:F4269"/>
    <mergeCell ref="L4196:M4196"/>
    <mergeCell ref="L4197:M4197"/>
    <mergeCell ref="C4198:I4198"/>
    <mergeCell ref="L4198:M4198"/>
    <mergeCell ref="C4199:I4199"/>
    <mergeCell ref="L4199:M4199"/>
    <mergeCell ref="L4200:M4200"/>
    <mergeCell ref="C4200:I4200"/>
    <mergeCell ref="C4182:F4182"/>
    <mergeCell ref="G4182:H4182"/>
    <mergeCell ref="I4182:J4182"/>
    <mergeCell ref="L4182:M4182"/>
    <mergeCell ref="C4183:F4183"/>
    <mergeCell ref="G4183:H4183"/>
    <mergeCell ref="I4183:J4183"/>
    <mergeCell ref="L4183:M4183"/>
    <mergeCell ref="G4184:H4184"/>
    <mergeCell ref="I4184:J4184"/>
    <mergeCell ref="L4184:M4184"/>
    <mergeCell ref="C4187:F4187"/>
    <mergeCell ref="G4187:H4187"/>
    <mergeCell ref="I4187:J4187"/>
    <mergeCell ref="C4188:F4188"/>
    <mergeCell ref="G4188:H4188"/>
    <mergeCell ref="I4188:J4188"/>
    <mergeCell ref="C4184:F4184"/>
    <mergeCell ref="C4185:F4185"/>
    <mergeCell ref="G4185:H4185"/>
    <mergeCell ref="I4185:J4185"/>
    <mergeCell ref="C4186:F4186"/>
    <mergeCell ref="G4186:H4186"/>
    <mergeCell ref="I4186:J4186"/>
    <mergeCell ref="L4185:M4185"/>
    <mergeCell ref="L4186:M4186"/>
    <mergeCell ref="L4187:M4187"/>
    <mergeCell ref="L4188:M4188"/>
    <mergeCell ref="E4085:K4086"/>
    <mergeCell ref="L4085:L4086"/>
    <mergeCell ref="D4088:L4088"/>
    <mergeCell ref="D4089:L4089"/>
    <mergeCell ref="C4090:N4090"/>
    <mergeCell ref="D4092:K4092"/>
    <mergeCell ref="L4092:M4092"/>
    <mergeCell ref="C4143:H4143"/>
    <mergeCell ref="C4144:H4144"/>
    <mergeCell ref="L4144:M4144"/>
    <mergeCell ref="L4145:M4145"/>
    <mergeCell ref="L4146:M4146"/>
    <mergeCell ref="C4147:M4147"/>
    <mergeCell ref="C4149:M4149"/>
    <mergeCell ref="D4178:K4178"/>
    <mergeCell ref="L4178:M4178"/>
    <mergeCell ref="C4179:N4181"/>
    <mergeCell ref="E4165:K4165"/>
    <mergeCell ref="E4166:K4168"/>
    <mergeCell ref="L4166:L4167"/>
    <mergeCell ref="M4166:M4167"/>
    <mergeCell ref="N4166:N4167"/>
    <mergeCell ref="L4168:N4168"/>
    <mergeCell ref="M4170:M4171"/>
    <mergeCell ref="N4170:N4171"/>
    <mergeCell ref="J4154:N4155"/>
    <mergeCell ref="C4155:E4155"/>
    <mergeCell ref="C4163:D4171"/>
    <mergeCell ref="E4163:K4164"/>
    <mergeCell ref="L4163:M4164"/>
    <mergeCell ref="N4163:N4164"/>
    <mergeCell ref="L4165:N4165"/>
    <mergeCell ref="C4128:N4130"/>
    <mergeCell ref="C4131:H4131"/>
    <mergeCell ref="C4132:H4132"/>
    <mergeCell ref="L4131:M4131"/>
    <mergeCell ref="L4132:M4132"/>
    <mergeCell ref="C4133:H4133"/>
    <mergeCell ref="L4133:M4133"/>
    <mergeCell ref="C4134:H4134"/>
    <mergeCell ref="L4134:M4134"/>
    <mergeCell ref="L4135:M4135"/>
    <mergeCell ref="C4135:H4135"/>
    <mergeCell ref="C4136:H4136"/>
    <mergeCell ref="L4136:M4136"/>
    <mergeCell ref="C4137:M4137"/>
    <mergeCell ref="C4139:M4139"/>
    <mergeCell ref="C4140:N4142"/>
    <mergeCell ref="L4143:M4143"/>
    <mergeCell ref="C4116:I4116"/>
    <mergeCell ref="L4116:M4116"/>
    <mergeCell ref="C4117:M4117"/>
    <mergeCell ref="C4118:N4120"/>
    <mergeCell ref="C4121:H4121"/>
    <mergeCell ref="C4122:H4122"/>
    <mergeCell ref="L4121:M4121"/>
    <mergeCell ref="L4122:M4122"/>
    <mergeCell ref="C4123:H4123"/>
    <mergeCell ref="L4123:M4123"/>
    <mergeCell ref="C4124:H4124"/>
    <mergeCell ref="L4124:M4124"/>
    <mergeCell ref="L4125:M4125"/>
    <mergeCell ref="C4125:H4125"/>
    <mergeCell ref="C4126:H4126"/>
    <mergeCell ref="L4126:M4126"/>
    <mergeCell ref="C4127:M4127"/>
    <mergeCell ref="C4104:M4104"/>
    <mergeCell ref="C4105:N4107"/>
    <mergeCell ref="L4108:M4108"/>
    <mergeCell ref="C4108:I4108"/>
    <mergeCell ref="C4109:I4109"/>
    <mergeCell ref="L4109:M4109"/>
    <mergeCell ref="C4110:I4110"/>
    <mergeCell ref="L4110:M4110"/>
    <mergeCell ref="C4111:I4111"/>
    <mergeCell ref="C4112:I4112"/>
    <mergeCell ref="L4111:M4111"/>
    <mergeCell ref="L4112:M4112"/>
    <mergeCell ref="C4113:I4113"/>
    <mergeCell ref="L4113:M4113"/>
    <mergeCell ref="C4114:I4114"/>
    <mergeCell ref="L4114:M4114"/>
    <mergeCell ref="L4115:M4115"/>
    <mergeCell ref="C4115:I4115"/>
    <mergeCell ref="C4094:N4096"/>
    <mergeCell ref="C4097:F4097"/>
    <mergeCell ref="G4097:H4097"/>
    <mergeCell ref="I4097:J4097"/>
    <mergeCell ref="L4097:M4097"/>
    <mergeCell ref="C4098:F4098"/>
    <mergeCell ref="G4098:H4098"/>
    <mergeCell ref="I4098:J4098"/>
    <mergeCell ref="L4098:M4098"/>
    <mergeCell ref="G4099:H4099"/>
    <mergeCell ref="I4099:J4099"/>
    <mergeCell ref="L4099:M4099"/>
    <mergeCell ref="C4102:F4102"/>
    <mergeCell ref="G4102:H4102"/>
    <mergeCell ref="I4102:J4102"/>
    <mergeCell ref="C4103:F4103"/>
    <mergeCell ref="G4103:H4103"/>
    <mergeCell ref="I4103:J4103"/>
    <mergeCell ref="C4099:F4099"/>
    <mergeCell ref="C4100:F4100"/>
    <mergeCell ref="G4100:H4100"/>
    <mergeCell ref="I4100:J4100"/>
    <mergeCell ref="C4101:F4101"/>
    <mergeCell ref="G4101:H4101"/>
    <mergeCell ref="I4101:J4101"/>
    <mergeCell ref="L4100:M4100"/>
    <mergeCell ref="L4101:M4101"/>
    <mergeCell ref="L4102:M4102"/>
    <mergeCell ref="L4103:M4103"/>
    <mergeCell ref="L3995:N3995"/>
    <mergeCell ref="E4000:K4001"/>
    <mergeCell ref="L4000:L4001"/>
    <mergeCell ref="D4003:L4003"/>
    <mergeCell ref="D4004:L4004"/>
    <mergeCell ref="C4005:N4005"/>
    <mergeCell ref="D4007:K4007"/>
    <mergeCell ref="L4007:M4007"/>
    <mergeCell ref="C4058:H4058"/>
    <mergeCell ref="C4059:H4059"/>
    <mergeCell ref="L4059:M4059"/>
    <mergeCell ref="L4060:M4060"/>
    <mergeCell ref="L4061:M4061"/>
    <mergeCell ref="C4062:M4062"/>
    <mergeCell ref="C4064:M4064"/>
    <mergeCell ref="D4093:K4093"/>
    <mergeCell ref="L4093:M4093"/>
    <mergeCell ref="E4080:K4080"/>
    <mergeCell ref="E4081:K4083"/>
    <mergeCell ref="L4081:L4082"/>
    <mergeCell ref="M4081:M4082"/>
    <mergeCell ref="N4081:N4082"/>
    <mergeCell ref="L4083:N4083"/>
    <mergeCell ref="M4085:M4086"/>
    <mergeCell ref="N4085:N4086"/>
    <mergeCell ref="J4069:N4070"/>
    <mergeCell ref="C4070:E4070"/>
    <mergeCell ref="C4078:D4086"/>
    <mergeCell ref="E4078:K4079"/>
    <mergeCell ref="L4078:M4079"/>
    <mergeCell ref="N4078:N4079"/>
    <mergeCell ref="L4080:N4080"/>
    <mergeCell ref="C4043:N4045"/>
    <mergeCell ref="C4046:H4046"/>
    <mergeCell ref="C4047:H4047"/>
    <mergeCell ref="L4046:M4046"/>
    <mergeCell ref="L4047:M4047"/>
    <mergeCell ref="C4048:H4048"/>
    <mergeCell ref="L4048:M4048"/>
    <mergeCell ref="C4049:H4049"/>
    <mergeCell ref="L4049:M4049"/>
    <mergeCell ref="L4050:M4050"/>
    <mergeCell ref="C4050:H4050"/>
    <mergeCell ref="C4051:H4051"/>
    <mergeCell ref="L4051:M4051"/>
    <mergeCell ref="C4052:M4052"/>
    <mergeCell ref="C4054:M4054"/>
    <mergeCell ref="C4055:N4057"/>
    <mergeCell ref="L4058:M4058"/>
    <mergeCell ref="C4031:I4031"/>
    <mergeCell ref="L4031:M4031"/>
    <mergeCell ref="C4032:M4032"/>
    <mergeCell ref="C4033:N4035"/>
    <mergeCell ref="C4036:H4036"/>
    <mergeCell ref="C4037:H4037"/>
    <mergeCell ref="L4036:M4036"/>
    <mergeCell ref="L4037:M4037"/>
    <mergeCell ref="C4038:H4038"/>
    <mergeCell ref="L4038:M4038"/>
    <mergeCell ref="C4039:H4039"/>
    <mergeCell ref="L4039:M4039"/>
    <mergeCell ref="L4040:M4040"/>
    <mergeCell ref="C4040:H4040"/>
    <mergeCell ref="C4041:H4041"/>
    <mergeCell ref="L4041:M4041"/>
    <mergeCell ref="C4042:M4042"/>
    <mergeCell ref="C4019:M4019"/>
    <mergeCell ref="C4020:N4022"/>
    <mergeCell ref="L4023:M4023"/>
    <mergeCell ref="C4023:I4023"/>
    <mergeCell ref="C4024:I4024"/>
    <mergeCell ref="L4024:M4024"/>
    <mergeCell ref="C4025:I4025"/>
    <mergeCell ref="L4025:M4025"/>
    <mergeCell ref="C4026:I4026"/>
    <mergeCell ref="C4027:I4027"/>
    <mergeCell ref="L4026:M4026"/>
    <mergeCell ref="L4027:M4027"/>
    <mergeCell ref="C4028:I4028"/>
    <mergeCell ref="L4028:M4028"/>
    <mergeCell ref="C4029:I4029"/>
    <mergeCell ref="L4029:M4029"/>
    <mergeCell ref="L4030:M4030"/>
    <mergeCell ref="C4030:I4030"/>
    <mergeCell ref="C4009:N4011"/>
    <mergeCell ref="C4012:F4012"/>
    <mergeCell ref="G4012:H4012"/>
    <mergeCell ref="I4012:J4012"/>
    <mergeCell ref="L4012:M4012"/>
    <mergeCell ref="C4013:F4013"/>
    <mergeCell ref="G4013:H4013"/>
    <mergeCell ref="I4013:J4013"/>
    <mergeCell ref="L4013:M4013"/>
    <mergeCell ref="G4014:H4014"/>
    <mergeCell ref="I4014:J4014"/>
    <mergeCell ref="L4014:M4014"/>
    <mergeCell ref="C4017:F4017"/>
    <mergeCell ref="G4017:H4017"/>
    <mergeCell ref="I4017:J4017"/>
    <mergeCell ref="C4018:F4018"/>
    <mergeCell ref="G4018:H4018"/>
    <mergeCell ref="I4018:J4018"/>
    <mergeCell ref="C4014:F4014"/>
    <mergeCell ref="C4015:F4015"/>
    <mergeCell ref="G4015:H4015"/>
    <mergeCell ref="I4015:J4015"/>
    <mergeCell ref="C4016:F4016"/>
    <mergeCell ref="G4016:H4016"/>
    <mergeCell ref="I4016:J4016"/>
    <mergeCell ref="L4015:M4015"/>
    <mergeCell ref="L4016:M4016"/>
    <mergeCell ref="L4017:M4017"/>
    <mergeCell ref="L4018:M4018"/>
    <mergeCell ref="N3908:N3909"/>
    <mergeCell ref="L3910:N3910"/>
    <mergeCell ref="E3915:K3916"/>
    <mergeCell ref="L3915:L3916"/>
    <mergeCell ref="D3918:L3918"/>
    <mergeCell ref="D3919:L3919"/>
    <mergeCell ref="C3920:N3920"/>
    <mergeCell ref="D3922:K3922"/>
    <mergeCell ref="L3922:M3922"/>
    <mergeCell ref="C3973:H3973"/>
    <mergeCell ref="C3974:H3974"/>
    <mergeCell ref="L3974:M3974"/>
    <mergeCell ref="L3975:M3975"/>
    <mergeCell ref="L3976:M3976"/>
    <mergeCell ref="C3977:M3977"/>
    <mergeCell ref="C3979:M3979"/>
    <mergeCell ref="D4008:K4008"/>
    <mergeCell ref="L4008:M4008"/>
    <mergeCell ref="E3995:K3995"/>
    <mergeCell ref="E3996:K3998"/>
    <mergeCell ref="L3996:L3997"/>
    <mergeCell ref="M3996:M3997"/>
    <mergeCell ref="N3996:N3997"/>
    <mergeCell ref="L3998:N3998"/>
    <mergeCell ref="M4000:M4001"/>
    <mergeCell ref="N4000:N4001"/>
    <mergeCell ref="J3984:N3985"/>
    <mergeCell ref="C3985:E3985"/>
    <mergeCell ref="C3993:D4001"/>
    <mergeCell ref="E3993:K3994"/>
    <mergeCell ref="L3993:M3994"/>
    <mergeCell ref="N3993:N3994"/>
    <mergeCell ref="C3958:N3960"/>
    <mergeCell ref="C3961:H3961"/>
    <mergeCell ref="C3962:H3962"/>
    <mergeCell ref="L3961:M3961"/>
    <mergeCell ref="L3962:M3962"/>
    <mergeCell ref="C3963:H3963"/>
    <mergeCell ref="L3963:M3963"/>
    <mergeCell ref="C3964:H3964"/>
    <mergeCell ref="L3964:M3964"/>
    <mergeCell ref="L3965:M3965"/>
    <mergeCell ref="C3965:H3965"/>
    <mergeCell ref="C3966:H3966"/>
    <mergeCell ref="L3966:M3966"/>
    <mergeCell ref="C3967:M3967"/>
    <mergeCell ref="C3969:M3969"/>
    <mergeCell ref="C3970:N3972"/>
    <mergeCell ref="L3973:M3973"/>
    <mergeCell ref="C3946:I3946"/>
    <mergeCell ref="L3946:M3946"/>
    <mergeCell ref="C3947:M3947"/>
    <mergeCell ref="C3948:N3950"/>
    <mergeCell ref="C3951:H3951"/>
    <mergeCell ref="C3952:H3952"/>
    <mergeCell ref="L3951:M3951"/>
    <mergeCell ref="L3952:M3952"/>
    <mergeCell ref="C3953:H3953"/>
    <mergeCell ref="L3953:M3953"/>
    <mergeCell ref="C3954:H3954"/>
    <mergeCell ref="L3954:M3954"/>
    <mergeCell ref="L3955:M3955"/>
    <mergeCell ref="C3955:H3955"/>
    <mergeCell ref="C3956:H3956"/>
    <mergeCell ref="L3956:M3956"/>
    <mergeCell ref="C3957:M3957"/>
    <mergeCell ref="C3934:M3934"/>
    <mergeCell ref="C3935:N3937"/>
    <mergeCell ref="L3938:M3938"/>
    <mergeCell ref="C3938:I3938"/>
    <mergeCell ref="C3939:I3939"/>
    <mergeCell ref="L3939:M3939"/>
    <mergeCell ref="C3940:I3940"/>
    <mergeCell ref="L3940:M3940"/>
    <mergeCell ref="C3941:I3941"/>
    <mergeCell ref="C3942:I3942"/>
    <mergeCell ref="L3941:M3941"/>
    <mergeCell ref="L3942:M3942"/>
    <mergeCell ref="C3943:I3943"/>
    <mergeCell ref="L3943:M3943"/>
    <mergeCell ref="C3944:I3944"/>
    <mergeCell ref="L3944:M3944"/>
    <mergeCell ref="L3945:M3945"/>
    <mergeCell ref="C3945:I3945"/>
    <mergeCell ref="C3928:F3928"/>
    <mergeCell ref="G3928:H3928"/>
    <mergeCell ref="I3928:J3928"/>
    <mergeCell ref="L3928:M3928"/>
    <mergeCell ref="G3929:H3929"/>
    <mergeCell ref="I3929:J3929"/>
    <mergeCell ref="L3929:M3929"/>
    <mergeCell ref="C3932:F3932"/>
    <mergeCell ref="G3932:H3932"/>
    <mergeCell ref="I3932:J3932"/>
    <mergeCell ref="C3933:F3933"/>
    <mergeCell ref="G3933:H3933"/>
    <mergeCell ref="I3933:J3933"/>
    <mergeCell ref="C3929:F3929"/>
    <mergeCell ref="C3930:F3930"/>
    <mergeCell ref="G3930:H3930"/>
    <mergeCell ref="I3930:J3930"/>
    <mergeCell ref="C3931:F3931"/>
    <mergeCell ref="G3931:H3931"/>
    <mergeCell ref="I3931:J3931"/>
    <mergeCell ref="L3930:M3930"/>
    <mergeCell ref="L3931:M3931"/>
    <mergeCell ref="L3932:M3932"/>
    <mergeCell ref="L3933:M3933"/>
    <mergeCell ref="I3846:J3846"/>
    <mergeCell ref="C3847:F3847"/>
    <mergeCell ref="G3847:H3847"/>
    <mergeCell ref="I3847:J3847"/>
    <mergeCell ref="C3848:M3848"/>
    <mergeCell ref="C3887:H3887"/>
    <mergeCell ref="C3888:H3888"/>
    <mergeCell ref="L3888:M3888"/>
    <mergeCell ref="L3889:M3889"/>
    <mergeCell ref="L3890:M3890"/>
    <mergeCell ref="C3891:M3891"/>
    <mergeCell ref="C3893:M3893"/>
    <mergeCell ref="D3923:K3923"/>
    <mergeCell ref="L3923:M3923"/>
    <mergeCell ref="C3924:N3926"/>
    <mergeCell ref="C3927:F3927"/>
    <mergeCell ref="G3927:H3927"/>
    <mergeCell ref="I3927:J3927"/>
    <mergeCell ref="L3927:M3927"/>
    <mergeCell ref="E3910:K3910"/>
    <mergeCell ref="E3911:K3913"/>
    <mergeCell ref="L3911:L3912"/>
    <mergeCell ref="M3911:M3912"/>
    <mergeCell ref="N3911:N3912"/>
    <mergeCell ref="L3913:N3913"/>
    <mergeCell ref="M3915:M3916"/>
    <mergeCell ref="N3915:N3916"/>
    <mergeCell ref="J3898:N3899"/>
    <mergeCell ref="C3899:E3899"/>
    <mergeCell ref="C3908:D3916"/>
    <mergeCell ref="E3908:K3909"/>
    <mergeCell ref="L3908:M3909"/>
    <mergeCell ref="D3832:L3832"/>
    <mergeCell ref="D3833:L3833"/>
    <mergeCell ref="C3834:N3834"/>
    <mergeCell ref="D3836:K3836"/>
    <mergeCell ref="L3836:M3836"/>
    <mergeCell ref="D3837:K3837"/>
    <mergeCell ref="L3837:M3837"/>
    <mergeCell ref="L3841:M3841"/>
    <mergeCell ref="L3842:M3842"/>
    <mergeCell ref="L3843:M3843"/>
    <mergeCell ref="L3844:M3844"/>
    <mergeCell ref="L3845:M3845"/>
    <mergeCell ref="L3846:M3846"/>
    <mergeCell ref="L3847:M3847"/>
    <mergeCell ref="C3838:N3840"/>
    <mergeCell ref="C3841:F3841"/>
    <mergeCell ref="G3841:H3841"/>
    <mergeCell ref="I3841:J3841"/>
    <mergeCell ref="C3842:F3842"/>
    <mergeCell ref="G3842:H3842"/>
    <mergeCell ref="I3842:J3842"/>
    <mergeCell ref="G3845:H3845"/>
    <mergeCell ref="I3845:J3845"/>
    <mergeCell ref="C3843:F3843"/>
    <mergeCell ref="G3843:H3843"/>
    <mergeCell ref="I3843:J3843"/>
    <mergeCell ref="C3844:F3844"/>
    <mergeCell ref="G3844:H3844"/>
    <mergeCell ref="I3844:J3844"/>
    <mergeCell ref="C3845:F3845"/>
    <mergeCell ref="C3846:F3846"/>
    <mergeCell ref="G3846:H3846"/>
    <mergeCell ref="C3872:N3874"/>
    <mergeCell ref="C3875:H3875"/>
    <mergeCell ref="C3876:H3876"/>
    <mergeCell ref="L3875:M3875"/>
    <mergeCell ref="L3876:M3876"/>
    <mergeCell ref="C3877:H3877"/>
    <mergeCell ref="L3877:M3877"/>
    <mergeCell ref="C3878:H3878"/>
    <mergeCell ref="L3878:M3878"/>
    <mergeCell ref="L3879:M3879"/>
    <mergeCell ref="C3879:H3879"/>
    <mergeCell ref="C3880:H3880"/>
    <mergeCell ref="L3880:M3880"/>
    <mergeCell ref="C3881:M3881"/>
    <mergeCell ref="C3883:M3883"/>
    <mergeCell ref="C3884:N3886"/>
    <mergeCell ref="L3887:M3887"/>
    <mergeCell ref="C3860:I3860"/>
    <mergeCell ref="L3860:M3860"/>
    <mergeCell ref="C3861:M3861"/>
    <mergeCell ref="C3862:N3864"/>
    <mergeCell ref="C3865:H3865"/>
    <mergeCell ref="C3866:H3866"/>
    <mergeCell ref="L3865:M3865"/>
    <mergeCell ref="L3866:M3866"/>
    <mergeCell ref="C3867:H3867"/>
    <mergeCell ref="L3867:M3867"/>
    <mergeCell ref="C3868:H3868"/>
    <mergeCell ref="L3868:M3868"/>
    <mergeCell ref="L3869:M3869"/>
    <mergeCell ref="C3869:H3869"/>
    <mergeCell ref="C3870:H3870"/>
    <mergeCell ref="L3870:M3870"/>
    <mergeCell ref="C3871:M3871"/>
    <mergeCell ref="L3854:M3854"/>
    <mergeCell ref="L3855:M3855"/>
    <mergeCell ref="C3849:N3851"/>
    <mergeCell ref="C3852:I3852"/>
    <mergeCell ref="L3852:M3852"/>
    <mergeCell ref="C3853:I3853"/>
    <mergeCell ref="L3853:M3853"/>
    <mergeCell ref="C3854:I3854"/>
    <mergeCell ref="C3855:I3855"/>
    <mergeCell ref="C3856:I3856"/>
    <mergeCell ref="L3856:M3856"/>
    <mergeCell ref="C3857:I3857"/>
    <mergeCell ref="L3857:M3857"/>
    <mergeCell ref="C3858:I3858"/>
    <mergeCell ref="L3858:M3858"/>
    <mergeCell ref="L3859:M3859"/>
    <mergeCell ref="C3859:I3859"/>
    <mergeCell ref="C3798:M3798"/>
    <mergeCell ref="C3799:N3801"/>
    <mergeCell ref="C3802:H3802"/>
    <mergeCell ref="L3802:M3802"/>
    <mergeCell ref="C3803:H3803"/>
    <mergeCell ref="L3803:M3803"/>
    <mergeCell ref="L3804:M3804"/>
    <mergeCell ref="L3822:M3823"/>
    <mergeCell ref="N3822:N3823"/>
    <mergeCell ref="E3824:K3824"/>
    <mergeCell ref="L3824:N3824"/>
    <mergeCell ref="E3825:K3827"/>
    <mergeCell ref="L3825:L3826"/>
    <mergeCell ref="M3825:M3826"/>
    <mergeCell ref="N3825:N3826"/>
    <mergeCell ref="L3827:N3827"/>
    <mergeCell ref="E3829:K3830"/>
    <mergeCell ref="L3829:L3830"/>
    <mergeCell ref="M3829:M3830"/>
    <mergeCell ref="N3829:N3830"/>
    <mergeCell ref="L3805:M3805"/>
    <mergeCell ref="C3806:M3806"/>
    <mergeCell ref="C3808:M3808"/>
    <mergeCell ref="J3813:N3814"/>
    <mergeCell ref="C3814:E3814"/>
    <mergeCell ref="C3822:D3830"/>
    <mergeCell ref="E3822:K3823"/>
    <mergeCell ref="L3785:M3785"/>
    <mergeCell ref="L3791:M3791"/>
    <mergeCell ref="L3792:M3792"/>
    <mergeCell ref="C3785:H3785"/>
    <mergeCell ref="C3786:M3786"/>
    <mergeCell ref="C3787:N3789"/>
    <mergeCell ref="C3790:H3790"/>
    <mergeCell ref="L3790:M3790"/>
    <mergeCell ref="C3791:H3791"/>
    <mergeCell ref="C3792:H3792"/>
    <mergeCell ref="C3793:H3793"/>
    <mergeCell ref="L3793:M3793"/>
    <mergeCell ref="C3794:H3794"/>
    <mergeCell ref="L3794:M3794"/>
    <mergeCell ref="C3795:H3795"/>
    <mergeCell ref="L3795:M3795"/>
    <mergeCell ref="C3796:M3796"/>
    <mergeCell ref="C3773:I3773"/>
    <mergeCell ref="L3773:M3773"/>
    <mergeCell ref="L3774:M3774"/>
    <mergeCell ref="L3780:M3780"/>
    <mergeCell ref="L3781:M3781"/>
    <mergeCell ref="C3774:I3774"/>
    <mergeCell ref="C3775:I3775"/>
    <mergeCell ref="L3775:M3775"/>
    <mergeCell ref="C3776:M3776"/>
    <mergeCell ref="C3777:N3779"/>
    <mergeCell ref="C3780:H3780"/>
    <mergeCell ref="C3781:H3781"/>
    <mergeCell ref="C3782:H3782"/>
    <mergeCell ref="L3782:M3782"/>
    <mergeCell ref="C3783:H3783"/>
    <mergeCell ref="L3783:M3783"/>
    <mergeCell ref="C3784:H3784"/>
    <mergeCell ref="L3784:M3784"/>
    <mergeCell ref="I3761:J3761"/>
    <mergeCell ref="C3762:F3762"/>
    <mergeCell ref="G3762:H3762"/>
    <mergeCell ref="I3762:J3762"/>
    <mergeCell ref="C3763:M3763"/>
    <mergeCell ref="L3769:M3769"/>
    <mergeCell ref="L3770:M3770"/>
    <mergeCell ref="C3764:N3766"/>
    <mergeCell ref="C3767:I3767"/>
    <mergeCell ref="L3767:M3767"/>
    <mergeCell ref="C3768:I3768"/>
    <mergeCell ref="L3768:M3768"/>
    <mergeCell ref="C3769:I3769"/>
    <mergeCell ref="C3770:I3770"/>
    <mergeCell ref="C3771:I3771"/>
    <mergeCell ref="L3771:M3771"/>
    <mergeCell ref="C3772:I3772"/>
    <mergeCell ref="L3772:M3772"/>
    <mergeCell ref="D3747:L3747"/>
    <mergeCell ref="D3748:L3748"/>
    <mergeCell ref="C3749:N3749"/>
    <mergeCell ref="D3751:K3751"/>
    <mergeCell ref="L3751:M3751"/>
    <mergeCell ref="D3752:K3752"/>
    <mergeCell ref="L3752:M3752"/>
    <mergeCell ref="L3756:M3756"/>
    <mergeCell ref="L3757:M3757"/>
    <mergeCell ref="L3758:M3758"/>
    <mergeCell ref="L3759:M3759"/>
    <mergeCell ref="L3760:M3760"/>
    <mergeCell ref="L3761:M3761"/>
    <mergeCell ref="L3762:M3762"/>
    <mergeCell ref="C3753:N3755"/>
    <mergeCell ref="C3756:F3756"/>
    <mergeCell ref="G3756:H3756"/>
    <mergeCell ref="I3756:J3756"/>
    <mergeCell ref="C3757:F3757"/>
    <mergeCell ref="G3757:H3757"/>
    <mergeCell ref="I3757:J3757"/>
    <mergeCell ref="G3760:H3760"/>
    <mergeCell ref="I3760:J3760"/>
    <mergeCell ref="C3758:F3758"/>
    <mergeCell ref="G3758:H3758"/>
    <mergeCell ref="I3758:J3758"/>
    <mergeCell ref="C3759:F3759"/>
    <mergeCell ref="G3759:H3759"/>
    <mergeCell ref="I3759:J3759"/>
    <mergeCell ref="C3760:F3760"/>
    <mergeCell ref="C3761:F3761"/>
    <mergeCell ref="G3761:H3761"/>
    <mergeCell ref="C3713:M3713"/>
    <mergeCell ref="C3714:N3716"/>
    <mergeCell ref="C3717:H3717"/>
    <mergeCell ref="L3717:M3717"/>
    <mergeCell ref="C3718:H3718"/>
    <mergeCell ref="L3718:M3718"/>
    <mergeCell ref="E3737:K3738"/>
    <mergeCell ref="L3737:M3738"/>
    <mergeCell ref="N3737:N3738"/>
    <mergeCell ref="E3739:K3739"/>
    <mergeCell ref="L3739:N3739"/>
    <mergeCell ref="E3740:K3742"/>
    <mergeCell ref="L3740:L3741"/>
    <mergeCell ref="M3740:M3741"/>
    <mergeCell ref="N3740:N3741"/>
    <mergeCell ref="L3742:N3742"/>
    <mergeCell ref="E3744:K3745"/>
    <mergeCell ref="L3744:L3745"/>
    <mergeCell ref="M3744:M3745"/>
    <mergeCell ref="N3744:N3745"/>
    <mergeCell ref="L3719:M3719"/>
    <mergeCell ref="L3720:M3720"/>
    <mergeCell ref="C3721:M3721"/>
    <mergeCell ref="C3723:M3723"/>
    <mergeCell ref="J3728:N3729"/>
    <mergeCell ref="C3729:E3729"/>
    <mergeCell ref="C3737:D3745"/>
    <mergeCell ref="C3700:H3700"/>
    <mergeCell ref="L3700:M3700"/>
    <mergeCell ref="C3701:M3701"/>
    <mergeCell ref="C3702:N3704"/>
    <mergeCell ref="C3705:H3705"/>
    <mergeCell ref="L3705:M3705"/>
    <mergeCell ref="C3706:H3706"/>
    <mergeCell ref="L3706:M3706"/>
    <mergeCell ref="L3707:M3707"/>
    <mergeCell ref="C3707:H3707"/>
    <mergeCell ref="C3708:H3708"/>
    <mergeCell ref="L3708:M3708"/>
    <mergeCell ref="C3709:H3709"/>
    <mergeCell ref="L3709:M3709"/>
    <mergeCell ref="C3710:H3710"/>
    <mergeCell ref="L3710:M3710"/>
    <mergeCell ref="C3711:M3711"/>
    <mergeCell ref="C3688:I3688"/>
    <mergeCell ref="L3688:M3688"/>
    <mergeCell ref="C3689:I3689"/>
    <mergeCell ref="L3689:M3689"/>
    <mergeCell ref="C3690:I3690"/>
    <mergeCell ref="L3690:M3690"/>
    <mergeCell ref="C3691:M3691"/>
    <mergeCell ref="C3692:N3694"/>
    <mergeCell ref="C3695:H3695"/>
    <mergeCell ref="L3695:M3695"/>
    <mergeCell ref="C3696:H3696"/>
    <mergeCell ref="L3696:M3696"/>
    <mergeCell ref="L3697:M3697"/>
    <mergeCell ref="C3697:H3697"/>
    <mergeCell ref="C3698:H3698"/>
    <mergeCell ref="L3698:M3698"/>
    <mergeCell ref="C3699:H3699"/>
    <mergeCell ref="L3699:M3699"/>
    <mergeCell ref="C3676:M3676"/>
    <mergeCell ref="L3682:M3682"/>
    <mergeCell ref="L3683:M3683"/>
    <mergeCell ref="C3677:N3679"/>
    <mergeCell ref="C3680:I3680"/>
    <mergeCell ref="L3680:M3680"/>
    <mergeCell ref="C3681:I3681"/>
    <mergeCell ref="L3681:M3681"/>
    <mergeCell ref="C3682:I3682"/>
    <mergeCell ref="C3683:I3683"/>
    <mergeCell ref="C3684:I3684"/>
    <mergeCell ref="L3684:M3684"/>
    <mergeCell ref="C3685:I3685"/>
    <mergeCell ref="L3685:M3685"/>
    <mergeCell ref="C3686:I3686"/>
    <mergeCell ref="L3686:M3686"/>
    <mergeCell ref="L3687:M3687"/>
    <mergeCell ref="C3687:I3687"/>
    <mergeCell ref="L3669:M3669"/>
    <mergeCell ref="L3670:M3670"/>
    <mergeCell ref="L3671:M3671"/>
    <mergeCell ref="L3672:M3672"/>
    <mergeCell ref="L3673:M3673"/>
    <mergeCell ref="L3674:M3674"/>
    <mergeCell ref="L3675:M3675"/>
    <mergeCell ref="C3666:N3668"/>
    <mergeCell ref="C3669:F3669"/>
    <mergeCell ref="G3669:H3669"/>
    <mergeCell ref="I3669:J3669"/>
    <mergeCell ref="C3670:F3670"/>
    <mergeCell ref="G3670:H3670"/>
    <mergeCell ref="I3670:J3670"/>
    <mergeCell ref="G3673:H3673"/>
    <mergeCell ref="I3673:J3673"/>
    <mergeCell ref="C3671:F3671"/>
    <mergeCell ref="G3671:H3671"/>
    <mergeCell ref="I3671:J3671"/>
    <mergeCell ref="C3672:F3672"/>
    <mergeCell ref="G3672:H3672"/>
    <mergeCell ref="I3672:J3672"/>
    <mergeCell ref="C3673:F3673"/>
    <mergeCell ref="C3674:F3674"/>
    <mergeCell ref="G3674:H3674"/>
    <mergeCell ref="I3674:J3674"/>
    <mergeCell ref="C3675:F3675"/>
    <mergeCell ref="G3675:H3675"/>
    <mergeCell ref="I3675:J3675"/>
    <mergeCell ref="E3657:K3658"/>
    <mergeCell ref="L3657:L3658"/>
    <mergeCell ref="M3657:M3658"/>
    <mergeCell ref="N3657:N3658"/>
    <mergeCell ref="L3633:M3633"/>
    <mergeCell ref="L3634:M3634"/>
    <mergeCell ref="C3635:M3635"/>
    <mergeCell ref="C3637:M3637"/>
    <mergeCell ref="J3642:N3643"/>
    <mergeCell ref="C3643:E3643"/>
    <mergeCell ref="C3650:D3658"/>
    <mergeCell ref="D3660:L3660"/>
    <mergeCell ref="D3661:L3661"/>
    <mergeCell ref="C3662:N3662"/>
    <mergeCell ref="D3664:K3664"/>
    <mergeCell ref="L3664:M3664"/>
    <mergeCell ref="D3665:K3665"/>
    <mergeCell ref="L3665:M3665"/>
    <mergeCell ref="C3625:M3625"/>
    <mergeCell ref="C3627:M3627"/>
    <mergeCell ref="C3628:N3630"/>
    <mergeCell ref="C3631:H3631"/>
    <mergeCell ref="L3631:M3631"/>
    <mergeCell ref="C3632:H3632"/>
    <mergeCell ref="L3632:M3632"/>
    <mergeCell ref="E3650:K3651"/>
    <mergeCell ref="L3650:M3651"/>
    <mergeCell ref="N3650:N3651"/>
    <mergeCell ref="E3652:K3652"/>
    <mergeCell ref="L3652:N3652"/>
    <mergeCell ref="E3653:K3655"/>
    <mergeCell ref="L3653:L3654"/>
    <mergeCell ref="M3653:M3654"/>
    <mergeCell ref="N3653:N3654"/>
    <mergeCell ref="L3655:N3655"/>
    <mergeCell ref="C3588:F3588"/>
    <mergeCell ref="G3588:H3588"/>
    <mergeCell ref="I3588:J3588"/>
    <mergeCell ref="L3588:M3588"/>
    <mergeCell ref="G3589:H3589"/>
    <mergeCell ref="I3589:J3589"/>
    <mergeCell ref="L3589:M3589"/>
    <mergeCell ref="L3595:M3595"/>
    <mergeCell ref="L3596:M3596"/>
    <mergeCell ref="C3589:F3589"/>
    <mergeCell ref="C3590:M3590"/>
    <mergeCell ref="C3591:N3593"/>
    <mergeCell ref="C3594:I3594"/>
    <mergeCell ref="L3594:M3594"/>
    <mergeCell ref="C3595:I3595"/>
    <mergeCell ref="C3596:I3596"/>
    <mergeCell ref="L3603:M3603"/>
    <mergeCell ref="L3600:M3600"/>
    <mergeCell ref="C3600:I3600"/>
    <mergeCell ref="C3601:I3601"/>
    <mergeCell ref="L3601:M3601"/>
    <mergeCell ref="C3602:I3602"/>
    <mergeCell ref="L3602:M3602"/>
    <mergeCell ref="C3603:I3603"/>
    <mergeCell ref="C3613:H3613"/>
    <mergeCell ref="L3613:M3613"/>
    <mergeCell ref="C3614:H3614"/>
    <mergeCell ref="L3614:M3614"/>
    <mergeCell ref="C3615:M3615"/>
    <mergeCell ref="C3616:N3618"/>
    <mergeCell ref="C3619:H3619"/>
    <mergeCell ref="L3619:M3619"/>
    <mergeCell ref="C3620:H3620"/>
    <mergeCell ref="L3620:M3620"/>
    <mergeCell ref="L3621:M3621"/>
    <mergeCell ref="C3621:H3621"/>
    <mergeCell ref="C3622:H3622"/>
    <mergeCell ref="L3622:M3622"/>
    <mergeCell ref="C3623:H3623"/>
    <mergeCell ref="L3623:M3623"/>
    <mergeCell ref="C3624:H3624"/>
    <mergeCell ref="L3624:M3624"/>
    <mergeCell ref="C3604:I3604"/>
    <mergeCell ref="C3605:M3605"/>
    <mergeCell ref="C3606:N3608"/>
    <mergeCell ref="C3609:H3609"/>
    <mergeCell ref="L3609:M3609"/>
    <mergeCell ref="C3610:H3610"/>
    <mergeCell ref="L3610:M3610"/>
    <mergeCell ref="L3611:M3611"/>
    <mergeCell ref="C3611:H3611"/>
    <mergeCell ref="C3612:H3612"/>
    <mergeCell ref="L3612:M3612"/>
    <mergeCell ref="L3604:M3604"/>
    <mergeCell ref="C3541:M3541"/>
    <mergeCell ref="C3542:N3544"/>
    <mergeCell ref="C3545:H3545"/>
    <mergeCell ref="L3545:M3545"/>
    <mergeCell ref="C3546:H3546"/>
    <mergeCell ref="L3546:M3546"/>
    <mergeCell ref="L3547:M3547"/>
    <mergeCell ref="L3548:M3548"/>
    <mergeCell ref="E3564:K3565"/>
    <mergeCell ref="E3566:K3566"/>
    <mergeCell ref="L3586:M3586"/>
    <mergeCell ref="L3587:M3587"/>
    <mergeCell ref="C3597:I3597"/>
    <mergeCell ref="L3597:M3597"/>
    <mergeCell ref="C3598:I3598"/>
    <mergeCell ref="L3598:M3598"/>
    <mergeCell ref="C3599:I3599"/>
    <mergeCell ref="L3599:M3599"/>
    <mergeCell ref="C3584:F3584"/>
    <mergeCell ref="G3584:H3584"/>
    <mergeCell ref="I3584:J3584"/>
    <mergeCell ref="L3584:M3584"/>
    <mergeCell ref="G3585:H3585"/>
    <mergeCell ref="I3585:J3585"/>
    <mergeCell ref="L3585:M3585"/>
    <mergeCell ref="C3585:F3585"/>
    <mergeCell ref="C3586:F3586"/>
    <mergeCell ref="G3586:H3586"/>
    <mergeCell ref="I3586:J3586"/>
    <mergeCell ref="C3587:F3587"/>
    <mergeCell ref="G3587:H3587"/>
    <mergeCell ref="I3587:J3587"/>
    <mergeCell ref="D3574:L3574"/>
    <mergeCell ref="D3575:L3575"/>
    <mergeCell ref="C3576:N3576"/>
    <mergeCell ref="D3578:K3578"/>
    <mergeCell ref="L3578:M3578"/>
    <mergeCell ref="D3579:K3579"/>
    <mergeCell ref="L3579:M3579"/>
    <mergeCell ref="C3580:N3582"/>
    <mergeCell ref="C3583:F3583"/>
    <mergeCell ref="G3583:H3583"/>
    <mergeCell ref="I3583:J3583"/>
    <mergeCell ref="L3583:M3583"/>
    <mergeCell ref="L3537:M3537"/>
    <mergeCell ref="C3538:H3538"/>
    <mergeCell ref="C3523:H3523"/>
    <mergeCell ref="L3523:M3523"/>
    <mergeCell ref="C3524:H3524"/>
    <mergeCell ref="L3524:M3524"/>
    <mergeCell ref="C3525:H3525"/>
    <mergeCell ref="L3525:M3525"/>
    <mergeCell ref="L3526:M3526"/>
    <mergeCell ref="C3526:H3526"/>
    <mergeCell ref="C3527:H3527"/>
    <mergeCell ref="L3527:M3527"/>
    <mergeCell ref="C3528:H3528"/>
    <mergeCell ref="L3528:M3528"/>
    <mergeCell ref="C3529:M3529"/>
    <mergeCell ref="C3530:N3532"/>
    <mergeCell ref="C3533:H3533"/>
    <mergeCell ref="L3533:M3533"/>
    <mergeCell ref="C3534:H3534"/>
    <mergeCell ref="L3534:M3534"/>
    <mergeCell ref="L3538:M3538"/>
    <mergeCell ref="L3566:N3566"/>
    <mergeCell ref="E3567:K3569"/>
    <mergeCell ref="L3567:L3568"/>
    <mergeCell ref="M3567:M3568"/>
    <mergeCell ref="N3567:N3568"/>
    <mergeCell ref="L3569:N3569"/>
    <mergeCell ref="M3571:M3572"/>
    <mergeCell ref="N3571:N3572"/>
    <mergeCell ref="C3549:M3549"/>
    <mergeCell ref="C3551:M3551"/>
    <mergeCell ref="J3556:N3557"/>
    <mergeCell ref="C3557:E3557"/>
    <mergeCell ref="C3564:D3572"/>
    <mergeCell ref="L3564:M3565"/>
    <mergeCell ref="N3564:N3565"/>
    <mergeCell ref="E3571:K3572"/>
    <mergeCell ref="L3571:L3572"/>
    <mergeCell ref="C3539:M3539"/>
    <mergeCell ref="G3505:H3505"/>
    <mergeCell ref="I3505:J3505"/>
    <mergeCell ref="L3505:M3505"/>
    <mergeCell ref="L3511:M3511"/>
    <mergeCell ref="L3512:M3512"/>
    <mergeCell ref="C3505:F3505"/>
    <mergeCell ref="C3506:M3506"/>
    <mergeCell ref="C3507:N3509"/>
    <mergeCell ref="C3510:I3510"/>
    <mergeCell ref="L3510:M3510"/>
    <mergeCell ref="C3511:I3511"/>
    <mergeCell ref="C3512:I3512"/>
    <mergeCell ref="C3513:I3513"/>
    <mergeCell ref="L3513:M3513"/>
    <mergeCell ref="C3514:I3514"/>
    <mergeCell ref="L3514:M3514"/>
    <mergeCell ref="C3515:I3515"/>
    <mergeCell ref="L3515:M3515"/>
    <mergeCell ref="C3535:H3535"/>
    <mergeCell ref="L3535:M3535"/>
    <mergeCell ref="L3516:M3516"/>
    <mergeCell ref="C3516:I3516"/>
    <mergeCell ref="C3517:I3517"/>
    <mergeCell ref="L3517:M3517"/>
    <mergeCell ref="C3518:I3518"/>
    <mergeCell ref="L3518:M3518"/>
    <mergeCell ref="C3519:M3519"/>
    <mergeCell ref="C3520:N3522"/>
    <mergeCell ref="L3536:M3536"/>
    <mergeCell ref="C3536:H3536"/>
    <mergeCell ref="C3537:H3537"/>
    <mergeCell ref="L3502:M3502"/>
    <mergeCell ref="L3503:M3503"/>
    <mergeCell ref="C3500:F3500"/>
    <mergeCell ref="G3500:H3500"/>
    <mergeCell ref="I3500:J3500"/>
    <mergeCell ref="L3500:M3500"/>
    <mergeCell ref="G3501:H3501"/>
    <mergeCell ref="I3501:J3501"/>
    <mergeCell ref="L3501:M3501"/>
    <mergeCell ref="C3501:F3501"/>
    <mergeCell ref="C3502:F3502"/>
    <mergeCell ref="G3502:H3502"/>
    <mergeCell ref="I3502:J3502"/>
    <mergeCell ref="C3503:F3503"/>
    <mergeCell ref="G3503:H3503"/>
    <mergeCell ref="I3503:J3503"/>
    <mergeCell ref="C3504:F3504"/>
    <mergeCell ref="G3504:H3504"/>
    <mergeCell ref="I3504:J3504"/>
    <mergeCell ref="L3504:M3504"/>
    <mergeCell ref="C3452:H3452"/>
    <mergeCell ref="C3453:H3453"/>
    <mergeCell ref="L3453:M3453"/>
    <mergeCell ref="C3454:H3454"/>
    <mergeCell ref="L3454:M3454"/>
    <mergeCell ref="C3455:M3455"/>
    <mergeCell ref="C3457:M3457"/>
    <mergeCell ref="C3458:N3460"/>
    <mergeCell ref="C3461:H3461"/>
    <mergeCell ref="L3461:M3461"/>
    <mergeCell ref="C3462:H3462"/>
    <mergeCell ref="L3462:M3462"/>
    <mergeCell ref="L3463:M3463"/>
    <mergeCell ref="L3464:M3464"/>
    <mergeCell ref="E3480:K3481"/>
    <mergeCell ref="E3482:K3482"/>
    <mergeCell ref="L3482:N3482"/>
    <mergeCell ref="D3491:L3491"/>
    <mergeCell ref="C3492:N3492"/>
    <mergeCell ref="D3494:K3494"/>
    <mergeCell ref="L3494:M3494"/>
    <mergeCell ref="D3495:K3495"/>
    <mergeCell ref="L3495:M3495"/>
    <mergeCell ref="C3496:N3498"/>
    <mergeCell ref="C3499:F3499"/>
    <mergeCell ref="G3499:H3499"/>
    <mergeCell ref="I3499:J3499"/>
    <mergeCell ref="L3499:M3499"/>
    <mergeCell ref="C3439:H3439"/>
    <mergeCell ref="L3439:M3439"/>
    <mergeCell ref="C3440:H3440"/>
    <mergeCell ref="L3440:M3440"/>
    <mergeCell ref="C3441:H3441"/>
    <mergeCell ref="L3441:M3441"/>
    <mergeCell ref="L3442:M3442"/>
    <mergeCell ref="C3442:H3442"/>
    <mergeCell ref="C3443:H3443"/>
    <mergeCell ref="L3443:M3443"/>
    <mergeCell ref="C3444:H3444"/>
    <mergeCell ref="L3444:M3444"/>
    <mergeCell ref="C3445:M3445"/>
    <mergeCell ref="C3446:N3448"/>
    <mergeCell ref="C3449:H3449"/>
    <mergeCell ref="L3449:M3449"/>
    <mergeCell ref="C3450:H3450"/>
    <mergeCell ref="L3450:M3450"/>
    <mergeCell ref="C3451:H3451"/>
    <mergeCell ref="L3451:M3451"/>
    <mergeCell ref="L3452:M3452"/>
    <mergeCell ref="E3483:K3485"/>
    <mergeCell ref="L3483:L3484"/>
    <mergeCell ref="M3483:M3484"/>
    <mergeCell ref="N3483:N3484"/>
    <mergeCell ref="L3485:N3485"/>
    <mergeCell ref="M3487:M3488"/>
    <mergeCell ref="N3487:N3488"/>
    <mergeCell ref="C3465:M3465"/>
    <mergeCell ref="C3467:M3467"/>
    <mergeCell ref="J3472:N3473"/>
    <mergeCell ref="C3473:E3473"/>
    <mergeCell ref="C3480:D3488"/>
    <mergeCell ref="L3480:M3481"/>
    <mergeCell ref="N3480:N3481"/>
    <mergeCell ref="E3487:K3488"/>
    <mergeCell ref="L3487:L3488"/>
    <mergeCell ref="D3490:L3490"/>
  </mergeCells>
  <conditionalFormatting sqref="A24:A28">
    <cfRule type="cellIs" dxfId="96" priority="5" operator="equal">
      <formula>0</formula>
    </cfRule>
  </conditionalFormatting>
  <conditionalFormatting sqref="A34:A41">
    <cfRule type="cellIs" dxfId="95" priority="6" operator="equal">
      <formula>0</formula>
    </cfRule>
  </conditionalFormatting>
  <conditionalFormatting sqref="A47:A51">
    <cfRule type="cellIs" dxfId="94" priority="7" operator="equal">
      <formula>0</formula>
    </cfRule>
  </conditionalFormatting>
  <conditionalFormatting sqref="A57:A61">
    <cfRule type="cellIs" dxfId="93" priority="8" operator="equal">
      <formula>0</formula>
    </cfRule>
  </conditionalFormatting>
  <conditionalFormatting sqref="A110:A114">
    <cfRule type="cellIs" dxfId="92" priority="9" operator="equal">
      <formula>0</formula>
    </cfRule>
  </conditionalFormatting>
  <conditionalFormatting sqref="A120:A127">
    <cfRule type="cellIs" dxfId="91" priority="10" operator="equal">
      <formula>0</formula>
    </cfRule>
  </conditionalFormatting>
  <conditionalFormatting sqref="A133:A137">
    <cfRule type="cellIs" dxfId="90" priority="11" operator="equal">
      <formula>0</formula>
    </cfRule>
  </conditionalFormatting>
  <conditionalFormatting sqref="A143:A147">
    <cfRule type="cellIs" dxfId="89" priority="12" operator="equal">
      <formula>0</formula>
    </cfRule>
  </conditionalFormatting>
  <conditionalFormatting sqref="A195:A199">
    <cfRule type="cellIs" dxfId="88" priority="13" operator="equal">
      <formula>0</formula>
    </cfRule>
  </conditionalFormatting>
  <conditionalFormatting sqref="A205:A212">
    <cfRule type="cellIs" dxfId="87" priority="14" operator="equal">
      <formula>0</formula>
    </cfRule>
  </conditionalFormatting>
  <conditionalFormatting sqref="A218:A222">
    <cfRule type="cellIs" dxfId="86" priority="15" operator="equal">
      <formula>0</formula>
    </cfRule>
  </conditionalFormatting>
  <conditionalFormatting sqref="A228:A232">
    <cfRule type="cellIs" dxfId="85" priority="16" operator="equal">
      <formula>0</formula>
    </cfRule>
  </conditionalFormatting>
  <conditionalFormatting sqref="A280:A284">
    <cfRule type="cellIs" dxfId="84" priority="17" operator="equal">
      <formula>0</formula>
    </cfRule>
  </conditionalFormatting>
  <conditionalFormatting sqref="A290:A297">
    <cfRule type="cellIs" dxfId="83" priority="18" operator="equal">
      <formula>0</formula>
    </cfRule>
  </conditionalFormatting>
  <conditionalFormatting sqref="A303:A307">
    <cfRule type="cellIs" dxfId="82" priority="19" operator="equal">
      <formula>0</formula>
    </cfRule>
  </conditionalFormatting>
  <conditionalFormatting sqref="A313:A317">
    <cfRule type="cellIs" dxfId="81" priority="20" operator="equal">
      <formula>0</formula>
    </cfRule>
  </conditionalFormatting>
  <conditionalFormatting sqref="A365:A369">
    <cfRule type="cellIs" dxfId="80" priority="21" operator="equal">
      <formula>0</formula>
    </cfRule>
  </conditionalFormatting>
  <conditionalFormatting sqref="A375:A382">
    <cfRule type="cellIs" dxfId="79" priority="22" operator="equal">
      <formula>0</formula>
    </cfRule>
  </conditionalFormatting>
  <conditionalFormatting sqref="A388:A392">
    <cfRule type="cellIs" dxfId="78" priority="23" operator="equal">
      <formula>0</formula>
    </cfRule>
  </conditionalFormatting>
  <conditionalFormatting sqref="A398:A402">
    <cfRule type="cellIs" dxfId="77" priority="24" operator="equal">
      <formula>0</formula>
    </cfRule>
  </conditionalFormatting>
  <conditionalFormatting sqref="A450:A454">
    <cfRule type="cellIs" dxfId="76" priority="25" operator="equal">
      <formula>0</formula>
    </cfRule>
  </conditionalFormatting>
  <conditionalFormatting sqref="A460:A467">
    <cfRule type="cellIs" dxfId="75" priority="26" operator="equal">
      <formula>0</formula>
    </cfRule>
  </conditionalFormatting>
  <conditionalFormatting sqref="A473:A477">
    <cfRule type="cellIs" dxfId="74" priority="27" operator="equal">
      <formula>0</formula>
    </cfRule>
  </conditionalFormatting>
  <conditionalFormatting sqref="A483:A487">
    <cfRule type="cellIs" dxfId="73" priority="28" operator="equal">
      <formula>0</formula>
    </cfRule>
  </conditionalFormatting>
  <conditionalFormatting sqref="A535:A539">
    <cfRule type="cellIs" dxfId="72" priority="29" operator="equal">
      <formula>0</formula>
    </cfRule>
  </conditionalFormatting>
  <conditionalFormatting sqref="A545:A552">
    <cfRule type="cellIs" dxfId="71" priority="30" operator="equal">
      <formula>0</formula>
    </cfRule>
  </conditionalFormatting>
  <conditionalFormatting sqref="A558:A562">
    <cfRule type="cellIs" dxfId="70" priority="31" operator="equal">
      <formula>0</formula>
    </cfRule>
  </conditionalFormatting>
  <conditionalFormatting sqref="A568:A572">
    <cfRule type="cellIs" dxfId="69" priority="32" operator="equal">
      <formula>0</formula>
    </cfRule>
  </conditionalFormatting>
  <conditionalFormatting sqref="A620:A624">
    <cfRule type="cellIs" dxfId="68" priority="33" operator="equal">
      <formula>0</formula>
    </cfRule>
  </conditionalFormatting>
  <conditionalFormatting sqref="A630:A637">
    <cfRule type="cellIs" dxfId="67" priority="34" operator="equal">
      <formula>0</formula>
    </cfRule>
  </conditionalFormatting>
  <conditionalFormatting sqref="A643:A647">
    <cfRule type="cellIs" dxfId="66" priority="35" operator="equal">
      <formula>0</formula>
    </cfRule>
  </conditionalFormatting>
  <conditionalFormatting sqref="A653:A657">
    <cfRule type="cellIs" dxfId="65" priority="36" operator="equal">
      <formula>0</formula>
    </cfRule>
  </conditionalFormatting>
  <conditionalFormatting sqref="A705:A709">
    <cfRule type="cellIs" dxfId="64" priority="37" operator="equal">
      <formula>0</formula>
    </cfRule>
  </conditionalFormatting>
  <conditionalFormatting sqref="A715:A722">
    <cfRule type="cellIs" dxfId="63" priority="38" operator="equal">
      <formula>0</formula>
    </cfRule>
  </conditionalFormatting>
  <conditionalFormatting sqref="A728:A732">
    <cfRule type="cellIs" dxfId="62" priority="39" operator="equal">
      <formula>0</formula>
    </cfRule>
  </conditionalFormatting>
  <conditionalFormatting sqref="A738:A742">
    <cfRule type="cellIs" dxfId="61" priority="40" operator="equal">
      <formula>0</formula>
    </cfRule>
  </conditionalFormatting>
  <conditionalFormatting sqref="A790:A794">
    <cfRule type="cellIs" dxfId="60" priority="41" operator="equal">
      <formula>0</formula>
    </cfRule>
  </conditionalFormatting>
  <conditionalFormatting sqref="A800:A807">
    <cfRule type="cellIs" dxfId="59" priority="42" operator="equal">
      <formula>0</formula>
    </cfRule>
  </conditionalFormatting>
  <conditionalFormatting sqref="A813:A817">
    <cfRule type="cellIs" dxfId="58" priority="43" operator="equal">
      <formula>0</formula>
    </cfRule>
  </conditionalFormatting>
  <conditionalFormatting sqref="A823:A827">
    <cfRule type="cellIs" dxfId="57" priority="44" operator="equal">
      <formula>0</formula>
    </cfRule>
  </conditionalFormatting>
  <conditionalFormatting sqref="A875:A879">
    <cfRule type="cellIs" dxfId="56" priority="45" operator="equal">
      <formula>0</formula>
    </cfRule>
  </conditionalFormatting>
  <conditionalFormatting sqref="A885:A892">
    <cfRule type="cellIs" dxfId="55" priority="46" operator="equal">
      <formula>0</formula>
    </cfRule>
  </conditionalFormatting>
  <conditionalFormatting sqref="A898:A902">
    <cfRule type="cellIs" dxfId="54" priority="47" operator="equal">
      <formula>0</formula>
    </cfRule>
  </conditionalFormatting>
  <conditionalFormatting sqref="A908:A912">
    <cfRule type="cellIs" dxfId="53" priority="48" operator="equal">
      <formula>0</formula>
    </cfRule>
  </conditionalFormatting>
  <conditionalFormatting sqref="A960:A964">
    <cfRule type="cellIs" dxfId="52" priority="49" operator="equal">
      <formula>0</formula>
    </cfRule>
  </conditionalFormatting>
  <conditionalFormatting sqref="A970:A977">
    <cfRule type="cellIs" dxfId="51" priority="50" operator="equal">
      <formula>0</formula>
    </cfRule>
  </conditionalFormatting>
  <conditionalFormatting sqref="A983:A987">
    <cfRule type="cellIs" dxfId="50" priority="51" operator="equal">
      <formula>0</formula>
    </cfRule>
  </conditionalFormatting>
  <conditionalFormatting sqref="A993:A997">
    <cfRule type="cellIs" dxfId="49" priority="52" operator="equal">
      <formula>0</formula>
    </cfRule>
  </conditionalFormatting>
  <conditionalFormatting sqref="A1045:A1049 A3758:A3762 A3843:A3847 A3929:A3933 A4014:A4018 A4099:A4103 A4184:A4188 A4269:A4273 A4354:A4358 A4438:A4442 A4522:A4526 A4607:A4611 A4691:A4695 A4776:A4780 A4862:A4866 A4947:A4951 A5032:A5036 A5120:A5124 A5205:A5209 A5290:A5294 A5375:A5379">
    <cfRule type="cellIs" dxfId="48" priority="53" operator="equal">
      <formula>0</formula>
    </cfRule>
  </conditionalFormatting>
  <conditionalFormatting sqref="A1055:A1062 A3768:A3775 A3853:A3860 A3939:A3946 A4024:A4031 A4109:A4116 A4194:A4201 A4279:A4286 A4364:A4371 A4448:A4455 A4532:A4539 A4617:A4624 A4701:A4708 A4786:A4793 A4872:A4879 A4957:A4964 A5042:A5052 A5130:A5137 A5215:A5222 A5300:A5307 A5385:A5392">
    <cfRule type="cellIs" dxfId="47" priority="54" operator="equal">
      <formula>0</formula>
    </cfRule>
  </conditionalFormatting>
  <conditionalFormatting sqref="A1068:A1072 A3781:A3785 A3866:A3870 A3952:A3956 A4037:A4041 A4122:A4126 A4207:A4211 A4292:A4296 A4377:A4381 A4461:A4465 A4545:A4549 A4630:A4634 A4714:A4718 A4799:A4803 A4885:A4889 A4970:A4974 A5058:A5062 A5143:A5147 A5228:A5232 A5313:A5317 A5398:A5402">
    <cfRule type="cellIs" dxfId="46" priority="55" operator="equal">
      <formula>0</formula>
    </cfRule>
  </conditionalFormatting>
  <conditionalFormatting sqref="A1078:A1082 A3791:A3795 A3876:A3880 A3962:A3966 A4047:A4051 A4132:A4136 A4217:A4221 A4302:A4306 A4387:A4391 A4471:A4475 A4555:A4559 A4640:A4644 A4724:A4728 A4809:A4813 A4895:A4899 A4980:A4984 A5068:A5072 A5153:A5157 A5238:A5242 A5323:A5327 A5408:A5412">
    <cfRule type="cellIs" dxfId="45" priority="56" operator="equal">
      <formula>0</formula>
    </cfRule>
  </conditionalFormatting>
  <conditionalFormatting sqref="A1130:A1134">
    <cfRule type="cellIs" dxfId="44" priority="57" operator="equal">
      <formula>0</formula>
    </cfRule>
  </conditionalFormatting>
  <conditionalFormatting sqref="A1140:A1147">
    <cfRule type="cellIs" dxfId="43" priority="58" operator="equal">
      <formula>0</formula>
    </cfRule>
  </conditionalFormatting>
  <conditionalFormatting sqref="A1153:A1157">
    <cfRule type="cellIs" dxfId="42" priority="59" operator="equal">
      <formula>0</formula>
    </cfRule>
  </conditionalFormatting>
  <conditionalFormatting sqref="A1163:A1167">
    <cfRule type="cellIs" dxfId="41" priority="60" operator="equal">
      <formula>0</formula>
    </cfRule>
  </conditionalFormatting>
  <conditionalFormatting sqref="A1215:A1219">
    <cfRule type="cellIs" dxfId="40" priority="61" operator="equal">
      <formula>0</formula>
    </cfRule>
  </conditionalFormatting>
  <conditionalFormatting sqref="A1225:A1232">
    <cfRule type="cellIs" dxfId="39" priority="62" operator="equal">
      <formula>0</formula>
    </cfRule>
  </conditionalFormatting>
  <conditionalFormatting sqref="A1238:A1242">
    <cfRule type="cellIs" dxfId="38" priority="63" operator="equal">
      <formula>0</formula>
    </cfRule>
  </conditionalFormatting>
  <conditionalFormatting sqref="A1248:A1252">
    <cfRule type="cellIs" dxfId="37" priority="64" operator="equal">
      <formula>0</formula>
    </cfRule>
  </conditionalFormatting>
  <conditionalFormatting sqref="A1300:A1304">
    <cfRule type="cellIs" dxfId="36" priority="65" operator="equal">
      <formula>0</formula>
    </cfRule>
  </conditionalFormatting>
  <conditionalFormatting sqref="A1310:A1317">
    <cfRule type="cellIs" dxfId="35" priority="66" operator="equal">
      <formula>0</formula>
    </cfRule>
  </conditionalFormatting>
  <conditionalFormatting sqref="A1323:A1327">
    <cfRule type="cellIs" dxfId="34" priority="67" operator="equal">
      <formula>0</formula>
    </cfRule>
  </conditionalFormatting>
  <conditionalFormatting sqref="A1333:A1337">
    <cfRule type="cellIs" dxfId="33" priority="68" operator="equal">
      <formula>0</formula>
    </cfRule>
  </conditionalFormatting>
  <conditionalFormatting sqref="A1385:A1389">
    <cfRule type="cellIs" dxfId="32" priority="69" operator="equal">
      <formula>0</formula>
    </cfRule>
  </conditionalFormatting>
  <conditionalFormatting sqref="A1395:A1402">
    <cfRule type="cellIs" dxfId="31" priority="70" operator="equal">
      <formula>0</formula>
    </cfRule>
  </conditionalFormatting>
  <conditionalFormatting sqref="A1408:A1412">
    <cfRule type="cellIs" dxfId="30" priority="71" operator="equal">
      <formula>0</formula>
    </cfRule>
  </conditionalFormatting>
  <conditionalFormatting sqref="A1418:A1422">
    <cfRule type="cellIs" dxfId="29" priority="72" operator="equal">
      <formula>0</formula>
    </cfRule>
  </conditionalFormatting>
  <conditionalFormatting sqref="A1470:A1474">
    <cfRule type="cellIs" dxfId="28" priority="73" operator="equal">
      <formula>0</formula>
    </cfRule>
  </conditionalFormatting>
  <conditionalFormatting sqref="A1480:A1487">
    <cfRule type="cellIs" dxfId="27" priority="74" operator="equal">
      <formula>0</formula>
    </cfRule>
  </conditionalFormatting>
  <conditionalFormatting sqref="A1493:A1497">
    <cfRule type="cellIs" dxfId="26" priority="75" operator="equal">
      <formula>0</formula>
    </cfRule>
  </conditionalFormatting>
  <conditionalFormatting sqref="A1503:A1507">
    <cfRule type="cellIs" dxfId="25" priority="76" operator="equal">
      <formula>0</formula>
    </cfRule>
  </conditionalFormatting>
  <conditionalFormatting sqref="A1555:A1559">
    <cfRule type="cellIs" dxfId="24" priority="77" operator="equal">
      <formula>0</formula>
    </cfRule>
  </conditionalFormatting>
  <conditionalFormatting sqref="A1565:A1572">
    <cfRule type="cellIs" dxfId="23" priority="78" operator="equal">
      <formula>0</formula>
    </cfRule>
  </conditionalFormatting>
  <conditionalFormatting sqref="A1578:A1582">
    <cfRule type="cellIs" dxfId="22" priority="79" operator="equal">
      <formula>0</formula>
    </cfRule>
  </conditionalFormatting>
  <conditionalFormatting sqref="A1588:A1592">
    <cfRule type="cellIs" dxfId="21" priority="80" operator="equal">
      <formula>0</formula>
    </cfRule>
  </conditionalFormatting>
  <conditionalFormatting sqref="A1640:A1644">
    <cfRule type="cellIs" dxfId="20" priority="81" operator="equal">
      <formula>0</formula>
    </cfRule>
  </conditionalFormatting>
  <conditionalFormatting sqref="A1650:A1657">
    <cfRule type="cellIs" dxfId="19" priority="82" operator="equal">
      <formula>0</formula>
    </cfRule>
  </conditionalFormatting>
  <conditionalFormatting sqref="A1663:A1667">
    <cfRule type="cellIs" dxfId="18" priority="83" operator="equal">
      <formula>0</formula>
    </cfRule>
  </conditionalFormatting>
  <conditionalFormatting sqref="A1673:A1677">
    <cfRule type="cellIs" dxfId="17" priority="84" operator="equal">
      <formula>0</formula>
    </cfRule>
  </conditionalFormatting>
  <conditionalFormatting sqref="A1725:A1729">
    <cfRule type="cellIs" dxfId="16" priority="85" operator="equal">
      <formula>0</formula>
    </cfRule>
  </conditionalFormatting>
  <conditionalFormatting sqref="A1735:A1742">
    <cfRule type="cellIs" dxfId="15" priority="86" operator="equal">
      <formula>0</formula>
    </cfRule>
  </conditionalFormatting>
  <conditionalFormatting sqref="A1748:A1752">
    <cfRule type="cellIs" dxfId="14" priority="87" operator="equal">
      <formula>0</formula>
    </cfRule>
  </conditionalFormatting>
  <conditionalFormatting sqref="A1758:A1762">
    <cfRule type="cellIs" dxfId="13" priority="88" operator="equal">
      <formula>0</formula>
    </cfRule>
  </conditionalFormatting>
  <conditionalFormatting sqref="A1810:A1814">
    <cfRule type="cellIs" dxfId="12" priority="89" operator="equal">
      <formula>0</formula>
    </cfRule>
  </conditionalFormatting>
  <conditionalFormatting sqref="A1820:A1827">
    <cfRule type="cellIs" dxfId="11" priority="90" operator="equal">
      <formula>0</formula>
    </cfRule>
  </conditionalFormatting>
  <conditionalFormatting sqref="A1833:A1837">
    <cfRule type="cellIs" dxfId="10" priority="91" operator="equal">
      <formula>0</formula>
    </cfRule>
  </conditionalFormatting>
  <conditionalFormatting sqref="A1843:A1847">
    <cfRule type="cellIs" dxfId="9" priority="92" operator="equal">
      <formula>0</formula>
    </cfRule>
  </conditionalFormatting>
  <conditionalFormatting sqref="A1895:A1899 A1980:A1984 A2063:A2067 A2236:A2240 A2320:A2324 A2404:A2408 A2488:A2492 A2572:A2576 A2660:A2664 A2744:A2748 A2828:A2832 A2912:A2916 A2996:A3000 A3080:A3084 A3165:A3169 A3249:A3253 A3333:A3337 A3417:A3421 A3501:A3505 A3585:A3589 A3671:A3675">
    <cfRule type="cellIs" dxfId="8" priority="93" operator="equal">
      <formula>0</formula>
    </cfRule>
  </conditionalFormatting>
  <conditionalFormatting sqref="A1905:A1912 A1990:A1997 A2073:A2080 A2246:A2253 A2330:A2337 A2414:A2421 A2498:A2505 A2582:A2592 A2670:A2677 A2754:A2761 A2838:A2845 A2922:A2929 A3006:A3013 A3090:A3097 A3175:A3182 A3259:A3266 A3343:A3350 A3427:A3434 A3511:A3518 A3595:A3604 A3681:A3690">
    <cfRule type="cellIs" dxfId="7" priority="94" operator="equal">
      <formula>0</formula>
    </cfRule>
  </conditionalFormatting>
  <conditionalFormatting sqref="A1918:A1922 A2003:A2007 A2086:A2090 A2259:A2263 A2343:A2347 A2427:A2431 A2511:A2515 A2598:A2602 A2683:A2687 A2767:A2771 A2851:A2855 A2935:A2939 A3019:A3023 A3103:A3107 A3188:A3192 A3272:A3276 A3356:A3360 A3440:A3444 A3524:A3528 A3610:A3614 A3696:A3700">
    <cfRule type="cellIs" dxfId="6" priority="95" operator="equal">
      <formula>0</formula>
    </cfRule>
  </conditionalFormatting>
  <conditionalFormatting sqref="A1928:A1932 A2013:A2017 A2096:A2100 A2269:A2273 A2353:A2357 A2437:A2441 A2521:A2525 A2608:A2612 A2693:A2697 A2777:A2781 A2861:A2865 A2945:A2949 A3029:A3033 A3113:A3117 A3198:A3202 A3282:A3286 A3366:A3370 A3450:A3454 A3534:A3538 A3620:A3624 A3706:A3710">
    <cfRule type="cellIs" dxfId="5" priority="96" operator="equal">
      <formula>0</formula>
    </cfRule>
  </conditionalFormatting>
  <conditionalFormatting sqref="A2147:A2151">
    <cfRule type="cellIs" dxfId="4" priority="1" operator="equal">
      <formula>0</formula>
    </cfRule>
  </conditionalFormatting>
  <conditionalFormatting sqref="A2157:A2164">
    <cfRule type="cellIs" dxfId="3" priority="2" operator="equal">
      <formula>0</formula>
    </cfRule>
  </conditionalFormatting>
  <conditionalFormatting sqref="A2170:A2174">
    <cfRule type="cellIs" dxfId="2" priority="3" operator="equal">
      <formula>0</formula>
    </cfRule>
  </conditionalFormatting>
  <conditionalFormatting sqref="A2180:A2184">
    <cfRule type="cellIs" dxfId="1" priority="4" operator="equal">
      <formula>0</formula>
    </cfRule>
  </conditionalFormatting>
  <dataValidations count="4">
    <dataValidation type="list" allowBlank="1" showErrorMessage="1" sqref="C24:C28 C110:C114 C195:C199 C280:C284 C365:C369 C450:C454 C535:C539 C620:C624 C705:C709 C790:C794 C875:C879 C960:C964 C1045:C1049 C1130:C1134 C1215:C1219 C1300:C1304 C1385:C1389 C1470:C1474 C1555:C1559 C1640:C1644 C1725:C1729 C1810:C1814 C1895:C1899 C1980:C1984 C2063:C2067 C2236:C2240 C2320:C2324 C2404:C2408 C2488:C2492 C2572:C2576 C2660:C2664 C2744:C2748 C2828:C2832 C2912:C2916 C2996:C3000 C3080:C3084 C3165:C3169 C3249:C3253 C3333:C3337 C3417:C3421 C3501:C3505 C3585:C3589 C3671:C3675 C3758:C3762 C3843:C3847 C3929:C3933 C4014:C4018 C4099:C4103 C4184:C4188 C4269:C4273 C4354:C4358 C4438:C4442 C4522:C4526 C4607:C4611 C4691:C4695 C4776:C4780 C4862:C4866 C4947:C4951 C5032:C5036 C5120:C5124 C5205:C5209 C5290:C5294 C5375:C5379 C2147:C2151" xr:uid="{00000000-0002-0000-0B00-000000000000}">
      <formula1>Equipos</formula1>
    </dataValidation>
    <dataValidation type="list" allowBlank="1" showErrorMessage="1" sqref="C47:C51 C133:C137 C218:C222 C303:C307 C388:C392 C473:C477 C558:C562 C643:C647 C728:C732 C813:C817 C898:C902 C983:C987 C1068:C1072 C1153:C1157 C1238:C1242 C1323:C1327 C1408:C1412 C1493:C1497 C1578:C1582 C1663:C1667 C1748:C1752 C1833:C1837 C1918:C1922 C2003:C2007 C2086:C2090 C2259:C2263 C2343:C2347 C2427:C2431 C2511:C2515 C2598:C2602 C2683:C2687 C2767:C2771 C2851:C2855 C2935:C2939 C3019:C3023 C3103:C3107 C3188:C3192 C3272:C3276 C3356:C3360 C3440:C3444 C3524:C3528 C3610:C3614 C3696:C3700 C3781:C3785 C3866:C3870 C3952:C3956 C4037:C4041 C4122:C4126 C4207:C4211 C4292:C4296 C4377:C4381 C4461:C4465 C4545:C4549 C4630:C4634 C4714:C4718 C4799:C4803 C4885:C4889 C4970:C4974 C5058:C5062 C5143:C5147 C5228:C5232 C5313:C5317 C5398:C5402 C2170:C2174" xr:uid="{00000000-0002-0000-0B00-000001000000}">
      <formula1>Transporte</formula1>
    </dataValidation>
    <dataValidation type="list" allowBlank="1" showErrorMessage="1" sqref="C34:C41 C120:C127 C205:C212 C290:C297 C375:C382 C460:C467 C545:C552 C630:C637 C715:C722 C800:C807 C885:C892 C970:C977 C1055:C1062 C1140:C1147 C1225:C1232 C1310:C1317 C1395:C1402 C1480:C1487 C1565:C1572 C1650:C1657 C1735:C1742 C1820:C1827 C1905:C1912 C1990:C1997 C2073:C2080 C2246:C2253 C2330:C2337 C2414:C2421 C2498:C2505 C2157:C2164 C2670:C2677 C2754:C2761 C2838:C2845 C2922:C2929 C3006:C3013 C3090:C3097 C3175:C3182 C3259:C3266 C3343:C3350 C3427:C3434 C3511:C3518 C3595:C3604 C3681:C3690 C3768:C3775 C3853:C3860 C3939:C3946 C4024:C4031 C4109:C4116 C4194:C4201 C4279:C4286 C4364:C4371 C4448:C4455 C4532:C4539 C4617:C4624 C4701:C4708 C4786:C4793 C4872:C4879 C4957:C4964 C5385:C5392 C5130:C5137 C5215:C5222 C5300:C5307 C5042:C5052 C2582:C2592" xr:uid="{00000000-0002-0000-0B00-000002000000}">
      <formula1>Materiales</formula1>
    </dataValidation>
    <dataValidation type="list" allowBlank="1" showErrorMessage="1" sqref="C57:C61 C143:C147 C228:C232 C313:C317 C398:C402 C483:C487 C568:C572 C653:C657 C738:C742 C823:C827 C908:C912 C993:C997 C1078:C1082 C1163:C1167 C1248:C1252 C1333:C1337 C1418:C1422 C1503:C1507 C1588:C1592 C1673:C1677 C1758:C1762 C1843:C1847 C1928:C1932 C2013:C2017 C2096:C2100 C2269:C2273 C2353:C2357 C2437:C2441 C2521:C2525 C2608:C2612 C2693:C2697 C2777:C2781 C2861:C2865 C2945:C2949 C3029:C3033 C3113:C3117 C3198:C3202 C3282:C3286 C3366:C3370 C3450:C3454 C3534:C3538 C3620:C3624 C3706:C3710 C3791:C3795 C3876:C3880 C3962:C3966 C4047:C4051 C4132:C4136 C4217:C4221 C4302:C4306 C4387:C4391 C4471:C4475 C4555:C4559 C4640:C4644 C4724:C4728 C4809:C4813 C4895:C4899 C4980:C4984 C5068:C5072 C5153:C5157 C5238:C5242 C5323:C5327 C5408:C5412 C2180:C2184" xr:uid="{00000000-0002-0000-0B00-000003000000}">
      <formula1>MO</formula1>
    </dataValidation>
  </dataValidations>
  <pageMargins left="0.70866141732283472" right="0.70866141732283472" top="0.74803149606299213" bottom="0.74803149606299213" header="0" footer="0"/>
  <pageSetup fitToHeight="0"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pageSetUpPr fitToPage="1"/>
  </sheetPr>
  <dimension ref="B1:Z94"/>
  <sheetViews>
    <sheetView view="pageBreakPreview" zoomScale="60" zoomScaleNormal="25" workbookViewId="0">
      <pane ySplit="15" topLeftCell="A97" activePane="bottomLeft" state="frozen"/>
      <selection pane="bottomLeft" activeCell="O88" sqref="O88"/>
    </sheetView>
  </sheetViews>
  <sheetFormatPr baseColWidth="10" defaultColWidth="14.42578125" defaultRowHeight="15" customHeight="1"/>
  <cols>
    <col min="3" max="3" width="104" customWidth="1"/>
    <col min="6" max="6" width="22.5703125" customWidth="1"/>
  </cols>
  <sheetData>
    <row r="1" spans="2:26" ht="15.75" thickBot="1">
      <c r="G1" s="366"/>
    </row>
    <row r="2" spans="2:26">
      <c r="B2" s="791"/>
      <c r="C2" s="952" t="str">
        <f>Datos!C9</f>
        <v>CONSEJO SUPERIOR  DE  JUDICATURA– DIRECCIÓN  EJECUTIVA  SECCIONAL  DE ADMINISTRACIÓN JUDICIAL DE BUCARAMANGA</v>
      </c>
      <c r="D2" s="952"/>
      <c r="E2" s="952"/>
      <c r="F2" s="952"/>
      <c r="G2" s="952"/>
      <c r="H2" s="952"/>
      <c r="I2" s="952"/>
      <c r="J2" s="953"/>
      <c r="K2" s="925" t="s">
        <v>1</v>
      </c>
      <c r="L2" s="931"/>
      <c r="M2" s="933">
        <v>1</v>
      </c>
    </row>
    <row r="3" spans="2:26" ht="15.75" thickBot="1">
      <c r="B3" s="782"/>
      <c r="C3" s="954"/>
      <c r="D3" s="954"/>
      <c r="E3" s="954"/>
      <c r="F3" s="954"/>
      <c r="G3" s="954"/>
      <c r="H3" s="954"/>
      <c r="I3" s="954"/>
      <c r="J3" s="955"/>
      <c r="K3" s="920"/>
      <c r="L3" s="932"/>
      <c r="M3" s="934"/>
    </row>
    <row r="4" spans="2:26">
      <c r="B4" s="782"/>
      <c r="C4" s="960" t="str">
        <f>Datos!C13</f>
        <v xml:space="preserve">BGA - 030 - 2026 </v>
      </c>
      <c r="D4" s="960"/>
      <c r="E4" s="960"/>
      <c r="F4" s="960"/>
      <c r="G4" s="960"/>
      <c r="H4" s="960"/>
      <c r="I4" s="960"/>
      <c r="J4" s="961"/>
      <c r="K4" s="925" t="s">
        <v>29</v>
      </c>
      <c r="L4" s="926"/>
      <c r="M4" s="927"/>
    </row>
    <row r="5" spans="2:26" ht="15" customHeight="1">
      <c r="B5" s="782"/>
      <c r="C5" s="956" t="str">
        <f>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D5" s="956"/>
      <c r="E5" s="956"/>
      <c r="F5" s="956"/>
      <c r="G5" s="956"/>
      <c r="H5" s="956"/>
      <c r="I5" s="956"/>
      <c r="J5" s="957"/>
      <c r="K5" s="919">
        <v>1</v>
      </c>
      <c r="L5" s="921" t="s">
        <v>30</v>
      </c>
      <c r="M5" s="923">
        <v>1</v>
      </c>
    </row>
    <row r="6" spans="2:26" ht="15" customHeight="1" thickBot="1">
      <c r="B6" s="782"/>
      <c r="C6" s="956"/>
      <c r="D6" s="956"/>
      <c r="E6" s="956"/>
      <c r="F6" s="956"/>
      <c r="G6" s="956"/>
      <c r="H6" s="956"/>
      <c r="I6" s="956"/>
      <c r="J6" s="957"/>
      <c r="K6" s="920"/>
      <c r="L6" s="922"/>
      <c r="M6" s="924"/>
    </row>
    <row r="7" spans="2:26" ht="15" customHeight="1">
      <c r="B7" s="782"/>
      <c r="C7" s="956"/>
      <c r="D7" s="956"/>
      <c r="E7" s="956"/>
      <c r="F7" s="956"/>
      <c r="G7" s="956"/>
      <c r="H7" s="956"/>
      <c r="I7" s="956"/>
      <c r="J7" s="957"/>
      <c r="K7" s="925" t="s">
        <v>2</v>
      </c>
      <c r="L7" s="926"/>
      <c r="M7" s="927"/>
    </row>
    <row r="8" spans="2:26">
      <c r="B8" s="782"/>
      <c r="C8" s="962"/>
      <c r="D8" s="962"/>
      <c r="E8" s="962"/>
      <c r="F8" s="962"/>
      <c r="G8" s="962"/>
      <c r="H8" s="962"/>
      <c r="I8" s="962"/>
      <c r="J8" s="963"/>
      <c r="K8" s="408" t="s">
        <v>3</v>
      </c>
      <c r="L8" s="409" t="s">
        <v>4</v>
      </c>
      <c r="M8" s="410" t="s">
        <v>5</v>
      </c>
    </row>
    <row r="9" spans="2:26" ht="15" customHeight="1">
      <c r="B9" s="782"/>
      <c r="C9" s="954" t="s">
        <v>2319</v>
      </c>
      <c r="D9" s="954"/>
      <c r="E9" s="954"/>
      <c r="F9" s="954"/>
      <c r="G9" s="954"/>
      <c r="H9" s="954"/>
      <c r="I9" s="954"/>
      <c r="J9" s="955"/>
      <c r="K9" s="928">
        <f>Datos!C7</f>
        <v>19</v>
      </c>
      <c r="L9" s="935">
        <f>Datos!D7</f>
        <v>6</v>
      </c>
      <c r="M9" s="937">
        <f>Datos!E7</f>
        <v>2026</v>
      </c>
    </row>
    <row r="10" spans="2:26" ht="15" customHeight="1" thickBot="1">
      <c r="B10" s="783"/>
      <c r="C10" s="958"/>
      <c r="D10" s="958"/>
      <c r="E10" s="958"/>
      <c r="F10" s="958"/>
      <c r="G10" s="958"/>
      <c r="H10" s="958"/>
      <c r="I10" s="958"/>
      <c r="J10" s="959"/>
      <c r="K10" s="929"/>
      <c r="L10" s="936"/>
      <c r="M10" s="938"/>
    </row>
    <row r="11" spans="2:26">
      <c r="B11" s="691"/>
      <c r="C11" s="691"/>
      <c r="D11" s="691"/>
      <c r="E11" s="692"/>
    </row>
    <row r="12" spans="2:26">
      <c r="B12" s="691"/>
      <c r="C12" s="691"/>
      <c r="D12" s="691"/>
      <c r="E12" s="692"/>
    </row>
    <row r="13" spans="2:26">
      <c r="B13" s="691"/>
      <c r="C13" s="691"/>
      <c r="D13" s="691"/>
      <c r="E13" s="692"/>
    </row>
    <row r="14" spans="2:26">
      <c r="B14" s="375" t="s">
        <v>965</v>
      </c>
      <c r="C14" s="375" t="s">
        <v>968</v>
      </c>
      <c r="D14" s="375" t="s">
        <v>264</v>
      </c>
      <c r="E14" s="376" t="s">
        <v>950</v>
      </c>
      <c r="F14" s="693" t="s">
        <v>2320</v>
      </c>
      <c r="G14" s="930" t="s">
        <v>2321</v>
      </c>
      <c r="H14" s="922"/>
      <c r="I14" s="922"/>
      <c r="J14" s="922"/>
      <c r="K14" s="922"/>
      <c r="L14" s="930" t="s">
        <v>2322</v>
      </c>
      <c r="M14" s="922"/>
      <c r="N14" s="922"/>
      <c r="O14" s="922"/>
      <c r="P14" s="930" t="s">
        <v>2323</v>
      </c>
      <c r="Q14" s="922"/>
      <c r="R14" s="922"/>
      <c r="S14" s="922"/>
      <c r="T14" s="930" t="s">
        <v>2324</v>
      </c>
      <c r="U14" s="922"/>
      <c r="V14" s="922"/>
      <c r="W14" s="922"/>
      <c r="X14" s="922"/>
      <c r="Y14" s="930" t="s">
        <v>2325</v>
      </c>
      <c r="Z14" s="922"/>
    </row>
    <row r="15" spans="2:26">
      <c r="B15" s="379"/>
      <c r="C15" s="381" t="s">
        <v>972</v>
      </c>
      <c r="D15" s="378"/>
      <c r="E15" s="382"/>
      <c r="F15" s="694" t="s">
        <v>2326</v>
      </c>
      <c r="G15" s="694" t="s">
        <v>2327</v>
      </c>
      <c r="H15" s="694" t="s">
        <v>2328</v>
      </c>
      <c r="I15" s="694" t="s">
        <v>2329</v>
      </c>
      <c r="J15" s="694" t="s">
        <v>2330</v>
      </c>
      <c r="K15" s="694" t="s">
        <v>2331</v>
      </c>
      <c r="L15" s="694" t="s">
        <v>2332</v>
      </c>
      <c r="M15" s="694" t="s">
        <v>2333</v>
      </c>
      <c r="N15" s="694" t="s">
        <v>2334</v>
      </c>
      <c r="O15" s="694" t="s">
        <v>2335</v>
      </c>
      <c r="P15" s="694" t="s">
        <v>2336</v>
      </c>
      <c r="Q15" s="694" t="s">
        <v>2337</v>
      </c>
      <c r="R15" s="694" t="s">
        <v>2338</v>
      </c>
      <c r="S15" s="694" t="s">
        <v>2339</v>
      </c>
      <c r="T15" s="694" t="s">
        <v>2340</v>
      </c>
      <c r="U15" s="694" t="s">
        <v>2341</v>
      </c>
      <c r="V15" s="694" t="s">
        <v>2342</v>
      </c>
      <c r="W15" s="694" t="s">
        <v>2343</v>
      </c>
      <c r="X15" s="694" t="s">
        <v>2344</v>
      </c>
      <c r="Y15" s="694" t="s">
        <v>2345</v>
      </c>
      <c r="Z15" s="694" t="s">
        <v>2346</v>
      </c>
    </row>
    <row r="16" spans="2:26">
      <c r="B16" s="384" t="s">
        <v>804</v>
      </c>
      <c r="C16" s="387" t="s">
        <v>973</v>
      </c>
      <c r="D16" s="388"/>
      <c r="E16" s="386"/>
      <c r="F16" s="939"/>
      <c r="G16" s="940"/>
      <c r="H16" s="940"/>
      <c r="I16" s="940"/>
      <c r="J16" s="940"/>
      <c r="K16" s="940"/>
      <c r="L16" s="940"/>
      <c r="M16" s="940"/>
      <c r="N16" s="940"/>
      <c r="O16" s="940"/>
      <c r="P16" s="940"/>
      <c r="Q16" s="940"/>
      <c r="R16" s="940"/>
      <c r="S16" s="940"/>
      <c r="T16" s="940"/>
      <c r="U16" s="940"/>
      <c r="V16" s="940"/>
      <c r="W16" s="940"/>
      <c r="X16" s="940"/>
      <c r="Y16" s="940"/>
      <c r="Z16" s="941"/>
    </row>
    <row r="17" spans="2:26">
      <c r="B17" s="390" t="s">
        <v>976</v>
      </c>
      <c r="C17" s="392" t="s">
        <v>977</v>
      </c>
      <c r="D17" s="393" t="s">
        <v>978</v>
      </c>
      <c r="E17" s="227">
        <f>130</f>
        <v>130</v>
      </c>
      <c r="F17" s="942"/>
      <c r="G17" s="940"/>
      <c r="H17" s="940"/>
      <c r="I17" s="940"/>
      <c r="J17" s="940"/>
      <c r="K17" s="940"/>
      <c r="L17" s="940"/>
      <c r="M17" s="940"/>
      <c r="N17" s="941"/>
      <c r="O17" s="695"/>
      <c r="P17" s="942"/>
      <c r="Q17" s="940"/>
      <c r="R17" s="940"/>
      <c r="S17" s="940"/>
      <c r="T17" s="940"/>
      <c r="U17" s="940"/>
      <c r="V17" s="940"/>
      <c r="W17" s="940"/>
      <c r="X17" s="940"/>
      <c r="Y17" s="940"/>
      <c r="Z17" s="941"/>
    </row>
    <row r="18" spans="2:26">
      <c r="B18" s="390" t="s">
        <v>980</v>
      </c>
      <c r="C18" s="392" t="s">
        <v>981</v>
      </c>
      <c r="D18" s="393" t="s">
        <v>978</v>
      </c>
      <c r="E18" s="227">
        <f>60</f>
        <v>60</v>
      </c>
      <c r="F18" s="942"/>
      <c r="G18" s="940"/>
      <c r="H18" s="940"/>
      <c r="I18" s="940"/>
      <c r="J18" s="940"/>
      <c r="K18" s="940"/>
      <c r="L18" s="940"/>
      <c r="M18" s="940"/>
      <c r="N18" s="941"/>
      <c r="O18" s="943"/>
      <c r="P18" s="941"/>
      <c r="Q18" s="942"/>
      <c r="R18" s="940"/>
      <c r="S18" s="940"/>
      <c r="T18" s="940"/>
      <c r="U18" s="940"/>
      <c r="V18" s="940"/>
      <c r="W18" s="940"/>
      <c r="X18" s="940"/>
      <c r="Y18" s="940"/>
      <c r="Z18" s="941"/>
    </row>
    <row r="19" spans="2:26" ht="42.75">
      <c r="B19" s="390" t="s">
        <v>983</v>
      </c>
      <c r="C19" s="392" t="s">
        <v>984</v>
      </c>
      <c r="D19" s="393" t="s">
        <v>985</v>
      </c>
      <c r="E19" s="227">
        <f>39.5</f>
        <v>39.5</v>
      </c>
      <c r="F19" s="942"/>
      <c r="G19" s="940"/>
      <c r="H19" s="940"/>
      <c r="I19" s="940"/>
      <c r="J19" s="940"/>
      <c r="K19" s="940"/>
      <c r="L19" s="940"/>
      <c r="M19" s="940"/>
      <c r="N19" s="941"/>
      <c r="O19" s="943"/>
      <c r="P19" s="941"/>
      <c r="Q19" s="942"/>
      <c r="R19" s="940"/>
      <c r="S19" s="940"/>
      <c r="T19" s="940"/>
      <c r="U19" s="940"/>
      <c r="V19" s="940"/>
      <c r="W19" s="940"/>
      <c r="X19" s="940"/>
      <c r="Y19" s="940"/>
      <c r="Z19" s="941"/>
    </row>
    <row r="20" spans="2:26">
      <c r="B20" s="384" t="s">
        <v>804</v>
      </c>
      <c r="C20" s="387" t="s">
        <v>987</v>
      </c>
      <c r="D20" s="388"/>
      <c r="E20" s="386"/>
      <c r="F20" s="939"/>
      <c r="G20" s="940"/>
      <c r="H20" s="940"/>
      <c r="I20" s="940"/>
      <c r="J20" s="940"/>
      <c r="K20" s="940"/>
      <c r="L20" s="940"/>
      <c r="M20" s="940"/>
      <c r="N20" s="940"/>
      <c r="O20" s="940"/>
      <c r="P20" s="940"/>
      <c r="Q20" s="940"/>
      <c r="R20" s="940"/>
      <c r="S20" s="940"/>
      <c r="T20" s="940"/>
      <c r="U20" s="940"/>
      <c r="V20" s="940"/>
      <c r="W20" s="940"/>
      <c r="X20" s="940"/>
      <c r="Y20" s="940"/>
      <c r="Z20" s="941"/>
    </row>
    <row r="21" spans="2:26">
      <c r="B21" s="390" t="s">
        <v>989</v>
      </c>
      <c r="C21" s="392" t="s">
        <v>990</v>
      </c>
      <c r="D21" s="393" t="s">
        <v>978</v>
      </c>
      <c r="E21" s="227">
        <f>4.51</f>
        <v>4.51</v>
      </c>
      <c r="F21" s="942"/>
      <c r="G21" s="940"/>
      <c r="H21" s="940"/>
      <c r="I21" s="940"/>
      <c r="J21" s="940"/>
      <c r="K21" s="940"/>
      <c r="L21" s="940"/>
      <c r="M21" s="940"/>
      <c r="N21" s="940"/>
      <c r="O21" s="941"/>
      <c r="P21" s="695"/>
      <c r="Q21" s="942"/>
      <c r="R21" s="940"/>
      <c r="S21" s="940"/>
      <c r="T21" s="940"/>
      <c r="U21" s="940"/>
      <c r="V21" s="940"/>
      <c r="W21" s="940"/>
      <c r="X21" s="940"/>
      <c r="Y21" s="940"/>
      <c r="Z21" s="941"/>
    </row>
    <row r="22" spans="2:26" ht="28.5">
      <c r="B22" s="390" t="s">
        <v>992</v>
      </c>
      <c r="C22" s="392" t="s">
        <v>993</v>
      </c>
      <c r="D22" s="393" t="s">
        <v>978</v>
      </c>
      <c r="E22" s="227">
        <f>161.35</f>
        <v>161.35</v>
      </c>
      <c r="F22" s="944"/>
      <c r="G22" s="945"/>
      <c r="H22" s="945"/>
      <c r="I22" s="945"/>
      <c r="J22" s="945"/>
      <c r="K22" s="945"/>
      <c r="L22" s="945"/>
      <c r="M22" s="945"/>
      <c r="N22" s="945"/>
      <c r="O22" s="946"/>
      <c r="P22" s="943"/>
      <c r="Q22" s="940"/>
      <c r="R22" s="941"/>
      <c r="S22" s="942"/>
      <c r="T22" s="940"/>
      <c r="U22" s="940"/>
      <c r="V22" s="940"/>
      <c r="W22" s="940"/>
      <c r="X22" s="940"/>
      <c r="Y22" s="940"/>
      <c r="Z22" s="941"/>
    </row>
    <row r="23" spans="2:26">
      <c r="B23" s="390" t="s">
        <v>995</v>
      </c>
      <c r="C23" s="392" t="s">
        <v>996</v>
      </c>
      <c r="D23" s="393" t="s">
        <v>978</v>
      </c>
      <c r="E23" s="227">
        <f>8.5</f>
        <v>8.5</v>
      </c>
      <c r="F23" s="947"/>
      <c r="G23" s="922"/>
      <c r="H23" s="922"/>
      <c r="I23" s="922"/>
      <c r="J23" s="922"/>
      <c r="K23" s="922"/>
      <c r="L23" s="922"/>
      <c r="M23" s="922"/>
      <c r="N23" s="922"/>
      <c r="O23" s="932"/>
      <c r="P23" s="695"/>
      <c r="Q23" s="942"/>
      <c r="R23" s="940"/>
      <c r="S23" s="940"/>
      <c r="T23" s="940"/>
      <c r="U23" s="940"/>
      <c r="V23" s="940"/>
      <c r="W23" s="940"/>
      <c r="X23" s="940"/>
      <c r="Y23" s="940"/>
      <c r="Z23" s="941"/>
    </row>
    <row r="24" spans="2:26">
      <c r="B24" s="390" t="s">
        <v>998</v>
      </c>
      <c r="C24" s="392" t="s">
        <v>999</v>
      </c>
      <c r="D24" s="393" t="s">
        <v>985</v>
      </c>
      <c r="E24" s="227">
        <f>11.66</f>
        <v>11.66</v>
      </c>
      <c r="F24" s="948"/>
      <c r="G24" s="949"/>
      <c r="H24" s="949"/>
      <c r="I24" s="949"/>
      <c r="J24" s="949"/>
      <c r="K24" s="949"/>
      <c r="L24" s="949"/>
      <c r="M24" s="949"/>
      <c r="N24" s="949"/>
      <c r="O24" s="950"/>
      <c r="P24" s="943"/>
      <c r="Q24" s="941"/>
      <c r="R24" s="942"/>
      <c r="S24" s="940"/>
      <c r="T24" s="940"/>
      <c r="U24" s="940"/>
      <c r="V24" s="940"/>
      <c r="W24" s="940"/>
      <c r="X24" s="940"/>
      <c r="Y24" s="940"/>
      <c r="Z24" s="941"/>
    </row>
    <row r="25" spans="2:26" ht="28.5">
      <c r="B25" s="390" t="s">
        <v>1001</v>
      </c>
      <c r="C25" s="392" t="s">
        <v>1002</v>
      </c>
      <c r="D25" s="393" t="s">
        <v>985</v>
      </c>
      <c r="E25" s="227">
        <f>247.9</f>
        <v>247.9</v>
      </c>
      <c r="F25" s="942"/>
      <c r="G25" s="940"/>
      <c r="H25" s="940"/>
      <c r="I25" s="940"/>
      <c r="J25" s="940"/>
      <c r="K25" s="940"/>
      <c r="L25" s="940"/>
      <c r="M25" s="940"/>
      <c r="N25" s="940"/>
      <c r="O25" s="940"/>
      <c r="P25" s="940"/>
      <c r="Q25" s="941"/>
      <c r="R25" s="943"/>
      <c r="S25" s="941"/>
      <c r="T25" s="942"/>
      <c r="U25" s="940"/>
      <c r="V25" s="940"/>
      <c r="W25" s="940"/>
      <c r="X25" s="940"/>
      <c r="Y25" s="940"/>
      <c r="Z25" s="941"/>
    </row>
    <row r="26" spans="2:26" ht="28.5">
      <c r="B26" s="390" t="s">
        <v>1004</v>
      </c>
      <c r="C26" s="392" t="s">
        <v>1005</v>
      </c>
      <c r="D26" s="393" t="s">
        <v>978</v>
      </c>
      <c r="E26" s="227">
        <f>5.46</f>
        <v>5.46</v>
      </c>
      <c r="F26" s="942"/>
      <c r="G26" s="940"/>
      <c r="H26" s="940"/>
      <c r="I26" s="940"/>
      <c r="J26" s="940"/>
      <c r="K26" s="940"/>
      <c r="L26" s="940"/>
      <c r="M26" s="940"/>
      <c r="N26" s="940"/>
      <c r="O26" s="940"/>
      <c r="P26" s="941"/>
      <c r="Q26" s="943"/>
      <c r="R26" s="941"/>
      <c r="S26" s="942"/>
      <c r="T26" s="940"/>
      <c r="U26" s="940"/>
      <c r="V26" s="940"/>
      <c r="W26" s="940"/>
      <c r="X26" s="940"/>
      <c r="Y26" s="940"/>
      <c r="Z26" s="941"/>
    </row>
    <row r="27" spans="2:26">
      <c r="B27" s="390" t="s">
        <v>1007</v>
      </c>
      <c r="C27" s="392" t="s">
        <v>1008</v>
      </c>
      <c r="D27" s="393" t="s">
        <v>978</v>
      </c>
      <c r="E27" s="227">
        <f>3</f>
        <v>3</v>
      </c>
      <c r="F27" s="942"/>
      <c r="G27" s="940"/>
      <c r="H27" s="940"/>
      <c r="I27" s="940"/>
      <c r="J27" s="940"/>
      <c r="K27" s="940"/>
      <c r="L27" s="940"/>
      <c r="M27" s="940"/>
      <c r="N27" s="940"/>
      <c r="O27" s="941"/>
      <c r="P27" s="943"/>
      <c r="Q27" s="940"/>
      <c r="R27" s="941"/>
      <c r="S27" s="942"/>
      <c r="T27" s="940"/>
      <c r="U27" s="940"/>
      <c r="V27" s="940"/>
      <c r="W27" s="940"/>
      <c r="X27" s="940"/>
      <c r="Y27" s="940"/>
      <c r="Z27" s="941"/>
    </row>
    <row r="28" spans="2:26">
      <c r="B28" s="384" t="s">
        <v>804</v>
      </c>
      <c r="C28" s="387" t="s">
        <v>1009</v>
      </c>
      <c r="D28" s="388"/>
      <c r="E28" s="386"/>
      <c r="F28" s="939"/>
      <c r="G28" s="940"/>
      <c r="H28" s="940"/>
      <c r="I28" s="940"/>
      <c r="J28" s="940"/>
      <c r="K28" s="940"/>
      <c r="L28" s="940"/>
      <c r="M28" s="940"/>
      <c r="N28" s="940"/>
      <c r="O28" s="940"/>
      <c r="P28" s="940"/>
      <c r="Q28" s="940"/>
      <c r="R28" s="940"/>
      <c r="S28" s="940"/>
      <c r="T28" s="940"/>
      <c r="U28" s="940"/>
      <c r="V28" s="940"/>
      <c r="W28" s="940"/>
      <c r="X28" s="940"/>
      <c r="Y28" s="940"/>
      <c r="Z28" s="941"/>
    </row>
    <row r="29" spans="2:26">
      <c r="B29" s="390" t="s">
        <v>1011</v>
      </c>
      <c r="C29" s="392" t="s">
        <v>1012</v>
      </c>
      <c r="D29" s="393" t="s">
        <v>777</v>
      </c>
      <c r="E29" s="227">
        <f>10.85</f>
        <v>10.85</v>
      </c>
      <c r="F29" s="942"/>
      <c r="G29" s="940"/>
      <c r="H29" s="940"/>
      <c r="I29" s="940"/>
      <c r="J29" s="940"/>
      <c r="K29" s="940"/>
      <c r="L29" s="940"/>
      <c r="M29" s="940"/>
      <c r="N29" s="940"/>
      <c r="O29" s="940"/>
      <c r="P29" s="941"/>
      <c r="Q29" s="943"/>
      <c r="R29" s="941"/>
      <c r="S29" s="942"/>
      <c r="T29" s="940"/>
      <c r="U29" s="940"/>
      <c r="V29" s="940"/>
      <c r="W29" s="940"/>
      <c r="X29" s="940"/>
      <c r="Y29" s="940"/>
      <c r="Z29" s="941"/>
    </row>
    <row r="30" spans="2:26">
      <c r="B30" s="384" t="s">
        <v>804</v>
      </c>
      <c r="C30" s="387" t="s">
        <v>1013</v>
      </c>
      <c r="D30" s="388"/>
      <c r="E30" s="386"/>
      <c r="F30" s="939"/>
      <c r="G30" s="940"/>
      <c r="H30" s="940"/>
      <c r="I30" s="940"/>
      <c r="J30" s="940"/>
      <c r="K30" s="940"/>
      <c r="L30" s="940"/>
      <c r="M30" s="940"/>
      <c r="N30" s="940"/>
      <c r="O30" s="940"/>
      <c r="P30" s="940"/>
      <c r="Q30" s="940"/>
      <c r="R30" s="940"/>
      <c r="S30" s="940"/>
      <c r="T30" s="940"/>
      <c r="U30" s="940"/>
      <c r="V30" s="940"/>
      <c r="W30" s="940"/>
      <c r="X30" s="940"/>
      <c r="Y30" s="940"/>
      <c r="Z30" s="941"/>
    </row>
    <row r="31" spans="2:26">
      <c r="B31" s="390" t="s">
        <v>1015</v>
      </c>
      <c r="C31" s="392" t="s">
        <v>1016</v>
      </c>
      <c r="D31" s="393" t="s">
        <v>978</v>
      </c>
      <c r="E31" s="227">
        <f>6.41</f>
        <v>6.41</v>
      </c>
      <c r="F31" s="942"/>
      <c r="G31" s="940"/>
      <c r="H31" s="940"/>
      <c r="I31" s="940"/>
      <c r="J31" s="940"/>
      <c r="K31" s="940"/>
      <c r="L31" s="940"/>
      <c r="M31" s="940"/>
      <c r="N31" s="940"/>
      <c r="O31" s="940"/>
      <c r="P31" s="941"/>
      <c r="Q31" s="943"/>
      <c r="R31" s="941"/>
      <c r="S31" s="942"/>
      <c r="T31" s="940"/>
      <c r="U31" s="940"/>
      <c r="V31" s="940"/>
      <c r="W31" s="940"/>
      <c r="X31" s="940"/>
      <c r="Y31" s="940"/>
      <c r="Z31" s="941"/>
    </row>
    <row r="32" spans="2:26" ht="28.5">
      <c r="B32" s="390" t="s">
        <v>1018</v>
      </c>
      <c r="C32" s="392" t="s">
        <v>1019</v>
      </c>
      <c r="D32" s="393" t="s">
        <v>978</v>
      </c>
      <c r="E32" s="227">
        <f>152.78</f>
        <v>152.78</v>
      </c>
      <c r="F32" s="942"/>
      <c r="G32" s="940"/>
      <c r="H32" s="940"/>
      <c r="I32" s="940"/>
      <c r="J32" s="940"/>
      <c r="K32" s="940"/>
      <c r="L32" s="940"/>
      <c r="M32" s="940"/>
      <c r="N32" s="940"/>
      <c r="O32" s="940"/>
      <c r="P32" s="941"/>
      <c r="Q32" s="943"/>
      <c r="R32" s="940"/>
      <c r="S32" s="941"/>
      <c r="T32" s="942"/>
      <c r="U32" s="940"/>
      <c r="V32" s="940"/>
      <c r="W32" s="940"/>
      <c r="X32" s="940"/>
      <c r="Y32" s="940"/>
      <c r="Z32" s="941"/>
    </row>
    <row r="33" spans="2:26">
      <c r="B33" s="384" t="s">
        <v>804</v>
      </c>
      <c r="C33" s="387" t="s">
        <v>1020</v>
      </c>
      <c r="D33" s="388"/>
      <c r="E33" s="386"/>
      <c r="F33" s="939"/>
      <c r="G33" s="940"/>
      <c r="H33" s="940"/>
      <c r="I33" s="940"/>
      <c r="J33" s="940"/>
      <c r="K33" s="940"/>
      <c r="L33" s="940"/>
      <c r="M33" s="940"/>
      <c r="N33" s="940"/>
      <c r="O33" s="940"/>
      <c r="P33" s="940"/>
      <c r="Q33" s="940"/>
      <c r="R33" s="940"/>
      <c r="S33" s="940"/>
      <c r="T33" s="940"/>
      <c r="U33" s="940"/>
      <c r="V33" s="940"/>
      <c r="W33" s="940"/>
      <c r="X33" s="940"/>
      <c r="Y33" s="940"/>
      <c r="Z33" s="941"/>
    </row>
    <row r="34" spans="2:26">
      <c r="B34" s="390" t="s">
        <v>1022</v>
      </c>
      <c r="C34" s="392" t="s">
        <v>1023</v>
      </c>
      <c r="D34" s="393" t="s">
        <v>777</v>
      </c>
      <c r="E34" s="227">
        <f>12.52</f>
        <v>12.52</v>
      </c>
      <c r="F34" s="942"/>
      <c r="G34" s="940"/>
      <c r="H34" s="940"/>
      <c r="I34" s="940"/>
      <c r="J34" s="940"/>
      <c r="K34" s="940"/>
      <c r="L34" s="940"/>
      <c r="M34" s="940"/>
      <c r="N34" s="940"/>
      <c r="O34" s="940"/>
      <c r="P34" s="940"/>
      <c r="Q34" s="940"/>
      <c r="R34" s="941"/>
      <c r="S34" s="943"/>
      <c r="T34" s="941"/>
      <c r="U34" s="942"/>
      <c r="V34" s="940"/>
      <c r="W34" s="940"/>
      <c r="X34" s="940"/>
      <c r="Y34" s="940"/>
      <c r="Z34" s="941"/>
    </row>
    <row r="35" spans="2:26">
      <c r="B35" s="384" t="s">
        <v>804</v>
      </c>
      <c r="C35" s="387" t="s">
        <v>1024</v>
      </c>
      <c r="D35" s="388"/>
      <c r="E35" s="386"/>
      <c r="F35" s="939"/>
      <c r="G35" s="940"/>
      <c r="H35" s="940"/>
      <c r="I35" s="940"/>
      <c r="J35" s="940"/>
      <c r="K35" s="940"/>
      <c r="L35" s="940"/>
      <c r="M35" s="940"/>
      <c r="N35" s="940"/>
      <c r="O35" s="940"/>
      <c r="P35" s="940"/>
      <c r="Q35" s="940"/>
      <c r="R35" s="940"/>
      <c r="S35" s="940"/>
      <c r="T35" s="940"/>
      <c r="U35" s="940"/>
      <c r="V35" s="940"/>
      <c r="W35" s="940"/>
      <c r="X35" s="940"/>
      <c r="Y35" s="940"/>
      <c r="Z35" s="941"/>
    </row>
    <row r="36" spans="2:26" ht="28.5">
      <c r="B36" s="390" t="s">
        <v>1026</v>
      </c>
      <c r="C36" s="392" t="s">
        <v>1027</v>
      </c>
      <c r="D36" s="393" t="s">
        <v>985</v>
      </c>
      <c r="E36" s="227">
        <f>247.9</f>
        <v>247.9</v>
      </c>
      <c r="F36" s="942"/>
      <c r="G36" s="940"/>
      <c r="H36" s="940"/>
      <c r="I36" s="940"/>
      <c r="J36" s="940"/>
      <c r="K36" s="940"/>
      <c r="L36" s="940"/>
      <c r="M36" s="940"/>
      <c r="N36" s="940"/>
      <c r="O36" s="940"/>
      <c r="P36" s="940"/>
      <c r="Q36" s="941"/>
      <c r="R36" s="943"/>
      <c r="S36" s="940"/>
      <c r="T36" s="941"/>
      <c r="U36" s="942"/>
      <c r="V36" s="940"/>
      <c r="W36" s="940"/>
      <c r="X36" s="940"/>
      <c r="Y36" s="940"/>
      <c r="Z36" s="941"/>
    </row>
    <row r="37" spans="2:26" ht="28.5">
      <c r="B37" s="390" t="s">
        <v>1029</v>
      </c>
      <c r="C37" s="392" t="s">
        <v>1030</v>
      </c>
      <c r="D37" s="393" t="s">
        <v>978</v>
      </c>
      <c r="E37" s="227">
        <f>155</f>
        <v>155</v>
      </c>
      <c r="F37" s="942"/>
      <c r="G37" s="940"/>
      <c r="H37" s="940"/>
      <c r="I37" s="940"/>
      <c r="J37" s="940"/>
      <c r="K37" s="940"/>
      <c r="L37" s="940"/>
      <c r="M37" s="940"/>
      <c r="N37" s="940"/>
      <c r="O37" s="940"/>
      <c r="P37" s="940"/>
      <c r="Q37" s="941"/>
      <c r="R37" s="943"/>
      <c r="S37" s="940"/>
      <c r="T37" s="941"/>
      <c r="U37" s="942"/>
      <c r="V37" s="940"/>
      <c r="W37" s="940"/>
      <c r="X37" s="940"/>
      <c r="Y37" s="940"/>
      <c r="Z37" s="941"/>
    </row>
    <row r="38" spans="2:26">
      <c r="B38" s="390" t="s">
        <v>1032</v>
      </c>
      <c r="C38" s="392" t="s">
        <v>1033</v>
      </c>
      <c r="D38" s="393" t="s">
        <v>1034</v>
      </c>
      <c r="E38" s="227">
        <f>22</f>
        <v>22</v>
      </c>
      <c r="F38" s="942"/>
      <c r="G38" s="940"/>
      <c r="H38" s="940"/>
      <c r="I38" s="940"/>
      <c r="J38" s="940"/>
      <c r="K38" s="940"/>
      <c r="L38" s="940"/>
      <c r="M38" s="940"/>
      <c r="N38" s="940"/>
      <c r="O38" s="940"/>
      <c r="P38" s="940"/>
      <c r="Q38" s="940"/>
      <c r="R38" s="941"/>
      <c r="S38" s="943"/>
      <c r="T38" s="941"/>
      <c r="U38" s="942"/>
      <c r="V38" s="940"/>
      <c r="W38" s="940"/>
      <c r="X38" s="940"/>
      <c r="Y38" s="940"/>
      <c r="Z38" s="941"/>
    </row>
    <row r="39" spans="2:26">
      <c r="B39" s="390" t="s">
        <v>1036</v>
      </c>
      <c r="C39" s="392" t="s">
        <v>1037</v>
      </c>
      <c r="D39" s="393" t="s">
        <v>1034</v>
      </c>
      <c r="E39" s="227">
        <f>6</f>
        <v>6</v>
      </c>
      <c r="F39" s="942"/>
      <c r="G39" s="940"/>
      <c r="H39" s="940"/>
      <c r="I39" s="940"/>
      <c r="J39" s="940"/>
      <c r="K39" s="940"/>
      <c r="L39" s="940"/>
      <c r="M39" s="940"/>
      <c r="N39" s="940"/>
      <c r="O39" s="940"/>
      <c r="P39" s="940"/>
      <c r="Q39" s="940"/>
      <c r="R39" s="941"/>
      <c r="S39" s="943"/>
      <c r="T39" s="941"/>
      <c r="U39" s="942"/>
      <c r="V39" s="940"/>
      <c r="W39" s="940"/>
      <c r="X39" s="940"/>
      <c r="Y39" s="940"/>
      <c r="Z39" s="941"/>
    </row>
    <row r="40" spans="2:26">
      <c r="B40" s="384" t="s">
        <v>804</v>
      </c>
      <c r="C40" s="387" t="s">
        <v>1038</v>
      </c>
      <c r="D40" s="388"/>
      <c r="E40" s="386"/>
      <c r="F40" s="939"/>
      <c r="G40" s="940"/>
      <c r="H40" s="940"/>
      <c r="I40" s="940"/>
      <c r="J40" s="940"/>
      <c r="K40" s="940"/>
      <c r="L40" s="940"/>
      <c r="M40" s="940"/>
      <c r="N40" s="940"/>
      <c r="O40" s="940"/>
      <c r="P40" s="940"/>
      <c r="Q40" s="940"/>
      <c r="R40" s="940"/>
      <c r="S40" s="940"/>
      <c r="T40" s="940"/>
      <c r="U40" s="940"/>
      <c r="V40" s="940"/>
      <c r="W40" s="940"/>
      <c r="X40" s="940"/>
      <c r="Y40" s="940"/>
      <c r="Z40" s="941"/>
    </row>
    <row r="41" spans="2:26" ht="28.5">
      <c r="B41" s="390" t="s">
        <v>1040</v>
      </c>
      <c r="C41" s="392" t="s">
        <v>1041</v>
      </c>
      <c r="D41" s="393" t="s">
        <v>978</v>
      </c>
      <c r="E41" s="227">
        <f>9.33</f>
        <v>9.33</v>
      </c>
      <c r="F41" s="942"/>
      <c r="G41" s="940"/>
      <c r="H41" s="940"/>
      <c r="I41" s="940"/>
      <c r="J41" s="940"/>
      <c r="K41" s="940"/>
      <c r="L41" s="940"/>
      <c r="M41" s="940"/>
      <c r="N41" s="940"/>
      <c r="O41" s="940"/>
      <c r="P41" s="940"/>
      <c r="Q41" s="940"/>
      <c r="R41" s="940"/>
      <c r="S41" s="941"/>
      <c r="T41" s="943"/>
      <c r="U41" s="940"/>
      <c r="V41" s="941"/>
      <c r="W41" s="942"/>
      <c r="X41" s="940"/>
      <c r="Y41" s="940"/>
      <c r="Z41" s="941"/>
    </row>
    <row r="42" spans="2:26">
      <c r="B42" s="390" t="s">
        <v>1043</v>
      </c>
      <c r="C42" s="392" t="s">
        <v>1044</v>
      </c>
      <c r="D42" s="393" t="s">
        <v>1045</v>
      </c>
      <c r="E42" s="227">
        <f>7.21</f>
        <v>7.21</v>
      </c>
      <c r="F42" s="942"/>
      <c r="G42" s="940"/>
      <c r="H42" s="940"/>
      <c r="I42" s="940"/>
      <c r="J42" s="940"/>
      <c r="K42" s="940"/>
      <c r="L42" s="940"/>
      <c r="M42" s="940"/>
      <c r="N42" s="940"/>
      <c r="O42" s="940"/>
      <c r="P42" s="940"/>
      <c r="Q42" s="940"/>
      <c r="R42" s="940"/>
      <c r="S42" s="940"/>
      <c r="T42" s="941"/>
      <c r="U42" s="943"/>
      <c r="V42" s="941"/>
      <c r="W42" s="942"/>
      <c r="X42" s="940"/>
      <c r="Y42" s="940"/>
      <c r="Z42" s="941"/>
    </row>
    <row r="43" spans="2:26">
      <c r="B43" s="384" t="s">
        <v>804</v>
      </c>
      <c r="C43" s="387" t="s">
        <v>1046</v>
      </c>
      <c r="D43" s="388"/>
      <c r="E43" s="386"/>
      <c r="F43" s="939"/>
      <c r="G43" s="940"/>
      <c r="H43" s="940"/>
      <c r="I43" s="940"/>
      <c r="J43" s="940"/>
      <c r="K43" s="940"/>
      <c r="L43" s="940"/>
      <c r="M43" s="940"/>
      <c r="N43" s="940"/>
      <c r="O43" s="940"/>
      <c r="P43" s="940"/>
      <c r="Q43" s="940"/>
      <c r="R43" s="940"/>
      <c r="S43" s="940"/>
      <c r="T43" s="940"/>
      <c r="U43" s="940"/>
      <c r="V43" s="940"/>
      <c r="W43" s="940"/>
      <c r="X43" s="940"/>
      <c r="Y43" s="940"/>
      <c r="Z43" s="941"/>
    </row>
    <row r="44" spans="2:26" ht="28.5">
      <c r="B44" s="390" t="s">
        <v>1048</v>
      </c>
      <c r="C44" s="392" t="s">
        <v>1049</v>
      </c>
      <c r="D44" s="393" t="s">
        <v>978</v>
      </c>
      <c r="E44" s="227">
        <f t="shared" ref="E44:E45" si="0">161.35</f>
        <v>161.35</v>
      </c>
      <c r="F44" s="942"/>
      <c r="G44" s="940"/>
      <c r="H44" s="940"/>
      <c r="I44" s="940"/>
      <c r="J44" s="940"/>
      <c r="K44" s="940"/>
      <c r="L44" s="940"/>
      <c r="M44" s="940"/>
      <c r="N44" s="940"/>
      <c r="O44" s="940"/>
      <c r="P44" s="940"/>
      <c r="Q44" s="940"/>
      <c r="R44" s="940"/>
      <c r="S44" s="940"/>
      <c r="T44" s="941"/>
      <c r="U44" s="943"/>
      <c r="V44" s="941"/>
      <c r="W44" s="942"/>
      <c r="X44" s="940"/>
      <c r="Y44" s="940"/>
      <c r="Z44" s="941"/>
    </row>
    <row r="45" spans="2:26">
      <c r="B45" s="390" t="s">
        <v>1051</v>
      </c>
      <c r="C45" s="392" t="s">
        <v>1052</v>
      </c>
      <c r="D45" s="393" t="s">
        <v>978</v>
      </c>
      <c r="E45" s="227">
        <f t="shared" si="0"/>
        <v>161.35</v>
      </c>
      <c r="F45" s="942"/>
      <c r="G45" s="940"/>
      <c r="H45" s="940"/>
      <c r="I45" s="940"/>
      <c r="J45" s="940"/>
      <c r="K45" s="940"/>
      <c r="L45" s="940"/>
      <c r="M45" s="940"/>
      <c r="N45" s="940"/>
      <c r="O45" s="940"/>
      <c r="P45" s="940"/>
      <c r="Q45" s="940"/>
      <c r="R45" s="940"/>
      <c r="S45" s="940"/>
      <c r="T45" s="940"/>
      <c r="U45" s="941"/>
      <c r="V45" s="943"/>
      <c r="W45" s="941"/>
      <c r="X45" s="942"/>
      <c r="Y45" s="940"/>
      <c r="Z45" s="941"/>
    </row>
    <row r="46" spans="2:26">
      <c r="B46" s="384" t="s">
        <v>804</v>
      </c>
      <c r="C46" s="387" t="s">
        <v>1053</v>
      </c>
      <c r="D46" s="388"/>
      <c r="E46" s="386"/>
      <c r="F46" s="939"/>
      <c r="G46" s="940"/>
      <c r="H46" s="940"/>
      <c r="I46" s="940"/>
      <c r="J46" s="940"/>
      <c r="K46" s="940"/>
      <c r="L46" s="940"/>
      <c r="M46" s="940"/>
      <c r="N46" s="940"/>
      <c r="O46" s="940"/>
      <c r="P46" s="940"/>
      <c r="Q46" s="940"/>
      <c r="R46" s="940"/>
      <c r="S46" s="940"/>
      <c r="T46" s="940"/>
      <c r="U46" s="940"/>
      <c r="V46" s="940"/>
      <c r="W46" s="940"/>
      <c r="X46" s="940"/>
      <c r="Y46" s="940"/>
      <c r="Z46" s="941"/>
    </row>
    <row r="47" spans="2:26" ht="28.5">
      <c r="B47" s="390" t="s">
        <v>1055</v>
      </c>
      <c r="C47" s="392" t="s">
        <v>1056</v>
      </c>
      <c r="D47" s="393" t="s">
        <v>978</v>
      </c>
      <c r="E47" s="227">
        <f>13.42</f>
        <v>13.42</v>
      </c>
      <c r="F47" s="942"/>
      <c r="G47" s="940"/>
      <c r="H47" s="940"/>
      <c r="I47" s="940"/>
      <c r="J47" s="940"/>
      <c r="K47" s="940"/>
      <c r="L47" s="940"/>
      <c r="M47" s="940"/>
      <c r="N47" s="940"/>
      <c r="O47" s="940"/>
      <c r="P47" s="940"/>
      <c r="Q47" s="940"/>
      <c r="R47" s="940"/>
      <c r="S47" s="941"/>
      <c r="T47" s="943"/>
      <c r="U47" s="941"/>
      <c r="V47" s="951"/>
      <c r="W47" s="940"/>
      <c r="X47" s="940"/>
      <c r="Y47" s="940"/>
      <c r="Z47" s="941"/>
    </row>
    <row r="48" spans="2:26">
      <c r="B48" s="384" t="s">
        <v>804</v>
      </c>
      <c r="C48" s="387" t="s">
        <v>1057</v>
      </c>
      <c r="D48" s="388"/>
      <c r="E48" s="386"/>
      <c r="F48" s="939"/>
      <c r="G48" s="940"/>
      <c r="H48" s="940"/>
      <c r="I48" s="940"/>
      <c r="J48" s="940"/>
      <c r="K48" s="940"/>
      <c r="L48" s="940"/>
      <c r="M48" s="940"/>
      <c r="N48" s="940"/>
      <c r="O48" s="940"/>
      <c r="P48" s="940"/>
      <c r="Q48" s="940"/>
      <c r="R48" s="940"/>
      <c r="S48" s="940"/>
      <c r="T48" s="940"/>
      <c r="U48" s="940"/>
      <c r="V48" s="940"/>
      <c r="W48" s="940"/>
      <c r="X48" s="940"/>
      <c r="Y48" s="940"/>
      <c r="Z48" s="941"/>
    </row>
    <row r="49" spans="2:26" ht="28.5">
      <c r="B49" s="390" t="s">
        <v>1059</v>
      </c>
      <c r="C49" s="392" t="s">
        <v>1060</v>
      </c>
      <c r="D49" s="393" t="s">
        <v>1034</v>
      </c>
      <c r="E49" s="227">
        <f>1</f>
        <v>1</v>
      </c>
      <c r="F49" s="942"/>
      <c r="G49" s="940"/>
      <c r="H49" s="940"/>
      <c r="I49" s="940"/>
      <c r="J49" s="940"/>
      <c r="K49" s="940"/>
      <c r="L49" s="940"/>
      <c r="M49" s="940"/>
      <c r="N49" s="940"/>
      <c r="O49" s="940"/>
      <c r="P49" s="940"/>
      <c r="Q49" s="940"/>
      <c r="R49" s="941"/>
      <c r="S49" s="943"/>
      <c r="T49" s="941"/>
      <c r="U49" s="942"/>
      <c r="V49" s="940"/>
      <c r="W49" s="940"/>
      <c r="X49" s="940"/>
      <c r="Y49" s="940"/>
      <c r="Z49" s="941"/>
    </row>
    <row r="50" spans="2:26">
      <c r="B50" s="390" t="s">
        <v>1062</v>
      </c>
      <c r="C50" s="392" t="s">
        <v>1063</v>
      </c>
      <c r="D50" s="393" t="s">
        <v>985</v>
      </c>
      <c r="E50" s="227">
        <f>6.54</f>
        <v>6.54</v>
      </c>
      <c r="F50" s="942"/>
      <c r="G50" s="940"/>
      <c r="H50" s="940"/>
      <c r="I50" s="940"/>
      <c r="J50" s="940"/>
      <c r="K50" s="940"/>
      <c r="L50" s="940"/>
      <c r="M50" s="940"/>
      <c r="N50" s="940"/>
      <c r="O50" s="940"/>
      <c r="P50" s="940"/>
      <c r="Q50" s="940"/>
      <c r="R50" s="940"/>
      <c r="S50" s="941"/>
      <c r="T50" s="943"/>
      <c r="U50" s="941"/>
      <c r="V50" s="942"/>
      <c r="W50" s="940"/>
      <c r="X50" s="940"/>
      <c r="Y50" s="940"/>
      <c r="Z50" s="941"/>
    </row>
    <row r="51" spans="2:26" ht="28.5">
      <c r="B51" s="390" t="s">
        <v>1065</v>
      </c>
      <c r="C51" s="392" t="s">
        <v>1066</v>
      </c>
      <c r="D51" s="393" t="s">
        <v>985</v>
      </c>
      <c r="E51" s="227">
        <f>12.7</f>
        <v>12.7</v>
      </c>
      <c r="F51" s="942"/>
      <c r="G51" s="940"/>
      <c r="H51" s="940"/>
      <c r="I51" s="940"/>
      <c r="J51" s="940"/>
      <c r="K51" s="940"/>
      <c r="L51" s="940"/>
      <c r="M51" s="940"/>
      <c r="N51" s="940"/>
      <c r="O51" s="940"/>
      <c r="P51" s="940"/>
      <c r="Q51" s="940"/>
      <c r="R51" s="940"/>
      <c r="S51" s="940"/>
      <c r="T51" s="941"/>
      <c r="U51" s="943"/>
      <c r="V51" s="941"/>
      <c r="W51" s="942"/>
      <c r="X51" s="940"/>
      <c r="Y51" s="940"/>
      <c r="Z51" s="941"/>
    </row>
    <row r="52" spans="2:26">
      <c r="B52" s="390" t="s">
        <v>1068</v>
      </c>
      <c r="C52" s="392" t="s">
        <v>1069</v>
      </c>
      <c r="D52" s="393" t="s">
        <v>985</v>
      </c>
      <c r="E52" s="227">
        <f>10.57</f>
        <v>10.57</v>
      </c>
      <c r="F52" s="942"/>
      <c r="G52" s="940"/>
      <c r="H52" s="940"/>
      <c r="I52" s="940"/>
      <c r="J52" s="940"/>
      <c r="K52" s="940"/>
      <c r="L52" s="940"/>
      <c r="M52" s="940"/>
      <c r="N52" s="940"/>
      <c r="O52" s="940"/>
      <c r="P52" s="940"/>
      <c r="Q52" s="940"/>
      <c r="R52" s="940"/>
      <c r="S52" s="941"/>
      <c r="T52" s="943"/>
      <c r="U52" s="941"/>
      <c r="V52" s="942"/>
      <c r="W52" s="940"/>
      <c r="X52" s="940"/>
      <c r="Y52" s="940"/>
      <c r="Z52" s="941"/>
    </row>
    <row r="53" spans="2:26">
      <c r="B53" s="384" t="s">
        <v>804</v>
      </c>
      <c r="C53" s="387" t="s">
        <v>1070</v>
      </c>
      <c r="D53" s="388"/>
      <c r="E53" s="386"/>
      <c r="F53" s="939"/>
      <c r="G53" s="940"/>
      <c r="H53" s="940"/>
      <c r="I53" s="940"/>
      <c r="J53" s="940"/>
      <c r="K53" s="940"/>
      <c r="L53" s="940"/>
      <c r="M53" s="940"/>
      <c r="N53" s="940"/>
      <c r="O53" s="940"/>
      <c r="P53" s="940"/>
      <c r="Q53" s="940"/>
      <c r="R53" s="940"/>
      <c r="S53" s="940"/>
      <c r="T53" s="940"/>
      <c r="U53" s="940"/>
      <c r="V53" s="940"/>
      <c r="W53" s="940"/>
      <c r="X53" s="940"/>
      <c r="Y53" s="940"/>
      <c r="Z53" s="941"/>
    </row>
    <row r="54" spans="2:26">
      <c r="B54" s="390" t="s">
        <v>1072</v>
      </c>
      <c r="C54" s="392" t="s">
        <v>1073</v>
      </c>
      <c r="D54" s="393" t="s">
        <v>978</v>
      </c>
      <c r="E54" s="227">
        <f>148.94</f>
        <v>148.94</v>
      </c>
      <c r="F54" s="942"/>
      <c r="G54" s="940"/>
      <c r="H54" s="940"/>
      <c r="I54" s="940"/>
      <c r="J54" s="940"/>
      <c r="K54" s="940"/>
      <c r="L54" s="940"/>
      <c r="M54" s="940"/>
      <c r="N54" s="940"/>
      <c r="O54" s="940"/>
      <c r="P54" s="940"/>
      <c r="Q54" s="940"/>
      <c r="R54" s="940"/>
      <c r="S54" s="940"/>
      <c r="T54" s="940"/>
      <c r="U54" s="940"/>
      <c r="V54" s="941"/>
      <c r="W54" s="943"/>
      <c r="X54" s="940"/>
      <c r="Y54" s="941"/>
      <c r="Z54" s="696"/>
    </row>
    <row r="55" spans="2:26">
      <c r="B55" s="390" t="s">
        <v>1075</v>
      </c>
      <c r="C55" s="392" t="s">
        <v>1076</v>
      </c>
      <c r="D55" s="393" t="s">
        <v>978</v>
      </c>
      <c r="E55" s="227">
        <f>11.09</f>
        <v>11.09</v>
      </c>
      <c r="F55" s="942"/>
      <c r="G55" s="940"/>
      <c r="H55" s="940"/>
      <c r="I55" s="940"/>
      <c r="J55" s="940"/>
      <c r="K55" s="940"/>
      <c r="L55" s="940"/>
      <c r="M55" s="940"/>
      <c r="N55" s="940"/>
      <c r="O55" s="940"/>
      <c r="P55" s="940"/>
      <c r="Q55" s="940"/>
      <c r="R55" s="940"/>
      <c r="S55" s="940"/>
      <c r="T55" s="940"/>
      <c r="U55" s="940"/>
      <c r="V55" s="941"/>
      <c r="W55" s="943"/>
      <c r="X55" s="940"/>
      <c r="Y55" s="941"/>
      <c r="Z55" s="696"/>
    </row>
    <row r="56" spans="2:26">
      <c r="B56" s="390" t="s">
        <v>1078</v>
      </c>
      <c r="C56" s="392" t="s">
        <v>1079</v>
      </c>
      <c r="D56" s="393" t="s">
        <v>978</v>
      </c>
      <c r="E56" s="227">
        <f>5.2</f>
        <v>5.2</v>
      </c>
      <c r="F56" s="942"/>
      <c r="G56" s="940"/>
      <c r="H56" s="940"/>
      <c r="I56" s="940"/>
      <c r="J56" s="940"/>
      <c r="K56" s="940"/>
      <c r="L56" s="940"/>
      <c r="M56" s="940"/>
      <c r="N56" s="940"/>
      <c r="O56" s="940"/>
      <c r="P56" s="940"/>
      <c r="Q56" s="940"/>
      <c r="R56" s="940"/>
      <c r="S56" s="940"/>
      <c r="T56" s="940"/>
      <c r="U56" s="941"/>
      <c r="V56" s="943"/>
      <c r="W56" s="941"/>
      <c r="X56" s="942"/>
      <c r="Y56" s="940"/>
      <c r="Z56" s="941"/>
    </row>
    <row r="57" spans="2:26" ht="28.5">
      <c r="B57" s="390" t="s">
        <v>1081</v>
      </c>
      <c r="C57" s="392" t="s">
        <v>1082</v>
      </c>
      <c r="D57" s="393" t="s">
        <v>978</v>
      </c>
      <c r="E57" s="227">
        <f>9.66</f>
        <v>9.66</v>
      </c>
      <c r="F57" s="942"/>
      <c r="G57" s="940"/>
      <c r="H57" s="940"/>
      <c r="I57" s="940"/>
      <c r="J57" s="940"/>
      <c r="K57" s="940"/>
      <c r="L57" s="940"/>
      <c r="M57" s="940"/>
      <c r="N57" s="940"/>
      <c r="O57" s="940"/>
      <c r="P57" s="940"/>
      <c r="Q57" s="940"/>
      <c r="R57" s="940"/>
      <c r="S57" s="940"/>
      <c r="T57" s="940"/>
      <c r="U57" s="940"/>
      <c r="V57" s="941"/>
      <c r="W57" s="943"/>
      <c r="X57" s="940"/>
      <c r="Y57" s="941"/>
      <c r="Z57" s="696"/>
    </row>
    <row r="58" spans="2:26">
      <c r="B58" s="390" t="s">
        <v>1084</v>
      </c>
      <c r="C58" s="392" t="s">
        <v>1085</v>
      </c>
      <c r="D58" s="393" t="s">
        <v>978</v>
      </c>
      <c r="E58" s="227">
        <f>157.57</f>
        <v>157.57</v>
      </c>
      <c r="F58" s="942"/>
      <c r="G58" s="940"/>
      <c r="H58" s="940"/>
      <c r="I58" s="940"/>
      <c r="J58" s="940"/>
      <c r="K58" s="940"/>
      <c r="L58" s="940"/>
      <c r="M58" s="940"/>
      <c r="N58" s="940"/>
      <c r="O58" s="940"/>
      <c r="P58" s="940"/>
      <c r="Q58" s="940"/>
      <c r="R58" s="940"/>
      <c r="S58" s="940"/>
      <c r="T58" s="940"/>
      <c r="U58" s="940"/>
      <c r="V58" s="941"/>
      <c r="W58" s="943"/>
      <c r="X58" s="940"/>
      <c r="Y58" s="941"/>
      <c r="Z58" s="696"/>
    </row>
    <row r="59" spans="2:26">
      <c r="B59" s="390" t="s">
        <v>1087</v>
      </c>
      <c r="C59" s="392" t="s">
        <v>1088</v>
      </c>
      <c r="D59" s="393" t="s">
        <v>978</v>
      </c>
      <c r="E59" s="227">
        <f>9.86</f>
        <v>9.86</v>
      </c>
      <c r="F59" s="942"/>
      <c r="G59" s="940"/>
      <c r="H59" s="940"/>
      <c r="I59" s="940"/>
      <c r="J59" s="940"/>
      <c r="K59" s="940"/>
      <c r="L59" s="940"/>
      <c r="M59" s="940"/>
      <c r="N59" s="940"/>
      <c r="O59" s="940"/>
      <c r="P59" s="940"/>
      <c r="Q59" s="940"/>
      <c r="R59" s="940"/>
      <c r="S59" s="940"/>
      <c r="T59" s="940"/>
      <c r="U59" s="940"/>
      <c r="V59" s="940"/>
      <c r="W59" s="941"/>
      <c r="X59" s="943"/>
      <c r="Y59" s="941"/>
      <c r="Z59" s="696"/>
    </row>
    <row r="60" spans="2:26">
      <c r="B60" s="390" t="s">
        <v>1090</v>
      </c>
      <c r="C60" s="392" t="s">
        <v>1091</v>
      </c>
      <c r="D60" s="393" t="s">
        <v>978</v>
      </c>
      <c r="E60" s="227">
        <f>5.19</f>
        <v>5.19</v>
      </c>
      <c r="F60" s="942"/>
      <c r="G60" s="940"/>
      <c r="H60" s="940"/>
      <c r="I60" s="940"/>
      <c r="J60" s="940"/>
      <c r="K60" s="940"/>
      <c r="L60" s="940"/>
      <c r="M60" s="940"/>
      <c r="N60" s="940"/>
      <c r="O60" s="940"/>
      <c r="P60" s="940"/>
      <c r="Q60" s="940"/>
      <c r="R60" s="940"/>
      <c r="S60" s="940"/>
      <c r="T60" s="940"/>
      <c r="U60" s="941"/>
      <c r="V60" s="943"/>
      <c r="W60" s="941"/>
      <c r="X60" s="942"/>
      <c r="Y60" s="940"/>
      <c r="Z60" s="941"/>
    </row>
    <row r="61" spans="2:26">
      <c r="B61" s="390" t="s">
        <v>1093</v>
      </c>
      <c r="C61" s="392" t="s">
        <v>1094</v>
      </c>
      <c r="D61" s="393" t="s">
        <v>985</v>
      </c>
      <c r="E61" s="227">
        <f>2</f>
        <v>2</v>
      </c>
      <c r="F61" s="942"/>
      <c r="G61" s="940"/>
      <c r="H61" s="940"/>
      <c r="I61" s="940"/>
      <c r="J61" s="940"/>
      <c r="K61" s="940"/>
      <c r="L61" s="940"/>
      <c r="M61" s="940"/>
      <c r="N61" s="940"/>
      <c r="O61" s="940"/>
      <c r="P61" s="940"/>
      <c r="Q61" s="940"/>
      <c r="R61" s="940"/>
      <c r="S61" s="940"/>
      <c r="T61" s="940"/>
      <c r="U61" s="941"/>
      <c r="V61" s="943"/>
      <c r="W61" s="941"/>
      <c r="X61" s="942"/>
      <c r="Y61" s="940"/>
      <c r="Z61" s="941"/>
    </row>
    <row r="62" spans="2:26">
      <c r="B62" s="384" t="s">
        <v>804</v>
      </c>
      <c r="C62" s="387" t="s">
        <v>1095</v>
      </c>
      <c r="D62" s="388"/>
      <c r="E62" s="386"/>
      <c r="F62" s="939"/>
      <c r="G62" s="940"/>
      <c r="H62" s="940"/>
      <c r="I62" s="940"/>
      <c r="J62" s="940"/>
      <c r="K62" s="940"/>
      <c r="L62" s="940"/>
      <c r="M62" s="940"/>
      <c r="N62" s="940"/>
      <c r="O62" s="940"/>
      <c r="P62" s="940"/>
      <c r="Q62" s="940"/>
      <c r="R62" s="940"/>
      <c r="S62" s="940"/>
      <c r="T62" s="940"/>
      <c r="U62" s="940"/>
      <c r="V62" s="940"/>
      <c r="W62" s="940"/>
      <c r="X62" s="940"/>
      <c r="Y62" s="940"/>
      <c r="Z62" s="941"/>
    </row>
    <row r="63" spans="2:26">
      <c r="B63" s="390" t="s">
        <v>1097</v>
      </c>
      <c r="C63" s="392" t="s">
        <v>1098</v>
      </c>
      <c r="D63" s="393" t="s">
        <v>1034</v>
      </c>
      <c r="E63" s="227">
        <f>12</f>
        <v>12</v>
      </c>
      <c r="F63" s="942"/>
      <c r="G63" s="940"/>
      <c r="H63" s="940"/>
      <c r="I63" s="940"/>
      <c r="J63" s="940"/>
      <c r="K63" s="940"/>
      <c r="L63" s="940"/>
      <c r="M63" s="940"/>
      <c r="N63" s="941"/>
      <c r="O63" s="943"/>
      <c r="P63" s="941"/>
      <c r="Q63" s="942"/>
      <c r="R63" s="940"/>
      <c r="S63" s="940"/>
      <c r="T63" s="940"/>
      <c r="U63" s="940"/>
      <c r="V63" s="940"/>
      <c r="W63" s="940"/>
      <c r="X63" s="940"/>
      <c r="Y63" s="940"/>
      <c r="Z63" s="941"/>
    </row>
    <row r="64" spans="2:26" ht="28.5">
      <c r="B64" s="390" t="s">
        <v>1100</v>
      </c>
      <c r="C64" s="392" t="s">
        <v>1101</v>
      </c>
      <c r="D64" s="393" t="s">
        <v>1034</v>
      </c>
      <c r="E64" s="227">
        <f>8</f>
        <v>8</v>
      </c>
      <c r="F64" s="942"/>
      <c r="G64" s="940"/>
      <c r="H64" s="940"/>
      <c r="I64" s="940"/>
      <c r="J64" s="940"/>
      <c r="K64" s="940"/>
      <c r="L64" s="940"/>
      <c r="M64" s="940"/>
      <c r="N64" s="941"/>
      <c r="O64" s="943"/>
      <c r="P64" s="941"/>
      <c r="Q64" s="942"/>
      <c r="R64" s="940"/>
      <c r="S64" s="940"/>
      <c r="T64" s="940"/>
      <c r="U64" s="940"/>
      <c r="V64" s="940"/>
      <c r="W64" s="940"/>
      <c r="X64" s="940"/>
      <c r="Y64" s="940"/>
      <c r="Z64" s="941"/>
    </row>
    <row r="65" spans="2:26" ht="57">
      <c r="B65" s="390" t="s">
        <v>1103</v>
      </c>
      <c r="C65" s="392" t="s">
        <v>1104</v>
      </c>
      <c r="D65" s="393" t="s">
        <v>1034</v>
      </c>
      <c r="E65" s="227">
        <f>14</f>
        <v>14</v>
      </c>
      <c r="F65" s="942"/>
      <c r="G65" s="940"/>
      <c r="H65" s="940"/>
      <c r="I65" s="940"/>
      <c r="J65" s="940"/>
      <c r="K65" s="940"/>
      <c r="L65" s="940"/>
      <c r="M65" s="940"/>
      <c r="N65" s="940"/>
      <c r="O65" s="940"/>
      <c r="P65" s="940"/>
      <c r="Q65" s="940"/>
      <c r="R65" s="940"/>
      <c r="S65" s="940"/>
      <c r="T65" s="940"/>
      <c r="U65" s="941"/>
      <c r="V65" s="943"/>
      <c r="W65" s="940"/>
      <c r="X65" s="941"/>
      <c r="Y65" s="942"/>
      <c r="Z65" s="941"/>
    </row>
    <row r="66" spans="2:26" ht="28.5">
      <c r="B66" s="390" t="s">
        <v>1106</v>
      </c>
      <c r="C66" s="392" t="s">
        <v>1107</v>
      </c>
      <c r="D66" s="393" t="s">
        <v>1034</v>
      </c>
      <c r="E66" s="227">
        <f>8</f>
        <v>8</v>
      </c>
      <c r="F66" s="942"/>
      <c r="G66" s="940"/>
      <c r="H66" s="940"/>
      <c r="I66" s="940"/>
      <c r="J66" s="940"/>
      <c r="K66" s="940"/>
      <c r="L66" s="940"/>
      <c r="M66" s="940"/>
      <c r="N66" s="940"/>
      <c r="O66" s="940"/>
      <c r="P66" s="940"/>
      <c r="Q66" s="940"/>
      <c r="R66" s="940"/>
      <c r="S66" s="940"/>
      <c r="T66" s="940"/>
      <c r="U66" s="940"/>
      <c r="V66" s="940"/>
      <c r="W66" s="941"/>
      <c r="X66" s="943"/>
      <c r="Y66" s="941"/>
      <c r="Z66" s="696"/>
    </row>
    <row r="67" spans="2:26" ht="28.5">
      <c r="B67" s="390" t="s">
        <v>1109</v>
      </c>
      <c r="C67" s="392" t="s">
        <v>1110</v>
      </c>
      <c r="D67" s="393" t="s">
        <v>1034</v>
      </c>
      <c r="E67" s="227">
        <f>2</f>
        <v>2</v>
      </c>
      <c r="F67" s="942"/>
      <c r="G67" s="940"/>
      <c r="H67" s="940"/>
      <c r="I67" s="940"/>
      <c r="J67" s="940"/>
      <c r="K67" s="940"/>
      <c r="L67" s="940"/>
      <c r="M67" s="940"/>
      <c r="N67" s="940"/>
      <c r="O67" s="940"/>
      <c r="P67" s="940"/>
      <c r="Q67" s="940"/>
      <c r="R67" s="940"/>
      <c r="S67" s="940"/>
      <c r="T67" s="940"/>
      <c r="U67" s="940"/>
      <c r="V67" s="940"/>
      <c r="W67" s="941"/>
      <c r="X67" s="943"/>
      <c r="Y67" s="941"/>
      <c r="Z67" s="696"/>
    </row>
    <row r="68" spans="2:26" ht="28.5">
      <c r="B68" s="390" t="s">
        <v>1112</v>
      </c>
      <c r="C68" s="392" t="s">
        <v>1113</v>
      </c>
      <c r="D68" s="393" t="s">
        <v>1034</v>
      </c>
      <c r="E68" s="227">
        <f>4</f>
        <v>4</v>
      </c>
      <c r="F68" s="942"/>
      <c r="G68" s="940"/>
      <c r="H68" s="940"/>
      <c r="I68" s="940"/>
      <c r="J68" s="940"/>
      <c r="K68" s="940"/>
      <c r="L68" s="940"/>
      <c r="M68" s="940"/>
      <c r="N68" s="940"/>
      <c r="O68" s="940"/>
      <c r="P68" s="940"/>
      <c r="Q68" s="940"/>
      <c r="R68" s="940"/>
      <c r="S68" s="940"/>
      <c r="T68" s="940"/>
      <c r="U68" s="940"/>
      <c r="V68" s="940"/>
      <c r="W68" s="941"/>
      <c r="X68" s="943"/>
      <c r="Y68" s="941"/>
      <c r="Z68" s="696"/>
    </row>
    <row r="69" spans="2:26">
      <c r="B69" s="390" t="s">
        <v>1115</v>
      </c>
      <c r="C69" s="392" t="s">
        <v>1116</v>
      </c>
      <c r="D69" s="393" t="s">
        <v>1034</v>
      </c>
      <c r="E69" s="227">
        <f>2</f>
        <v>2</v>
      </c>
      <c r="F69" s="942"/>
      <c r="G69" s="940"/>
      <c r="H69" s="940"/>
      <c r="I69" s="940"/>
      <c r="J69" s="940"/>
      <c r="K69" s="940"/>
      <c r="L69" s="940"/>
      <c r="M69" s="940"/>
      <c r="N69" s="940"/>
      <c r="O69" s="940"/>
      <c r="P69" s="940"/>
      <c r="Q69" s="940"/>
      <c r="R69" s="940"/>
      <c r="S69" s="940"/>
      <c r="T69" s="940"/>
      <c r="U69" s="940"/>
      <c r="V69" s="940"/>
      <c r="W69" s="940"/>
      <c r="X69" s="941"/>
      <c r="Y69" s="943"/>
      <c r="Z69" s="941"/>
    </row>
    <row r="70" spans="2:26" ht="28.5">
      <c r="B70" s="390" t="s">
        <v>1118</v>
      </c>
      <c r="C70" s="392" t="s">
        <v>1119</v>
      </c>
      <c r="D70" s="393" t="s">
        <v>1034</v>
      </c>
      <c r="E70" s="227">
        <f>11</f>
        <v>11</v>
      </c>
      <c r="F70" s="942"/>
      <c r="G70" s="940"/>
      <c r="H70" s="940"/>
      <c r="I70" s="940"/>
      <c r="J70" s="940"/>
      <c r="K70" s="940"/>
      <c r="L70" s="940"/>
      <c r="M70" s="940"/>
      <c r="N70" s="940"/>
      <c r="O70" s="940"/>
      <c r="P70" s="940"/>
      <c r="Q70" s="940"/>
      <c r="R70" s="940"/>
      <c r="S70" s="940"/>
      <c r="T70" s="940"/>
      <c r="U70" s="941"/>
      <c r="V70" s="943"/>
      <c r="W70" s="940"/>
      <c r="X70" s="941"/>
      <c r="Y70" s="942"/>
      <c r="Z70" s="941"/>
    </row>
    <row r="71" spans="2:26" ht="28.5">
      <c r="B71" s="390" t="s">
        <v>1121</v>
      </c>
      <c r="C71" s="392" t="s">
        <v>1122</v>
      </c>
      <c r="D71" s="393" t="s">
        <v>1034</v>
      </c>
      <c r="E71" s="227">
        <f>4</f>
        <v>4</v>
      </c>
      <c r="F71" s="942"/>
      <c r="G71" s="940"/>
      <c r="H71" s="940"/>
      <c r="I71" s="940"/>
      <c r="J71" s="940"/>
      <c r="K71" s="940"/>
      <c r="L71" s="940"/>
      <c r="M71" s="940"/>
      <c r="N71" s="940"/>
      <c r="O71" s="940"/>
      <c r="P71" s="940"/>
      <c r="Q71" s="940"/>
      <c r="R71" s="940"/>
      <c r="S71" s="940"/>
      <c r="T71" s="940"/>
      <c r="U71" s="941"/>
      <c r="V71" s="943"/>
      <c r="W71" s="940"/>
      <c r="X71" s="941"/>
      <c r="Y71" s="942"/>
      <c r="Z71" s="941"/>
    </row>
    <row r="72" spans="2:26" ht="28.5">
      <c r="B72" s="390" t="s">
        <v>1124</v>
      </c>
      <c r="C72" s="392" t="s">
        <v>1125</v>
      </c>
      <c r="D72" s="393" t="s">
        <v>1034</v>
      </c>
      <c r="E72" s="227">
        <f>6</f>
        <v>6</v>
      </c>
      <c r="F72" s="942"/>
      <c r="G72" s="940"/>
      <c r="H72" s="940"/>
      <c r="I72" s="940"/>
      <c r="J72" s="940"/>
      <c r="K72" s="940"/>
      <c r="L72" s="940"/>
      <c r="M72" s="940"/>
      <c r="N72" s="940"/>
      <c r="O72" s="940"/>
      <c r="P72" s="940"/>
      <c r="Q72" s="940"/>
      <c r="R72" s="940"/>
      <c r="S72" s="940"/>
      <c r="T72" s="940"/>
      <c r="U72" s="941"/>
      <c r="V72" s="943"/>
      <c r="W72" s="940"/>
      <c r="X72" s="941"/>
      <c r="Y72" s="942"/>
      <c r="Z72" s="941"/>
    </row>
    <row r="73" spans="2:26" ht="28.5">
      <c r="B73" s="390" t="s">
        <v>1127</v>
      </c>
      <c r="C73" s="392" t="s">
        <v>1128</v>
      </c>
      <c r="D73" s="393" t="s">
        <v>1045</v>
      </c>
      <c r="E73" s="227">
        <f>40.36</f>
        <v>40.36</v>
      </c>
      <c r="F73" s="942"/>
      <c r="G73" s="940"/>
      <c r="H73" s="940"/>
      <c r="I73" s="940"/>
      <c r="J73" s="940"/>
      <c r="K73" s="940"/>
      <c r="L73" s="940"/>
      <c r="M73" s="940"/>
      <c r="N73" s="940"/>
      <c r="O73" s="940"/>
      <c r="P73" s="940"/>
      <c r="Q73" s="940"/>
      <c r="R73" s="940"/>
      <c r="S73" s="940"/>
      <c r="T73" s="941"/>
      <c r="U73" s="943"/>
      <c r="V73" s="941"/>
      <c r="W73" s="942"/>
      <c r="X73" s="940"/>
      <c r="Y73" s="940"/>
      <c r="Z73" s="941"/>
    </row>
    <row r="74" spans="2:26">
      <c r="B74" s="390" t="s">
        <v>1130</v>
      </c>
      <c r="C74" s="392" t="s">
        <v>1131</v>
      </c>
      <c r="D74" s="393" t="s">
        <v>1034</v>
      </c>
      <c r="E74" s="227">
        <f>5</f>
        <v>5</v>
      </c>
      <c r="F74" s="942"/>
      <c r="G74" s="940"/>
      <c r="H74" s="940"/>
      <c r="I74" s="940"/>
      <c r="J74" s="940"/>
      <c r="K74" s="940"/>
      <c r="L74" s="940"/>
      <c r="M74" s="940"/>
      <c r="N74" s="940"/>
      <c r="O74" s="940"/>
      <c r="P74" s="940"/>
      <c r="Q74" s="940"/>
      <c r="R74" s="940"/>
      <c r="S74" s="940"/>
      <c r="T74" s="940"/>
      <c r="U74" s="940"/>
      <c r="V74" s="941"/>
      <c r="W74" s="943"/>
      <c r="X74" s="941"/>
      <c r="Y74" s="942"/>
      <c r="Z74" s="941"/>
    </row>
    <row r="75" spans="2:26">
      <c r="B75" s="390" t="s">
        <v>1133</v>
      </c>
      <c r="C75" s="392" t="s">
        <v>1134</v>
      </c>
      <c r="D75" s="393" t="s">
        <v>1034</v>
      </c>
      <c r="E75" s="227">
        <f t="shared" ref="E75:E76" si="1">2</f>
        <v>2</v>
      </c>
      <c r="F75" s="942"/>
      <c r="G75" s="940"/>
      <c r="H75" s="940"/>
      <c r="I75" s="940"/>
      <c r="J75" s="940"/>
      <c r="K75" s="940"/>
      <c r="L75" s="940"/>
      <c r="M75" s="940"/>
      <c r="N75" s="940"/>
      <c r="O75" s="940"/>
      <c r="P75" s="940"/>
      <c r="Q75" s="940"/>
      <c r="R75" s="940"/>
      <c r="S75" s="940"/>
      <c r="T75" s="940"/>
      <c r="U75" s="940"/>
      <c r="V75" s="941"/>
      <c r="W75" s="943"/>
      <c r="X75" s="941"/>
      <c r="Y75" s="942"/>
      <c r="Z75" s="941"/>
    </row>
    <row r="76" spans="2:26">
      <c r="B76" s="390" t="s">
        <v>1136</v>
      </c>
      <c r="C76" s="392" t="s">
        <v>1137</v>
      </c>
      <c r="D76" s="393" t="s">
        <v>1034</v>
      </c>
      <c r="E76" s="227">
        <f t="shared" si="1"/>
        <v>2</v>
      </c>
      <c r="F76" s="942"/>
      <c r="G76" s="940"/>
      <c r="H76" s="940"/>
      <c r="I76" s="940"/>
      <c r="J76" s="940"/>
      <c r="K76" s="940"/>
      <c r="L76" s="940"/>
      <c r="M76" s="940"/>
      <c r="N76" s="940"/>
      <c r="O76" s="940"/>
      <c r="P76" s="940"/>
      <c r="Q76" s="940"/>
      <c r="R76" s="940"/>
      <c r="S76" s="940"/>
      <c r="T76" s="940"/>
      <c r="U76" s="940"/>
      <c r="V76" s="941"/>
      <c r="W76" s="943"/>
      <c r="X76" s="941"/>
      <c r="Y76" s="942"/>
      <c r="Z76" s="941"/>
    </row>
    <row r="77" spans="2:26">
      <c r="B77" s="390" t="s">
        <v>1139</v>
      </c>
      <c r="C77" s="392" t="s">
        <v>1140</v>
      </c>
      <c r="D77" s="393" t="s">
        <v>978</v>
      </c>
      <c r="E77" s="227">
        <f>1.53</f>
        <v>1.53</v>
      </c>
      <c r="F77" s="942"/>
      <c r="G77" s="940"/>
      <c r="H77" s="940"/>
      <c r="I77" s="940"/>
      <c r="J77" s="940"/>
      <c r="K77" s="940"/>
      <c r="L77" s="940"/>
      <c r="M77" s="940"/>
      <c r="N77" s="940"/>
      <c r="O77" s="940"/>
      <c r="P77" s="940"/>
      <c r="Q77" s="940"/>
      <c r="R77" s="940"/>
      <c r="S77" s="940"/>
      <c r="T77" s="940"/>
      <c r="U77" s="940"/>
      <c r="V77" s="940"/>
      <c r="W77" s="941"/>
      <c r="X77" s="943"/>
      <c r="Y77" s="940"/>
      <c r="Z77" s="941"/>
    </row>
    <row r="78" spans="2:26">
      <c r="B78" s="390" t="s">
        <v>1142</v>
      </c>
      <c r="C78" s="392" t="s">
        <v>1143</v>
      </c>
      <c r="D78" s="393" t="s">
        <v>1034</v>
      </c>
      <c r="E78" s="227">
        <f>3</f>
        <v>3</v>
      </c>
      <c r="F78" s="942"/>
      <c r="G78" s="940"/>
      <c r="H78" s="940"/>
      <c r="I78" s="940"/>
      <c r="J78" s="940"/>
      <c r="K78" s="940"/>
      <c r="L78" s="940"/>
      <c r="M78" s="940"/>
      <c r="N78" s="940"/>
      <c r="O78" s="940"/>
      <c r="P78" s="940"/>
      <c r="Q78" s="940"/>
      <c r="R78" s="940"/>
      <c r="S78" s="940"/>
      <c r="T78" s="940"/>
      <c r="U78" s="940"/>
      <c r="V78" s="940"/>
      <c r="W78" s="941"/>
      <c r="X78" s="943"/>
      <c r="Y78" s="940"/>
      <c r="Z78" s="941"/>
    </row>
    <row r="79" spans="2:26">
      <c r="B79" s="390" t="s">
        <v>1145</v>
      </c>
      <c r="C79" s="392" t="s">
        <v>1146</v>
      </c>
      <c r="D79" s="393" t="s">
        <v>1034</v>
      </c>
      <c r="E79" s="227">
        <f t="shared" ref="E79:E82" si="2">1</f>
        <v>1</v>
      </c>
      <c r="F79" s="942"/>
      <c r="G79" s="940"/>
      <c r="H79" s="940"/>
      <c r="I79" s="940"/>
      <c r="J79" s="940"/>
      <c r="K79" s="940"/>
      <c r="L79" s="940"/>
      <c r="M79" s="940"/>
      <c r="N79" s="941"/>
      <c r="O79" s="695"/>
      <c r="P79" s="942"/>
      <c r="Q79" s="940"/>
      <c r="R79" s="940"/>
      <c r="S79" s="940"/>
      <c r="T79" s="940"/>
      <c r="U79" s="940"/>
      <c r="V79" s="940"/>
      <c r="W79" s="940"/>
      <c r="X79" s="940"/>
      <c r="Y79" s="940"/>
      <c r="Z79" s="941"/>
    </row>
    <row r="80" spans="2:26">
      <c r="B80" s="390" t="s">
        <v>1148</v>
      </c>
      <c r="C80" s="392" t="s">
        <v>1149</v>
      </c>
      <c r="D80" s="393" t="s">
        <v>1034</v>
      </c>
      <c r="E80" s="227">
        <f t="shared" si="2"/>
        <v>1</v>
      </c>
      <c r="F80" s="942"/>
      <c r="G80" s="940"/>
      <c r="H80" s="940"/>
      <c r="I80" s="940"/>
      <c r="J80" s="940"/>
      <c r="K80" s="940"/>
      <c r="L80" s="940"/>
      <c r="M80" s="940"/>
      <c r="N80" s="940"/>
      <c r="O80" s="940"/>
      <c r="P80" s="940"/>
      <c r="Q80" s="940"/>
      <c r="R80" s="940"/>
      <c r="S80" s="940"/>
      <c r="T80" s="940"/>
      <c r="U80" s="940"/>
      <c r="V80" s="940"/>
      <c r="W80" s="941"/>
      <c r="X80" s="695"/>
      <c r="Y80" s="942"/>
      <c r="Z80" s="941"/>
    </row>
    <row r="81" spans="2:26">
      <c r="B81" s="390" t="s">
        <v>1151</v>
      </c>
      <c r="C81" s="392" t="s">
        <v>1152</v>
      </c>
      <c r="D81" s="393" t="s">
        <v>1034</v>
      </c>
      <c r="E81" s="227">
        <f t="shared" si="2"/>
        <v>1</v>
      </c>
      <c r="F81" s="942"/>
      <c r="G81" s="940"/>
      <c r="H81" s="940"/>
      <c r="I81" s="940"/>
      <c r="J81" s="940"/>
      <c r="K81" s="940"/>
      <c r="L81" s="940"/>
      <c r="M81" s="940"/>
      <c r="N81" s="940"/>
      <c r="O81" s="940"/>
      <c r="P81" s="940"/>
      <c r="Q81" s="940"/>
      <c r="R81" s="940"/>
      <c r="S81" s="940"/>
      <c r="T81" s="940"/>
      <c r="U81" s="940"/>
      <c r="V81" s="941"/>
      <c r="W81" s="695"/>
      <c r="X81" s="942"/>
      <c r="Y81" s="940"/>
      <c r="Z81" s="941"/>
    </row>
    <row r="82" spans="2:26" ht="28.5">
      <c r="B82" s="390" t="s">
        <v>1154</v>
      </c>
      <c r="C82" s="392" t="s">
        <v>1155</v>
      </c>
      <c r="D82" s="393" t="s">
        <v>1034</v>
      </c>
      <c r="E82" s="227">
        <f t="shared" si="2"/>
        <v>1</v>
      </c>
      <c r="F82" s="942"/>
      <c r="G82" s="940"/>
      <c r="H82" s="940"/>
      <c r="I82" s="940"/>
      <c r="J82" s="940"/>
      <c r="K82" s="940"/>
      <c r="L82" s="940"/>
      <c r="M82" s="940"/>
      <c r="N82" s="940"/>
      <c r="O82" s="940"/>
      <c r="P82" s="940"/>
      <c r="Q82" s="940"/>
      <c r="R82" s="940"/>
      <c r="S82" s="940"/>
      <c r="T82" s="940"/>
      <c r="U82" s="940"/>
      <c r="V82" s="941"/>
      <c r="W82" s="695"/>
      <c r="X82" s="942"/>
      <c r="Y82" s="940"/>
      <c r="Z82" s="941"/>
    </row>
    <row r="83" spans="2:26">
      <c r="B83" s="390" t="s">
        <v>1157</v>
      </c>
      <c r="C83" s="392" t="s">
        <v>1158</v>
      </c>
      <c r="D83" s="393" t="s">
        <v>1034</v>
      </c>
      <c r="E83" s="227">
        <f>10</f>
        <v>10</v>
      </c>
      <c r="F83" s="942"/>
      <c r="G83" s="940"/>
      <c r="H83" s="940"/>
      <c r="I83" s="940"/>
      <c r="J83" s="940"/>
      <c r="K83" s="940"/>
      <c r="L83" s="940"/>
      <c r="M83" s="940"/>
      <c r="N83" s="940"/>
      <c r="O83" s="940"/>
      <c r="P83" s="940"/>
      <c r="Q83" s="941"/>
      <c r="R83" s="695"/>
      <c r="S83" s="942"/>
      <c r="T83" s="940"/>
      <c r="U83" s="940"/>
      <c r="V83" s="940"/>
      <c r="W83" s="940"/>
      <c r="X83" s="940"/>
      <c r="Y83" s="940"/>
      <c r="Z83" s="941"/>
    </row>
    <row r="84" spans="2:26">
      <c r="B84" s="384" t="s">
        <v>804</v>
      </c>
      <c r="C84" s="387" t="s">
        <v>1159</v>
      </c>
      <c r="D84" s="388"/>
      <c r="E84" s="386"/>
      <c r="F84" s="939"/>
      <c r="G84" s="940"/>
      <c r="H84" s="940"/>
      <c r="I84" s="940"/>
      <c r="J84" s="940"/>
      <c r="K84" s="940"/>
      <c r="L84" s="940"/>
      <c r="M84" s="940"/>
      <c r="N84" s="940"/>
      <c r="O84" s="940"/>
      <c r="P84" s="940"/>
      <c r="Q84" s="940"/>
      <c r="R84" s="940"/>
      <c r="S84" s="940"/>
      <c r="T84" s="940"/>
      <c r="U84" s="940"/>
      <c r="V84" s="940"/>
      <c r="W84" s="940"/>
      <c r="X84" s="940"/>
      <c r="Y84" s="940"/>
      <c r="Z84" s="941"/>
    </row>
    <row r="85" spans="2:26">
      <c r="B85" s="390" t="s">
        <v>1161</v>
      </c>
      <c r="C85" s="392" t="s">
        <v>1162</v>
      </c>
      <c r="D85" s="393" t="s">
        <v>1163</v>
      </c>
      <c r="E85" s="227">
        <f t="shared" ref="E85:E86" si="3">1</f>
        <v>1</v>
      </c>
      <c r="F85" s="942"/>
      <c r="G85" s="940"/>
      <c r="H85" s="940"/>
      <c r="I85" s="940"/>
      <c r="J85" s="940"/>
      <c r="K85" s="940"/>
      <c r="L85" s="940"/>
      <c r="M85" s="940"/>
      <c r="N85" s="940"/>
      <c r="O85" s="940"/>
      <c r="P85" s="940"/>
      <c r="Q85" s="940"/>
      <c r="R85" s="940"/>
      <c r="S85" s="940"/>
      <c r="T85" s="940"/>
      <c r="U85" s="940"/>
      <c r="V85" s="940"/>
      <c r="W85" s="940"/>
      <c r="X85" s="941"/>
      <c r="Y85" s="943"/>
      <c r="Z85" s="941"/>
    </row>
    <row r="86" spans="2:26">
      <c r="B86" s="390" t="s">
        <v>1165</v>
      </c>
      <c r="C86" s="392" t="s">
        <v>1166</v>
      </c>
      <c r="D86" s="393" t="s">
        <v>1163</v>
      </c>
      <c r="E86" s="227">
        <f t="shared" si="3"/>
        <v>1</v>
      </c>
      <c r="F86" s="942"/>
      <c r="G86" s="940"/>
      <c r="H86" s="940"/>
      <c r="I86" s="940"/>
      <c r="J86" s="940"/>
      <c r="K86" s="940"/>
      <c r="L86" s="940"/>
      <c r="M86" s="940"/>
      <c r="N86" s="940"/>
      <c r="O86" s="941"/>
      <c r="P86" s="943"/>
      <c r="Q86" s="940"/>
      <c r="R86" s="940"/>
      <c r="S86" s="940"/>
      <c r="T86" s="940"/>
      <c r="U86" s="940"/>
      <c r="V86" s="940"/>
      <c r="W86" s="940"/>
      <c r="X86" s="940"/>
      <c r="Y86" s="941"/>
      <c r="Z86" s="696"/>
    </row>
    <row r="87" spans="2:26">
      <c r="B87" s="384" t="s">
        <v>804</v>
      </c>
      <c r="C87" s="387" t="s">
        <v>1167</v>
      </c>
      <c r="D87" s="388"/>
      <c r="E87" s="386"/>
      <c r="F87" s="939"/>
      <c r="G87" s="940"/>
      <c r="H87" s="940"/>
      <c r="I87" s="940"/>
      <c r="J87" s="940"/>
      <c r="K87" s="940"/>
      <c r="L87" s="940"/>
      <c r="M87" s="940"/>
      <c r="N87" s="940"/>
      <c r="O87" s="940"/>
      <c r="P87" s="940"/>
      <c r="Q87" s="940"/>
      <c r="R87" s="940"/>
      <c r="S87" s="940"/>
      <c r="T87" s="940"/>
      <c r="U87" s="940"/>
      <c r="V87" s="940"/>
      <c r="W87" s="940"/>
      <c r="X87" s="940"/>
      <c r="Y87" s="940"/>
      <c r="Z87" s="941"/>
    </row>
    <row r="88" spans="2:26" ht="28.5">
      <c r="B88" s="390" t="s">
        <v>1169</v>
      </c>
      <c r="C88" s="392" t="s">
        <v>1170</v>
      </c>
      <c r="D88" s="393" t="s">
        <v>1163</v>
      </c>
      <c r="E88" s="227">
        <f t="shared" ref="E88:E90" si="4">1</f>
        <v>1</v>
      </c>
      <c r="F88" s="942"/>
      <c r="G88" s="940"/>
      <c r="H88" s="940"/>
      <c r="I88" s="940"/>
      <c r="J88" s="940"/>
      <c r="K88" s="940"/>
      <c r="L88" s="940"/>
      <c r="M88" s="940"/>
      <c r="N88" s="941"/>
      <c r="O88" s="695"/>
      <c r="P88" s="942"/>
      <c r="Q88" s="940"/>
      <c r="R88" s="940"/>
      <c r="S88" s="940"/>
      <c r="T88" s="940"/>
      <c r="U88" s="940"/>
      <c r="V88" s="940"/>
      <c r="W88" s="940"/>
      <c r="X88" s="940"/>
      <c r="Y88" s="940"/>
      <c r="Z88" s="941"/>
    </row>
    <row r="89" spans="2:26">
      <c r="B89" s="390" t="s">
        <v>1172</v>
      </c>
      <c r="C89" s="392" t="s">
        <v>1173</v>
      </c>
      <c r="D89" s="393" t="s">
        <v>1163</v>
      </c>
      <c r="E89" s="227">
        <f t="shared" si="4"/>
        <v>1</v>
      </c>
      <c r="F89" s="943"/>
      <c r="G89" s="940"/>
      <c r="H89" s="940"/>
      <c r="I89" s="940"/>
      <c r="J89" s="940"/>
      <c r="K89" s="940"/>
      <c r="L89" s="940"/>
      <c r="M89" s="940"/>
      <c r="N89" s="941"/>
      <c r="O89" s="942"/>
      <c r="P89" s="940"/>
      <c r="Q89" s="940"/>
      <c r="R89" s="940"/>
      <c r="S89" s="940"/>
      <c r="T89" s="940"/>
      <c r="U89" s="940"/>
      <c r="V89" s="940"/>
      <c r="W89" s="940"/>
      <c r="X89" s="940"/>
      <c r="Y89" s="940"/>
      <c r="Z89" s="941"/>
    </row>
    <row r="90" spans="2:26" ht="28.5">
      <c r="B90" s="390" t="s">
        <v>1175</v>
      </c>
      <c r="C90" s="392" t="s">
        <v>1176</v>
      </c>
      <c r="D90" s="393" t="s">
        <v>1163</v>
      </c>
      <c r="E90" s="227">
        <f t="shared" si="4"/>
        <v>1</v>
      </c>
      <c r="F90" s="942"/>
      <c r="G90" s="940"/>
      <c r="H90" s="940"/>
      <c r="I90" s="940"/>
      <c r="J90" s="940"/>
      <c r="K90" s="940"/>
      <c r="L90" s="940"/>
      <c r="M90" s="940"/>
      <c r="N90" s="941"/>
      <c r="O90" s="943"/>
      <c r="P90" s="940"/>
      <c r="Q90" s="940"/>
      <c r="R90" s="940"/>
      <c r="S90" s="940"/>
      <c r="T90" s="940"/>
      <c r="U90" s="940"/>
      <c r="V90" s="940"/>
      <c r="W90" s="940"/>
      <c r="X90" s="940"/>
      <c r="Y90" s="940"/>
      <c r="Z90" s="941"/>
    </row>
    <row r="91" spans="2:26">
      <c r="B91" s="390" t="s">
        <v>1178</v>
      </c>
      <c r="C91" s="392" t="s">
        <v>1179</v>
      </c>
      <c r="D91" s="393" t="s">
        <v>1034</v>
      </c>
      <c r="E91" s="227">
        <f>6</f>
        <v>6</v>
      </c>
      <c r="F91" s="942"/>
      <c r="G91" s="940"/>
      <c r="H91" s="940"/>
      <c r="I91" s="940"/>
      <c r="J91" s="940"/>
      <c r="K91" s="940"/>
      <c r="L91" s="940"/>
      <c r="M91" s="940"/>
      <c r="N91" s="940"/>
      <c r="O91" s="940"/>
      <c r="P91" s="940"/>
      <c r="Q91" s="940"/>
      <c r="R91" s="940"/>
      <c r="S91" s="940"/>
      <c r="T91" s="940"/>
      <c r="U91" s="940"/>
      <c r="V91" s="940"/>
      <c r="W91" s="941"/>
      <c r="X91" s="943"/>
      <c r="Y91" s="941"/>
      <c r="Z91" s="696"/>
    </row>
    <row r="92" spans="2:26">
      <c r="B92" s="390" t="s">
        <v>1181</v>
      </c>
      <c r="C92" s="392" t="s">
        <v>1182</v>
      </c>
      <c r="D92" s="393" t="s">
        <v>1034</v>
      </c>
      <c r="E92" s="227">
        <f t="shared" ref="E92:E93" si="5">1</f>
        <v>1</v>
      </c>
      <c r="F92" s="942"/>
      <c r="G92" s="940"/>
      <c r="H92" s="940"/>
      <c r="I92" s="940"/>
      <c r="J92" s="940"/>
      <c r="K92" s="940"/>
      <c r="L92" s="940"/>
      <c r="M92" s="940"/>
      <c r="N92" s="940"/>
      <c r="O92" s="940"/>
      <c r="P92" s="940"/>
      <c r="Q92" s="940"/>
      <c r="R92" s="940"/>
      <c r="S92" s="940"/>
      <c r="T92" s="940"/>
      <c r="U92" s="940"/>
      <c r="V92" s="940"/>
      <c r="W92" s="941"/>
      <c r="X92" s="943"/>
      <c r="Y92" s="941"/>
      <c r="Z92" s="696"/>
    </row>
    <row r="93" spans="2:26" ht="28.5">
      <c r="B93" s="390" t="s">
        <v>1184</v>
      </c>
      <c r="C93" s="392" t="s">
        <v>1185</v>
      </c>
      <c r="D93" s="393" t="s">
        <v>1034</v>
      </c>
      <c r="E93" s="227">
        <f t="shared" si="5"/>
        <v>1</v>
      </c>
      <c r="F93" s="942"/>
      <c r="G93" s="940"/>
      <c r="H93" s="940"/>
      <c r="I93" s="940"/>
      <c r="J93" s="940"/>
      <c r="K93" s="940"/>
      <c r="L93" s="940"/>
      <c r="M93" s="940"/>
      <c r="N93" s="940"/>
      <c r="O93" s="940"/>
      <c r="P93" s="940"/>
      <c r="Q93" s="940"/>
      <c r="R93" s="940"/>
      <c r="S93" s="940"/>
      <c r="T93" s="940"/>
      <c r="U93" s="940"/>
      <c r="V93" s="940"/>
      <c r="W93" s="941"/>
      <c r="X93" s="943"/>
      <c r="Y93" s="941"/>
      <c r="Z93" s="696"/>
    </row>
    <row r="94" spans="2:26"/>
  </sheetData>
  <mergeCells count="197">
    <mergeCell ref="Y72:Z72"/>
    <mergeCell ref="F70:U70"/>
    <mergeCell ref="V70:X70"/>
    <mergeCell ref="Y70:Z70"/>
    <mergeCell ref="F71:U71"/>
    <mergeCell ref="V71:X71"/>
    <mergeCell ref="Y71:Z71"/>
    <mergeCell ref="F72:U72"/>
    <mergeCell ref="W75:X75"/>
    <mergeCell ref="Y75:Z75"/>
    <mergeCell ref="F73:T73"/>
    <mergeCell ref="U73:V73"/>
    <mergeCell ref="W73:Z73"/>
    <mergeCell ref="F74:V74"/>
    <mergeCell ref="W74:X74"/>
    <mergeCell ref="Y74:Z74"/>
    <mergeCell ref="F75:V75"/>
    <mergeCell ref="W76:X76"/>
    <mergeCell ref="Y76:Z76"/>
    <mergeCell ref="F77:W77"/>
    <mergeCell ref="X77:Z77"/>
    <mergeCell ref="F78:W78"/>
    <mergeCell ref="F91:W91"/>
    <mergeCell ref="X91:Y91"/>
    <mergeCell ref="F92:W92"/>
    <mergeCell ref="X92:Y92"/>
    <mergeCell ref="F85:X85"/>
    <mergeCell ref="Y85:Z85"/>
    <mergeCell ref="F86:O86"/>
    <mergeCell ref="F90:N90"/>
    <mergeCell ref="F80:W80"/>
    <mergeCell ref="Y80:Z80"/>
    <mergeCell ref="F81:V81"/>
    <mergeCell ref="X81:Z81"/>
    <mergeCell ref="X82:Z82"/>
    <mergeCell ref="F82:V82"/>
    <mergeCell ref="F83:Q83"/>
    <mergeCell ref="S83:Z83"/>
    <mergeCell ref="F84:Z84"/>
    <mergeCell ref="X78:Z78"/>
    <mergeCell ref="F76:V76"/>
    <mergeCell ref="F93:W93"/>
    <mergeCell ref="X93:Y93"/>
    <mergeCell ref="P86:Y86"/>
    <mergeCell ref="F87:Z87"/>
    <mergeCell ref="F88:N88"/>
    <mergeCell ref="P88:Z88"/>
    <mergeCell ref="F89:N89"/>
    <mergeCell ref="O89:Z89"/>
    <mergeCell ref="O90:Z90"/>
    <mergeCell ref="F61:U61"/>
    <mergeCell ref="V61:W61"/>
    <mergeCell ref="X61:Z61"/>
    <mergeCell ref="F62:Z62"/>
    <mergeCell ref="F63:N63"/>
    <mergeCell ref="O63:P63"/>
    <mergeCell ref="Q63:Z63"/>
    <mergeCell ref="F79:N79"/>
    <mergeCell ref="P79:Z79"/>
    <mergeCell ref="F64:N64"/>
    <mergeCell ref="O64:P64"/>
    <mergeCell ref="Q64:Z64"/>
    <mergeCell ref="F65:U65"/>
    <mergeCell ref="V65:X65"/>
    <mergeCell ref="Y65:Z65"/>
    <mergeCell ref="X66:Y66"/>
    <mergeCell ref="F66:W66"/>
    <mergeCell ref="F67:W67"/>
    <mergeCell ref="X67:Y67"/>
    <mergeCell ref="F68:W68"/>
    <mergeCell ref="X68:Y68"/>
    <mergeCell ref="F69:X69"/>
    <mergeCell ref="Y69:Z69"/>
    <mergeCell ref="V72:X72"/>
    <mergeCell ref="F35:Z35"/>
    <mergeCell ref="R36:T36"/>
    <mergeCell ref="U36:Z36"/>
    <mergeCell ref="F36:Q36"/>
    <mergeCell ref="F37:Q37"/>
    <mergeCell ref="R37:T37"/>
    <mergeCell ref="U37:Z37"/>
    <mergeCell ref="F38:R38"/>
    <mergeCell ref="S38:T38"/>
    <mergeCell ref="U38:Z38"/>
    <mergeCell ref="F31:P31"/>
    <mergeCell ref="Q31:R31"/>
    <mergeCell ref="S31:Z31"/>
    <mergeCell ref="F32:P32"/>
    <mergeCell ref="Q32:S32"/>
    <mergeCell ref="T32:Z32"/>
    <mergeCell ref="F33:Z33"/>
    <mergeCell ref="F34:R34"/>
    <mergeCell ref="S34:T34"/>
    <mergeCell ref="U34:Z34"/>
    <mergeCell ref="R24:Z24"/>
    <mergeCell ref="T25:Z25"/>
    <mergeCell ref="S26:Z26"/>
    <mergeCell ref="S27:Z27"/>
    <mergeCell ref="F28:Z28"/>
    <mergeCell ref="F29:P29"/>
    <mergeCell ref="Q29:R29"/>
    <mergeCell ref="S29:Z29"/>
    <mergeCell ref="F30:Z30"/>
    <mergeCell ref="F55:V55"/>
    <mergeCell ref="W55:Y55"/>
    <mergeCell ref="F56:U56"/>
    <mergeCell ref="V56:W56"/>
    <mergeCell ref="X56:Z56"/>
    <mergeCell ref="V60:W60"/>
    <mergeCell ref="X60:Z60"/>
    <mergeCell ref="F57:V57"/>
    <mergeCell ref="W57:Y57"/>
    <mergeCell ref="F58:V58"/>
    <mergeCell ref="W58:Y58"/>
    <mergeCell ref="F59:W59"/>
    <mergeCell ref="X59:Y59"/>
    <mergeCell ref="F60:U60"/>
    <mergeCell ref="F51:T51"/>
    <mergeCell ref="U51:V51"/>
    <mergeCell ref="W51:Z51"/>
    <mergeCell ref="F52:S52"/>
    <mergeCell ref="T52:U52"/>
    <mergeCell ref="V52:Z52"/>
    <mergeCell ref="F53:Z53"/>
    <mergeCell ref="F54:V54"/>
    <mergeCell ref="W54:Y54"/>
    <mergeCell ref="F46:Z46"/>
    <mergeCell ref="F47:S47"/>
    <mergeCell ref="T47:U47"/>
    <mergeCell ref="V47:Z47"/>
    <mergeCell ref="F48:Z48"/>
    <mergeCell ref="F49:R49"/>
    <mergeCell ref="S49:T49"/>
    <mergeCell ref="U49:Z49"/>
    <mergeCell ref="F50:S50"/>
    <mergeCell ref="T50:U50"/>
    <mergeCell ref="V50:Z50"/>
    <mergeCell ref="F42:T42"/>
    <mergeCell ref="U42:V42"/>
    <mergeCell ref="W42:Z42"/>
    <mergeCell ref="F43:Z43"/>
    <mergeCell ref="F44:T44"/>
    <mergeCell ref="U44:V44"/>
    <mergeCell ref="W44:Z44"/>
    <mergeCell ref="F45:U45"/>
    <mergeCell ref="V45:W45"/>
    <mergeCell ref="X45:Z45"/>
    <mergeCell ref="F19:N19"/>
    <mergeCell ref="O19:P19"/>
    <mergeCell ref="P22:R22"/>
    <mergeCell ref="P24:Q24"/>
    <mergeCell ref="F39:R39"/>
    <mergeCell ref="S39:T39"/>
    <mergeCell ref="U39:Z39"/>
    <mergeCell ref="F40:Z40"/>
    <mergeCell ref="F41:S41"/>
    <mergeCell ref="T41:V41"/>
    <mergeCell ref="W41:Z41"/>
    <mergeCell ref="F22:O24"/>
    <mergeCell ref="F25:Q25"/>
    <mergeCell ref="R25:S25"/>
    <mergeCell ref="F26:P26"/>
    <mergeCell ref="Q26:R26"/>
    <mergeCell ref="F27:O27"/>
    <mergeCell ref="P27:R27"/>
    <mergeCell ref="Q19:Z19"/>
    <mergeCell ref="F20:Z20"/>
    <mergeCell ref="F21:O21"/>
    <mergeCell ref="Q21:Z21"/>
    <mergeCell ref="S22:Z22"/>
    <mergeCell ref="Q23:Z23"/>
    <mergeCell ref="P14:S14"/>
    <mergeCell ref="T14:X14"/>
    <mergeCell ref="Y14:Z14"/>
    <mergeCell ref="F16:Z16"/>
    <mergeCell ref="F17:N17"/>
    <mergeCell ref="P17:Z17"/>
    <mergeCell ref="F18:N18"/>
    <mergeCell ref="O18:P18"/>
    <mergeCell ref="Q18:Z18"/>
    <mergeCell ref="K5:K6"/>
    <mergeCell ref="L5:L6"/>
    <mergeCell ref="M5:M6"/>
    <mergeCell ref="K7:M7"/>
    <mergeCell ref="K9:K10"/>
    <mergeCell ref="G14:K14"/>
    <mergeCell ref="K2:L3"/>
    <mergeCell ref="M2:M3"/>
    <mergeCell ref="K4:M4"/>
    <mergeCell ref="L9:L10"/>
    <mergeCell ref="M9:M10"/>
    <mergeCell ref="L14:O14"/>
    <mergeCell ref="C2:J3"/>
    <mergeCell ref="C5:J7"/>
    <mergeCell ref="C9:J10"/>
    <mergeCell ref="C4:J4"/>
    <mergeCell ref="C8:J8"/>
  </mergeCells>
  <pageMargins left="0.7" right="0.7" top="0.75" bottom="0.75" header="0.3" footer="0.3"/>
  <pageSetup paperSize="9" scale="2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C3602-3258-49D1-A475-C97ECAB73CAA}">
  <dimension ref="B1:N130"/>
  <sheetViews>
    <sheetView showGridLines="0" zoomScale="70" zoomScaleNormal="70" zoomScaleSheetLayoutView="85" zoomScalePageLayoutView="145" workbookViewId="0">
      <selection activeCell="J3" sqref="J3"/>
    </sheetView>
  </sheetViews>
  <sheetFormatPr baseColWidth="10" defaultColWidth="11.42578125" defaultRowHeight="14.25"/>
  <cols>
    <col min="1" max="2" width="2.85546875" style="844" customWidth="1"/>
    <col min="3" max="3" width="11.140625" style="844" customWidth="1"/>
    <col min="4" max="4" width="22.42578125" style="844" customWidth="1"/>
    <col min="5" max="5" width="16.140625" style="911" customWidth="1"/>
    <col min="6" max="6" width="21.5703125" style="844" customWidth="1"/>
    <col min="7" max="7" width="73.28515625" style="844" customWidth="1"/>
    <col min="8" max="8" width="8.7109375" style="844" customWidth="1"/>
    <col min="9" max="9" width="18.85546875" style="844" customWidth="1"/>
    <col min="10" max="10" width="23.85546875" style="844" customWidth="1"/>
    <col min="11" max="11" width="30" style="844" customWidth="1"/>
    <col min="12" max="13" width="2.85546875" style="844" customWidth="1"/>
    <col min="14" max="14" width="33.28515625" style="844" customWidth="1"/>
    <col min="15" max="16384" width="11.42578125" style="844"/>
  </cols>
  <sheetData>
    <row r="1" spans="2:14">
      <c r="B1" s="1223" t="s">
        <v>2453</v>
      </c>
      <c r="C1" s="1223"/>
      <c r="D1" s="1223"/>
      <c r="E1" s="1223"/>
      <c r="F1" s="1223"/>
      <c r="G1" s="1223"/>
    </row>
    <row r="2" spans="2:14">
      <c r="B2" s="1223" t="s">
        <v>2454</v>
      </c>
      <c r="C2" s="1223"/>
      <c r="D2" s="1223"/>
      <c r="E2" s="1223"/>
    </row>
    <row r="3" spans="2:14" ht="15" thickBot="1">
      <c r="C3" s="843">
        <v>1</v>
      </c>
      <c r="D3" s="845">
        <v>2</v>
      </c>
      <c r="E3" s="843">
        <v>3</v>
      </c>
      <c r="F3" s="845">
        <v>4</v>
      </c>
      <c r="G3" s="843">
        <v>5</v>
      </c>
      <c r="H3" s="845">
        <v>6</v>
      </c>
      <c r="I3" s="843">
        <v>7</v>
      </c>
      <c r="J3" s="845">
        <v>8</v>
      </c>
    </row>
    <row r="4" spans="2:14" ht="15.75" thickTop="1" thickBot="1">
      <c r="B4" s="1224"/>
      <c r="C4" s="1225"/>
      <c r="D4" s="1225"/>
      <c r="E4" s="1225"/>
      <c r="F4" s="1225"/>
      <c r="G4" s="1225"/>
      <c r="H4" s="1225"/>
      <c r="I4" s="1225"/>
      <c r="J4" s="1225"/>
      <c r="K4" s="1225"/>
      <c r="L4" s="1226"/>
    </row>
    <row r="5" spans="2:14" ht="31.5" customHeight="1">
      <c r="B5" s="846"/>
      <c r="C5" s="1227" t="s">
        <v>2455</v>
      </c>
      <c r="D5" s="1228"/>
      <c r="E5" s="1228"/>
      <c r="F5" s="1228"/>
      <c r="G5" s="1228"/>
      <c r="H5" s="1228"/>
      <c r="I5" s="1228"/>
      <c r="J5" s="1228"/>
      <c r="K5" s="1229"/>
      <c r="L5" s="847"/>
    </row>
    <row r="6" spans="2:14">
      <c r="B6" s="846"/>
      <c r="C6" s="1230" t="s">
        <v>2456</v>
      </c>
      <c r="D6" s="1231"/>
      <c r="E6" s="1231"/>
      <c r="F6" s="1231"/>
      <c r="G6" s="1231"/>
      <c r="H6" s="1231"/>
      <c r="I6" s="1231"/>
      <c r="J6" s="1231"/>
      <c r="K6" s="1232"/>
      <c r="L6" s="847"/>
    </row>
    <row r="7" spans="2:14" s="850" customFormat="1" ht="15" thickBot="1">
      <c r="B7" s="848"/>
      <c r="C7" s="1220"/>
      <c r="D7" s="1221"/>
      <c r="E7" s="1221"/>
      <c r="F7" s="1221"/>
      <c r="G7" s="1221"/>
      <c r="H7" s="1221"/>
      <c r="I7" s="1221"/>
      <c r="J7" s="1221"/>
      <c r="K7" s="1222"/>
      <c r="L7" s="849"/>
    </row>
    <row r="8" spans="2:14" ht="30" customHeight="1">
      <c r="B8" s="846"/>
      <c r="C8" s="1235" t="s">
        <v>946</v>
      </c>
      <c r="D8" s="1237" t="s">
        <v>2457</v>
      </c>
      <c r="E8" s="1239" t="s">
        <v>948</v>
      </c>
      <c r="F8" s="1239"/>
      <c r="G8" s="1235" t="s">
        <v>240</v>
      </c>
      <c r="H8" s="1237" t="s">
        <v>949</v>
      </c>
      <c r="I8" s="1237" t="s">
        <v>950</v>
      </c>
      <c r="J8" s="1240" t="s">
        <v>951</v>
      </c>
      <c r="K8" s="1242" t="s">
        <v>952</v>
      </c>
      <c r="L8" s="847"/>
    </row>
    <row r="9" spans="2:14" ht="30" customHeight="1" thickBot="1">
      <c r="B9" s="846"/>
      <c r="C9" s="1236"/>
      <c r="D9" s="1238"/>
      <c r="E9" s="851" t="s">
        <v>953</v>
      </c>
      <c r="F9" s="851" t="s">
        <v>954</v>
      </c>
      <c r="G9" s="1236"/>
      <c r="H9" s="1238"/>
      <c r="I9" s="1238"/>
      <c r="J9" s="1241"/>
      <c r="K9" s="1243"/>
      <c r="L9" s="847"/>
    </row>
    <row r="10" spans="2:14" ht="30" customHeight="1" thickBot="1">
      <c r="B10" s="846"/>
      <c r="C10" s="1233" t="s">
        <v>973</v>
      </c>
      <c r="D10" s="1234"/>
      <c r="E10" s="1234"/>
      <c r="F10" s="1234"/>
      <c r="G10" s="1234"/>
      <c r="H10" s="1234"/>
      <c r="I10" s="852"/>
      <c r="J10" s="852"/>
      <c r="K10" s="825"/>
      <c r="L10" s="847"/>
      <c r="N10" s="853">
        <v>0.96220000000000006</v>
      </c>
    </row>
    <row r="11" spans="2:14" ht="30" customHeight="1">
      <c r="B11" s="846"/>
      <c r="C11" s="854">
        <v>1.1000000000000001</v>
      </c>
      <c r="D11" s="855">
        <v>1.1000000000000001</v>
      </c>
      <c r="E11" s="855" t="s">
        <v>2458</v>
      </c>
      <c r="F11" s="855" t="s">
        <v>2458</v>
      </c>
      <c r="G11" s="856" t="s">
        <v>977</v>
      </c>
      <c r="H11" s="855" t="s">
        <v>978</v>
      </c>
      <c r="I11" s="857">
        <v>130</v>
      </c>
      <c r="J11" s="858">
        <f>+ROUND(N11*N$10,0)</f>
        <v>6608</v>
      </c>
      <c r="K11" s="859">
        <f>ROUND(J11*I11,0)</f>
        <v>859040</v>
      </c>
      <c r="L11" s="847"/>
      <c r="N11" s="844">
        <v>6868</v>
      </c>
    </row>
    <row r="12" spans="2:14" ht="30" customHeight="1">
      <c r="B12" s="846"/>
      <c r="C12" s="860" t="s">
        <v>980</v>
      </c>
      <c r="D12" s="860" t="s">
        <v>980</v>
      </c>
      <c r="E12" s="855" t="s">
        <v>2458</v>
      </c>
      <c r="F12" s="855" t="s">
        <v>2458</v>
      </c>
      <c r="G12" s="861" t="s">
        <v>2459</v>
      </c>
      <c r="H12" s="862" t="s">
        <v>978</v>
      </c>
      <c r="I12" s="863">
        <v>60</v>
      </c>
      <c r="J12" s="858">
        <f t="shared" ref="J12:J13" si="0">+ROUND(N12*N$10,0)</f>
        <v>10496</v>
      </c>
      <c r="K12" s="859">
        <f t="shared" ref="K12:K13" si="1">ROUND(J12*I12,0)</f>
        <v>629760</v>
      </c>
      <c r="L12" s="847"/>
      <c r="N12" s="844">
        <v>10908</v>
      </c>
    </row>
    <row r="13" spans="2:14" ht="61.5" customHeight="1">
      <c r="B13" s="846"/>
      <c r="C13" s="860" t="s">
        <v>983</v>
      </c>
      <c r="D13" s="860" t="s">
        <v>983</v>
      </c>
      <c r="E13" s="855" t="s">
        <v>2458</v>
      </c>
      <c r="F13" s="855" t="s">
        <v>2458</v>
      </c>
      <c r="G13" s="861" t="s">
        <v>2460</v>
      </c>
      <c r="H13" s="862" t="s">
        <v>1045</v>
      </c>
      <c r="I13" s="863">
        <v>39.5</v>
      </c>
      <c r="J13" s="858">
        <f t="shared" si="0"/>
        <v>79834</v>
      </c>
      <c r="K13" s="859">
        <f t="shared" si="1"/>
        <v>3153443</v>
      </c>
      <c r="L13" s="847"/>
      <c r="N13" s="844">
        <v>82970</v>
      </c>
    </row>
    <row r="14" spans="2:14" ht="30" customHeight="1" thickBot="1">
      <c r="B14" s="846"/>
      <c r="C14" s="864" t="s">
        <v>67</v>
      </c>
      <c r="D14" s="865"/>
      <c r="E14" s="865"/>
      <c r="F14" s="865"/>
      <c r="G14" s="866"/>
      <c r="H14" s="865"/>
      <c r="I14" s="857"/>
      <c r="J14" s="867"/>
      <c r="K14" s="868">
        <f>SUM(K11:K13)</f>
        <v>4642243</v>
      </c>
      <c r="L14" s="847"/>
    </row>
    <row r="15" spans="2:14" ht="30" customHeight="1" thickBot="1">
      <c r="B15" s="846"/>
      <c r="C15" s="1233" t="s">
        <v>987</v>
      </c>
      <c r="D15" s="1234"/>
      <c r="E15" s="1234"/>
      <c r="F15" s="1234"/>
      <c r="G15" s="1234"/>
      <c r="H15" s="1234"/>
      <c r="I15" s="852"/>
      <c r="J15" s="852"/>
      <c r="K15" s="825"/>
      <c r="L15" s="847"/>
    </row>
    <row r="16" spans="2:14" ht="30" customHeight="1">
      <c r="B16" s="846"/>
      <c r="C16" s="860" t="s">
        <v>989</v>
      </c>
      <c r="D16" s="860" t="s">
        <v>989</v>
      </c>
      <c r="E16" s="855" t="s">
        <v>2458</v>
      </c>
      <c r="F16" s="855" t="s">
        <v>2458</v>
      </c>
      <c r="G16" s="861" t="s">
        <v>2461</v>
      </c>
      <c r="H16" s="862" t="s">
        <v>978</v>
      </c>
      <c r="I16" s="863">
        <v>4.51</v>
      </c>
      <c r="J16" s="858">
        <f t="shared" ref="J16:J22" si="2">+ROUND(N16*N$10,0)</f>
        <v>60382</v>
      </c>
      <c r="K16" s="859">
        <f t="shared" ref="K16:K22" si="3">ROUND(J16*I16,0)</f>
        <v>272323</v>
      </c>
      <c r="L16" s="847"/>
      <c r="N16" s="844">
        <v>62754</v>
      </c>
    </row>
    <row r="17" spans="2:14" ht="30" customHeight="1">
      <c r="B17" s="846"/>
      <c r="C17" s="860" t="s">
        <v>992</v>
      </c>
      <c r="D17" s="860" t="s">
        <v>992</v>
      </c>
      <c r="E17" s="855" t="s">
        <v>2458</v>
      </c>
      <c r="F17" s="855" t="s">
        <v>2458</v>
      </c>
      <c r="G17" s="861" t="s">
        <v>2462</v>
      </c>
      <c r="H17" s="862" t="s">
        <v>978</v>
      </c>
      <c r="I17" s="863">
        <v>161.35</v>
      </c>
      <c r="J17" s="858">
        <f t="shared" si="2"/>
        <v>36403</v>
      </c>
      <c r="K17" s="859">
        <f t="shared" si="3"/>
        <v>5873624</v>
      </c>
      <c r="L17" s="847"/>
      <c r="N17" s="844">
        <v>37833</v>
      </c>
    </row>
    <row r="18" spans="2:14" ht="30" customHeight="1">
      <c r="B18" s="846"/>
      <c r="C18" s="860" t="s">
        <v>995</v>
      </c>
      <c r="D18" s="860" t="s">
        <v>995</v>
      </c>
      <c r="E18" s="855" t="s">
        <v>2458</v>
      </c>
      <c r="F18" s="855" t="s">
        <v>2458</v>
      </c>
      <c r="G18" s="861" t="s">
        <v>2463</v>
      </c>
      <c r="H18" s="862" t="s">
        <v>978</v>
      </c>
      <c r="I18" s="863">
        <v>8.5</v>
      </c>
      <c r="J18" s="858">
        <f t="shared" si="2"/>
        <v>33746</v>
      </c>
      <c r="K18" s="859">
        <f t="shared" si="3"/>
        <v>286841</v>
      </c>
      <c r="L18" s="847"/>
      <c r="N18" s="844">
        <v>35072</v>
      </c>
    </row>
    <row r="19" spans="2:14" ht="30" customHeight="1">
      <c r="B19" s="846"/>
      <c r="C19" s="860" t="s">
        <v>998</v>
      </c>
      <c r="D19" s="860" t="s">
        <v>998</v>
      </c>
      <c r="E19" s="855" t="s">
        <v>2458</v>
      </c>
      <c r="F19" s="855" t="s">
        <v>2458</v>
      </c>
      <c r="G19" s="861" t="s">
        <v>2464</v>
      </c>
      <c r="H19" s="862" t="s">
        <v>1045</v>
      </c>
      <c r="I19" s="863">
        <v>11.66</v>
      </c>
      <c r="J19" s="858">
        <f t="shared" si="2"/>
        <v>44582</v>
      </c>
      <c r="K19" s="859">
        <f t="shared" si="3"/>
        <v>519826</v>
      </c>
      <c r="L19" s="847"/>
      <c r="N19" s="844">
        <v>46333</v>
      </c>
    </row>
    <row r="20" spans="2:14" ht="30" customHeight="1">
      <c r="B20" s="846"/>
      <c r="C20" s="860" t="s">
        <v>1001</v>
      </c>
      <c r="D20" s="860" t="s">
        <v>1001</v>
      </c>
      <c r="E20" s="855" t="s">
        <v>2458</v>
      </c>
      <c r="F20" s="855" t="s">
        <v>2458</v>
      </c>
      <c r="G20" s="861" t="s">
        <v>2465</v>
      </c>
      <c r="H20" s="862" t="s">
        <v>1045</v>
      </c>
      <c r="I20" s="863">
        <v>247.9</v>
      </c>
      <c r="J20" s="858">
        <f t="shared" si="2"/>
        <v>19524</v>
      </c>
      <c r="K20" s="859">
        <f t="shared" si="3"/>
        <v>4840000</v>
      </c>
      <c r="L20" s="847"/>
      <c r="N20" s="844">
        <v>20291</v>
      </c>
    </row>
    <row r="21" spans="2:14" ht="30" customHeight="1">
      <c r="B21" s="846"/>
      <c r="C21" s="860" t="s">
        <v>1004</v>
      </c>
      <c r="D21" s="860" t="s">
        <v>1004</v>
      </c>
      <c r="E21" s="855" t="s">
        <v>2458</v>
      </c>
      <c r="F21" s="855" t="s">
        <v>2458</v>
      </c>
      <c r="G21" s="861" t="s">
        <v>2466</v>
      </c>
      <c r="H21" s="862" t="s">
        <v>978</v>
      </c>
      <c r="I21" s="863">
        <v>5.46</v>
      </c>
      <c r="J21" s="858">
        <f t="shared" si="2"/>
        <v>14540</v>
      </c>
      <c r="K21" s="859">
        <f t="shared" si="3"/>
        <v>79388</v>
      </c>
      <c r="L21" s="847"/>
      <c r="N21" s="844">
        <v>15111</v>
      </c>
    </row>
    <row r="22" spans="2:14" ht="30" customHeight="1">
      <c r="B22" s="846"/>
      <c r="C22" s="860" t="s">
        <v>1007</v>
      </c>
      <c r="D22" s="860" t="s">
        <v>1007</v>
      </c>
      <c r="E22" s="855" t="s">
        <v>2458</v>
      </c>
      <c r="F22" s="855" t="s">
        <v>2458</v>
      </c>
      <c r="G22" s="861" t="s">
        <v>2467</v>
      </c>
      <c r="H22" s="862" t="s">
        <v>978</v>
      </c>
      <c r="I22" s="863">
        <v>3</v>
      </c>
      <c r="J22" s="858">
        <f t="shared" si="2"/>
        <v>24269</v>
      </c>
      <c r="K22" s="859">
        <f t="shared" si="3"/>
        <v>72807</v>
      </c>
      <c r="L22" s="847"/>
      <c r="N22" s="844">
        <v>25222</v>
      </c>
    </row>
    <row r="23" spans="2:14" ht="30" customHeight="1" thickBot="1">
      <c r="B23" s="846"/>
      <c r="C23" s="864" t="s">
        <v>67</v>
      </c>
      <c r="D23" s="869"/>
      <c r="E23" s="869"/>
      <c r="F23" s="869"/>
      <c r="G23" s="870"/>
      <c r="H23" s="869"/>
      <c r="I23" s="857"/>
      <c r="J23" s="869"/>
      <c r="K23" s="868">
        <f>SUM(K16:K22)</f>
        <v>11944809</v>
      </c>
      <c r="L23" s="847"/>
    </row>
    <row r="24" spans="2:14" ht="30" customHeight="1" thickBot="1">
      <c r="B24" s="846"/>
      <c r="C24" s="1233" t="s">
        <v>1009</v>
      </c>
      <c r="D24" s="1234"/>
      <c r="E24" s="1234"/>
      <c r="F24" s="1234"/>
      <c r="G24" s="1234"/>
      <c r="H24" s="1234"/>
      <c r="I24" s="852"/>
      <c r="J24" s="852"/>
      <c r="K24" s="825"/>
      <c r="L24" s="847"/>
    </row>
    <row r="25" spans="2:14" ht="30" customHeight="1">
      <c r="B25" s="846"/>
      <c r="C25" s="860" t="s">
        <v>1011</v>
      </c>
      <c r="D25" s="860" t="s">
        <v>1011</v>
      </c>
      <c r="E25" s="855" t="s">
        <v>2458</v>
      </c>
      <c r="F25" s="855" t="s">
        <v>2458</v>
      </c>
      <c r="G25" s="861" t="s">
        <v>2468</v>
      </c>
      <c r="H25" s="871" t="s">
        <v>777</v>
      </c>
      <c r="I25" s="857">
        <v>10.85</v>
      </c>
      <c r="J25" s="858">
        <f>+ROUND(N25*N$10,0)</f>
        <v>72806</v>
      </c>
      <c r="K25" s="859">
        <f t="shared" ref="K25" si="4">ROUND(J25*I25,0)</f>
        <v>789945</v>
      </c>
      <c r="L25" s="847"/>
      <c r="N25" s="844">
        <v>75666</v>
      </c>
    </row>
    <row r="26" spans="2:14" ht="30" customHeight="1" thickBot="1">
      <c r="B26" s="846"/>
      <c r="C26" s="872" t="s">
        <v>67</v>
      </c>
      <c r="D26" s="873"/>
      <c r="E26" s="873"/>
      <c r="F26" s="873"/>
      <c r="G26" s="874"/>
      <c r="H26" s="873"/>
      <c r="I26" s="857"/>
      <c r="J26" s="875"/>
      <c r="K26" s="868">
        <f>SUM(K25)</f>
        <v>789945</v>
      </c>
      <c r="L26" s="847"/>
    </row>
    <row r="27" spans="2:14" ht="30" customHeight="1" thickBot="1">
      <c r="B27" s="846"/>
      <c r="C27" s="1233" t="s">
        <v>2469</v>
      </c>
      <c r="D27" s="1234"/>
      <c r="E27" s="1234"/>
      <c r="F27" s="1234"/>
      <c r="G27" s="1234"/>
      <c r="H27" s="1234"/>
      <c r="I27" s="852"/>
      <c r="J27" s="852"/>
      <c r="K27" s="825"/>
      <c r="L27" s="847"/>
    </row>
    <row r="28" spans="2:14" ht="30" customHeight="1">
      <c r="B28" s="846"/>
      <c r="C28" s="860" t="s">
        <v>1015</v>
      </c>
      <c r="D28" s="860" t="s">
        <v>1015</v>
      </c>
      <c r="E28" s="855" t="s">
        <v>2458</v>
      </c>
      <c r="F28" s="855" t="s">
        <v>2458</v>
      </c>
      <c r="G28" s="861" t="s">
        <v>2470</v>
      </c>
      <c r="H28" s="862" t="s">
        <v>978</v>
      </c>
      <c r="I28" s="863">
        <v>6.41</v>
      </c>
      <c r="J28" s="858">
        <f t="shared" ref="J28:J29" si="5">+ROUND(N28*N$10,0)</f>
        <v>115410</v>
      </c>
      <c r="K28" s="859">
        <f t="shared" ref="K28:K29" si="6">ROUND(J28*I28,0)</f>
        <v>739778</v>
      </c>
      <c r="L28" s="847"/>
      <c r="N28" s="844">
        <v>119944</v>
      </c>
    </row>
    <row r="29" spans="2:14" ht="53.25" customHeight="1">
      <c r="B29" s="846"/>
      <c r="C29" s="860" t="s">
        <v>1018</v>
      </c>
      <c r="D29" s="860" t="s">
        <v>1018</v>
      </c>
      <c r="E29" s="855" t="s">
        <v>2458</v>
      </c>
      <c r="F29" s="855" t="s">
        <v>2458</v>
      </c>
      <c r="G29" s="861" t="s">
        <v>2471</v>
      </c>
      <c r="H29" s="862" t="s">
        <v>978</v>
      </c>
      <c r="I29" s="863">
        <v>152.78</v>
      </c>
      <c r="J29" s="858">
        <f t="shared" si="5"/>
        <v>72197</v>
      </c>
      <c r="K29" s="859">
        <f t="shared" si="6"/>
        <v>11030258</v>
      </c>
      <c r="L29" s="847"/>
      <c r="N29" s="844">
        <v>75033</v>
      </c>
    </row>
    <row r="30" spans="2:14" ht="30" customHeight="1" thickBot="1">
      <c r="B30" s="846"/>
      <c r="C30" s="864" t="s">
        <v>67</v>
      </c>
      <c r="D30" s="876"/>
      <c r="E30" s="876"/>
      <c r="F30" s="876"/>
      <c r="G30" s="877"/>
      <c r="H30" s="878"/>
      <c r="I30" s="857"/>
      <c r="J30" s="867"/>
      <c r="K30" s="868">
        <f>SUM(K28:K29)</f>
        <v>11770036</v>
      </c>
      <c r="L30" s="847"/>
    </row>
    <row r="31" spans="2:14" ht="30" customHeight="1" thickBot="1">
      <c r="B31" s="846"/>
      <c r="C31" s="1233" t="s">
        <v>1020</v>
      </c>
      <c r="D31" s="1234"/>
      <c r="E31" s="1234"/>
      <c r="F31" s="1234"/>
      <c r="G31" s="1234"/>
      <c r="H31" s="1234"/>
      <c r="I31" s="852"/>
      <c r="J31" s="852"/>
      <c r="K31" s="825"/>
      <c r="L31" s="847"/>
    </row>
    <row r="32" spans="2:14" ht="30" customHeight="1">
      <c r="B32" s="846"/>
      <c r="C32" s="918" t="s">
        <v>1022</v>
      </c>
      <c r="D32" s="860">
        <v>5.0999999999999996</v>
      </c>
      <c r="E32" s="855" t="s">
        <v>2458</v>
      </c>
      <c r="F32" s="855" t="s">
        <v>2458</v>
      </c>
      <c r="G32" s="861" t="s">
        <v>2472</v>
      </c>
      <c r="H32" s="871" t="s">
        <v>777</v>
      </c>
      <c r="I32" s="857">
        <v>12.52</v>
      </c>
      <c r="J32" s="858">
        <f>+ROUND(N32*N$10,0)</f>
        <v>150054</v>
      </c>
      <c r="K32" s="859">
        <f t="shared" ref="K32" si="7">ROUND(J32*I32,0)</f>
        <v>1878676</v>
      </c>
      <c r="L32" s="847"/>
      <c r="N32" s="844">
        <v>155949</v>
      </c>
    </row>
    <row r="33" spans="2:14" ht="30" customHeight="1" thickBot="1">
      <c r="B33" s="846"/>
      <c r="C33" s="872" t="s">
        <v>67</v>
      </c>
      <c r="D33" s="873"/>
      <c r="E33" s="873"/>
      <c r="F33" s="873"/>
      <c r="G33" s="874"/>
      <c r="H33" s="873"/>
      <c r="I33" s="857"/>
      <c r="J33" s="875"/>
      <c r="K33" s="868">
        <f>SUM(K32)</f>
        <v>1878676</v>
      </c>
      <c r="L33" s="847"/>
    </row>
    <row r="34" spans="2:14" ht="30" customHeight="1" thickBot="1">
      <c r="B34" s="846"/>
      <c r="C34" s="1233" t="s">
        <v>1024</v>
      </c>
      <c r="D34" s="1234"/>
      <c r="E34" s="1234"/>
      <c r="F34" s="1234"/>
      <c r="G34" s="1234"/>
      <c r="H34" s="1234"/>
      <c r="I34" s="852"/>
      <c r="J34" s="852"/>
      <c r="K34" s="825"/>
      <c r="L34" s="847"/>
    </row>
    <row r="35" spans="2:14" ht="63" customHeight="1">
      <c r="B35" s="846"/>
      <c r="C35" s="860" t="s">
        <v>1026</v>
      </c>
      <c r="D35" s="860" t="s">
        <v>1026</v>
      </c>
      <c r="E35" s="855" t="s">
        <v>2458</v>
      </c>
      <c r="F35" s="855" t="s">
        <v>2458</v>
      </c>
      <c r="G35" s="879" t="s">
        <v>1027</v>
      </c>
      <c r="H35" s="862" t="s">
        <v>1045</v>
      </c>
      <c r="I35" s="857">
        <v>247.9</v>
      </c>
      <c r="J35" s="858">
        <f t="shared" ref="J35:J38" si="8">+ROUND(N35*N$10,0)</f>
        <v>150635</v>
      </c>
      <c r="K35" s="859">
        <f t="shared" ref="K35:K38" si="9">ROUND(J35*I35,0)</f>
        <v>37342417</v>
      </c>
      <c r="L35" s="847"/>
      <c r="N35" s="844">
        <v>156553</v>
      </c>
    </row>
    <row r="36" spans="2:14" ht="58.5" customHeight="1">
      <c r="B36" s="846"/>
      <c r="C36" s="860" t="s">
        <v>1029</v>
      </c>
      <c r="D36" s="860" t="s">
        <v>1029</v>
      </c>
      <c r="E36" s="855" t="s">
        <v>2458</v>
      </c>
      <c r="F36" s="855" t="s">
        <v>2458</v>
      </c>
      <c r="G36" s="879" t="s">
        <v>1030</v>
      </c>
      <c r="H36" s="880" t="s">
        <v>978</v>
      </c>
      <c r="I36" s="863">
        <v>155</v>
      </c>
      <c r="J36" s="858">
        <f t="shared" si="8"/>
        <v>62695</v>
      </c>
      <c r="K36" s="859">
        <f t="shared" si="9"/>
        <v>9717725</v>
      </c>
      <c r="L36" s="847"/>
      <c r="N36" s="844">
        <v>65158</v>
      </c>
    </row>
    <row r="37" spans="2:14" ht="43.5" customHeight="1">
      <c r="B37" s="846"/>
      <c r="C37" s="860" t="s">
        <v>1032</v>
      </c>
      <c r="D37" s="860" t="s">
        <v>1032</v>
      </c>
      <c r="E37" s="855" t="s">
        <v>2458</v>
      </c>
      <c r="F37" s="855" t="s">
        <v>2458</v>
      </c>
      <c r="G37" s="879" t="s">
        <v>1033</v>
      </c>
      <c r="H37" s="862" t="s">
        <v>1034</v>
      </c>
      <c r="I37" s="863">
        <v>22</v>
      </c>
      <c r="J37" s="858">
        <f t="shared" si="8"/>
        <v>130795</v>
      </c>
      <c r="K37" s="859">
        <f t="shared" si="9"/>
        <v>2877490</v>
      </c>
      <c r="L37" s="847"/>
      <c r="N37" s="844">
        <v>135933</v>
      </c>
    </row>
    <row r="38" spans="2:14" ht="43.5" customHeight="1">
      <c r="B38" s="846"/>
      <c r="C38" s="860" t="s">
        <v>1036</v>
      </c>
      <c r="D38" s="860" t="s">
        <v>1036</v>
      </c>
      <c r="E38" s="855" t="s">
        <v>2458</v>
      </c>
      <c r="F38" s="855" t="s">
        <v>2458</v>
      </c>
      <c r="G38" s="879" t="s">
        <v>1037</v>
      </c>
      <c r="H38" s="862" t="s">
        <v>1034</v>
      </c>
      <c r="I38" s="863">
        <v>6</v>
      </c>
      <c r="J38" s="858">
        <f t="shared" si="8"/>
        <v>136558</v>
      </c>
      <c r="K38" s="859">
        <f t="shared" si="9"/>
        <v>819348</v>
      </c>
      <c r="L38" s="847"/>
      <c r="N38" s="844">
        <v>141923</v>
      </c>
    </row>
    <row r="39" spans="2:14" ht="30" customHeight="1" thickBot="1">
      <c r="B39" s="846"/>
      <c r="C39" s="864" t="s">
        <v>67</v>
      </c>
      <c r="D39" s="865"/>
      <c r="E39" s="865"/>
      <c r="F39" s="865"/>
      <c r="G39" s="866"/>
      <c r="H39" s="865"/>
      <c r="I39" s="857"/>
      <c r="J39" s="858"/>
      <c r="K39" s="868">
        <f>SUM(K35:K38)</f>
        <v>50756980</v>
      </c>
      <c r="L39" s="847"/>
    </row>
    <row r="40" spans="2:14" ht="30" customHeight="1" thickBot="1">
      <c r="B40" s="846"/>
      <c r="C40" s="1233" t="s">
        <v>1038</v>
      </c>
      <c r="D40" s="1234"/>
      <c r="E40" s="1234"/>
      <c r="F40" s="1234"/>
      <c r="G40" s="1234"/>
      <c r="H40" s="1234"/>
      <c r="I40" s="852"/>
      <c r="J40" s="852"/>
      <c r="K40" s="825"/>
      <c r="L40" s="847"/>
    </row>
    <row r="41" spans="2:14" ht="48.75" customHeight="1">
      <c r="B41" s="846"/>
      <c r="C41" s="918" t="s">
        <v>1040</v>
      </c>
      <c r="D41" s="860">
        <v>7.1</v>
      </c>
      <c r="E41" s="855" t="s">
        <v>2458</v>
      </c>
      <c r="F41" s="855" t="s">
        <v>2458</v>
      </c>
      <c r="G41" s="879" t="s">
        <v>1041</v>
      </c>
      <c r="H41" s="862" t="s">
        <v>978</v>
      </c>
      <c r="I41" s="863">
        <v>9.33</v>
      </c>
      <c r="J41" s="858">
        <f t="shared" ref="J41:J42" si="10">+ROUND(N41*N$10,0)</f>
        <v>392555</v>
      </c>
      <c r="K41" s="859">
        <f t="shared" ref="K41:K42" si="11">ROUND(J41*I41,0)</f>
        <v>3662538</v>
      </c>
      <c r="L41" s="847"/>
      <c r="N41" s="844">
        <v>407977</v>
      </c>
    </row>
    <row r="42" spans="2:14" ht="30" customHeight="1">
      <c r="B42" s="846"/>
      <c r="C42" s="918" t="s">
        <v>1043</v>
      </c>
      <c r="D42" s="860">
        <v>7.2</v>
      </c>
      <c r="E42" s="855" t="s">
        <v>2458</v>
      </c>
      <c r="F42" s="855" t="s">
        <v>2458</v>
      </c>
      <c r="G42" s="881" t="s">
        <v>1044</v>
      </c>
      <c r="H42" s="862" t="s">
        <v>1045</v>
      </c>
      <c r="I42" s="863">
        <v>7.21</v>
      </c>
      <c r="J42" s="858">
        <f t="shared" si="10"/>
        <v>63833</v>
      </c>
      <c r="K42" s="859">
        <f t="shared" si="11"/>
        <v>460236</v>
      </c>
      <c r="L42" s="847"/>
      <c r="N42" s="844">
        <v>66341</v>
      </c>
    </row>
    <row r="43" spans="2:14" ht="30" customHeight="1" thickBot="1">
      <c r="B43" s="846"/>
      <c r="C43" s="864" t="s">
        <v>67</v>
      </c>
      <c r="D43" s="876"/>
      <c r="E43" s="876"/>
      <c r="F43" s="876"/>
      <c r="G43" s="877"/>
      <c r="H43" s="878"/>
      <c r="I43" s="857"/>
      <c r="J43" s="867"/>
      <c r="K43" s="868">
        <f>SUM(K41:K42)</f>
        <v>4122774</v>
      </c>
      <c r="L43" s="847"/>
    </row>
    <row r="44" spans="2:14" ht="30" customHeight="1" thickBot="1">
      <c r="B44" s="846"/>
      <c r="C44" s="1233" t="s">
        <v>1046</v>
      </c>
      <c r="D44" s="1234"/>
      <c r="E44" s="1234"/>
      <c r="F44" s="1234"/>
      <c r="G44" s="1234"/>
      <c r="H44" s="1234"/>
      <c r="I44" s="852"/>
      <c r="J44" s="852"/>
      <c r="K44" s="825"/>
      <c r="L44" s="847"/>
    </row>
    <row r="45" spans="2:14" ht="48.75" customHeight="1">
      <c r="B45" s="846"/>
      <c r="C45" s="860" t="s">
        <v>1048</v>
      </c>
      <c r="D45" s="860" t="s">
        <v>1048</v>
      </c>
      <c r="E45" s="855" t="s">
        <v>2458</v>
      </c>
      <c r="F45" s="855" t="s">
        <v>2458</v>
      </c>
      <c r="G45" s="879" t="s">
        <v>1049</v>
      </c>
      <c r="H45" s="862" t="s">
        <v>978</v>
      </c>
      <c r="I45" s="863">
        <v>161.35</v>
      </c>
      <c r="J45" s="858">
        <f t="shared" ref="J45:J46" si="12">+ROUND(N45*N$10,0)</f>
        <v>46992</v>
      </c>
      <c r="K45" s="859">
        <f t="shared" ref="K45:K46" si="13">ROUND(J45*I45,0)</f>
        <v>7582159</v>
      </c>
      <c r="L45" s="847"/>
      <c r="N45" s="844">
        <v>48838</v>
      </c>
    </row>
    <row r="46" spans="2:14" ht="30" customHeight="1">
      <c r="B46" s="846"/>
      <c r="C46" s="860" t="s">
        <v>1051</v>
      </c>
      <c r="D46" s="860" t="s">
        <v>1051</v>
      </c>
      <c r="E46" s="855" t="s">
        <v>2458</v>
      </c>
      <c r="F46" s="855" t="s">
        <v>2458</v>
      </c>
      <c r="G46" s="881" t="s">
        <v>1052</v>
      </c>
      <c r="H46" s="862" t="s">
        <v>978</v>
      </c>
      <c r="I46" s="863">
        <v>161.35</v>
      </c>
      <c r="J46" s="858">
        <f t="shared" si="12"/>
        <v>102192</v>
      </c>
      <c r="K46" s="859">
        <f t="shared" si="13"/>
        <v>16488679</v>
      </c>
      <c r="L46" s="847"/>
      <c r="N46" s="844">
        <v>106207</v>
      </c>
    </row>
    <row r="47" spans="2:14" ht="30" customHeight="1" thickBot="1">
      <c r="B47" s="846"/>
      <c r="C47" s="864" t="s">
        <v>67</v>
      </c>
      <c r="D47" s="876"/>
      <c r="E47" s="876"/>
      <c r="F47" s="876"/>
      <c r="G47" s="877"/>
      <c r="H47" s="878"/>
      <c r="I47" s="857"/>
      <c r="J47" s="867"/>
      <c r="K47" s="868">
        <f>SUM(K45:K46)</f>
        <v>24070838</v>
      </c>
      <c r="L47" s="847"/>
    </row>
    <row r="48" spans="2:14" ht="30" customHeight="1" thickBot="1">
      <c r="B48" s="846"/>
      <c r="C48" s="1233" t="s">
        <v>1053</v>
      </c>
      <c r="D48" s="1234"/>
      <c r="E48" s="1234"/>
      <c r="F48" s="1234"/>
      <c r="G48" s="1234"/>
      <c r="H48" s="1234"/>
      <c r="I48" s="852"/>
      <c r="J48" s="852"/>
      <c r="K48" s="825"/>
      <c r="L48" s="847"/>
    </row>
    <row r="49" spans="2:14" ht="30" customHeight="1">
      <c r="B49" s="846"/>
      <c r="C49" s="860" t="s">
        <v>1055</v>
      </c>
      <c r="D49" s="860" t="s">
        <v>1055</v>
      </c>
      <c r="E49" s="855" t="s">
        <v>2458</v>
      </c>
      <c r="F49" s="855" t="s">
        <v>2458</v>
      </c>
      <c r="G49" s="861" t="s">
        <v>2473</v>
      </c>
      <c r="H49" s="871" t="s">
        <v>978</v>
      </c>
      <c r="I49" s="857">
        <v>13.42</v>
      </c>
      <c r="J49" s="858">
        <f>+ROUND(N49*N$10,0)</f>
        <v>229042</v>
      </c>
      <c r="K49" s="859">
        <f t="shared" ref="K49" si="14">ROUND(J49*I49,0)</f>
        <v>3073744</v>
      </c>
      <c r="L49" s="847"/>
      <c r="N49" s="844">
        <v>238040</v>
      </c>
    </row>
    <row r="50" spans="2:14" ht="30" customHeight="1" thickBot="1">
      <c r="B50" s="846"/>
      <c r="C50" s="872" t="s">
        <v>67</v>
      </c>
      <c r="D50" s="873"/>
      <c r="E50" s="873"/>
      <c r="F50" s="873"/>
      <c r="G50" s="874"/>
      <c r="H50" s="873"/>
      <c r="I50" s="857"/>
      <c r="J50" s="875"/>
      <c r="K50" s="868">
        <f>SUM(K49)</f>
        <v>3073744</v>
      </c>
      <c r="L50" s="847"/>
    </row>
    <row r="51" spans="2:14" ht="30" customHeight="1" thickBot="1">
      <c r="B51" s="846"/>
      <c r="C51" s="1233" t="s">
        <v>1057</v>
      </c>
      <c r="D51" s="1234"/>
      <c r="E51" s="1234"/>
      <c r="F51" s="1234"/>
      <c r="G51" s="1234"/>
      <c r="H51" s="1234"/>
      <c r="I51" s="852"/>
      <c r="J51" s="852"/>
      <c r="K51" s="825"/>
      <c r="L51" s="847"/>
    </row>
    <row r="52" spans="2:14" ht="48" customHeight="1">
      <c r="B52" s="846"/>
      <c r="C52" s="860" t="s">
        <v>1059</v>
      </c>
      <c r="D52" s="860" t="s">
        <v>1059</v>
      </c>
      <c r="E52" s="855" t="s">
        <v>2458</v>
      </c>
      <c r="F52" s="855" t="s">
        <v>2458</v>
      </c>
      <c r="G52" s="879" t="s">
        <v>1060</v>
      </c>
      <c r="H52" s="862" t="s">
        <v>1034</v>
      </c>
      <c r="I52" s="863">
        <v>1</v>
      </c>
      <c r="J52" s="858">
        <f t="shared" ref="J52:J55" si="15">+ROUND(N52*N$10,0)</f>
        <v>1240945</v>
      </c>
      <c r="K52" s="859">
        <f t="shared" ref="K52:K55" si="16">ROUND(J52*I52,0)</f>
        <v>1240945</v>
      </c>
      <c r="L52" s="847"/>
      <c r="N52" s="844">
        <v>1289696</v>
      </c>
    </row>
    <row r="53" spans="2:14" ht="58.5" customHeight="1">
      <c r="B53" s="846"/>
      <c r="C53" s="860" t="s">
        <v>1062</v>
      </c>
      <c r="D53" s="860" t="s">
        <v>1062</v>
      </c>
      <c r="E53" s="855" t="s">
        <v>2458</v>
      </c>
      <c r="F53" s="855" t="s">
        <v>2458</v>
      </c>
      <c r="G53" s="879" t="s">
        <v>1063</v>
      </c>
      <c r="H53" s="862" t="s">
        <v>1045</v>
      </c>
      <c r="I53" s="863">
        <v>6.54</v>
      </c>
      <c r="J53" s="858">
        <f t="shared" si="15"/>
        <v>60296</v>
      </c>
      <c r="K53" s="859">
        <f t="shared" si="16"/>
        <v>394336</v>
      </c>
      <c r="L53" s="847"/>
      <c r="N53" s="844">
        <v>62665</v>
      </c>
    </row>
    <row r="54" spans="2:14" ht="43.5" customHeight="1">
      <c r="B54" s="846"/>
      <c r="C54" s="860" t="s">
        <v>1065</v>
      </c>
      <c r="D54" s="860" t="s">
        <v>1065</v>
      </c>
      <c r="E54" s="855" t="s">
        <v>2458</v>
      </c>
      <c r="F54" s="855" t="s">
        <v>2458</v>
      </c>
      <c r="G54" s="879" t="s">
        <v>1066</v>
      </c>
      <c r="H54" s="862" t="s">
        <v>1045</v>
      </c>
      <c r="I54" s="863">
        <v>12.7</v>
      </c>
      <c r="J54" s="858">
        <f t="shared" si="15"/>
        <v>134117</v>
      </c>
      <c r="K54" s="859">
        <f t="shared" si="16"/>
        <v>1703286</v>
      </c>
      <c r="L54" s="847"/>
      <c r="N54" s="844">
        <v>139386</v>
      </c>
    </row>
    <row r="55" spans="2:14" ht="43.5" customHeight="1">
      <c r="B55" s="846"/>
      <c r="C55" s="860" t="s">
        <v>1068</v>
      </c>
      <c r="D55" s="860" t="s">
        <v>1068</v>
      </c>
      <c r="E55" s="855" t="s">
        <v>2458</v>
      </c>
      <c r="F55" s="855" t="s">
        <v>2458</v>
      </c>
      <c r="G55" s="879" t="s">
        <v>1069</v>
      </c>
      <c r="H55" s="862" t="s">
        <v>1045</v>
      </c>
      <c r="I55" s="863">
        <v>10.57</v>
      </c>
      <c r="J55" s="858">
        <f t="shared" si="15"/>
        <v>99487</v>
      </c>
      <c r="K55" s="859">
        <f t="shared" si="16"/>
        <v>1051578</v>
      </c>
      <c r="L55" s="847"/>
      <c r="N55" s="844">
        <v>103395</v>
      </c>
    </row>
    <row r="56" spans="2:14" ht="30" customHeight="1" thickBot="1">
      <c r="B56" s="846"/>
      <c r="C56" s="864" t="s">
        <v>67</v>
      </c>
      <c r="D56" s="865"/>
      <c r="E56" s="865"/>
      <c r="F56" s="865"/>
      <c r="G56" s="866"/>
      <c r="H56" s="865"/>
      <c r="I56" s="857"/>
      <c r="J56" s="867"/>
      <c r="K56" s="868">
        <f>SUM(K52:K55)</f>
        <v>4390145</v>
      </c>
      <c r="L56" s="847"/>
    </row>
    <row r="57" spans="2:14" ht="30" customHeight="1" thickBot="1">
      <c r="B57" s="846"/>
      <c r="C57" s="1233" t="s">
        <v>2474</v>
      </c>
      <c r="D57" s="1234"/>
      <c r="E57" s="1234"/>
      <c r="F57" s="1234"/>
      <c r="G57" s="1234"/>
      <c r="H57" s="1234"/>
      <c r="I57" s="852"/>
      <c r="J57" s="852"/>
      <c r="K57" s="825"/>
      <c r="L57" s="847"/>
    </row>
    <row r="58" spans="2:14" ht="30" customHeight="1">
      <c r="B58" s="846"/>
      <c r="C58" s="860" t="s">
        <v>1072</v>
      </c>
      <c r="D58" s="860" t="s">
        <v>1072</v>
      </c>
      <c r="E58" s="855" t="s">
        <v>2458</v>
      </c>
      <c r="F58" s="855" t="s">
        <v>2458</v>
      </c>
      <c r="G58" s="861" t="s">
        <v>2475</v>
      </c>
      <c r="H58" s="862" t="s">
        <v>978</v>
      </c>
      <c r="I58" s="863">
        <v>148.94</v>
      </c>
      <c r="J58" s="858">
        <f t="shared" ref="J58:J65" si="17">+ROUND(N58*N$10,0)</f>
        <v>46731</v>
      </c>
      <c r="K58" s="859">
        <f t="shared" ref="K58:K65" si="18">ROUND(J58*I58,0)</f>
        <v>6960115</v>
      </c>
      <c r="L58" s="847"/>
      <c r="N58" s="844">
        <v>48567</v>
      </c>
    </row>
    <row r="59" spans="2:14" ht="30" customHeight="1">
      <c r="B59" s="846"/>
      <c r="C59" s="860" t="s">
        <v>1075</v>
      </c>
      <c r="D59" s="860" t="s">
        <v>1075</v>
      </c>
      <c r="E59" s="855" t="s">
        <v>2458</v>
      </c>
      <c r="F59" s="855" t="s">
        <v>2458</v>
      </c>
      <c r="G59" s="861" t="s">
        <v>2476</v>
      </c>
      <c r="H59" s="862" t="s">
        <v>978</v>
      </c>
      <c r="I59" s="863">
        <v>11.09</v>
      </c>
      <c r="J59" s="858">
        <f t="shared" si="17"/>
        <v>31456</v>
      </c>
      <c r="K59" s="859">
        <f t="shared" si="18"/>
        <v>348847</v>
      </c>
      <c r="L59" s="847"/>
      <c r="N59" s="844">
        <v>32692</v>
      </c>
    </row>
    <row r="60" spans="2:14" ht="30" customHeight="1">
      <c r="B60" s="846"/>
      <c r="C60" s="860" t="s">
        <v>1078</v>
      </c>
      <c r="D60" s="860" t="s">
        <v>1078</v>
      </c>
      <c r="E60" s="855" t="s">
        <v>2458</v>
      </c>
      <c r="F60" s="855" t="s">
        <v>2458</v>
      </c>
      <c r="G60" s="861" t="s">
        <v>2477</v>
      </c>
      <c r="H60" s="862" t="s">
        <v>978</v>
      </c>
      <c r="I60" s="863">
        <v>5.2</v>
      </c>
      <c r="J60" s="858">
        <f t="shared" si="17"/>
        <v>96886</v>
      </c>
      <c r="K60" s="859">
        <f t="shared" si="18"/>
        <v>503807</v>
      </c>
      <c r="L60" s="847"/>
      <c r="N60" s="844">
        <v>100692</v>
      </c>
    </row>
    <row r="61" spans="2:14" ht="50.25" customHeight="1">
      <c r="B61" s="846"/>
      <c r="C61" s="860" t="s">
        <v>1081</v>
      </c>
      <c r="D61" s="860" t="s">
        <v>1081</v>
      </c>
      <c r="E61" s="855" t="s">
        <v>2458</v>
      </c>
      <c r="F61" s="855" t="s">
        <v>2458</v>
      </c>
      <c r="G61" s="861" t="s">
        <v>2478</v>
      </c>
      <c r="H61" s="862" t="s">
        <v>978</v>
      </c>
      <c r="I61" s="863">
        <v>9.66</v>
      </c>
      <c r="J61" s="858">
        <f t="shared" si="17"/>
        <v>44971</v>
      </c>
      <c r="K61" s="859">
        <f t="shared" si="18"/>
        <v>434420</v>
      </c>
      <c r="L61" s="847"/>
      <c r="N61" s="844">
        <v>46738</v>
      </c>
    </row>
    <row r="62" spans="2:14" ht="30" customHeight="1">
      <c r="B62" s="846"/>
      <c r="C62" s="918" t="s">
        <v>1084</v>
      </c>
      <c r="D62" s="860" t="s">
        <v>1084</v>
      </c>
      <c r="E62" s="855" t="s">
        <v>2458</v>
      </c>
      <c r="F62" s="855" t="s">
        <v>2458</v>
      </c>
      <c r="G62" s="861" t="s">
        <v>2479</v>
      </c>
      <c r="H62" s="862" t="s">
        <v>978</v>
      </c>
      <c r="I62" s="863">
        <v>157.57</v>
      </c>
      <c r="J62" s="858">
        <f t="shared" si="17"/>
        <v>20119</v>
      </c>
      <c r="K62" s="859">
        <f t="shared" si="18"/>
        <v>3170151</v>
      </c>
      <c r="L62" s="847"/>
      <c r="N62" s="844">
        <v>20909</v>
      </c>
    </row>
    <row r="63" spans="2:14" ht="30" customHeight="1">
      <c r="B63" s="846"/>
      <c r="C63" s="860" t="s">
        <v>1087</v>
      </c>
      <c r="D63" s="860" t="s">
        <v>1087</v>
      </c>
      <c r="E63" s="855" t="s">
        <v>2458</v>
      </c>
      <c r="F63" s="855" t="s">
        <v>2458</v>
      </c>
      <c r="G63" s="861" t="s">
        <v>2480</v>
      </c>
      <c r="H63" s="862" t="s">
        <v>978</v>
      </c>
      <c r="I63" s="863">
        <v>9.86</v>
      </c>
      <c r="J63" s="858">
        <f t="shared" si="17"/>
        <v>22284</v>
      </c>
      <c r="K63" s="859">
        <f t="shared" si="18"/>
        <v>219720</v>
      </c>
      <c r="L63" s="847"/>
      <c r="N63" s="844">
        <v>23159</v>
      </c>
    </row>
    <row r="64" spans="2:14" ht="30" customHeight="1">
      <c r="B64" s="846"/>
      <c r="C64" s="860" t="s">
        <v>1090</v>
      </c>
      <c r="D64" s="860" t="s">
        <v>1090</v>
      </c>
      <c r="E64" s="855" t="s">
        <v>2458</v>
      </c>
      <c r="F64" s="855" t="s">
        <v>2458</v>
      </c>
      <c r="G64" s="861" t="s">
        <v>2481</v>
      </c>
      <c r="H64" s="862" t="s">
        <v>978</v>
      </c>
      <c r="I64" s="863">
        <v>5.19</v>
      </c>
      <c r="J64" s="858">
        <f t="shared" si="17"/>
        <v>30272</v>
      </c>
      <c r="K64" s="859">
        <f t="shared" si="18"/>
        <v>157112</v>
      </c>
      <c r="L64" s="847"/>
      <c r="N64" s="844">
        <v>31461</v>
      </c>
    </row>
    <row r="65" spans="2:14" ht="30" customHeight="1">
      <c r="B65" s="846"/>
      <c r="C65" s="860" t="s">
        <v>1093</v>
      </c>
      <c r="D65" s="860" t="s">
        <v>1093</v>
      </c>
      <c r="E65" s="855" t="s">
        <v>2458</v>
      </c>
      <c r="F65" s="855" t="s">
        <v>2458</v>
      </c>
      <c r="G65" s="861" t="s">
        <v>2482</v>
      </c>
      <c r="H65" s="862" t="s">
        <v>985</v>
      </c>
      <c r="I65" s="863">
        <v>2</v>
      </c>
      <c r="J65" s="858">
        <f t="shared" si="17"/>
        <v>44859</v>
      </c>
      <c r="K65" s="859">
        <f t="shared" si="18"/>
        <v>89718</v>
      </c>
      <c r="L65" s="847"/>
      <c r="N65" s="844">
        <v>46621</v>
      </c>
    </row>
    <row r="66" spans="2:14" ht="30" customHeight="1" thickBot="1">
      <c r="B66" s="846"/>
      <c r="C66" s="864" t="s">
        <v>67</v>
      </c>
      <c r="D66" s="869"/>
      <c r="E66" s="869"/>
      <c r="F66" s="869"/>
      <c r="G66" s="870"/>
      <c r="H66" s="869"/>
      <c r="I66" s="857"/>
      <c r="J66" s="869"/>
      <c r="K66" s="868">
        <f>SUM(K58:K65)</f>
        <v>11883890</v>
      </c>
      <c r="L66" s="847"/>
    </row>
    <row r="67" spans="2:14" ht="30" customHeight="1" thickBot="1">
      <c r="B67" s="846"/>
      <c r="C67" s="1233" t="s">
        <v>1095</v>
      </c>
      <c r="D67" s="1234"/>
      <c r="E67" s="1234"/>
      <c r="F67" s="1234"/>
      <c r="G67" s="1234"/>
      <c r="H67" s="1234"/>
      <c r="I67" s="852"/>
      <c r="J67" s="852"/>
      <c r="K67" s="825"/>
      <c r="L67" s="847"/>
    </row>
    <row r="68" spans="2:14" ht="30" customHeight="1">
      <c r="B68" s="846"/>
      <c r="C68" s="918" t="s">
        <v>1097</v>
      </c>
      <c r="D68" s="860" t="s">
        <v>1097</v>
      </c>
      <c r="E68" s="855" t="s">
        <v>2458</v>
      </c>
      <c r="F68" s="855" t="s">
        <v>2458</v>
      </c>
      <c r="G68" s="861" t="s">
        <v>2483</v>
      </c>
      <c r="H68" s="862" t="s">
        <v>1034</v>
      </c>
      <c r="I68" s="863">
        <v>12</v>
      </c>
      <c r="J68" s="858">
        <f t="shared" ref="J68:J88" si="19">+ROUND(N68*N$10,0)</f>
        <v>33921</v>
      </c>
      <c r="K68" s="859">
        <f t="shared" ref="K68:K88" si="20">ROUND(J68*I68,0)</f>
        <v>407052</v>
      </c>
      <c r="L68" s="847"/>
      <c r="N68" s="844">
        <v>35254</v>
      </c>
    </row>
    <row r="69" spans="2:14" ht="36.75" customHeight="1">
      <c r="B69" s="846"/>
      <c r="C69" s="918" t="s">
        <v>1100</v>
      </c>
      <c r="D69" s="860" t="s">
        <v>1100</v>
      </c>
      <c r="E69" s="855" t="s">
        <v>2458</v>
      </c>
      <c r="F69" s="855" t="s">
        <v>2458</v>
      </c>
      <c r="G69" s="861" t="s">
        <v>2484</v>
      </c>
      <c r="H69" s="862" t="s">
        <v>1034</v>
      </c>
      <c r="I69" s="863">
        <v>8</v>
      </c>
      <c r="J69" s="858">
        <f t="shared" si="19"/>
        <v>62787</v>
      </c>
      <c r="K69" s="859">
        <f t="shared" si="20"/>
        <v>502296</v>
      </c>
      <c r="L69" s="847"/>
      <c r="N69" s="844">
        <v>65254</v>
      </c>
    </row>
    <row r="70" spans="2:14" ht="87" customHeight="1">
      <c r="B70" s="846"/>
      <c r="C70" s="918" t="s">
        <v>1103</v>
      </c>
      <c r="D70" s="860" t="s">
        <v>1103</v>
      </c>
      <c r="E70" s="855" t="s">
        <v>2458</v>
      </c>
      <c r="F70" s="855" t="s">
        <v>2458</v>
      </c>
      <c r="G70" s="882" t="s">
        <v>1104</v>
      </c>
      <c r="H70" s="862" t="s">
        <v>1034</v>
      </c>
      <c r="I70" s="863">
        <v>14</v>
      </c>
      <c r="J70" s="858">
        <f t="shared" si="19"/>
        <v>294603</v>
      </c>
      <c r="K70" s="859">
        <f t="shared" si="20"/>
        <v>4124442</v>
      </c>
      <c r="L70" s="847"/>
      <c r="N70" s="844">
        <v>306176</v>
      </c>
    </row>
    <row r="71" spans="2:14" ht="57" customHeight="1">
      <c r="B71" s="846"/>
      <c r="C71" s="918" t="s">
        <v>1106</v>
      </c>
      <c r="D71" s="860" t="s">
        <v>1106</v>
      </c>
      <c r="E71" s="855" t="s">
        <v>2458</v>
      </c>
      <c r="F71" s="855" t="s">
        <v>2458</v>
      </c>
      <c r="G71" s="882" t="s">
        <v>1107</v>
      </c>
      <c r="H71" s="862" t="s">
        <v>1034</v>
      </c>
      <c r="I71" s="863">
        <v>8</v>
      </c>
      <c r="J71" s="858">
        <f t="shared" si="19"/>
        <v>123571</v>
      </c>
      <c r="K71" s="859">
        <f t="shared" si="20"/>
        <v>988568</v>
      </c>
      <c r="L71" s="847"/>
      <c r="N71" s="844">
        <v>128425</v>
      </c>
    </row>
    <row r="72" spans="2:14" ht="51.75" customHeight="1">
      <c r="B72" s="846"/>
      <c r="C72" s="918" t="s">
        <v>1109</v>
      </c>
      <c r="D72" s="860" t="s">
        <v>1109</v>
      </c>
      <c r="E72" s="855" t="s">
        <v>2458</v>
      </c>
      <c r="F72" s="855" t="s">
        <v>2458</v>
      </c>
      <c r="G72" s="882" t="s">
        <v>1110</v>
      </c>
      <c r="H72" s="862" t="s">
        <v>1034</v>
      </c>
      <c r="I72" s="863">
        <v>2</v>
      </c>
      <c r="J72" s="858">
        <f t="shared" si="19"/>
        <v>116500</v>
      </c>
      <c r="K72" s="859">
        <f t="shared" si="20"/>
        <v>233000</v>
      </c>
      <c r="L72" s="847"/>
      <c r="N72" s="844">
        <v>121077</v>
      </c>
    </row>
    <row r="73" spans="2:14" ht="30" customHeight="1">
      <c r="B73" s="846"/>
      <c r="C73" s="918" t="s">
        <v>1112</v>
      </c>
      <c r="D73" s="860" t="s">
        <v>1112</v>
      </c>
      <c r="E73" s="855" t="s">
        <v>2458</v>
      </c>
      <c r="F73" s="855" t="s">
        <v>2458</v>
      </c>
      <c r="G73" s="882" t="s">
        <v>1113</v>
      </c>
      <c r="H73" s="862" t="s">
        <v>1034</v>
      </c>
      <c r="I73" s="863">
        <v>4</v>
      </c>
      <c r="J73" s="858">
        <f t="shared" si="19"/>
        <v>28971</v>
      </c>
      <c r="K73" s="859">
        <f t="shared" si="20"/>
        <v>115884</v>
      </c>
      <c r="L73" s="847"/>
      <c r="N73" s="844">
        <v>30109</v>
      </c>
    </row>
    <row r="74" spans="2:14" ht="30" customHeight="1">
      <c r="B74" s="846"/>
      <c r="C74" s="918" t="s">
        <v>1115</v>
      </c>
      <c r="D74" s="860" t="s">
        <v>1115</v>
      </c>
      <c r="E74" s="855" t="s">
        <v>2458</v>
      </c>
      <c r="F74" s="855" t="s">
        <v>2458</v>
      </c>
      <c r="G74" s="882" t="s">
        <v>1116</v>
      </c>
      <c r="H74" s="862" t="s">
        <v>1034</v>
      </c>
      <c r="I74" s="863">
        <v>2</v>
      </c>
      <c r="J74" s="858">
        <f t="shared" si="19"/>
        <v>260618</v>
      </c>
      <c r="K74" s="859">
        <f t="shared" si="20"/>
        <v>521236</v>
      </c>
      <c r="L74" s="847"/>
      <c r="N74" s="844">
        <v>270856</v>
      </c>
    </row>
    <row r="75" spans="2:14" ht="57.75" customHeight="1">
      <c r="B75" s="846"/>
      <c r="C75" s="918" t="s">
        <v>1118</v>
      </c>
      <c r="D75" s="860" t="s">
        <v>1118</v>
      </c>
      <c r="E75" s="855" t="s">
        <v>2458</v>
      </c>
      <c r="F75" s="855" t="s">
        <v>2458</v>
      </c>
      <c r="G75" s="883" t="s">
        <v>1119</v>
      </c>
      <c r="H75" s="862" t="s">
        <v>1034</v>
      </c>
      <c r="I75" s="863">
        <v>11</v>
      </c>
      <c r="J75" s="858">
        <f t="shared" si="19"/>
        <v>142882</v>
      </c>
      <c r="K75" s="859">
        <f t="shared" si="20"/>
        <v>1571702</v>
      </c>
      <c r="L75" s="847"/>
      <c r="N75" s="844">
        <v>148495</v>
      </c>
    </row>
    <row r="76" spans="2:14" ht="57.75" customHeight="1">
      <c r="B76" s="846"/>
      <c r="C76" s="918" t="s">
        <v>1121</v>
      </c>
      <c r="D76" s="860" t="s">
        <v>1121</v>
      </c>
      <c r="E76" s="855" t="s">
        <v>2458</v>
      </c>
      <c r="F76" s="855" t="s">
        <v>2458</v>
      </c>
      <c r="G76" s="883" t="s">
        <v>1122</v>
      </c>
      <c r="H76" s="862" t="s">
        <v>1034</v>
      </c>
      <c r="I76" s="863">
        <v>4</v>
      </c>
      <c r="J76" s="858">
        <f t="shared" si="19"/>
        <v>159398</v>
      </c>
      <c r="K76" s="859">
        <f t="shared" si="20"/>
        <v>637592</v>
      </c>
      <c r="L76" s="847"/>
      <c r="N76" s="844">
        <v>165660</v>
      </c>
    </row>
    <row r="77" spans="2:14" ht="57.75" customHeight="1">
      <c r="B77" s="846"/>
      <c r="C77" s="918" t="s">
        <v>1124</v>
      </c>
      <c r="D77" s="860" t="s">
        <v>1124</v>
      </c>
      <c r="E77" s="855" t="s">
        <v>2458</v>
      </c>
      <c r="F77" s="855" t="s">
        <v>2458</v>
      </c>
      <c r="G77" s="882" t="s">
        <v>1125</v>
      </c>
      <c r="H77" s="862" t="s">
        <v>1034</v>
      </c>
      <c r="I77" s="863">
        <v>6</v>
      </c>
      <c r="J77" s="858">
        <f t="shared" si="19"/>
        <v>123989</v>
      </c>
      <c r="K77" s="859">
        <f t="shared" si="20"/>
        <v>743934</v>
      </c>
      <c r="L77" s="847"/>
      <c r="N77" s="844">
        <v>128860</v>
      </c>
    </row>
    <row r="78" spans="2:14" ht="57.75" customHeight="1">
      <c r="B78" s="846"/>
      <c r="C78" s="918" t="s">
        <v>1127</v>
      </c>
      <c r="D78" s="860" t="s">
        <v>1127</v>
      </c>
      <c r="E78" s="855" t="s">
        <v>2458</v>
      </c>
      <c r="F78" s="855" t="s">
        <v>2458</v>
      </c>
      <c r="G78" s="882" t="s">
        <v>1128</v>
      </c>
      <c r="H78" s="862" t="s">
        <v>1045</v>
      </c>
      <c r="I78" s="863">
        <v>40.36</v>
      </c>
      <c r="J78" s="858">
        <f t="shared" si="19"/>
        <v>56586</v>
      </c>
      <c r="K78" s="859">
        <f t="shared" si="20"/>
        <v>2283811</v>
      </c>
      <c r="L78" s="847"/>
      <c r="N78" s="844">
        <v>58809</v>
      </c>
    </row>
    <row r="79" spans="2:14" ht="30" customHeight="1">
      <c r="B79" s="846"/>
      <c r="C79" s="918" t="s">
        <v>1130</v>
      </c>
      <c r="D79" s="860" t="s">
        <v>1130</v>
      </c>
      <c r="E79" s="855" t="s">
        <v>2458</v>
      </c>
      <c r="F79" s="855" t="s">
        <v>2458</v>
      </c>
      <c r="G79" s="882" t="s">
        <v>1131</v>
      </c>
      <c r="H79" s="862" t="s">
        <v>1034</v>
      </c>
      <c r="I79" s="863">
        <v>5</v>
      </c>
      <c r="J79" s="858">
        <f t="shared" si="19"/>
        <v>60614</v>
      </c>
      <c r="K79" s="859">
        <f t="shared" si="20"/>
        <v>303070</v>
      </c>
      <c r="L79" s="847"/>
      <c r="N79" s="844">
        <v>62995</v>
      </c>
    </row>
    <row r="80" spans="2:14" ht="30" customHeight="1">
      <c r="B80" s="846"/>
      <c r="C80" s="918" t="s">
        <v>1133</v>
      </c>
      <c r="D80" s="860" t="s">
        <v>1133</v>
      </c>
      <c r="E80" s="855" t="s">
        <v>2458</v>
      </c>
      <c r="F80" s="855" t="s">
        <v>2458</v>
      </c>
      <c r="G80" s="882" t="s">
        <v>1134</v>
      </c>
      <c r="H80" s="862" t="s">
        <v>1034</v>
      </c>
      <c r="I80" s="863">
        <v>2</v>
      </c>
      <c r="J80" s="858">
        <f t="shared" si="19"/>
        <v>56961</v>
      </c>
      <c r="K80" s="859">
        <f t="shared" si="20"/>
        <v>113922</v>
      </c>
      <c r="L80" s="847"/>
      <c r="N80" s="844">
        <v>59199</v>
      </c>
    </row>
    <row r="81" spans="2:14" ht="30" customHeight="1">
      <c r="B81" s="846"/>
      <c r="C81" s="918" t="s">
        <v>1136</v>
      </c>
      <c r="D81" s="860" t="s">
        <v>1136</v>
      </c>
      <c r="E81" s="855" t="s">
        <v>2458</v>
      </c>
      <c r="F81" s="855" t="s">
        <v>2458</v>
      </c>
      <c r="G81" s="882" t="s">
        <v>1137</v>
      </c>
      <c r="H81" s="862" t="s">
        <v>1034</v>
      </c>
      <c r="I81" s="863">
        <v>2</v>
      </c>
      <c r="J81" s="858">
        <f t="shared" si="19"/>
        <v>53845</v>
      </c>
      <c r="K81" s="859">
        <f t="shared" si="20"/>
        <v>107690</v>
      </c>
      <c r="L81" s="847"/>
      <c r="N81" s="844">
        <v>55960</v>
      </c>
    </row>
    <row r="82" spans="2:14" ht="30" customHeight="1">
      <c r="B82" s="846"/>
      <c r="C82" s="918" t="s">
        <v>1139</v>
      </c>
      <c r="D82" s="860" t="s">
        <v>1139</v>
      </c>
      <c r="E82" s="855" t="s">
        <v>2458</v>
      </c>
      <c r="F82" s="855" t="s">
        <v>2458</v>
      </c>
      <c r="G82" s="861" t="s">
        <v>2485</v>
      </c>
      <c r="H82" s="862" t="s">
        <v>978</v>
      </c>
      <c r="I82" s="863">
        <v>1.53</v>
      </c>
      <c r="J82" s="858">
        <f t="shared" si="19"/>
        <v>352152</v>
      </c>
      <c r="K82" s="859">
        <f t="shared" si="20"/>
        <v>538793</v>
      </c>
      <c r="L82" s="847"/>
      <c r="N82" s="844">
        <v>365986</v>
      </c>
    </row>
    <row r="83" spans="2:14" ht="30" customHeight="1">
      <c r="B83" s="846"/>
      <c r="C83" s="918" t="s">
        <v>1142</v>
      </c>
      <c r="D83" s="860" t="s">
        <v>1142</v>
      </c>
      <c r="E83" s="855" t="s">
        <v>2458</v>
      </c>
      <c r="F83" s="855" t="s">
        <v>2458</v>
      </c>
      <c r="G83" s="882" t="s">
        <v>1143</v>
      </c>
      <c r="H83" s="862" t="s">
        <v>1034</v>
      </c>
      <c r="I83" s="863">
        <v>3</v>
      </c>
      <c r="J83" s="858">
        <f t="shared" si="19"/>
        <v>193662</v>
      </c>
      <c r="K83" s="859">
        <f t="shared" si="20"/>
        <v>580986</v>
      </c>
      <c r="L83" s="847"/>
      <c r="N83" s="844">
        <v>201270</v>
      </c>
    </row>
    <row r="84" spans="2:14" ht="30" customHeight="1">
      <c r="B84" s="846"/>
      <c r="C84" s="918" t="s">
        <v>1145</v>
      </c>
      <c r="D84" s="860" t="s">
        <v>1145</v>
      </c>
      <c r="E84" s="855" t="s">
        <v>2458</v>
      </c>
      <c r="F84" s="855" t="s">
        <v>2458</v>
      </c>
      <c r="G84" s="882" t="s">
        <v>1146</v>
      </c>
      <c r="H84" s="862" t="s">
        <v>1034</v>
      </c>
      <c r="I84" s="863">
        <v>1</v>
      </c>
      <c r="J84" s="858">
        <f t="shared" si="19"/>
        <v>103030</v>
      </c>
      <c r="K84" s="859">
        <f t="shared" si="20"/>
        <v>103030</v>
      </c>
      <c r="L84" s="847"/>
      <c r="N84" s="844">
        <v>107078</v>
      </c>
    </row>
    <row r="85" spans="2:14" ht="30" customHeight="1">
      <c r="B85" s="846"/>
      <c r="C85" s="918" t="s">
        <v>1148</v>
      </c>
      <c r="D85" s="860" t="s">
        <v>1148</v>
      </c>
      <c r="E85" s="855" t="s">
        <v>2458</v>
      </c>
      <c r="F85" s="855" t="s">
        <v>2458</v>
      </c>
      <c r="G85" s="882" t="s">
        <v>1149</v>
      </c>
      <c r="H85" s="862" t="s">
        <v>1034</v>
      </c>
      <c r="I85" s="863">
        <v>1</v>
      </c>
      <c r="J85" s="858">
        <f t="shared" si="19"/>
        <v>130968</v>
      </c>
      <c r="K85" s="859">
        <f t="shared" si="20"/>
        <v>130968</v>
      </c>
      <c r="L85" s="847"/>
      <c r="N85" s="844">
        <v>136113</v>
      </c>
    </row>
    <row r="86" spans="2:14" ht="30" customHeight="1">
      <c r="B86" s="846"/>
      <c r="C86" s="918" t="s">
        <v>1151</v>
      </c>
      <c r="D86" s="860" t="s">
        <v>1151</v>
      </c>
      <c r="E86" s="855" t="s">
        <v>2458</v>
      </c>
      <c r="F86" s="855" t="s">
        <v>2458</v>
      </c>
      <c r="G86" s="882" t="s">
        <v>1152</v>
      </c>
      <c r="H86" s="862" t="s">
        <v>1034</v>
      </c>
      <c r="I86" s="863">
        <v>1</v>
      </c>
      <c r="J86" s="858">
        <f t="shared" si="19"/>
        <v>119960</v>
      </c>
      <c r="K86" s="859">
        <f t="shared" si="20"/>
        <v>119960</v>
      </c>
      <c r="L86" s="847"/>
      <c r="N86" s="844">
        <v>124673</v>
      </c>
    </row>
    <row r="87" spans="2:14" ht="30" customHeight="1">
      <c r="B87" s="846"/>
      <c r="C87" s="918" t="s">
        <v>1154</v>
      </c>
      <c r="D87" s="860" t="s">
        <v>1154</v>
      </c>
      <c r="E87" s="855" t="s">
        <v>2458</v>
      </c>
      <c r="F87" s="855" t="s">
        <v>2458</v>
      </c>
      <c r="G87" s="882" t="s">
        <v>1155</v>
      </c>
      <c r="H87" s="862" t="s">
        <v>1034</v>
      </c>
      <c r="I87" s="863">
        <v>1</v>
      </c>
      <c r="J87" s="858">
        <f t="shared" si="19"/>
        <v>302198</v>
      </c>
      <c r="K87" s="859">
        <f t="shared" si="20"/>
        <v>302198</v>
      </c>
      <c r="L87" s="847"/>
      <c r="N87" s="844">
        <v>314070</v>
      </c>
    </row>
    <row r="88" spans="2:14" ht="30" customHeight="1">
      <c r="B88" s="846"/>
      <c r="C88" s="918" t="s">
        <v>1157</v>
      </c>
      <c r="D88" s="860" t="s">
        <v>1157</v>
      </c>
      <c r="E88" s="855" t="s">
        <v>2458</v>
      </c>
      <c r="F88" s="855" t="s">
        <v>2458</v>
      </c>
      <c r="G88" s="882" t="s">
        <v>1158</v>
      </c>
      <c r="H88" s="862" t="s">
        <v>1034</v>
      </c>
      <c r="I88" s="863">
        <v>10</v>
      </c>
      <c r="J88" s="858">
        <f t="shared" si="19"/>
        <v>209838</v>
      </c>
      <c r="K88" s="859">
        <f t="shared" si="20"/>
        <v>2098380</v>
      </c>
      <c r="L88" s="847"/>
      <c r="N88" s="844">
        <v>218081</v>
      </c>
    </row>
    <row r="89" spans="2:14" ht="30" customHeight="1" thickBot="1">
      <c r="B89" s="846"/>
      <c r="C89" s="864" t="s">
        <v>67</v>
      </c>
      <c r="D89" s="869"/>
      <c r="E89" s="869"/>
      <c r="F89" s="869"/>
      <c r="G89" s="870"/>
      <c r="H89" s="869"/>
      <c r="I89" s="857"/>
      <c r="J89" s="869"/>
      <c r="K89" s="868">
        <f>SUM(K68:K88)</f>
        <v>16528514</v>
      </c>
      <c r="L89" s="847"/>
    </row>
    <row r="90" spans="2:14" ht="30" customHeight="1" thickBot="1">
      <c r="B90" s="846"/>
      <c r="C90" s="1233" t="s">
        <v>1159</v>
      </c>
      <c r="D90" s="1234"/>
      <c r="E90" s="1234"/>
      <c r="F90" s="1234"/>
      <c r="G90" s="1234"/>
      <c r="H90" s="1234"/>
      <c r="I90" s="852"/>
      <c r="J90" s="852"/>
      <c r="K90" s="825"/>
      <c r="L90" s="847"/>
    </row>
    <row r="91" spans="2:14" ht="48.75" customHeight="1">
      <c r="B91" s="846"/>
      <c r="C91" s="884" t="s">
        <v>1161</v>
      </c>
      <c r="D91" s="884" t="s">
        <v>1161</v>
      </c>
      <c r="E91" s="885" t="s">
        <v>2458</v>
      </c>
      <c r="F91" s="885" t="s">
        <v>2458</v>
      </c>
      <c r="G91" s="886" t="s">
        <v>1162</v>
      </c>
      <c r="H91" s="887" t="s">
        <v>1163</v>
      </c>
      <c r="I91" s="888">
        <v>1</v>
      </c>
      <c r="J91" s="858">
        <f t="shared" ref="J91:J92" si="21">+ROUND(N91*N$10,0)</f>
        <v>1014582</v>
      </c>
      <c r="K91" s="859">
        <f t="shared" ref="K91:K92" si="22">ROUND(J91*I91,0)</f>
        <v>1014582</v>
      </c>
      <c r="L91" s="847"/>
      <c r="N91" s="844">
        <v>1054440</v>
      </c>
    </row>
    <row r="92" spans="2:14" ht="30" customHeight="1">
      <c r="B92" s="846"/>
      <c r="C92" s="860" t="s">
        <v>1165</v>
      </c>
      <c r="D92" s="860" t="s">
        <v>1165</v>
      </c>
      <c r="E92" s="855" t="s">
        <v>2458</v>
      </c>
      <c r="F92" s="855" t="s">
        <v>2458</v>
      </c>
      <c r="G92" s="881" t="s">
        <v>1166</v>
      </c>
      <c r="H92" s="862" t="s">
        <v>1163</v>
      </c>
      <c r="I92" s="863">
        <v>1</v>
      </c>
      <c r="J92" s="858">
        <f t="shared" si="21"/>
        <v>3568683</v>
      </c>
      <c r="K92" s="859">
        <f t="shared" si="22"/>
        <v>3568683</v>
      </c>
      <c r="L92" s="847"/>
      <c r="N92" s="844">
        <v>3708879</v>
      </c>
    </row>
    <row r="93" spans="2:14" ht="30" customHeight="1" thickBot="1">
      <c r="B93" s="846"/>
      <c r="C93" s="864" t="s">
        <v>67</v>
      </c>
      <c r="D93" s="876"/>
      <c r="E93" s="876"/>
      <c r="F93" s="876"/>
      <c r="G93" s="877"/>
      <c r="H93" s="878"/>
      <c r="I93" s="889"/>
      <c r="J93" s="867"/>
      <c r="K93" s="868">
        <f>SUM(K91:K92)</f>
        <v>4583265</v>
      </c>
      <c r="L93" s="847"/>
    </row>
    <row r="94" spans="2:14" ht="30" customHeight="1" thickBot="1">
      <c r="B94" s="846"/>
      <c r="C94" s="873"/>
      <c r="D94" s="890"/>
      <c r="E94" s="890"/>
      <c r="F94" s="890"/>
      <c r="G94" s="891"/>
      <c r="H94" s="873"/>
      <c r="I94" s="892"/>
      <c r="J94" s="893"/>
      <c r="K94" s="894"/>
      <c r="L94" s="847"/>
    </row>
    <row r="95" spans="2:14" s="898" customFormat="1" ht="30" customHeight="1">
      <c r="B95" s="895"/>
      <c r="C95" s="896"/>
      <c r="D95" s="896"/>
      <c r="E95" s="896"/>
      <c r="F95" s="896"/>
      <c r="G95" s="1071" t="s">
        <v>929</v>
      </c>
      <c r="H95" s="1072"/>
      <c r="I95" s="1072"/>
      <c r="J95" s="1073"/>
      <c r="K95" s="817">
        <f>K93+K66+K56+K89+K50+K47+K43+K39+K33+K30+K26+K23+K14</f>
        <v>150435859</v>
      </c>
      <c r="L95" s="897"/>
    </row>
    <row r="96" spans="2:14" s="898" customFormat="1" ht="30" customHeight="1">
      <c r="B96" s="895"/>
      <c r="C96" s="896"/>
      <c r="D96" s="896"/>
      <c r="E96" s="896"/>
      <c r="F96" s="896"/>
      <c r="G96" s="1074" t="s">
        <v>2434</v>
      </c>
      <c r="H96" s="1075"/>
      <c r="I96" s="1075"/>
      <c r="J96" s="818">
        <v>0.25</v>
      </c>
      <c r="K96" s="819">
        <f>ROUND(J96*K95,0)</f>
        <v>37608965</v>
      </c>
      <c r="L96" s="897"/>
    </row>
    <row r="97" spans="2:14" s="898" customFormat="1" ht="30" customHeight="1">
      <c r="B97" s="895"/>
      <c r="C97" s="896"/>
      <c r="D97" s="899"/>
      <c r="E97" s="899"/>
      <c r="F97" s="899"/>
      <c r="G97" s="1074" t="s">
        <v>938</v>
      </c>
      <c r="H97" s="1075"/>
      <c r="I97" s="1075"/>
      <c r="J97" s="818">
        <v>0.01</v>
      </c>
      <c r="K97" s="819">
        <f>ROUND(J97*K95,0)</f>
        <v>1504359</v>
      </c>
      <c r="L97" s="897"/>
    </row>
    <row r="98" spans="2:14" s="898" customFormat="1" ht="30" customHeight="1">
      <c r="B98" s="895"/>
      <c r="C98" s="896"/>
      <c r="D98" s="899"/>
      <c r="E98" s="899"/>
      <c r="F98" s="899"/>
      <c r="G98" s="1074" t="s">
        <v>21</v>
      </c>
      <c r="H98" s="1075"/>
      <c r="I98" s="1075"/>
      <c r="J98" s="818">
        <v>0.05</v>
      </c>
      <c r="K98" s="819">
        <f>ROUND(J98*K95,0)</f>
        <v>7521793</v>
      </c>
      <c r="L98" s="897"/>
    </row>
    <row r="99" spans="2:14" s="898" customFormat="1" ht="30" customHeight="1">
      <c r="B99" s="895"/>
      <c r="C99" s="896"/>
      <c r="D99" s="896"/>
      <c r="E99" s="896"/>
      <c r="F99" s="896"/>
      <c r="G99" s="1091" t="s">
        <v>2435</v>
      </c>
      <c r="H99" s="1092"/>
      <c r="I99" s="1092"/>
      <c r="J99" s="818">
        <v>0.19</v>
      </c>
      <c r="K99" s="819">
        <f>ROUND(J99*K98,0)</f>
        <v>1429141</v>
      </c>
      <c r="L99" s="897"/>
    </row>
    <row r="100" spans="2:14" s="898" customFormat="1" ht="30" customHeight="1" thickBot="1">
      <c r="B100" s="895"/>
      <c r="C100" s="896"/>
      <c r="D100" s="896"/>
      <c r="E100" s="896"/>
      <c r="F100" s="896"/>
      <c r="G100" s="1093" t="s">
        <v>2436</v>
      </c>
      <c r="H100" s="1094"/>
      <c r="I100" s="1094"/>
      <c r="J100" s="1095"/>
      <c r="K100" s="820">
        <f>K95+K96+K97+K98+K99</f>
        <v>198500117</v>
      </c>
      <c r="L100" s="897"/>
    </row>
    <row r="101" spans="2:14" ht="30" customHeight="1" thickBot="1">
      <c r="B101" s="846"/>
      <c r="C101" s="873"/>
      <c r="D101" s="890"/>
      <c r="E101" s="890"/>
      <c r="F101" s="890"/>
      <c r="G101" s="891"/>
      <c r="H101" s="873"/>
      <c r="I101" s="892"/>
      <c r="J101" s="893"/>
      <c r="K101" s="894"/>
      <c r="L101" s="847"/>
    </row>
    <row r="102" spans="2:14" ht="30" customHeight="1">
      <c r="B102" s="846"/>
      <c r="C102" s="1235" t="s">
        <v>946</v>
      </c>
      <c r="D102" s="1237" t="s">
        <v>2457</v>
      </c>
      <c r="E102" s="1239" t="s">
        <v>948</v>
      </c>
      <c r="F102" s="1239"/>
      <c r="G102" s="1235" t="s">
        <v>240</v>
      </c>
      <c r="H102" s="1237" t="s">
        <v>949</v>
      </c>
      <c r="I102" s="1237" t="s">
        <v>950</v>
      </c>
      <c r="J102" s="1240" t="s">
        <v>951</v>
      </c>
      <c r="K102" s="1242" t="s">
        <v>952</v>
      </c>
      <c r="L102" s="847"/>
    </row>
    <row r="103" spans="2:14" ht="30" customHeight="1" thickBot="1">
      <c r="B103" s="846"/>
      <c r="C103" s="1236"/>
      <c r="D103" s="1238"/>
      <c r="E103" s="851" t="s">
        <v>953</v>
      </c>
      <c r="F103" s="851" t="s">
        <v>954</v>
      </c>
      <c r="G103" s="1236"/>
      <c r="H103" s="1238"/>
      <c r="I103" s="1238"/>
      <c r="J103" s="1241"/>
      <c r="K103" s="1243"/>
      <c r="L103" s="847"/>
    </row>
    <row r="104" spans="2:14" ht="30" customHeight="1" thickBot="1">
      <c r="B104" s="846"/>
      <c r="C104" s="1233" t="s">
        <v>2486</v>
      </c>
      <c r="D104" s="1234"/>
      <c r="E104" s="1234"/>
      <c r="F104" s="1234"/>
      <c r="G104" s="1234"/>
      <c r="H104" s="1234"/>
      <c r="I104" s="852"/>
      <c r="J104" s="852"/>
      <c r="K104" s="825"/>
      <c r="L104" s="847"/>
    </row>
    <row r="105" spans="2:14" ht="52.5" customHeight="1">
      <c r="B105" s="846"/>
      <c r="C105" s="918" t="s">
        <v>1169</v>
      </c>
      <c r="D105" s="918" t="s">
        <v>1169</v>
      </c>
      <c r="E105" s="855" t="s">
        <v>2458</v>
      </c>
      <c r="F105" s="855" t="s">
        <v>2458</v>
      </c>
      <c r="G105" s="861" t="s">
        <v>2487</v>
      </c>
      <c r="H105" s="862" t="s">
        <v>1163</v>
      </c>
      <c r="I105" s="863">
        <v>1</v>
      </c>
      <c r="J105" s="858">
        <f t="shared" ref="J105:J110" si="23">+ROUND(N105*N$10,0)</f>
        <v>1497635</v>
      </c>
      <c r="K105" s="859">
        <f>ROUND(J105*I105,2)</f>
        <v>1497635</v>
      </c>
      <c r="L105" s="847"/>
      <c r="N105" s="844">
        <v>1556470</v>
      </c>
    </row>
    <row r="106" spans="2:14" ht="30" customHeight="1">
      <c r="B106" s="846"/>
      <c r="C106" s="918" t="s">
        <v>1172</v>
      </c>
      <c r="D106" s="918" t="s">
        <v>1172</v>
      </c>
      <c r="E106" s="855" t="s">
        <v>2458</v>
      </c>
      <c r="F106" s="855" t="s">
        <v>2458</v>
      </c>
      <c r="G106" s="861" t="s">
        <v>2488</v>
      </c>
      <c r="H106" s="862" t="s">
        <v>1163</v>
      </c>
      <c r="I106" s="863">
        <v>1</v>
      </c>
      <c r="J106" s="858">
        <f t="shared" si="23"/>
        <v>1357552</v>
      </c>
      <c r="K106" s="859">
        <f t="shared" ref="K106:K110" si="24">ROUND(J106*I106,2)</f>
        <v>1357552</v>
      </c>
      <c r="L106" s="847"/>
      <c r="N106" s="844">
        <v>1410883</v>
      </c>
    </row>
    <row r="107" spans="2:14" ht="59.25" customHeight="1">
      <c r="B107" s="846"/>
      <c r="C107" s="918" t="s">
        <v>1175</v>
      </c>
      <c r="D107" s="918" t="s">
        <v>1175</v>
      </c>
      <c r="E107" s="855" t="s">
        <v>2458</v>
      </c>
      <c r="F107" s="855" t="s">
        <v>2458</v>
      </c>
      <c r="G107" s="861" t="s">
        <v>2489</v>
      </c>
      <c r="H107" s="862" t="s">
        <v>1163</v>
      </c>
      <c r="I107" s="863">
        <v>1</v>
      </c>
      <c r="J107" s="858">
        <f t="shared" si="23"/>
        <v>2706683</v>
      </c>
      <c r="K107" s="859">
        <f t="shared" si="24"/>
        <v>2706683</v>
      </c>
      <c r="L107" s="847"/>
      <c r="N107" s="844">
        <v>2813015</v>
      </c>
    </row>
    <row r="108" spans="2:14" ht="30" customHeight="1">
      <c r="B108" s="846"/>
      <c r="C108" s="918" t="s">
        <v>1178</v>
      </c>
      <c r="D108" s="918" t="s">
        <v>1178</v>
      </c>
      <c r="E108" s="855" t="s">
        <v>2458</v>
      </c>
      <c r="F108" s="855" t="s">
        <v>2458</v>
      </c>
      <c r="G108" s="861" t="s">
        <v>2490</v>
      </c>
      <c r="H108" s="862" t="s">
        <v>1034</v>
      </c>
      <c r="I108" s="863">
        <v>6</v>
      </c>
      <c r="J108" s="858">
        <f t="shared" si="23"/>
        <v>27197</v>
      </c>
      <c r="K108" s="859">
        <f t="shared" si="24"/>
        <v>163182</v>
      </c>
      <c r="L108" s="847"/>
      <c r="N108" s="844">
        <v>28265</v>
      </c>
    </row>
    <row r="109" spans="2:14" ht="30" customHeight="1">
      <c r="B109" s="846"/>
      <c r="C109" s="918" t="s">
        <v>1181</v>
      </c>
      <c r="D109" s="918" t="s">
        <v>1181</v>
      </c>
      <c r="E109" s="855" t="s">
        <v>2458</v>
      </c>
      <c r="F109" s="855" t="s">
        <v>2458</v>
      </c>
      <c r="G109" s="861" t="s">
        <v>2491</v>
      </c>
      <c r="H109" s="862" t="s">
        <v>1034</v>
      </c>
      <c r="I109" s="863">
        <v>1</v>
      </c>
      <c r="J109" s="858">
        <f t="shared" si="23"/>
        <v>594135</v>
      </c>
      <c r="K109" s="859">
        <f t="shared" si="24"/>
        <v>594135</v>
      </c>
      <c r="L109" s="847"/>
      <c r="N109" s="844">
        <v>617476</v>
      </c>
    </row>
    <row r="110" spans="2:14" ht="30" customHeight="1">
      <c r="B110" s="846"/>
      <c r="C110" s="918" t="s">
        <v>1184</v>
      </c>
      <c r="D110" s="918" t="s">
        <v>1184</v>
      </c>
      <c r="E110" s="855" t="s">
        <v>2458</v>
      </c>
      <c r="F110" s="855" t="s">
        <v>2458</v>
      </c>
      <c r="G110" s="861" t="s">
        <v>2492</v>
      </c>
      <c r="H110" s="862" t="s">
        <v>1034</v>
      </c>
      <c r="I110" s="863">
        <v>1</v>
      </c>
      <c r="J110" s="858">
        <f t="shared" si="23"/>
        <v>2721487</v>
      </c>
      <c r="K110" s="859">
        <f t="shared" si="24"/>
        <v>2721487</v>
      </c>
      <c r="L110" s="847"/>
      <c r="N110" s="844">
        <v>2828401</v>
      </c>
    </row>
    <row r="111" spans="2:14" ht="30" customHeight="1" thickBot="1">
      <c r="B111" s="846"/>
      <c r="C111" s="864" t="s">
        <v>67</v>
      </c>
      <c r="D111" s="869"/>
      <c r="E111" s="869"/>
      <c r="F111" s="869"/>
      <c r="G111" s="870"/>
      <c r="H111" s="869"/>
      <c r="I111" s="889"/>
      <c r="J111" s="869"/>
      <c r="K111" s="868">
        <f>SUM(K105:K110)</f>
        <v>9040674</v>
      </c>
      <c r="L111" s="847"/>
    </row>
    <row r="112" spans="2:14" ht="21.75" customHeight="1">
      <c r="B112" s="846"/>
      <c r="C112" s="873"/>
      <c r="D112" s="890"/>
      <c r="E112" s="890"/>
      <c r="F112" s="890"/>
      <c r="G112" s="891"/>
      <c r="H112" s="873"/>
      <c r="I112" s="892"/>
      <c r="J112" s="893"/>
      <c r="K112" s="894"/>
      <c r="L112" s="847"/>
    </row>
    <row r="113" spans="2:12" s="898" customFormat="1" ht="15" thickBot="1">
      <c r="B113" s="895"/>
      <c r="C113" s="900"/>
      <c r="D113" s="900"/>
      <c r="E113" s="900"/>
      <c r="F113" s="900"/>
      <c r="G113" s="901"/>
      <c r="H113" s="900"/>
      <c r="I113" s="900"/>
      <c r="J113" s="900"/>
      <c r="K113" s="902"/>
      <c r="L113" s="897"/>
    </row>
    <row r="114" spans="2:12" s="898" customFormat="1" ht="30" customHeight="1">
      <c r="B114" s="895"/>
      <c r="C114" s="896"/>
      <c r="D114" s="896"/>
      <c r="E114" s="896"/>
      <c r="F114" s="896"/>
      <c r="G114" s="1071" t="s">
        <v>929</v>
      </c>
      <c r="H114" s="1072"/>
      <c r="I114" s="1072"/>
      <c r="J114" s="1073"/>
      <c r="K114" s="817">
        <f>K111</f>
        <v>9040674</v>
      </c>
      <c r="L114" s="897"/>
    </row>
    <row r="115" spans="2:12" s="898" customFormat="1" ht="30" customHeight="1">
      <c r="B115" s="895"/>
      <c r="C115" s="896"/>
      <c r="D115" s="896"/>
      <c r="E115" s="896"/>
      <c r="F115" s="896"/>
      <c r="G115" s="1091" t="s">
        <v>2437</v>
      </c>
      <c r="H115" s="1092"/>
      <c r="I115" s="1092"/>
      <c r="J115" s="818">
        <v>0.19</v>
      </c>
      <c r="K115" s="819">
        <f>ROUND(J115*K114,0)</f>
        <v>1717728</v>
      </c>
      <c r="L115" s="897"/>
    </row>
    <row r="116" spans="2:12" s="898" customFormat="1" ht="30" customHeight="1" thickBot="1">
      <c r="B116" s="895"/>
      <c r="C116" s="896"/>
      <c r="D116" s="896"/>
      <c r="E116" s="896"/>
      <c r="F116" s="896"/>
      <c r="G116" s="1093" t="s">
        <v>2438</v>
      </c>
      <c r="H116" s="1094"/>
      <c r="I116" s="1094"/>
      <c r="J116" s="1095"/>
      <c r="K116" s="820">
        <f>K114+K115</f>
        <v>10758402</v>
      </c>
      <c r="L116" s="897"/>
    </row>
    <row r="117" spans="2:12" s="898" customFormat="1" ht="30" customHeight="1" thickBot="1">
      <c r="B117" s="895"/>
      <c r="C117" s="896"/>
      <c r="D117" s="896"/>
      <c r="E117" s="896"/>
      <c r="F117" s="903"/>
      <c r="G117" s="904"/>
      <c r="H117" s="905"/>
      <c r="I117" s="906"/>
      <c r="J117" s="896"/>
      <c r="K117" s="907"/>
      <c r="L117" s="897"/>
    </row>
    <row r="118" spans="2:12" s="898" customFormat="1" ht="30" customHeight="1" thickBot="1">
      <c r="B118" s="895"/>
      <c r="C118" s="896"/>
      <c r="D118" s="896"/>
      <c r="E118" s="896"/>
      <c r="F118" s="896"/>
      <c r="G118" s="821" t="s">
        <v>2439</v>
      </c>
      <c r="H118" s="822"/>
      <c r="I118" s="823"/>
      <c r="J118" s="824"/>
      <c r="K118" s="825">
        <f>K116+K100</f>
        <v>209258519</v>
      </c>
      <c r="L118" s="897"/>
    </row>
    <row r="119" spans="2:12" s="898" customFormat="1" ht="30" customHeight="1">
      <c r="B119" s="895"/>
      <c r="C119" s="826"/>
      <c r="D119" s="1097"/>
      <c r="E119" s="1097"/>
      <c r="F119" s="1097"/>
      <c r="G119" s="1097"/>
      <c r="H119" s="1097"/>
      <c r="I119" s="1097"/>
      <c r="J119" s="1097"/>
      <c r="K119" s="1098"/>
      <c r="L119" s="897"/>
    </row>
    <row r="120" spans="2:12" s="898" customFormat="1" ht="40.9" customHeight="1">
      <c r="B120" s="895"/>
      <c r="C120" s="1257" t="s">
        <v>2440</v>
      </c>
      <c r="D120" s="1258"/>
      <c r="E120" s="1258"/>
      <c r="F120" s="1258"/>
      <c r="G120" s="1259"/>
      <c r="H120" s="1260" t="s">
        <v>240</v>
      </c>
      <c r="I120" s="1260"/>
      <c r="J120" s="1260"/>
      <c r="K120" s="827" t="s">
        <v>957</v>
      </c>
      <c r="L120" s="897"/>
    </row>
    <row r="121" spans="2:12" s="898" customFormat="1" ht="14.25" customHeight="1">
      <c r="B121" s="895"/>
      <c r="C121" s="1261" t="s">
        <v>2441</v>
      </c>
      <c r="D121" s="1262"/>
      <c r="E121" s="1262"/>
      <c r="F121" s="1262"/>
      <c r="G121" s="1262"/>
      <c r="H121" s="1254" t="s">
        <v>19</v>
      </c>
      <c r="I121" s="1254"/>
      <c r="J121" s="828" t="s">
        <v>958</v>
      </c>
      <c r="K121" s="829">
        <v>0.25</v>
      </c>
      <c r="L121" s="908"/>
    </row>
    <row r="122" spans="2:12" s="898" customFormat="1" ht="46.5" customHeight="1">
      <c r="B122" s="895"/>
      <c r="C122" s="1261"/>
      <c r="D122" s="1262"/>
      <c r="E122" s="1262"/>
      <c r="F122" s="1262"/>
      <c r="G122" s="1262"/>
      <c r="H122" s="1263" t="s">
        <v>2493</v>
      </c>
      <c r="I122" s="1264"/>
      <c r="J122" s="828" t="s">
        <v>959</v>
      </c>
      <c r="K122" s="829">
        <v>0.01</v>
      </c>
      <c r="L122" s="909"/>
    </row>
    <row r="123" spans="2:12" s="898" customFormat="1" ht="32.25" customHeight="1">
      <c r="B123" s="895"/>
      <c r="C123" s="1244"/>
      <c r="D123" s="1245"/>
      <c r="E123" s="1245"/>
      <c r="F123" s="1245"/>
      <c r="G123" s="1246"/>
      <c r="H123" s="1253" t="s">
        <v>2494</v>
      </c>
      <c r="I123" s="1254"/>
      <c r="J123" s="828" t="s">
        <v>960</v>
      </c>
      <c r="K123" s="829">
        <v>0.05</v>
      </c>
      <c r="L123" s="909"/>
    </row>
    <row r="124" spans="2:12" s="898" customFormat="1" ht="30" customHeight="1">
      <c r="B124" s="895"/>
      <c r="C124" s="1247"/>
      <c r="D124" s="1248"/>
      <c r="E124" s="1248"/>
      <c r="F124" s="1248"/>
      <c r="G124" s="1249"/>
      <c r="H124" s="1254" t="s">
        <v>961</v>
      </c>
      <c r="I124" s="1254"/>
      <c r="J124" s="828" t="s">
        <v>962</v>
      </c>
      <c r="K124" s="829">
        <v>0.31</v>
      </c>
      <c r="L124" s="909"/>
    </row>
    <row r="125" spans="2:12" s="898" customFormat="1" ht="58.5" customHeight="1" thickBot="1">
      <c r="B125" s="895"/>
      <c r="C125" s="1250"/>
      <c r="D125" s="1251"/>
      <c r="E125" s="1251"/>
      <c r="F125" s="1251"/>
      <c r="G125" s="1252"/>
      <c r="H125" s="1255"/>
      <c r="I125" s="1255"/>
      <c r="J125" s="1255"/>
      <c r="K125" s="1256"/>
      <c r="L125" s="897"/>
    </row>
    <row r="126" spans="2:12" ht="63.75" customHeight="1">
      <c r="B126" s="846"/>
      <c r="C126" s="910"/>
      <c r="D126" s="910"/>
      <c r="E126" s="910"/>
      <c r="F126" s="910"/>
      <c r="H126" s="910"/>
      <c r="I126" s="910"/>
      <c r="J126" s="910"/>
      <c r="K126" s="910"/>
      <c r="L126" s="847"/>
    </row>
    <row r="127" spans="2:12" ht="47.25" customHeight="1">
      <c r="B127" s="846"/>
      <c r="C127" s="910"/>
      <c r="D127" s="910"/>
      <c r="E127" s="910"/>
      <c r="F127" s="910"/>
      <c r="H127" s="910"/>
      <c r="I127" s="910"/>
      <c r="J127" s="910"/>
      <c r="K127" s="910"/>
      <c r="L127" s="847"/>
    </row>
    <row r="128" spans="2:12" ht="47.25" customHeight="1">
      <c r="B128" s="846"/>
      <c r="G128" s="912" t="s">
        <v>2495</v>
      </c>
      <c r="L128" s="847"/>
    </row>
    <row r="129" spans="2:12" ht="15" thickBot="1">
      <c r="B129" s="913"/>
      <c r="C129" s="914"/>
      <c r="D129" s="914"/>
      <c r="E129" s="915"/>
      <c r="F129" s="914"/>
      <c r="G129" s="916"/>
      <c r="H129" s="914"/>
      <c r="I129" s="914"/>
      <c r="J129" s="914"/>
      <c r="K129" s="914"/>
      <c r="L129" s="917"/>
    </row>
    <row r="130" spans="2:12" ht="15" thickTop="1"/>
  </sheetData>
  <mergeCells count="56">
    <mergeCell ref="C123:G125"/>
    <mergeCell ref="H123:I123"/>
    <mergeCell ref="H124:I124"/>
    <mergeCell ref="H125:K125"/>
    <mergeCell ref="C120:G120"/>
    <mergeCell ref="H120:J120"/>
    <mergeCell ref="C121:G121"/>
    <mergeCell ref="H121:I121"/>
    <mergeCell ref="C122:G122"/>
    <mergeCell ref="H122:I122"/>
    <mergeCell ref="D119:K119"/>
    <mergeCell ref="G98:I98"/>
    <mergeCell ref="G99:I99"/>
    <mergeCell ref="G100:J100"/>
    <mergeCell ref="C102:C103"/>
    <mergeCell ref="D102:D103"/>
    <mergeCell ref="E102:F102"/>
    <mergeCell ref="G102:G103"/>
    <mergeCell ref="H102:H103"/>
    <mergeCell ref="I102:I103"/>
    <mergeCell ref="J102:J103"/>
    <mergeCell ref="K102:K103"/>
    <mergeCell ref="C104:H104"/>
    <mergeCell ref="G114:J114"/>
    <mergeCell ref="G115:I115"/>
    <mergeCell ref="G116:J116"/>
    <mergeCell ref="G97:I97"/>
    <mergeCell ref="C31:H31"/>
    <mergeCell ref="C34:H34"/>
    <mergeCell ref="C40:H40"/>
    <mergeCell ref="C44:H44"/>
    <mergeCell ref="C48:H48"/>
    <mergeCell ref="C51:H51"/>
    <mergeCell ref="C57:H57"/>
    <mergeCell ref="C67:H67"/>
    <mergeCell ref="C90:H90"/>
    <mergeCell ref="G95:J95"/>
    <mergeCell ref="G96:I96"/>
    <mergeCell ref="J8:J9"/>
    <mergeCell ref="K8:K9"/>
    <mergeCell ref="C10:H10"/>
    <mergeCell ref="C15:H15"/>
    <mergeCell ref="C24:H24"/>
    <mergeCell ref="I8:I9"/>
    <mergeCell ref="C27:H27"/>
    <mergeCell ref="C8:C9"/>
    <mergeCell ref="D8:D9"/>
    <mergeCell ref="E8:F8"/>
    <mergeCell ref="G8:G9"/>
    <mergeCell ref="H8:H9"/>
    <mergeCell ref="C7:K7"/>
    <mergeCell ref="B1:G1"/>
    <mergeCell ref="B2:E2"/>
    <mergeCell ref="B4:L4"/>
    <mergeCell ref="C5:K5"/>
    <mergeCell ref="C6:K6"/>
  </mergeCells>
  <conditionalFormatting sqref="G79:G82">
    <cfRule type="cellIs" dxfId="0" priority="1" stopIfTrue="1" operator="equal">
      <formula>0</formula>
    </cfRule>
  </conditionalFormatting>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
  <sheetViews>
    <sheetView workbookViewId="0"/>
  </sheetViews>
  <sheetFormatPr baseColWidth="10" defaultColWidth="14.42578125" defaultRowHeight="15" customHeight="1"/>
  <sheetData>
    <row r="1" spans="1:1">
      <c r="A1" s="666"/>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A12"/>
  <sheetViews>
    <sheetView workbookViewId="0"/>
  </sheetViews>
  <sheetFormatPr baseColWidth="10" defaultColWidth="14.42578125" defaultRowHeight="15" customHeight="1"/>
  <sheetData>
    <row r="1" spans="1:1">
      <c r="A1" s="666" t="e">
        <f>ModelSheet=APU!A:Z</f>
        <v>#NAME?</v>
      </c>
    </row>
    <row r="2" spans="1:1">
      <c r="A2" s="666" t="e">
        <f>OpenSolver_AdjNum=1</f>
        <v>#NAME?</v>
      </c>
    </row>
    <row r="3" spans="1:1">
      <c r="A3" s="666" t="e">
        <f>OpenSolver_ChosenSolver=GLPK</f>
        <v>#NAME?</v>
      </c>
    </row>
    <row r="4" spans="1:1">
      <c r="A4" s="666" t="e">
        <f>OpenSolver_FastBuild=0</f>
        <v>#NAME?</v>
      </c>
    </row>
    <row r="5" spans="1:1">
      <c r="A5" s="666" t="e">
        <f>OpenSolver_LinearityCheck=1</f>
        <v>#NAME?</v>
      </c>
    </row>
    <row r="6" spans="1:1">
      <c r="A6" s="666" t="e">
        <f>solver_adj=APU!L1928:M1928</f>
        <v>#NAME?</v>
      </c>
    </row>
    <row r="7" spans="1:1">
      <c r="A7" s="666" t="e">
        <f>solver_neg=1</f>
        <v>#NAME?</v>
      </c>
    </row>
    <row r="8" spans="1:1">
      <c r="A8" s="666" t="e">
        <f>solver_num=0</f>
        <v>#NAME?</v>
      </c>
    </row>
    <row r="9" spans="1:1">
      <c r="A9" s="666" t="e">
        <f>solver_opt=APU!N1935</f>
        <v>#NAME?</v>
      </c>
    </row>
    <row r="10" spans="1:1">
      <c r="A10" s="666" t="e">
        <f>solver_sho=1</f>
        <v>#NAME?</v>
      </c>
    </row>
    <row r="11" spans="1:1">
      <c r="A11" s="666" t="e">
        <f>solver_typ=3</f>
        <v>#NAME?</v>
      </c>
    </row>
    <row r="12" spans="1:1">
      <c r="A12" s="666" t="e">
        <f>solver_val=229042</f>
        <v>#NAME?</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A1000"/>
  <sheetViews>
    <sheetView workbookViewId="0"/>
  </sheetViews>
  <sheetFormatPr baseColWidth="10" defaultColWidth="14.42578125" defaultRowHeight="15" customHeight="1"/>
  <cols>
    <col min="1" max="11" width="11.5703125" customWidth="1"/>
    <col min="12" max="12" width="24.28515625" customWidth="1"/>
    <col min="13" max="14" width="11.5703125" customWidth="1"/>
    <col min="15" max="15" width="10" customWidth="1"/>
    <col min="16" max="17" width="11.5703125" customWidth="1"/>
    <col min="18" max="18" width="17.85546875" customWidth="1"/>
    <col min="19" max="21" width="11.5703125" customWidth="1"/>
    <col min="22" max="22" width="13.7109375" customWidth="1"/>
    <col min="23" max="23" width="20.140625" customWidth="1"/>
    <col min="24" max="27" width="11.5703125" customWidth="1"/>
  </cols>
  <sheetData>
    <row r="1" spans="2:27" ht="48.75" customHeight="1">
      <c r="B1" s="1289"/>
      <c r="C1" s="926"/>
      <c r="D1" s="926"/>
      <c r="E1" s="926"/>
      <c r="F1" s="926"/>
      <c r="G1" s="926"/>
      <c r="H1" s="926"/>
      <c r="I1" s="926"/>
      <c r="J1" s="1290" t="s">
        <v>2347</v>
      </c>
      <c r="K1" s="926"/>
      <c r="L1" s="926"/>
      <c r="M1" s="926"/>
      <c r="N1" s="926"/>
      <c r="O1" s="926"/>
      <c r="P1" s="926"/>
      <c r="Q1" s="926"/>
      <c r="R1" s="926"/>
      <c r="S1" s="926"/>
      <c r="T1" s="926"/>
      <c r="U1" s="926"/>
      <c r="V1" s="926"/>
      <c r="W1" s="927"/>
    </row>
    <row r="2" spans="2:27" ht="16.5" customHeight="1">
      <c r="B2" s="920"/>
      <c r="C2" s="922"/>
      <c r="D2" s="922"/>
      <c r="E2" s="922"/>
      <c r="F2" s="922"/>
      <c r="G2" s="922"/>
      <c r="H2" s="922"/>
      <c r="I2" s="922"/>
      <c r="J2" s="920"/>
      <c r="K2" s="922"/>
      <c r="L2" s="922"/>
      <c r="M2" s="922"/>
      <c r="N2" s="922"/>
      <c r="O2" s="922"/>
      <c r="P2" s="922"/>
      <c r="Q2" s="922"/>
      <c r="R2" s="922"/>
      <c r="S2" s="922"/>
      <c r="T2" s="922"/>
      <c r="U2" s="922"/>
      <c r="V2" s="922"/>
      <c r="W2" s="924"/>
    </row>
    <row r="3" spans="2:27" ht="18.75" customHeight="1">
      <c r="B3" s="920"/>
      <c r="C3" s="922"/>
      <c r="D3" s="922"/>
      <c r="E3" s="922"/>
      <c r="F3" s="922"/>
      <c r="G3" s="922"/>
      <c r="H3" s="922"/>
      <c r="I3" s="922"/>
      <c r="J3" s="920"/>
      <c r="K3" s="922"/>
      <c r="L3" s="922"/>
      <c r="M3" s="922"/>
      <c r="N3" s="922"/>
      <c r="O3" s="922"/>
      <c r="P3" s="922"/>
      <c r="Q3" s="922"/>
      <c r="R3" s="922"/>
      <c r="S3" s="922"/>
      <c r="T3" s="922"/>
      <c r="U3" s="922"/>
      <c r="V3" s="922"/>
      <c r="W3" s="924"/>
    </row>
    <row r="4" spans="2:27" ht="20.25" customHeight="1">
      <c r="B4" s="929"/>
      <c r="C4" s="936"/>
      <c r="D4" s="936"/>
      <c r="E4" s="936"/>
      <c r="F4" s="936"/>
      <c r="G4" s="936"/>
      <c r="H4" s="936"/>
      <c r="I4" s="936"/>
      <c r="J4" s="929"/>
      <c r="K4" s="936"/>
      <c r="L4" s="936"/>
      <c r="M4" s="936"/>
      <c r="N4" s="936"/>
      <c r="O4" s="936"/>
      <c r="P4" s="936"/>
      <c r="Q4" s="936"/>
      <c r="R4" s="936"/>
      <c r="S4" s="936"/>
      <c r="T4" s="936"/>
      <c r="U4" s="936"/>
      <c r="V4" s="936"/>
      <c r="W4" s="938"/>
    </row>
    <row r="5" spans="2:27" ht="22.5" customHeight="1">
      <c r="B5" s="1291" t="s">
        <v>2348</v>
      </c>
      <c r="C5" s="1131"/>
      <c r="D5" s="1000"/>
      <c r="E5" s="1292" t="s">
        <v>2349</v>
      </c>
      <c r="F5" s="1131"/>
      <c r="G5" s="1131"/>
      <c r="H5" s="1131"/>
      <c r="I5" s="1131"/>
      <c r="J5" s="697" t="s">
        <v>2350</v>
      </c>
      <c r="K5" s="698" t="s">
        <v>2351</v>
      </c>
      <c r="L5" s="1293"/>
      <c r="M5" s="926"/>
      <c r="N5" s="926"/>
      <c r="O5" s="926"/>
      <c r="P5" s="926"/>
      <c r="Q5" s="926"/>
      <c r="R5" s="926"/>
      <c r="S5" s="926"/>
      <c r="T5" s="926"/>
      <c r="U5" s="926"/>
      <c r="V5" s="926"/>
      <c r="W5" s="927"/>
    </row>
    <row r="6" spans="2:27" ht="21" customHeight="1">
      <c r="B6" s="1295" t="s">
        <v>2352</v>
      </c>
      <c r="C6" s="940"/>
      <c r="D6" s="941"/>
      <c r="E6" s="1294">
        <v>44578</v>
      </c>
      <c r="F6" s="940"/>
      <c r="G6" s="940"/>
      <c r="H6" s="940"/>
      <c r="I6" s="941"/>
      <c r="J6" s="699" t="s">
        <v>1</v>
      </c>
      <c r="K6" s="700">
        <v>0</v>
      </c>
      <c r="L6" s="947"/>
      <c r="M6" s="922"/>
      <c r="N6" s="922"/>
      <c r="O6" s="922"/>
      <c r="P6" s="922"/>
      <c r="Q6" s="922"/>
      <c r="R6" s="922"/>
      <c r="S6" s="922"/>
      <c r="T6" s="922"/>
      <c r="U6" s="922"/>
      <c r="V6" s="922"/>
      <c r="W6" s="924"/>
    </row>
    <row r="7" spans="2:27" ht="19.5" customHeight="1">
      <c r="B7" s="1296"/>
      <c r="C7" s="922"/>
      <c r="D7" s="922"/>
      <c r="E7" s="922"/>
      <c r="F7" s="922"/>
      <c r="G7" s="922"/>
      <c r="H7" s="922"/>
      <c r="I7" s="922"/>
      <c r="J7" s="922"/>
      <c r="K7" s="922"/>
      <c r="L7" s="922"/>
      <c r="M7" s="922"/>
      <c r="N7" s="922"/>
      <c r="O7" s="922"/>
      <c r="P7" s="922"/>
      <c r="Q7" s="922"/>
      <c r="R7" s="922"/>
      <c r="S7" s="922"/>
      <c r="T7" s="922"/>
      <c r="U7" s="922"/>
      <c r="V7" s="922"/>
      <c r="W7" s="924"/>
    </row>
    <row r="8" spans="2:27" ht="19.5" customHeight="1">
      <c r="B8" s="1300" t="s">
        <v>2297</v>
      </c>
      <c r="C8" s="940"/>
      <c r="D8" s="941"/>
      <c r="E8" s="1301"/>
      <c r="F8" s="940"/>
      <c r="G8" s="941"/>
      <c r="H8" s="701" t="s">
        <v>2353</v>
      </c>
      <c r="I8" s="702">
        <v>0</v>
      </c>
      <c r="J8" s="701" t="s">
        <v>2296</v>
      </c>
      <c r="K8" s="1278"/>
      <c r="L8" s="940"/>
      <c r="M8" s="940"/>
      <c r="N8" s="940"/>
      <c r="O8" s="940"/>
      <c r="P8" s="940"/>
      <c r="Q8" s="940"/>
      <c r="R8" s="940"/>
      <c r="S8" s="940"/>
      <c r="T8" s="940"/>
      <c r="U8" s="940"/>
      <c r="V8" s="940"/>
      <c r="W8" s="973"/>
    </row>
    <row r="9" spans="2:27" ht="11.25" customHeight="1">
      <c r="B9" s="703"/>
      <c r="C9" s="704"/>
      <c r="D9" s="704"/>
      <c r="E9" s="704"/>
      <c r="F9" s="704"/>
      <c r="G9" s="704"/>
      <c r="H9" s="704"/>
      <c r="I9" s="704"/>
      <c r="J9" s="704"/>
      <c r="K9" s="704"/>
      <c r="L9" s="704"/>
      <c r="M9" s="704"/>
      <c r="N9" s="704"/>
      <c r="O9" s="704"/>
      <c r="P9" s="704"/>
      <c r="Q9" s="704"/>
      <c r="R9" s="704"/>
      <c r="S9" s="704"/>
      <c r="T9" s="704"/>
      <c r="U9" s="704"/>
      <c r="V9" s="704"/>
      <c r="W9" s="705"/>
    </row>
    <row r="10" spans="2:27" ht="27">
      <c r="B10" s="1302" t="s">
        <v>2354</v>
      </c>
      <c r="C10" s="940"/>
      <c r="D10" s="940"/>
      <c r="E10" s="940"/>
      <c r="F10" s="940"/>
      <c r="G10" s="940"/>
      <c r="H10" s="940"/>
      <c r="I10" s="941"/>
      <c r="J10" s="1279" t="s">
        <v>2355</v>
      </c>
      <c r="K10" s="940"/>
      <c r="L10" s="941"/>
      <c r="M10" s="1279"/>
      <c r="N10" s="940"/>
      <c r="O10" s="940"/>
      <c r="P10" s="940"/>
      <c r="Q10" s="940"/>
      <c r="R10" s="940"/>
      <c r="S10" s="940"/>
      <c r="T10" s="940"/>
      <c r="U10" s="940"/>
      <c r="V10" s="940"/>
      <c r="W10" s="973"/>
    </row>
    <row r="11" spans="2:27" ht="22.5" customHeight="1">
      <c r="B11" s="1303" t="s">
        <v>2298</v>
      </c>
      <c r="C11" s="979"/>
      <c r="D11" s="979"/>
      <c r="E11" s="979"/>
      <c r="F11" s="979"/>
      <c r="G11" s="979"/>
      <c r="H11" s="979"/>
      <c r="I11" s="1145"/>
      <c r="J11" s="1280"/>
      <c r="K11" s="979"/>
      <c r="L11" s="979"/>
      <c r="M11" s="979"/>
      <c r="N11" s="979"/>
      <c r="O11" s="979"/>
      <c r="P11" s="1145"/>
      <c r="Q11" s="706" t="s">
        <v>2356</v>
      </c>
      <c r="R11" s="707"/>
      <c r="S11" s="707"/>
      <c r="T11" s="707"/>
      <c r="U11" s="707"/>
      <c r="V11" s="707"/>
      <c r="W11" s="708"/>
    </row>
    <row r="12" spans="2:27" ht="15" hidden="1" customHeight="1">
      <c r="B12" s="709"/>
      <c r="C12" s="710"/>
      <c r="D12" s="710"/>
      <c r="E12" s="710"/>
      <c r="F12" s="710"/>
      <c r="G12" s="710"/>
      <c r="H12" s="710"/>
      <c r="I12" s="710"/>
      <c r="J12" s="710"/>
      <c r="K12" s="710"/>
      <c r="L12" s="710"/>
      <c r="M12" s="710"/>
      <c r="N12" s="710"/>
      <c r="O12" s="710"/>
      <c r="P12" s="710"/>
      <c r="Q12" s="710"/>
      <c r="R12" s="711"/>
      <c r="S12" s="711"/>
      <c r="T12" s="711"/>
      <c r="U12" s="711"/>
      <c r="V12" s="712"/>
      <c r="W12" s="712"/>
    </row>
    <row r="13" spans="2:27" ht="22.5" customHeight="1">
      <c r="B13" s="709"/>
      <c r="C13" s="710"/>
      <c r="D13" s="710"/>
      <c r="E13" s="710"/>
      <c r="F13" s="710"/>
      <c r="G13" s="710"/>
      <c r="H13" s="710"/>
      <c r="I13" s="710"/>
      <c r="J13" s="710"/>
      <c r="K13" s="710"/>
      <c r="L13" s="710"/>
      <c r="M13" s="710"/>
      <c r="N13" s="710"/>
      <c r="O13" s="710"/>
      <c r="P13" s="710"/>
      <c r="Q13" s="710"/>
      <c r="R13" s="711"/>
      <c r="S13" s="711"/>
      <c r="T13" s="711"/>
      <c r="U13" s="711"/>
      <c r="V13" s="712"/>
      <c r="W13" s="712"/>
    </row>
    <row r="14" spans="2:27" ht="19.5">
      <c r="B14" s="1297" t="s">
        <v>2300</v>
      </c>
      <c r="C14" s="965"/>
      <c r="D14" s="965"/>
      <c r="E14" s="1282"/>
      <c r="F14" s="1304"/>
      <c r="G14" s="965"/>
      <c r="H14" s="965"/>
      <c r="I14" s="1281"/>
      <c r="J14" s="965"/>
      <c r="K14" s="965"/>
      <c r="L14" s="965"/>
      <c r="M14" s="965"/>
      <c r="N14" s="965"/>
      <c r="O14" s="965"/>
      <c r="P14" s="965"/>
      <c r="Q14" s="965"/>
      <c r="R14" s="1282"/>
      <c r="S14" s="713" t="s">
        <v>2357</v>
      </c>
      <c r="T14" s="714"/>
      <c r="U14" s="713" t="s">
        <v>2358</v>
      </c>
      <c r="V14" s="1281"/>
      <c r="W14" s="966"/>
    </row>
    <row r="15" spans="2:27" ht="19.5">
      <c r="B15" s="1298" t="s">
        <v>2359</v>
      </c>
      <c r="C15" s="965"/>
      <c r="D15" s="965"/>
      <c r="E15" s="965"/>
      <c r="F15" s="965"/>
      <c r="G15" s="965"/>
      <c r="H15" s="965"/>
      <c r="I15" s="965"/>
      <c r="J15" s="965"/>
      <c r="K15" s="965"/>
      <c r="L15" s="965"/>
      <c r="M15" s="965"/>
      <c r="N15" s="965"/>
      <c r="O15" s="965"/>
      <c r="P15" s="965"/>
      <c r="Q15" s="1166"/>
      <c r="R15" s="1298" t="s">
        <v>2360</v>
      </c>
      <c r="S15" s="965"/>
      <c r="T15" s="965"/>
      <c r="U15" s="965"/>
      <c r="V15" s="965"/>
      <c r="W15" s="966"/>
      <c r="X15" s="715">
        <v>0.25</v>
      </c>
      <c r="Y15" s="716">
        <v>0.25</v>
      </c>
      <c r="Z15" s="717">
        <v>0.25</v>
      </c>
      <c r="AA15" s="717" t="s">
        <v>2314</v>
      </c>
    </row>
    <row r="16" spans="2:27">
      <c r="B16" s="70"/>
      <c r="L16" s="1299" t="s">
        <v>2361</v>
      </c>
      <c r="M16" s="945"/>
      <c r="N16" s="945"/>
      <c r="O16" s="945"/>
      <c r="P16" s="945"/>
      <c r="Q16" s="945"/>
      <c r="R16" s="945"/>
      <c r="S16" s="945"/>
      <c r="T16" s="945"/>
      <c r="U16" s="945"/>
      <c r="V16" s="945"/>
      <c r="W16" s="1006"/>
      <c r="X16" s="715">
        <v>0.375</v>
      </c>
      <c r="Y16" s="716">
        <v>0.375</v>
      </c>
      <c r="Z16" s="717">
        <v>0.56000000000000005</v>
      </c>
      <c r="AA16" s="717" t="s">
        <v>2314</v>
      </c>
    </row>
    <row r="17" spans="2:27">
      <c r="B17" s="70"/>
      <c r="L17" s="948"/>
      <c r="M17" s="949"/>
      <c r="N17" s="949"/>
      <c r="O17" s="949"/>
      <c r="P17" s="949"/>
      <c r="Q17" s="949"/>
      <c r="R17" s="949"/>
      <c r="S17" s="949"/>
      <c r="T17" s="949"/>
      <c r="U17" s="949"/>
      <c r="V17" s="949"/>
      <c r="W17" s="1004"/>
      <c r="X17" s="715">
        <v>0.5</v>
      </c>
      <c r="Y17" s="716">
        <v>0.5</v>
      </c>
      <c r="Z17" s="717">
        <v>0.99</v>
      </c>
      <c r="AA17" s="717" t="s">
        <v>2314</v>
      </c>
    </row>
    <row r="18" spans="2:27">
      <c r="B18" s="70"/>
      <c r="L18" s="1287" t="s">
        <v>2362</v>
      </c>
      <c r="M18" s="1283">
        <v>1</v>
      </c>
      <c r="N18" s="1140"/>
      <c r="O18" s="1284">
        <v>2</v>
      </c>
      <c r="P18" s="1140"/>
      <c r="Q18" s="1265">
        <v>3</v>
      </c>
      <c r="R18" s="1140"/>
      <c r="S18" s="1265">
        <v>4</v>
      </c>
      <c r="T18" s="1140"/>
      <c r="U18" s="1265">
        <v>5</v>
      </c>
      <c r="V18" s="1140"/>
      <c r="W18" s="718">
        <v>6</v>
      </c>
      <c r="X18" s="715">
        <v>0.625</v>
      </c>
      <c r="Y18" s="716">
        <v>0.625</v>
      </c>
      <c r="Z18" s="717">
        <v>1.552</v>
      </c>
      <c r="AA18" s="717" t="s">
        <v>2314</v>
      </c>
    </row>
    <row r="19" spans="2:27">
      <c r="B19" s="70"/>
      <c r="L19" s="1288"/>
      <c r="M19" s="1266"/>
      <c r="N19" s="946"/>
      <c r="O19" s="1267"/>
      <c r="P19" s="946"/>
      <c r="Q19" s="1269"/>
      <c r="R19" s="946"/>
      <c r="S19" s="1269"/>
      <c r="T19" s="946"/>
      <c r="U19" s="1269"/>
      <c r="V19" s="946"/>
      <c r="W19" s="1270"/>
      <c r="X19" s="715">
        <v>0.75</v>
      </c>
      <c r="Y19" s="716">
        <v>0.75</v>
      </c>
      <c r="Z19" s="717">
        <v>2.2400000000000002</v>
      </c>
      <c r="AA19" s="717" t="s">
        <v>2314</v>
      </c>
    </row>
    <row r="20" spans="2:27">
      <c r="B20" s="70"/>
      <c r="L20" s="1156"/>
      <c r="M20" s="993"/>
      <c r="N20" s="1070"/>
      <c r="O20" s="1268"/>
      <c r="P20" s="1070"/>
      <c r="Q20" s="1268"/>
      <c r="R20" s="1070"/>
      <c r="S20" s="1268"/>
      <c r="T20" s="1070"/>
      <c r="U20" s="1268"/>
      <c r="V20" s="1070"/>
      <c r="W20" s="1016"/>
      <c r="X20" s="715">
        <v>0.875</v>
      </c>
      <c r="Y20" s="716">
        <v>0.875</v>
      </c>
      <c r="Z20" s="717">
        <v>3.04</v>
      </c>
      <c r="AA20" s="717" t="s">
        <v>2314</v>
      </c>
    </row>
    <row r="21" spans="2:27" ht="15.75" customHeight="1">
      <c r="B21" s="70"/>
      <c r="L21" s="1273" t="s">
        <v>2363</v>
      </c>
      <c r="M21" s="1275" t="s">
        <v>2364</v>
      </c>
      <c r="N21" s="1275" t="s">
        <v>2362</v>
      </c>
      <c r="O21" s="1277" t="s">
        <v>2365</v>
      </c>
      <c r="P21" s="1275" t="s">
        <v>2366</v>
      </c>
      <c r="Q21" s="1275" t="s">
        <v>2367</v>
      </c>
      <c r="R21" s="1271" t="s">
        <v>2368</v>
      </c>
      <c r="S21" s="1285" t="s">
        <v>2369</v>
      </c>
      <c r="T21" s="1131"/>
      <c r="U21" s="1000"/>
      <c r="V21" s="1271" t="s">
        <v>2370</v>
      </c>
      <c r="W21" s="1286" t="s">
        <v>2371</v>
      </c>
      <c r="X21" s="715">
        <v>1</v>
      </c>
      <c r="Y21" s="716">
        <v>1</v>
      </c>
      <c r="Z21" s="717">
        <v>3.97</v>
      </c>
      <c r="AA21" s="717" t="s">
        <v>2314</v>
      </c>
    </row>
    <row r="22" spans="2:27" ht="51" customHeight="1">
      <c r="B22" s="70"/>
      <c r="L22" s="1274"/>
      <c r="M22" s="1276"/>
      <c r="N22" s="1276"/>
      <c r="O22" s="1276"/>
      <c r="P22" s="1276"/>
      <c r="Q22" s="1276"/>
      <c r="R22" s="1008"/>
      <c r="S22" s="719" t="s">
        <v>974</v>
      </c>
      <c r="T22" s="719" t="s">
        <v>2372</v>
      </c>
      <c r="U22" s="719" t="s">
        <v>2373</v>
      </c>
      <c r="V22" s="1008"/>
      <c r="W22" s="1010"/>
      <c r="X22" s="720"/>
      <c r="Y22" s="721"/>
      <c r="Z22" s="721"/>
      <c r="AA22" s="721"/>
    </row>
    <row r="23" spans="2:27" ht="15.75" customHeight="1">
      <c r="B23" s="70"/>
      <c r="L23" s="1272" t="s">
        <v>2374</v>
      </c>
      <c r="M23" s="965"/>
      <c r="N23" s="965"/>
      <c r="O23" s="965"/>
      <c r="P23" s="965"/>
      <c r="Q23" s="965"/>
      <c r="R23" s="965"/>
      <c r="S23" s="965"/>
      <c r="T23" s="965"/>
      <c r="U23" s="965"/>
      <c r="V23" s="965"/>
      <c r="W23" s="966"/>
      <c r="X23" s="722"/>
      <c r="Y23" s="721"/>
      <c r="Z23" s="721"/>
      <c r="AA23" s="721"/>
    </row>
    <row r="24" spans="2:27" ht="15.75" customHeight="1">
      <c r="B24" s="70"/>
      <c r="L24" s="723" t="s">
        <v>2375</v>
      </c>
      <c r="M24" s="724"/>
      <c r="N24" s="725">
        <v>1</v>
      </c>
      <c r="O24" s="726">
        <v>0.5</v>
      </c>
      <c r="P24" s="725">
        <v>15</v>
      </c>
      <c r="Q24" s="725">
        <v>2</v>
      </c>
      <c r="R24" s="727">
        <f t="shared" ref="R24:R25" si="0">P24*Q24</f>
        <v>30</v>
      </c>
      <c r="S24" s="728">
        <v>1.65</v>
      </c>
      <c r="T24" s="728">
        <v>0.2</v>
      </c>
      <c r="U24" s="728"/>
      <c r="V24" s="729">
        <f t="shared" ref="V24:V25" si="1">IF(N24=$M$18,S24+2*T24,IF(N24=$O$18,2*(S24+T24+U24),IF(N24=$Q$18,S24,IF(N24=$S$18,S24+T24,IF(N24=$U$18,S24+T24+U24,IF(N24=$W$18,S24+2*T24,0))))))</f>
        <v>2.0499999999999998</v>
      </c>
      <c r="W24" s="730">
        <f t="shared" ref="W24:W25" si="2">R24*V24*IF(O24=$Y$15,$Z$15,IF(O24=$Y$16,$Z$16,IF(O24=$Y$17,$Z$17,IF(O24=$Y$18,$Z$18,IF(O24=$Y$19,$Z$19,IF(O24=$Y$20,$Z$20,IF(O24=$Y$21,$Z$21,0)))))))</f>
        <v>60.884999999999991</v>
      </c>
      <c r="X24" s="731"/>
      <c r="Y24" s="721"/>
      <c r="Z24" s="721"/>
      <c r="AA24" s="732"/>
    </row>
    <row r="25" spans="2:27" ht="15.75" customHeight="1">
      <c r="B25" s="70"/>
      <c r="L25" s="733" t="s">
        <v>2376</v>
      </c>
      <c r="M25" s="734"/>
      <c r="N25" s="735">
        <v>1</v>
      </c>
      <c r="O25" s="726">
        <v>0.5</v>
      </c>
      <c r="P25" s="735">
        <v>12</v>
      </c>
      <c r="Q25" s="735">
        <f>Q24</f>
        <v>2</v>
      </c>
      <c r="R25" s="736">
        <f t="shared" si="0"/>
        <v>24</v>
      </c>
      <c r="S25" s="737">
        <v>2.0499999999999998</v>
      </c>
      <c r="T25" s="737">
        <v>0.2</v>
      </c>
      <c r="U25" s="737"/>
      <c r="V25" s="738">
        <f t="shared" si="1"/>
        <v>2.4499999999999997</v>
      </c>
      <c r="W25" s="730">
        <f t="shared" si="2"/>
        <v>58.211999999999996</v>
      </c>
      <c r="X25" s="731"/>
      <c r="Y25" s="721"/>
      <c r="Z25" s="721"/>
      <c r="AA25" s="732"/>
    </row>
    <row r="26" spans="2:27" ht="15.75" customHeight="1">
      <c r="B26" s="70"/>
      <c r="L26" s="1272" t="s">
        <v>2377</v>
      </c>
      <c r="M26" s="965"/>
      <c r="N26" s="965"/>
      <c r="O26" s="965"/>
      <c r="P26" s="965"/>
      <c r="Q26" s="965"/>
      <c r="R26" s="965"/>
      <c r="S26" s="965"/>
      <c r="T26" s="965"/>
      <c r="U26" s="965"/>
      <c r="V26" s="965"/>
      <c r="W26" s="966"/>
      <c r="X26" s="722"/>
      <c r="Y26" s="721"/>
      <c r="Z26" s="721"/>
      <c r="AA26" s="721"/>
    </row>
    <row r="27" spans="2:27" ht="15.75" customHeight="1">
      <c r="B27" s="70"/>
      <c r="L27" s="723" t="s">
        <v>2375</v>
      </c>
      <c r="M27" s="724"/>
      <c r="N27" s="725">
        <v>1</v>
      </c>
      <c r="O27" s="726">
        <v>0.5</v>
      </c>
      <c r="P27" s="725">
        <v>12</v>
      </c>
      <c r="Q27" s="725">
        <v>2</v>
      </c>
      <c r="R27" s="727">
        <f t="shared" ref="R27:R28" si="3">P27*Q27</f>
        <v>24</v>
      </c>
      <c r="S27" s="728">
        <v>1.85</v>
      </c>
      <c r="T27" s="728">
        <v>0.2</v>
      </c>
      <c r="U27" s="728"/>
      <c r="V27" s="729">
        <f t="shared" ref="V27:V28" si="4">IF(N27=$M$18,S27+2*T27,IF(N27=$O$18,2*(S27+T27+U27),IF(N27=$Q$18,S27,IF(N27=$S$18,S27+T27,IF(N27=$U$18,S27+T27+U27,IF(N27=$W$18,S27+2*T27,0))))))</f>
        <v>2.25</v>
      </c>
      <c r="W27" s="730">
        <f t="shared" ref="W27:W28" si="5">R27*V27*IF(O27=$Y$15,$Z$15,IF(O27=$Y$16,$Z$16,IF(O27=$Y$17,$Z$17,IF(O27=$Y$18,$Z$18,IF(O27=$Y$19,$Z$19,IF(O27=$Y$20,$Z$20,IF(O27=$Y$21,$Z$21,0)))))))</f>
        <v>53.46</v>
      </c>
      <c r="X27" s="731"/>
      <c r="Y27" s="721"/>
      <c r="Z27" s="721"/>
      <c r="AA27" s="732"/>
    </row>
    <row r="28" spans="2:27" ht="15.75" customHeight="1">
      <c r="B28" s="70"/>
      <c r="L28" s="733" t="s">
        <v>2376</v>
      </c>
      <c r="M28" s="734"/>
      <c r="N28" s="735">
        <v>1</v>
      </c>
      <c r="O28" s="726">
        <v>0.5</v>
      </c>
      <c r="P28" s="735">
        <v>12</v>
      </c>
      <c r="Q28" s="735">
        <f>Q27</f>
        <v>2</v>
      </c>
      <c r="R28" s="736">
        <f t="shared" si="3"/>
        <v>24</v>
      </c>
      <c r="S28" s="737">
        <v>1.85</v>
      </c>
      <c r="T28" s="737">
        <v>0.2</v>
      </c>
      <c r="U28" s="737"/>
      <c r="V28" s="738">
        <f t="shared" si="4"/>
        <v>2.25</v>
      </c>
      <c r="W28" s="730">
        <f t="shared" si="5"/>
        <v>53.46</v>
      </c>
      <c r="X28" s="731"/>
      <c r="Y28" s="721"/>
      <c r="Z28" s="721"/>
      <c r="AA28" s="732"/>
    </row>
    <row r="29" spans="2:27" ht="15.75" customHeight="1">
      <c r="B29" s="70"/>
      <c r="L29" s="1272" t="s">
        <v>2378</v>
      </c>
      <c r="M29" s="965"/>
      <c r="N29" s="965"/>
      <c r="O29" s="965"/>
      <c r="P29" s="965"/>
      <c r="Q29" s="965"/>
      <c r="R29" s="965"/>
      <c r="S29" s="965"/>
      <c r="T29" s="965"/>
      <c r="U29" s="965"/>
      <c r="V29" s="965"/>
      <c r="W29" s="966"/>
      <c r="X29" s="722"/>
      <c r="Y29" s="721"/>
      <c r="Z29" s="721"/>
      <c r="AA29" s="721"/>
    </row>
    <row r="30" spans="2:27" ht="15.75" customHeight="1">
      <c r="B30" s="70"/>
      <c r="L30" s="723" t="s">
        <v>2375</v>
      </c>
      <c r="M30" s="724"/>
      <c r="N30" s="725">
        <v>1</v>
      </c>
      <c r="O30" s="726">
        <v>0.5</v>
      </c>
      <c r="P30" s="725">
        <v>14</v>
      </c>
      <c r="Q30" s="725">
        <v>2</v>
      </c>
      <c r="R30" s="727">
        <f t="shared" ref="R30:R31" si="6">P30*Q30</f>
        <v>28</v>
      </c>
      <c r="S30" s="728">
        <v>2.0499999999999998</v>
      </c>
      <c r="T30" s="728">
        <v>0.2</v>
      </c>
      <c r="U30" s="728"/>
      <c r="V30" s="729">
        <f t="shared" ref="V30:V31" si="7">IF(N30=$M$18,S30+2*T30,IF(N30=$O$18,2*(S30+T30+U30),IF(N30=$Q$18,S30,IF(N30=$S$18,S30+T30,IF(N30=$U$18,S30+T30+U30,IF(N30=$W$18,S30+2*T30,0))))))</f>
        <v>2.4499999999999997</v>
      </c>
      <c r="W30" s="730">
        <f t="shared" ref="W30:W31" si="8">R30*V30*IF(O30=$Y$15,$Z$15,IF(O30=$Y$16,$Z$16,IF(O30=$Y$17,$Z$17,IF(O30=$Y$18,$Z$18,IF(O30=$Y$19,$Z$19,IF(O30=$Y$20,$Z$20,IF(O30=$Y$21,$Z$21,0)))))))</f>
        <v>67.913999999999987</v>
      </c>
      <c r="X30" s="731"/>
      <c r="Y30" s="721"/>
      <c r="Z30" s="721"/>
      <c r="AA30" s="732"/>
    </row>
    <row r="31" spans="2:27" ht="15.75" customHeight="1">
      <c r="B31" s="70"/>
      <c r="L31" s="733" t="s">
        <v>2376</v>
      </c>
      <c r="M31" s="734"/>
      <c r="N31" s="735">
        <v>1</v>
      </c>
      <c r="O31" s="726">
        <v>0.5</v>
      </c>
      <c r="P31" s="735">
        <v>12</v>
      </c>
      <c r="Q31" s="735">
        <v>2</v>
      </c>
      <c r="R31" s="736">
        <f t="shared" si="6"/>
        <v>24</v>
      </c>
      <c r="S31" s="737">
        <v>2.0499999999999998</v>
      </c>
      <c r="T31" s="737">
        <v>0.2</v>
      </c>
      <c r="U31" s="737"/>
      <c r="V31" s="738">
        <f t="shared" si="7"/>
        <v>2.4499999999999997</v>
      </c>
      <c r="W31" s="739">
        <f t="shared" si="8"/>
        <v>58.211999999999996</v>
      </c>
      <c r="X31" s="740">
        <f>SUM(W24:W25,W27:W28,W30:W31)</f>
        <v>352.14299999999997</v>
      </c>
      <c r="Y31" s="721" t="s">
        <v>2315</v>
      </c>
      <c r="Z31" s="721"/>
      <c r="AA31" s="732"/>
    </row>
    <row r="32" spans="2:27" ht="15.75" customHeight="1">
      <c r="B32" s="70"/>
      <c r="L32" s="1272" t="s">
        <v>2379</v>
      </c>
      <c r="M32" s="965"/>
      <c r="N32" s="965"/>
      <c r="O32" s="965"/>
      <c r="P32" s="965"/>
      <c r="Q32" s="965"/>
      <c r="R32" s="965"/>
      <c r="S32" s="965"/>
      <c r="T32" s="965"/>
      <c r="U32" s="965"/>
      <c r="V32" s="965"/>
      <c r="W32" s="966"/>
      <c r="X32" s="731"/>
      <c r="Y32" s="721"/>
      <c r="Z32" s="721"/>
      <c r="AA32" s="732"/>
    </row>
    <row r="33" spans="2:27" ht="15.75" customHeight="1">
      <c r="B33" s="70"/>
      <c r="L33" s="723" t="s">
        <v>2380</v>
      </c>
      <c r="M33" s="724"/>
      <c r="N33" s="741">
        <v>1</v>
      </c>
      <c r="O33" s="742">
        <v>0.5</v>
      </c>
      <c r="P33" s="741">
        <v>58</v>
      </c>
      <c r="Q33" s="741">
        <v>1</v>
      </c>
      <c r="R33" s="743">
        <f t="shared" ref="R33:R37" si="9">P33*Q33</f>
        <v>58</v>
      </c>
      <c r="S33" s="744">
        <v>3.665</v>
      </c>
      <c r="T33" s="744">
        <v>0.2</v>
      </c>
      <c r="U33" s="744"/>
      <c r="V33" s="745">
        <f t="shared" ref="V33:V37" si="10">IF(N33=$M$18,S33+2*T33,IF(N33=$O$18,2*(S33+T33+U33),IF(N33=$Q$18,S33,IF(N33=$S$18,S33+T33,IF(N33=$U$18,S33+T33+U33,IF(N33=$W$18,S33+2*T33,0))))))</f>
        <v>4.0650000000000004</v>
      </c>
      <c r="W33" s="746">
        <f t="shared" ref="W33:W37" si="11">R33*V33*IF(O33=$Y$15,$Z$15,IF(O33=$Y$16,$Z$16,IF(O33=$Y$17,$Z$17,IF(O33=$Y$18,$Z$18,IF(O33=$Y$19,$Z$19,IF(O33=$Y$20,$Z$20,IF(O33=$Y$21,$Z$21,0)))))))</f>
        <v>233.41230000000002</v>
      </c>
      <c r="X33" s="731"/>
      <c r="Y33" s="721"/>
      <c r="Z33" s="721"/>
      <c r="AA33" s="732"/>
    </row>
    <row r="34" spans="2:27" ht="15.75" customHeight="1">
      <c r="B34" s="70"/>
      <c r="L34" s="733" t="s">
        <v>2381</v>
      </c>
      <c r="M34" s="747"/>
      <c r="N34" s="735">
        <v>1</v>
      </c>
      <c r="O34" s="726">
        <v>0.5</v>
      </c>
      <c r="P34" s="735">
        <f>11*2</f>
        <v>22</v>
      </c>
      <c r="Q34" s="735">
        <v>1</v>
      </c>
      <c r="R34" s="736">
        <f t="shared" si="9"/>
        <v>22</v>
      </c>
      <c r="S34" s="737">
        <v>8.4600000000000009</v>
      </c>
      <c r="T34" s="737">
        <v>0.2</v>
      </c>
      <c r="U34" s="737"/>
      <c r="V34" s="738">
        <f t="shared" si="10"/>
        <v>8.8600000000000012</v>
      </c>
      <c r="W34" s="730">
        <f t="shared" si="11"/>
        <v>192.97080000000003</v>
      </c>
      <c r="X34" s="731"/>
      <c r="Y34" s="721"/>
      <c r="Z34" s="721"/>
      <c r="AA34" s="732"/>
    </row>
    <row r="35" spans="2:27" ht="15.75" customHeight="1">
      <c r="B35" s="70"/>
      <c r="L35" s="733" t="s">
        <v>2382</v>
      </c>
      <c r="M35" s="747"/>
      <c r="N35" s="735">
        <v>1</v>
      </c>
      <c r="O35" s="726">
        <v>0.875</v>
      </c>
      <c r="P35" s="735">
        <v>32</v>
      </c>
      <c r="Q35" s="735">
        <v>2</v>
      </c>
      <c r="R35" s="736">
        <f t="shared" si="9"/>
        <v>64</v>
      </c>
      <c r="S35" s="737">
        <v>3.7</v>
      </c>
      <c r="T35" s="737">
        <v>0.35</v>
      </c>
      <c r="U35" s="737"/>
      <c r="V35" s="738">
        <f t="shared" si="10"/>
        <v>4.4000000000000004</v>
      </c>
      <c r="W35" s="730">
        <f t="shared" si="11"/>
        <v>856.06400000000008</v>
      </c>
      <c r="X35" s="731"/>
      <c r="Y35" s="721"/>
      <c r="Z35" s="721"/>
      <c r="AA35" s="732"/>
    </row>
    <row r="36" spans="2:27" ht="15.75" customHeight="1">
      <c r="B36" s="70"/>
      <c r="L36" s="733" t="s">
        <v>2383</v>
      </c>
      <c r="M36" s="747"/>
      <c r="N36" s="735">
        <v>2</v>
      </c>
      <c r="O36" s="726">
        <v>0.375</v>
      </c>
      <c r="P36" s="735">
        <f>5+11+5</f>
        <v>21</v>
      </c>
      <c r="Q36" s="735">
        <v>2</v>
      </c>
      <c r="R36" s="736">
        <f t="shared" si="9"/>
        <v>42</v>
      </c>
      <c r="S36" s="737">
        <v>0.52</v>
      </c>
      <c r="T36" s="737">
        <v>0.52</v>
      </c>
      <c r="U36" s="737">
        <v>0.1</v>
      </c>
      <c r="V36" s="738">
        <f t="shared" si="10"/>
        <v>2.2800000000000002</v>
      </c>
      <c r="W36" s="730">
        <f t="shared" si="11"/>
        <v>53.625600000000006</v>
      </c>
      <c r="X36" s="731"/>
      <c r="Y36" s="721"/>
      <c r="Z36" s="721"/>
      <c r="AA36" s="732"/>
    </row>
    <row r="37" spans="2:27" ht="15.75" customHeight="1">
      <c r="B37" s="70"/>
      <c r="L37" s="733" t="s">
        <v>2384</v>
      </c>
      <c r="M37" s="747"/>
      <c r="N37" s="735">
        <v>6</v>
      </c>
      <c r="O37" s="726">
        <v>0.375</v>
      </c>
      <c r="P37" s="735">
        <f>6*21</f>
        <v>126</v>
      </c>
      <c r="Q37" s="735">
        <v>2</v>
      </c>
      <c r="R37" s="736">
        <f t="shared" si="9"/>
        <v>252</v>
      </c>
      <c r="S37" s="737">
        <v>0.52</v>
      </c>
      <c r="T37" s="737">
        <v>0.1</v>
      </c>
      <c r="U37" s="737"/>
      <c r="V37" s="738">
        <f t="shared" si="10"/>
        <v>0.72</v>
      </c>
      <c r="W37" s="730">
        <f t="shared" si="11"/>
        <v>101.60640000000001</v>
      </c>
      <c r="X37" s="731"/>
      <c r="Y37" s="721"/>
      <c r="Z37" s="721"/>
      <c r="AA37" s="732"/>
    </row>
    <row r="38" spans="2:27" ht="15.75" customHeight="1">
      <c r="B38" s="70"/>
      <c r="L38" s="1272" t="s">
        <v>2385</v>
      </c>
      <c r="M38" s="965"/>
      <c r="N38" s="965"/>
      <c r="O38" s="965"/>
      <c r="P38" s="965"/>
      <c r="Q38" s="965"/>
      <c r="R38" s="965"/>
      <c r="S38" s="965"/>
      <c r="T38" s="965"/>
      <c r="U38" s="965"/>
      <c r="V38" s="965"/>
      <c r="W38" s="966"/>
      <c r="X38" s="731"/>
      <c r="Y38" s="721"/>
      <c r="Z38" s="721"/>
      <c r="AA38" s="732"/>
    </row>
    <row r="39" spans="2:27" ht="15.75" customHeight="1">
      <c r="B39" s="70"/>
      <c r="L39" s="723" t="s">
        <v>2380</v>
      </c>
      <c r="M39" s="724"/>
      <c r="N39" s="741">
        <v>1</v>
      </c>
      <c r="O39" s="742">
        <v>0.5</v>
      </c>
      <c r="P39" s="741">
        <v>52</v>
      </c>
      <c r="Q39" s="741">
        <v>1</v>
      </c>
      <c r="R39" s="743">
        <f t="shared" ref="R39:R43" si="12">P39*Q39</f>
        <v>52</v>
      </c>
      <c r="S39" s="744">
        <v>3.665</v>
      </c>
      <c r="T39" s="744">
        <v>0.2</v>
      </c>
      <c r="U39" s="744"/>
      <c r="V39" s="745">
        <f t="shared" ref="V39:V43" si="13">IF(N39=$M$18,S39+2*T39,IF(N39=$O$18,2*(S39+T39+U39),IF(N39=$Q$18,S39,IF(N39=$S$18,S39+T39,IF(N39=$U$18,S39+T39+U39,IF(N39=$W$18,S39+2*T39,0))))))</f>
        <v>4.0650000000000004</v>
      </c>
      <c r="W39" s="746">
        <f t="shared" ref="W39:W43" si="14">R39*V39*IF(O39=$Y$15,$Z$15,IF(O39=$Y$16,$Z$16,IF(O39=$Y$17,$Z$17,IF(O39=$Y$18,$Z$18,IF(O39=$Y$19,$Z$19,IF(O39=$Y$20,$Z$20,IF(O39=$Y$21,$Z$21,0)))))))</f>
        <v>209.26620000000003</v>
      </c>
      <c r="X39" s="731"/>
      <c r="Y39" s="721"/>
      <c r="Z39" s="721"/>
      <c r="AA39" s="732"/>
    </row>
    <row r="40" spans="2:27" ht="15.75" customHeight="1">
      <c r="B40" s="70"/>
      <c r="L40" s="733" t="s">
        <v>2381</v>
      </c>
      <c r="M40" s="747"/>
      <c r="N40" s="735">
        <v>1</v>
      </c>
      <c r="O40" s="726">
        <v>0.5</v>
      </c>
      <c r="P40" s="735">
        <f>11*2</f>
        <v>22</v>
      </c>
      <c r="Q40" s="735">
        <v>1</v>
      </c>
      <c r="R40" s="736">
        <f t="shared" si="12"/>
        <v>22</v>
      </c>
      <c r="S40" s="737">
        <v>8.4600000000000009</v>
      </c>
      <c r="T40" s="737">
        <v>0.2</v>
      </c>
      <c r="U40" s="737"/>
      <c r="V40" s="738">
        <f t="shared" si="13"/>
        <v>8.8600000000000012</v>
      </c>
      <c r="W40" s="730">
        <f t="shared" si="14"/>
        <v>192.97080000000003</v>
      </c>
      <c r="X40" s="731"/>
      <c r="Y40" s="721"/>
      <c r="Z40" s="721"/>
      <c r="AA40" s="732"/>
    </row>
    <row r="41" spans="2:27" ht="15.75" customHeight="1">
      <c r="B41" s="70"/>
      <c r="L41" s="733" t="s">
        <v>2382</v>
      </c>
      <c r="M41" s="747"/>
      <c r="N41" s="735">
        <v>1</v>
      </c>
      <c r="O41" s="726">
        <v>0.875</v>
      </c>
      <c r="P41" s="735">
        <v>32</v>
      </c>
      <c r="Q41" s="735">
        <v>3</v>
      </c>
      <c r="R41" s="736">
        <f t="shared" si="12"/>
        <v>96</v>
      </c>
      <c r="S41" s="737">
        <v>3.7</v>
      </c>
      <c r="T41" s="737">
        <v>0.35</v>
      </c>
      <c r="U41" s="737"/>
      <c r="V41" s="738">
        <f t="shared" si="13"/>
        <v>4.4000000000000004</v>
      </c>
      <c r="W41" s="730">
        <f t="shared" si="14"/>
        <v>1284.0960000000002</v>
      </c>
      <c r="X41" s="731"/>
      <c r="Y41" s="721"/>
      <c r="Z41" s="721"/>
      <c r="AA41" s="732"/>
    </row>
    <row r="42" spans="2:27" ht="15.75" customHeight="1">
      <c r="B42" s="70"/>
      <c r="L42" s="733" t="s">
        <v>2383</v>
      </c>
      <c r="M42" s="747"/>
      <c r="N42" s="735">
        <v>2</v>
      </c>
      <c r="O42" s="726">
        <v>0.375</v>
      </c>
      <c r="P42" s="735">
        <f>5+11+5</f>
        <v>21</v>
      </c>
      <c r="Q42" s="735">
        <v>3</v>
      </c>
      <c r="R42" s="736">
        <f t="shared" si="12"/>
        <v>63</v>
      </c>
      <c r="S42" s="737">
        <v>0.52</v>
      </c>
      <c r="T42" s="737">
        <v>0.52</v>
      </c>
      <c r="U42" s="737">
        <v>0.1</v>
      </c>
      <c r="V42" s="738">
        <f t="shared" si="13"/>
        <v>2.2800000000000002</v>
      </c>
      <c r="W42" s="730">
        <f t="shared" si="14"/>
        <v>80.438400000000016</v>
      </c>
      <c r="X42" s="731"/>
      <c r="Y42" s="721"/>
      <c r="Z42" s="721"/>
      <c r="AA42" s="732"/>
    </row>
    <row r="43" spans="2:27" ht="15.75" customHeight="1">
      <c r="B43" s="70"/>
      <c r="L43" s="733" t="s">
        <v>2384</v>
      </c>
      <c r="M43" s="747"/>
      <c r="N43" s="735">
        <v>6</v>
      </c>
      <c r="O43" s="726">
        <v>0.375</v>
      </c>
      <c r="P43" s="735">
        <f>6*21</f>
        <v>126</v>
      </c>
      <c r="Q43" s="735">
        <v>3</v>
      </c>
      <c r="R43" s="736">
        <f t="shared" si="12"/>
        <v>378</v>
      </c>
      <c r="S43" s="737">
        <v>0.52</v>
      </c>
      <c r="T43" s="737">
        <v>0.1</v>
      </c>
      <c r="U43" s="737"/>
      <c r="V43" s="738">
        <f t="shared" si="13"/>
        <v>0.72</v>
      </c>
      <c r="W43" s="730">
        <f t="shared" si="14"/>
        <v>152.40959999999998</v>
      </c>
      <c r="X43" s="731"/>
      <c r="Y43" s="721"/>
      <c r="Z43" s="721"/>
      <c r="AA43" s="732"/>
    </row>
    <row r="44" spans="2:27" ht="15.75" customHeight="1">
      <c r="B44" s="70"/>
      <c r="L44" s="1272" t="s">
        <v>2386</v>
      </c>
      <c r="M44" s="965"/>
      <c r="N44" s="965"/>
      <c r="O44" s="965"/>
      <c r="P44" s="965"/>
      <c r="Q44" s="965"/>
      <c r="R44" s="965"/>
      <c r="S44" s="965"/>
      <c r="T44" s="965"/>
      <c r="U44" s="965"/>
      <c r="V44" s="965"/>
      <c r="W44" s="966"/>
      <c r="X44" s="731"/>
      <c r="Y44" s="721"/>
      <c r="Z44" s="721"/>
      <c r="AA44" s="732"/>
    </row>
    <row r="45" spans="2:27" ht="15.75" customHeight="1">
      <c r="B45" s="70"/>
      <c r="L45" s="723" t="s">
        <v>2380</v>
      </c>
      <c r="M45" s="724"/>
      <c r="N45" s="741">
        <v>1</v>
      </c>
      <c r="O45" s="742">
        <v>0.5</v>
      </c>
      <c r="P45" s="741">
        <v>104</v>
      </c>
      <c r="Q45" s="741">
        <v>1</v>
      </c>
      <c r="R45" s="743">
        <f t="shared" ref="R45:R50" si="15">P45*Q45</f>
        <v>104</v>
      </c>
      <c r="S45" s="744">
        <v>3.7650000000000001</v>
      </c>
      <c r="T45" s="744">
        <v>0.2</v>
      </c>
      <c r="U45" s="744"/>
      <c r="V45" s="745">
        <f t="shared" ref="V45:V50" si="16">IF(N45=$M$18,S45+2*T45,IF(N45=$O$18,2*(S45+T45+U45),IF(N45=$Q$18,S45,IF(N45=$S$18,S45+T45,IF(N45=$U$18,S45+T45+U45,IF(N45=$W$18,S45+2*T45,0))))))</f>
        <v>4.165</v>
      </c>
      <c r="W45" s="746">
        <f t="shared" ref="W45:W50" si="17">R45*V45*IF(O45=$Y$15,$Z$15,IF(O45=$Y$16,$Z$16,IF(O45=$Y$17,$Z$17,IF(O45=$Y$18,$Z$18,IF(O45=$Y$19,$Z$19,IF(O45=$Y$20,$Z$20,IF(O45=$Y$21,$Z$21,0)))))))</f>
        <v>428.82840000000004</v>
      </c>
      <c r="X45" s="731"/>
      <c r="Y45" s="721"/>
      <c r="Z45" s="721"/>
      <c r="AA45" s="732"/>
    </row>
    <row r="46" spans="2:27" ht="15.75" customHeight="1">
      <c r="B46" s="70"/>
      <c r="L46" s="733" t="s">
        <v>2381</v>
      </c>
      <c r="M46" s="747"/>
      <c r="N46" s="735">
        <v>4</v>
      </c>
      <c r="O46" s="726">
        <v>0.5</v>
      </c>
      <c r="P46" s="735">
        <f t="shared" ref="P46:P47" si="18">11*2</f>
        <v>22</v>
      </c>
      <c r="Q46" s="735">
        <v>1</v>
      </c>
      <c r="R46" s="736">
        <f t="shared" si="15"/>
        <v>22</v>
      </c>
      <c r="S46" s="737">
        <v>7</v>
      </c>
      <c r="T46" s="737">
        <v>0.2</v>
      </c>
      <c r="U46" s="737"/>
      <c r="V46" s="738">
        <f t="shared" si="16"/>
        <v>7.2</v>
      </c>
      <c r="W46" s="730">
        <f t="shared" si="17"/>
        <v>156.816</v>
      </c>
      <c r="X46" s="731"/>
      <c r="Y46" s="721"/>
      <c r="Z46" s="721"/>
      <c r="AA46" s="732"/>
    </row>
    <row r="47" spans="2:27" ht="15.75" customHeight="1">
      <c r="B47" s="70"/>
      <c r="L47" s="733" t="s">
        <v>2381</v>
      </c>
      <c r="M47" s="747"/>
      <c r="N47" s="735">
        <v>4</v>
      </c>
      <c r="O47" s="726">
        <v>0.5</v>
      </c>
      <c r="P47" s="735">
        <f t="shared" si="18"/>
        <v>22</v>
      </c>
      <c r="Q47" s="735">
        <v>1</v>
      </c>
      <c r="R47" s="736">
        <f t="shared" si="15"/>
        <v>22</v>
      </c>
      <c r="S47" s="737">
        <v>8.8000000000000007</v>
      </c>
      <c r="T47" s="737">
        <v>0.2</v>
      </c>
      <c r="U47" s="737"/>
      <c r="V47" s="738">
        <f t="shared" si="16"/>
        <v>9</v>
      </c>
      <c r="W47" s="730">
        <f t="shared" si="17"/>
        <v>196.02</v>
      </c>
      <c r="X47" s="731"/>
      <c r="Y47" s="721"/>
      <c r="Z47" s="721"/>
      <c r="AA47" s="732"/>
    </row>
    <row r="48" spans="2:27" ht="15.75" customHeight="1">
      <c r="B48" s="70"/>
      <c r="L48" s="733" t="s">
        <v>2382</v>
      </c>
      <c r="M48" s="747"/>
      <c r="N48" s="735">
        <v>1</v>
      </c>
      <c r="O48" s="726">
        <v>0.875</v>
      </c>
      <c r="P48" s="735">
        <v>32</v>
      </c>
      <c r="Q48" s="735">
        <v>3</v>
      </c>
      <c r="R48" s="736">
        <f t="shared" si="15"/>
        <v>96</v>
      </c>
      <c r="S48" s="737">
        <v>3.8</v>
      </c>
      <c r="T48" s="737">
        <v>0.35</v>
      </c>
      <c r="U48" s="737"/>
      <c r="V48" s="738">
        <f t="shared" si="16"/>
        <v>4.5</v>
      </c>
      <c r="W48" s="730">
        <f t="shared" si="17"/>
        <v>1313.28</v>
      </c>
      <c r="X48" s="731"/>
      <c r="Y48" s="721"/>
      <c r="Z48" s="721"/>
      <c r="AA48" s="732"/>
    </row>
    <row r="49" spans="2:27" ht="15.75" customHeight="1">
      <c r="B49" s="70"/>
      <c r="L49" s="733" t="s">
        <v>2383</v>
      </c>
      <c r="M49" s="747"/>
      <c r="N49" s="735">
        <v>2</v>
      </c>
      <c r="O49" s="726">
        <v>0.375</v>
      </c>
      <c r="P49" s="735">
        <f>5+11+5</f>
        <v>21</v>
      </c>
      <c r="Q49" s="735">
        <v>3</v>
      </c>
      <c r="R49" s="736">
        <f t="shared" si="15"/>
        <v>63</v>
      </c>
      <c r="S49" s="737">
        <v>0.52</v>
      </c>
      <c r="T49" s="737">
        <v>0.52</v>
      </c>
      <c r="U49" s="737">
        <v>0.1</v>
      </c>
      <c r="V49" s="738">
        <f t="shared" si="16"/>
        <v>2.2800000000000002</v>
      </c>
      <c r="W49" s="730">
        <f t="shared" si="17"/>
        <v>80.438400000000016</v>
      </c>
      <c r="X49" s="731"/>
      <c r="Y49" s="721"/>
      <c r="Z49" s="721"/>
      <c r="AA49" s="732"/>
    </row>
    <row r="50" spans="2:27" ht="15.75" customHeight="1">
      <c r="B50" s="70"/>
      <c r="L50" s="748" t="s">
        <v>2384</v>
      </c>
      <c r="M50" s="749"/>
      <c r="N50" s="750">
        <v>6</v>
      </c>
      <c r="O50" s="751">
        <v>0.375</v>
      </c>
      <c r="P50" s="750">
        <f>6*21</f>
        <v>126</v>
      </c>
      <c r="Q50" s="750">
        <v>3</v>
      </c>
      <c r="R50" s="752">
        <f t="shared" si="15"/>
        <v>378</v>
      </c>
      <c r="S50" s="753">
        <v>0.52</v>
      </c>
      <c r="T50" s="753">
        <v>0.1</v>
      </c>
      <c r="U50" s="753"/>
      <c r="V50" s="754">
        <f t="shared" si="16"/>
        <v>0.72</v>
      </c>
      <c r="W50" s="755">
        <f t="shared" si="17"/>
        <v>152.40959999999998</v>
      </c>
      <c r="X50" s="731">
        <f>SUM(W33:W37,W39:W43,W45:W50)</f>
        <v>5684.6525000000001</v>
      </c>
      <c r="Y50" s="756" t="s">
        <v>2317</v>
      </c>
      <c r="Z50" s="721"/>
      <c r="AA50" s="732"/>
    </row>
    <row r="51" spans="2:27" ht="15.75" customHeight="1">
      <c r="B51" s="70"/>
      <c r="L51" s="1272" t="s">
        <v>2387</v>
      </c>
      <c r="M51" s="965"/>
      <c r="N51" s="965"/>
      <c r="O51" s="965"/>
      <c r="P51" s="965"/>
      <c r="Q51" s="965"/>
      <c r="R51" s="965"/>
      <c r="S51" s="965"/>
      <c r="T51" s="965"/>
      <c r="U51" s="965"/>
      <c r="V51" s="965"/>
      <c r="W51" s="966"/>
      <c r="X51" s="731"/>
      <c r="Y51" s="721"/>
      <c r="Z51" s="721"/>
      <c r="AA51" s="732"/>
    </row>
    <row r="52" spans="2:27" ht="15.75" customHeight="1">
      <c r="B52" s="70"/>
      <c r="L52" s="757" t="s">
        <v>2388</v>
      </c>
      <c r="M52" s="734"/>
      <c r="N52" s="758">
        <v>1</v>
      </c>
      <c r="O52" s="759">
        <v>0.625</v>
      </c>
      <c r="P52" s="758">
        <v>4</v>
      </c>
      <c r="Q52" s="758">
        <v>1</v>
      </c>
      <c r="R52" s="760">
        <f t="shared" ref="R52:R55" si="19">P52*Q52</f>
        <v>4</v>
      </c>
      <c r="S52" s="761">
        <v>8.4600000000000009</v>
      </c>
      <c r="T52" s="761">
        <v>0.25</v>
      </c>
      <c r="U52" s="761"/>
      <c r="V52" s="762">
        <f t="shared" ref="V52:V55" si="20">IF(N52=$M$18,S52+2*T52,IF(N52=$O$18,2*(S52+T52+U52),IF(N52=$Q$18,S52,IF(N52=$S$18,S52+T52,IF(N52=$U$18,S52+T52+U52,IF(N52=$W$18,S52+2*T52,0))))))</f>
        <v>8.9600000000000009</v>
      </c>
      <c r="W52" s="763">
        <f t="shared" ref="W52:W55" si="21">R52*V52*IF(O52=$Y$15,$Z$15,IF(O52=$Y$16,$Z$16,IF(O52=$Y$17,$Z$17,IF(O52=$Y$18,$Z$18,IF(O52=$Y$19,$Z$19,IF(O52=$Y$20,$Z$20,IF(O52=$Y$21,$Z$21,0)))))))</f>
        <v>55.623680000000007</v>
      </c>
      <c r="X52" s="731"/>
      <c r="Y52" s="721"/>
      <c r="Z52" s="721"/>
      <c r="AA52" s="732"/>
    </row>
    <row r="53" spans="2:27" ht="15.75" customHeight="1">
      <c r="B53" s="70"/>
      <c r="L53" s="733" t="s">
        <v>2389</v>
      </c>
      <c r="M53" s="747"/>
      <c r="N53" s="735">
        <v>1</v>
      </c>
      <c r="O53" s="726">
        <v>0.625</v>
      </c>
      <c r="P53" s="735">
        <v>4</v>
      </c>
      <c r="Q53" s="735">
        <v>1</v>
      </c>
      <c r="R53" s="736">
        <f t="shared" si="19"/>
        <v>4</v>
      </c>
      <c r="S53" s="737">
        <v>8.4600000000000009</v>
      </c>
      <c r="T53" s="737">
        <v>0.25</v>
      </c>
      <c r="U53" s="737"/>
      <c r="V53" s="738">
        <f t="shared" si="20"/>
        <v>8.9600000000000009</v>
      </c>
      <c r="W53" s="730">
        <f t="shared" si="21"/>
        <v>55.623680000000007</v>
      </c>
      <c r="X53" s="731"/>
      <c r="Y53" s="721"/>
      <c r="Z53" s="721"/>
      <c r="AA53" s="732"/>
    </row>
    <row r="54" spans="2:27" ht="15.75" customHeight="1">
      <c r="B54" s="70"/>
      <c r="L54" s="733" t="s">
        <v>2390</v>
      </c>
      <c r="M54" s="747"/>
      <c r="N54" s="735">
        <v>6</v>
      </c>
      <c r="O54" s="726">
        <v>0.375</v>
      </c>
      <c r="P54" s="735">
        <v>20</v>
      </c>
      <c r="Q54" s="735">
        <v>1</v>
      </c>
      <c r="R54" s="736">
        <f t="shared" si="19"/>
        <v>20</v>
      </c>
      <c r="S54" s="737">
        <v>0.36</v>
      </c>
      <c r="T54" s="737">
        <v>0.1</v>
      </c>
      <c r="U54" s="737"/>
      <c r="V54" s="738">
        <f t="shared" si="20"/>
        <v>0.56000000000000005</v>
      </c>
      <c r="W54" s="730">
        <f t="shared" si="21"/>
        <v>6.2720000000000011</v>
      </c>
      <c r="X54" s="731"/>
      <c r="Y54" s="721"/>
      <c r="Z54" s="721"/>
      <c r="AA54" s="732"/>
    </row>
    <row r="55" spans="2:27" ht="15.75" customHeight="1">
      <c r="B55" s="70"/>
      <c r="L55" s="748" t="s">
        <v>2391</v>
      </c>
      <c r="M55" s="749"/>
      <c r="N55" s="750">
        <v>2</v>
      </c>
      <c r="O55" s="751">
        <v>0.375</v>
      </c>
      <c r="P55" s="750">
        <v>47</v>
      </c>
      <c r="Q55" s="750">
        <v>1</v>
      </c>
      <c r="R55" s="752">
        <f t="shared" si="19"/>
        <v>47</v>
      </c>
      <c r="S55" s="753">
        <v>0.35</v>
      </c>
      <c r="T55" s="753">
        <v>0.35</v>
      </c>
      <c r="U55" s="753">
        <v>0.1</v>
      </c>
      <c r="V55" s="754">
        <f t="shared" si="20"/>
        <v>1.5999999999999999</v>
      </c>
      <c r="W55" s="755">
        <f t="shared" si="21"/>
        <v>42.111999999999995</v>
      </c>
      <c r="X55" s="731"/>
      <c r="Y55" s="721"/>
      <c r="Z55" s="721"/>
      <c r="AA55" s="732"/>
    </row>
    <row r="56" spans="2:27" ht="15.75" customHeight="1">
      <c r="B56" s="70"/>
      <c r="L56" s="1272" t="s">
        <v>2392</v>
      </c>
      <c r="M56" s="965"/>
      <c r="N56" s="965"/>
      <c r="O56" s="965"/>
      <c r="P56" s="965"/>
      <c r="Q56" s="965"/>
      <c r="R56" s="965"/>
      <c r="S56" s="965"/>
      <c r="T56" s="965"/>
      <c r="U56" s="965"/>
      <c r="V56" s="965"/>
      <c r="W56" s="966"/>
      <c r="X56" s="731"/>
      <c r="Y56" s="721"/>
      <c r="Z56" s="721"/>
      <c r="AA56" s="732"/>
    </row>
    <row r="57" spans="2:27" ht="15.75" customHeight="1">
      <c r="B57" s="70"/>
      <c r="L57" s="757" t="s">
        <v>2388</v>
      </c>
      <c r="M57" s="734"/>
      <c r="N57" s="758">
        <v>1</v>
      </c>
      <c r="O57" s="759">
        <v>0.625</v>
      </c>
      <c r="P57" s="758">
        <v>4</v>
      </c>
      <c r="Q57" s="758">
        <v>1</v>
      </c>
      <c r="R57" s="760">
        <f t="shared" ref="R57:R60" si="22">P57*Q57</f>
        <v>4</v>
      </c>
      <c r="S57" s="761">
        <v>8.4600000000000009</v>
      </c>
      <c r="T57" s="761">
        <v>0.25</v>
      </c>
      <c r="U57" s="761"/>
      <c r="V57" s="762">
        <f t="shared" ref="V57:V60" si="23">IF(N57=$M$18,S57+2*T57,IF(N57=$O$18,2*(S57+T57+U57),IF(N57=$Q$18,S57,IF(N57=$S$18,S57+T57,IF(N57=$U$18,S57+T57+U57,IF(N57=$W$18,S57+2*T57,0))))))</f>
        <v>8.9600000000000009</v>
      </c>
      <c r="W57" s="763">
        <f t="shared" ref="W57:W60" si="24">R57*V57*IF(O57=$Y$15,$Z$15,IF(O57=$Y$16,$Z$16,IF(O57=$Y$17,$Z$17,IF(O57=$Y$18,$Z$18,IF(O57=$Y$19,$Z$19,IF(O57=$Y$20,$Z$20,IF(O57=$Y$21,$Z$21,0)))))))</f>
        <v>55.623680000000007</v>
      </c>
      <c r="X57" s="731"/>
      <c r="Y57" s="721"/>
      <c r="Z57" s="721"/>
      <c r="AA57" s="732"/>
    </row>
    <row r="58" spans="2:27" ht="15.75" customHeight="1">
      <c r="B58" s="70"/>
      <c r="L58" s="733" t="s">
        <v>2389</v>
      </c>
      <c r="M58" s="747"/>
      <c r="N58" s="735">
        <v>1</v>
      </c>
      <c r="O58" s="726">
        <v>0.625</v>
      </c>
      <c r="P58" s="735">
        <v>4</v>
      </c>
      <c r="Q58" s="735">
        <v>1</v>
      </c>
      <c r="R58" s="736">
        <f t="shared" si="22"/>
        <v>4</v>
      </c>
      <c r="S58" s="737">
        <v>8.4600000000000009</v>
      </c>
      <c r="T58" s="737">
        <v>0.25</v>
      </c>
      <c r="U58" s="737"/>
      <c r="V58" s="738">
        <f t="shared" si="23"/>
        <v>8.9600000000000009</v>
      </c>
      <c r="W58" s="730">
        <f t="shared" si="24"/>
        <v>55.623680000000007</v>
      </c>
      <c r="X58" s="731"/>
      <c r="Y58" s="721"/>
      <c r="Z58" s="721"/>
      <c r="AA58" s="732"/>
    </row>
    <row r="59" spans="2:27" ht="15.75" customHeight="1">
      <c r="B59" s="70"/>
      <c r="L59" s="733" t="s">
        <v>2390</v>
      </c>
      <c r="M59" s="747"/>
      <c r="N59" s="735">
        <v>6</v>
      </c>
      <c r="O59" s="726">
        <v>0.375</v>
      </c>
      <c r="P59" s="735">
        <v>40</v>
      </c>
      <c r="Q59" s="735">
        <v>1</v>
      </c>
      <c r="R59" s="736">
        <f t="shared" si="22"/>
        <v>40</v>
      </c>
      <c r="S59" s="737">
        <v>0.36</v>
      </c>
      <c r="T59" s="737">
        <v>0.1</v>
      </c>
      <c r="U59" s="737"/>
      <c r="V59" s="738">
        <f t="shared" si="23"/>
        <v>0.56000000000000005</v>
      </c>
      <c r="W59" s="730">
        <f t="shared" si="24"/>
        <v>12.544000000000002</v>
      </c>
      <c r="X59" s="731"/>
      <c r="Y59" s="721"/>
      <c r="Z59" s="721"/>
      <c r="AA59" s="732"/>
    </row>
    <row r="60" spans="2:27" ht="15.75" customHeight="1">
      <c r="B60" s="70"/>
      <c r="L60" s="748" t="s">
        <v>2391</v>
      </c>
      <c r="M60" s="749"/>
      <c r="N60" s="750">
        <v>2</v>
      </c>
      <c r="O60" s="751">
        <v>0.375</v>
      </c>
      <c r="P60" s="750">
        <v>53</v>
      </c>
      <c r="Q60" s="750">
        <v>1</v>
      </c>
      <c r="R60" s="752">
        <f t="shared" si="22"/>
        <v>53</v>
      </c>
      <c r="S60" s="753">
        <v>0.35</v>
      </c>
      <c r="T60" s="753">
        <v>0.35</v>
      </c>
      <c r="U60" s="753">
        <v>0.1</v>
      </c>
      <c r="V60" s="754">
        <f t="shared" si="23"/>
        <v>1.5999999999999999</v>
      </c>
      <c r="W60" s="755">
        <f t="shared" si="24"/>
        <v>47.488</v>
      </c>
      <c r="X60" s="731"/>
      <c r="Y60" s="721"/>
      <c r="Z60" s="721"/>
      <c r="AA60" s="732"/>
    </row>
    <row r="61" spans="2:27" ht="15.75" customHeight="1">
      <c r="B61" s="70"/>
      <c r="L61" s="1272" t="s">
        <v>2393</v>
      </c>
      <c r="M61" s="965"/>
      <c r="N61" s="965"/>
      <c r="O61" s="965"/>
      <c r="P61" s="965"/>
      <c r="Q61" s="965"/>
      <c r="R61" s="965"/>
      <c r="S61" s="965"/>
      <c r="T61" s="965"/>
      <c r="U61" s="965"/>
      <c r="V61" s="965"/>
      <c r="W61" s="966"/>
      <c r="X61" s="731"/>
      <c r="Y61" s="721"/>
      <c r="Z61" s="721"/>
      <c r="AA61" s="732"/>
    </row>
    <row r="62" spans="2:27" ht="15.75" customHeight="1">
      <c r="B62" s="70"/>
      <c r="L62" s="764" t="s">
        <v>2388</v>
      </c>
      <c r="M62" s="765"/>
      <c r="N62" s="766">
        <v>4</v>
      </c>
      <c r="O62" s="767">
        <v>0.625</v>
      </c>
      <c r="P62" s="766">
        <v>4</v>
      </c>
      <c r="Q62" s="766">
        <v>1</v>
      </c>
      <c r="R62" s="760">
        <f t="shared" ref="R62:R69" si="25">P62*Q62</f>
        <v>4</v>
      </c>
      <c r="S62" s="768">
        <v>2.75</v>
      </c>
      <c r="T62" s="768">
        <v>0.25</v>
      </c>
      <c r="U62" s="768"/>
      <c r="V62" s="769">
        <f t="shared" ref="V62:V69" si="26">IF(N62=$M$18,S62+2*T62,IF(N62=$O$18,2*(S62+T62+U62),IF(N62=$Q$18,S62,IF(N62=$S$18,S62+T62,IF(N62=$U$18,S62+T62+U62,IF(N62=$W$18,S62+2*T62,0))))))</f>
        <v>3</v>
      </c>
      <c r="W62" s="770">
        <f t="shared" ref="W62:W69" si="27">R62*V62*IF(O62=$Y$15,$Z$15,IF(O62=$Y$16,$Z$16,IF(O62=$Y$17,$Z$17,IF(O62=$Y$18,$Z$18,IF(O62=$Y$19,$Z$19,IF(O62=$Y$20,$Z$20,IF(O62=$Y$21,$Z$21,0)))))))</f>
        <v>18.624000000000002</v>
      </c>
      <c r="X62" s="731"/>
      <c r="Y62" s="721"/>
      <c r="Z62" s="721"/>
      <c r="AA62" s="732"/>
    </row>
    <row r="63" spans="2:27" ht="15.75" customHeight="1">
      <c r="B63" s="70"/>
      <c r="L63" s="733" t="s">
        <v>2388</v>
      </c>
      <c r="M63" s="747"/>
      <c r="N63" s="735">
        <v>1</v>
      </c>
      <c r="O63" s="726">
        <v>0.625</v>
      </c>
      <c r="P63" s="735">
        <v>4</v>
      </c>
      <c r="Q63" s="735">
        <v>1</v>
      </c>
      <c r="R63" s="736">
        <f t="shared" si="25"/>
        <v>4</v>
      </c>
      <c r="S63" s="737">
        <v>7.8</v>
      </c>
      <c r="T63" s="737"/>
      <c r="U63" s="737"/>
      <c r="V63" s="738">
        <f t="shared" si="26"/>
        <v>7.8</v>
      </c>
      <c r="W63" s="730">
        <f t="shared" si="27"/>
        <v>48.422400000000003</v>
      </c>
      <c r="X63" s="731"/>
      <c r="Y63" s="721"/>
      <c r="Z63" s="721"/>
      <c r="AA63" s="732"/>
    </row>
    <row r="64" spans="2:27" ht="15.75" customHeight="1">
      <c r="B64" s="70"/>
      <c r="L64" s="733" t="s">
        <v>2388</v>
      </c>
      <c r="M64" s="747"/>
      <c r="N64" s="735">
        <v>4</v>
      </c>
      <c r="O64" s="726">
        <v>0.625</v>
      </c>
      <c r="P64" s="735">
        <v>4</v>
      </c>
      <c r="Q64" s="735">
        <v>1</v>
      </c>
      <c r="R64" s="736">
        <f t="shared" si="25"/>
        <v>4</v>
      </c>
      <c r="S64" s="737">
        <v>6.75</v>
      </c>
      <c r="T64" s="737">
        <v>0.25</v>
      </c>
      <c r="U64" s="737"/>
      <c r="V64" s="738">
        <f t="shared" si="26"/>
        <v>7</v>
      </c>
      <c r="W64" s="730">
        <f t="shared" si="27"/>
        <v>43.456000000000003</v>
      </c>
      <c r="X64" s="731"/>
      <c r="Y64" s="721"/>
      <c r="Z64" s="721"/>
      <c r="AA64" s="732"/>
    </row>
    <row r="65" spans="2:27" ht="15.75" customHeight="1">
      <c r="B65" s="70"/>
      <c r="L65" s="733" t="s">
        <v>2389</v>
      </c>
      <c r="M65" s="747"/>
      <c r="N65" s="735">
        <v>4</v>
      </c>
      <c r="O65" s="726">
        <v>0.625</v>
      </c>
      <c r="P65" s="735">
        <v>4</v>
      </c>
      <c r="Q65" s="735">
        <v>1</v>
      </c>
      <c r="R65" s="736">
        <f t="shared" si="25"/>
        <v>4</v>
      </c>
      <c r="S65" s="737">
        <v>4.75</v>
      </c>
      <c r="T65" s="737">
        <v>0.25</v>
      </c>
      <c r="U65" s="737"/>
      <c r="V65" s="738">
        <f t="shared" si="26"/>
        <v>5</v>
      </c>
      <c r="W65" s="730">
        <f t="shared" si="27"/>
        <v>31.04</v>
      </c>
      <c r="X65" s="731"/>
      <c r="Y65" s="721"/>
      <c r="Z65" s="721"/>
      <c r="AA65" s="732"/>
    </row>
    <row r="66" spans="2:27" ht="15.75" customHeight="1">
      <c r="B66" s="70"/>
      <c r="L66" s="733" t="s">
        <v>2389</v>
      </c>
      <c r="M66" s="747"/>
      <c r="N66" s="735">
        <v>3</v>
      </c>
      <c r="O66" s="726">
        <v>0.625</v>
      </c>
      <c r="P66" s="735">
        <v>4</v>
      </c>
      <c r="Q66" s="735">
        <v>1</v>
      </c>
      <c r="R66" s="736">
        <f t="shared" si="25"/>
        <v>4</v>
      </c>
      <c r="S66" s="737">
        <v>7.7</v>
      </c>
      <c r="T66" s="737"/>
      <c r="U66" s="737"/>
      <c r="V66" s="738">
        <f t="shared" si="26"/>
        <v>7.7</v>
      </c>
      <c r="W66" s="730">
        <f t="shared" si="27"/>
        <v>47.801600000000001</v>
      </c>
      <c r="X66" s="731"/>
      <c r="Y66" s="721"/>
      <c r="Z66" s="721"/>
      <c r="AA66" s="732"/>
    </row>
    <row r="67" spans="2:27" ht="15.75" customHeight="1">
      <c r="B67" s="70"/>
      <c r="L67" s="733" t="s">
        <v>2389</v>
      </c>
      <c r="M67" s="747"/>
      <c r="N67" s="735">
        <v>4</v>
      </c>
      <c r="O67" s="726">
        <v>0.625</v>
      </c>
      <c r="P67" s="735">
        <v>4</v>
      </c>
      <c r="Q67" s="735">
        <v>1</v>
      </c>
      <c r="R67" s="736">
        <f t="shared" si="25"/>
        <v>4</v>
      </c>
      <c r="S67" s="737">
        <v>4.25</v>
      </c>
      <c r="T67" s="737">
        <v>0.25</v>
      </c>
      <c r="U67" s="737"/>
      <c r="V67" s="738">
        <f t="shared" si="26"/>
        <v>4.5</v>
      </c>
      <c r="W67" s="730">
        <f t="shared" si="27"/>
        <v>27.936</v>
      </c>
      <c r="X67" s="731"/>
      <c r="Y67" s="721"/>
      <c r="Z67" s="721"/>
      <c r="AA67" s="732"/>
    </row>
    <row r="68" spans="2:27" ht="15.75" customHeight="1">
      <c r="B68" s="70"/>
      <c r="L68" s="733" t="s">
        <v>2390</v>
      </c>
      <c r="M68" s="747"/>
      <c r="N68" s="735">
        <v>6</v>
      </c>
      <c r="O68" s="726">
        <v>0.375</v>
      </c>
      <c r="P68" s="735">
        <v>40</v>
      </c>
      <c r="Q68" s="735">
        <v>1</v>
      </c>
      <c r="R68" s="736">
        <f t="shared" si="25"/>
        <v>40</v>
      </c>
      <c r="S68" s="737">
        <v>0.36</v>
      </c>
      <c r="T68" s="737">
        <v>0.1</v>
      </c>
      <c r="U68" s="737"/>
      <c r="V68" s="738">
        <f t="shared" si="26"/>
        <v>0.56000000000000005</v>
      </c>
      <c r="W68" s="730">
        <f t="shared" si="27"/>
        <v>12.544000000000002</v>
      </c>
      <c r="X68" s="731"/>
      <c r="Y68" s="721"/>
      <c r="Z68" s="721"/>
      <c r="AA68" s="732"/>
    </row>
    <row r="69" spans="2:27" ht="15.75" customHeight="1">
      <c r="B69" s="70"/>
      <c r="L69" s="771" t="s">
        <v>2391</v>
      </c>
      <c r="M69" s="772"/>
      <c r="N69" s="773">
        <v>2</v>
      </c>
      <c r="O69" s="774">
        <v>0.375</v>
      </c>
      <c r="P69" s="773">
        <v>86</v>
      </c>
      <c r="Q69" s="773">
        <v>1</v>
      </c>
      <c r="R69" s="736">
        <f t="shared" si="25"/>
        <v>86</v>
      </c>
      <c r="S69" s="775">
        <v>0.35</v>
      </c>
      <c r="T69" s="775">
        <v>0.35</v>
      </c>
      <c r="U69" s="775">
        <v>0.1</v>
      </c>
      <c r="V69" s="776">
        <f t="shared" si="26"/>
        <v>1.5999999999999999</v>
      </c>
      <c r="W69" s="777">
        <f t="shared" si="27"/>
        <v>77.055999999999997</v>
      </c>
      <c r="X69" s="731">
        <f>SUM(W52:W55,W57:W60,W62:W69)</f>
        <v>637.79072000000008</v>
      </c>
      <c r="Y69" s="778" t="s">
        <v>2316</v>
      </c>
      <c r="Z69" s="721"/>
      <c r="AA69" s="732"/>
    </row>
    <row r="70" spans="2:27" ht="15.75" customHeight="1">
      <c r="B70" s="1305" t="s">
        <v>2394</v>
      </c>
      <c r="C70" s="926"/>
      <c r="D70" s="926"/>
      <c r="E70" s="926"/>
      <c r="F70" s="926"/>
      <c r="G70" s="926"/>
      <c r="H70" s="926"/>
      <c r="I70" s="926"/>
      <c r="J70" s="926"/>
      <c r="K70" s="926"/>
      <c r="L70" s="926"/>
      <c r="M70" s="926"/>
      <c r="N70" s="926"/>
      <c r="O70" s="926"/>
      <c r="P70" s="926"/>
      <c r="Q70" s="1306"/>
      <c r="R70" s="1309" t="s">
        <v>929</v>
      </c>
      <c r="S70" s="1131"/>
      <c r="T70" s="1131"/>
      <c r="U70" s="1131"/>
      <c r="V70" s="1000"/>
      <c r="W70" s="779">
        <f>SUM(W24:W25,W27:W28,W30:W31,W33:W37,W39:W43,W45:W50,W52:W55,W57:W60,W62:W69)</f>
        <v>6674.5862199999992</v>
      </c>
      <c r="X70" s="666">
        <f>SUM(X23:X69)</f>
        <v>6674.5862200000001</v>
      </c>
    </row>
    <row r="71" spans="2:27" ht="15.75" customHeight="1">
      <c r="B71" s="920"/>
      <c r="C71" s="922"/>
      <c r="D71" s="922"/>
      <c r="E71" s="922"/>
      <c r="F71" s="922"/>
      <c r="G71" s="922"/>
      <c r="H71" s="922"/>
      <c r="I71" s="922"/>
      <c r="J71" s="922"/>
      <c r="K71" s="922"/>
      <c r="L71" s="922"/>
      <c r="M71" s="922"/>
      <c r="N71" s="922"/>
      <c r="O71" s="922"/>
      <c r="P71" s="922"/>
      <c r="Q71" s="1307"/>
      <c r="R71" s="1310" t="s">
        <v>2395</v>
      </c>
      <c r="S71" s="949"/>
      <c r="T71" s="949"/>
      <c r="U71" s="949"/>
      <c r="V71" s="950"/>
      <c r="W71" s="780">
        <v>0.03</v>
      </c>
    </row>
    <row r="72" spans="2:27" ht="15.75" customHeight="1">
      <c r="B72" s="929"/>
      <c r="C72" s="936"/>
      <c r="D72" s="936"/>
      <c r="E72" s="936"/>
      <c r="F72" s="936"/>
      <c r="G72" s="936"/>
      <c r="H72" s="936"/>
      <c r="I72" s="936"/>
      <c r="J72" s="936"/>
      <c r="K72" s="936"/>
      <c r="L72" s="936"/>
      <c r="M72" s="936"/>
      <c r="N72" s="936"/>
      <c r="O72" s="936"/>
      <c r="P72" s="936"/>
      <c r="Q72" s="1308"/>
      <c r="R72" s="1311" t="s">
        <v>2303</v>
      </c>
      <c r="S72" s="936"/>
      <c r="T72" s="936"/>
      <c r="U72" s="936"/>
      <c r="V72" s="1070"/>
      <c r="W72" s="781">
        <f>+ROUND((W70*W71)+W70,2)</f>
        <v>6874.82</v>
      </c>
    </row>
    <row r="73" spans="2:27" ht="15.75" customHeight="1"/>
    <row r="74" spans="2:27" ht="15.75" customHeight="1"/>
    <row r="75" spans="2:27" ht="15.75" customHeight="1"/>
    <row r="76" spans="2:27" ht="15.75" customHeight="1"/>
    <row r="77" spans="2:27" ht="15.75" customHeight="1"/>
    <row r="78" spans="2:27" ht="15.75" customHeight="1"/>
    <row r="79" spans="2:27" ht="15.75" customHeight="1"/>
    <row r="80" spans="2:27"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8">
    <mergeCell ref="L51:W51"/>
    <mergeCell ref="L56:W56"/>
    <mergeCell ref="L61:W61"/>
    <mergeCell ref="B70:Q72"/>
    <mergeCell ref="R70:V70"/>
    <mergeCell ref="R71:V71"/>
    <mergeCell ref="R72:V72"/>
    <mergeCell ref="B7:W7"/>
    <mergeCell ref="B14:E14"/>
    <mergeCell ref="B15:Q15"/>
    <mergeCell ref="R15:W15"/>
    <mergeCell ref="L16:W17"/>
    <mergeCell ref="B8:D8"/>
    <mergeCell ref="E8:G8"/>
    <mergeCell ref="B10:I10"/>
    <mergeCell ref="J10:L10"/>
    <mergeCell ref="B11:I11"/>
    <mergeCell ref="F14:H14"/>
    <mergeCell ref="B1:I4"/>
    <mergeCell ref="J1:W4"/>
    <mergeCell ref="B5:D5"/>
    <mergeCell ref="E5:I5"/>
    <mergeCell ref="L5:W6"/>
    <mergeCell ref="E6:I6"/>
    <mergeCell ref="B6:D6"/>
    <mergeCell ref="L32:W32"/>
    <mergeCell ref="L38:W38"/>
    <mergeCell ref="L44:W44"/>
    <mergeCell ref="K8:W8"/>
    <mergeCell ref="M10:W10"/>
    <mergeCell ref="J11:P11"/>
    <mergeCell ref="I14:R14"/>
    <mergeCell ref="V14:W14"/>
    <mergeCell ref="M18:N18"/>
    <mergeCell ref="O18:P18"/>
    <mergeCell ref="Q18:R18"/>
    <mergeCell ref="S19:T20"/>
    <mergeCell ref="S21:U21"/>
    <mergeCell ref="V21:V22"/>
    <mergeCell ref="W21:W22"/>
    <mergeCell ref="L18:L20"/>
    <mergeCell ref="W19:W20"/>
    <mergeCell ref="R21:R22"/>
    <mergeCell ref="L23:W23"/>
    <mergeCell ref="L26:W26"/>
    <mergeCell ref="L29:W29"/>
    <mergeCell ref="L21:L22"/>
    <mergeCell ref="M21:M22"/>
    <mergeCell ref="N21:N22"/>
    <mergeCell ref="O21:O22"/>
    <mergeCell ref="P21:P22"/>
    <mergeCell ref="Q21:Q22"/>
    <mergeCell ref="S18:T18"/>
    <mergeCell ref="U18:V18"/>
    <mergeCell ref="M19:N20"/>
    <mergeCell ref="O19:P20"/>
    <mergeCell ref="Q19:R20"/>
    <mergeCell ref="U19:V20"/>
  </mergeCells>
  <dataValidations count="1">
    <dataValidation type="list" allowBlank="1" showErrorMessage="1" sqref="O24:O25 O27:O28 O30:O31 O33:O37 O39:O43 O45:O50 O52:O55 O57:O60 O62:O69" xr:uid="{00000000-0002-0000-0F00-000000000000}">
      <formula1>$Y$15:$Y$21</formula1>
    </dataValidation>
  </dataValidations>
  <printOptions horizontalCentered="1"/>
  <pageMargins left="0.70866141732283472" right="0.70866141732283472" top="0.74803149606299213" bottom="0.74803149606299213" header="0" footer="0"/>
  <pageSetup paperSize="9" scale="35"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22</vt:i4>
      </vt:variant>
    </vt:vector>
  </HeadingPairs>
  <TitlesOfParts>
    <vt:vector size="39" baseType="lpstr">
      <vt:lpstr>Datos</vt:lpstr>
      <vt:lpstr>Menu</vt:lpstr>
      <vt:lpstr>Materiales</vt:lpstr>
      <vt:lpstr>M.O</vt:lpstr>
      <vt:lpstr>Equipos</vt:lpstr>
      <vt:lpstr>Transportes</vt:lpstr>
      <vt:lpstr>AIU</vt:lpstr>
      <vt:lpstr>Presupuesto</vt:lpstr>
      <vt:lpstr>Actividades</vt:lpstr>
      <vt:lpstr>subAPU</vt:lpstr>
      <vt:lpstr>Cantidades</vt:lpstr>
      <vt:lpstr>APU</vt:lpstr>
      <vt:lpstr>Cronograma</vt:lpstr>
      <vt:lpstr>PROPUESTA ECONOMICA(SASERCO)</vt:lpstr>
      <vt:lpstr>__OpenSolverCache__</vt:lpstr>
      <vt:lpstr>__OpenSolver__</vt:lpstr>
      <vt:lpstr>Cant Acero</vt:lpstr>
      <vt:lpstr>_GoBack</vt:lpstr>
      <vt:lpstr>Cronograma!Área_de_impresión</vt:lpstr>
      <vt:lpstr>Presupuesto!Área_de_impresión</vt:lpstr>
      <vt:lpstr>'PROPUESTA ECONOMICA(SASERCO)'!Área_de_impresión</vt:lpstr>
      <vt:lpstr>AIU!CodEquipos</vt:lpstr>
      <vt:lpstr>CodEquipos</vt:lpstr>
      <vt:lpstr>CodMat</vt:lpstr>
      <vt:lpstr>CodMO</vt:lpstr>
      <vt:lpstr>CodTransporte</vt:lpstr>
      <vt:lpstr>AIU!Equipos</vt:lpstr>
      <vt:lpstr>Equipos</vt:lpstr>
      <vt:lpstr>ListaAct</vt:lpstr>
      <vt:lpstr>Materiales</vt:lpstr>
      <vt:lpstr>MO</vt:lpstr>
      <vt:lpstr>PROPUESTASASERCO</vt:lpstr>
      <vt:lpstr>AIU!TablaEquipos</vt:lpstr>
      <vt:lpstr>TablaEquipos</vt:lpstr>
      <vt:lpstr>TablaInsumos</vt:lpstr>
      <vt:lpstr>TablaMO</vt:lpstr>
      <vt:lpstr>TablaTransporte</vt:lpstr>
      <vt:lpstr>Presupuesto!Títulos_a_imprimir</vt:lpstr>
      <vt:lpstr>Transporte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Infraestructura - Santander - Bucaramanga</cp:lastModifiedBy>
  <cp:lastPrinted>2026-06-23T03:43:23Z</cp:lastPrinted>
  <dcterms:modified xsi:type="dcterms:W3CDTF">2026-07-02T13:58:09Z</dcterms:modified>
</cp:coreProperties>
</file>