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autoCompressPictures="0"/>
  <mc:AlternateContent xmlns:mc="http://schemas.openxmlformats.org/markup-compatibility/2006">
    <mc:Choice Requires="x15">
      <x15ac:absPath xmlns:x15ac="http://schemas.microsoft.com/office/spreadsheetml/2010/11/ac" url="E:\PORH CORANTIOQUIA\CRONOGRAMA\"/>
    </mc:Choice>
  </mc:AlternateContent>
  <xr:revisionPtr revIDLastSave="0" documentId="8_{E99A6349-814D-47A1-BF02-A7745E372313}" xr6:coauthVersionLast="45" xr6:coauthVersionMax="45" xr10:uidLastSave="{00000000-0000-0000-0000-000000000000}"/>
  <bookViews>
    <workbookView xWindow="-20610" yWindow="0" windowWidth="20730" windowHeight="11160" tabRatio="920" xr2:uid="{00000000-000D-0000-FFFF-FFFF00000000}"/>
  </bookViews>
  <sheets>
    <sheet name="POI Fisico" sheetId="13" r:id="rId1"/>
    <sheet name="POI Ejecución Financiera" sheetId="16" r:id="rId2"/>
    <sheet name="Calculo de valores unitarios" sheetId="25" state="hidden" r:id="rId3"/>
    <sheet name="Cuadro A - Presupuesto" sheetId="17" state="hidden" r:id="rId4"/>
    <sheet name="Cuadro C" sheetId="24" state="hidden" r:id="rId5"/>
    <sheet name="C. B - Alcance 1 Declaratoria" sheetId="18" state="hidden" r:id="rId6"/>
    <sheet name="C. B - Alcance 2 Diagnostico" sheetId="23" state="hidden" r:id="rId7"/>
    <sheet name="C. B - Alcance 3 Usos" sheetId="19" state="hidden" r:id="rId8"/>
    <sheet name="C. B - Alcance 4 Elaboración" sheetId="20" state="hidden" r:id="rId9"/>
    <sheet name="C. B - Alcance 5 Consulta Prev." sheetId="22" state="hidden" r:id="rId10"/>
    <sheet name="C. B - Plan de Comunicaciones" sheetId="21" state="hidden" r:id="rId11"/>
    <sheet name="POI Fisico (3)" sheetId="14" state="hidden" r:id="rId12"/>
  </sheets>
  <externalReferences>
    <externalReference r:id="rId13"/>
  </externalReferences>
  <definedNames>
    <definedName name="Alcance6">'[1]Presupuesto Contrato'!#REF!</definedName>
    <definedName name="_xlnm.Print_Area" localSheetId="9">'C. B - Alcance 5 Consulta Prev.'!$A$1:$M$58</definedName>
    <definedName name="_xlnm.Print_Area" localSheetId="3">'Cuadro A - Presupuesto'!$B$1:$I$59</definedName>
    <definedName name="_xlnm.Print_Area" localSheetId="1">'POI Ejecución Financiera'!$A$2:$BN$56</definedName>
    <definedName name="JHHHHH" localSheetId="5">#REF!</definedName>
    <definedName name="JHHHHH" localSheetId="6">#REF!</definedName>
    <definedName name="JHHHHH" localSheetId="7">#REF!</definedName>
    <definedName name="JHHHHH" localSheetId="8">#REF!</definedName>
    <definedName name="JHHHHH" localSheetId="9">#REF!</definedName>
    <definedName name="JHHHHH" localSheetId="10">#REF!</definedName>
    <definedName name="JHHHHH" localSheetId="3">'Cuadro A - Presupuesto'!#REF!</definedName>
    <definedName name="JHHHHH" localSheetId="4">#REF!</definedName>
    <definedName name="JHHHHH">#REF!</definedName>
    <definedName name="jjjj">#REF!</definedName>
    <definedName name="_xlnm.Print_Titles" localSheetId="3">'Cuadro A - Presupuesto'!$1:$3</definedName>
    <definedName name="_xlnm.Print_Titles" localSheetId="1">'POI Ejecución Financiera'!$A:$A,'POI Ejecución Financiera'!$4:$17</definedName>
  </definedNames>
  <calcPr calcId="181029"/>
</workbook>
</file>

<file path=xl/calcChain.xml><?xml version="1.0" encoding="utf-8"?>
<calcChain xmlns="http://schemas.openxmlformats.org/spreadsheetml/2006/main">
  <c r="O27" i="13" l="1"/>
  <c r="G5" i="25"/>
  <c r="G6" i="25"/>
  <c r="BP48" i="13" l="1"/>
  <c r="BK48" i="13"/>
  <c r="BF48" i="13"/>
  <c r="BA48" i="13"/>
  <c r="AV48" i="13"/>
  <c r="AQ48" i="13"/>
  <c r="AL48" i="13"/>
  <c r="AG48" i="13"/>
  <c r="AB48" i="13"/>
  <c r="W48" i="13"/>
  <c r="R48" i="13"/>
  <c r="M48" i="13"/>
  <c r="H48" i="13"/>
  <c r="BP47" i="13" l="1"/>
  <c r="BK47" i="13"/>
  <c r="BF47" i="13"/>
  <c r="BA47" i="13"/>
  <c r="AV47" i="13"/>
  <c r="AQ47" i="13"/>
  <c r="AL47" i="13"/>
  <c r="AG47" i="13"/>
  <c r="AB47" i="13"/>
  <c r="W47" i="13"/>
  <c r="R47" i="13"/>
  <c r="M47" i="13"/>
  <c r="H47" i="13"/>
  <c r="E45" i="13" l="1"/>
  <c r="E44" i="16"/>
  <c r="E45" i="16"/>
  <c r="E43" i="16"/>
  <c r="D44" i="16"/>
  <c r="D45" i="16"/>
  <c r="C44" i="16"/>
  <c r="C45" i="16"/>
  <c r="C43" i="16"/>
  <c r="A44" i="16"/>
  <c r="A45" i="16"/>
  <c r="A43" i="16"/>
  <c r="B44" i="16"/>
  <c r="B45" i="16"/>
  <c r="C49" i="16"/>
  <c r="C50" i="16"/>
  <c r="B49" i="16"/>
  <c r="B50" i="16"/>
  <c r="B39" i="16"/>
  <c r="B40" i="16"/>
  <c r="D31" i="16"/>
  <c r="D32" i="16"/>
  <c r="D33" i="16"/>
  <c r="D34" i="16"/>
  <c r="C34" i="16"/>
  <c r="C31" i="16"/>
  <c r="C32" i="16"/>
  <c r="C33" i="16"/>
  <c r="D27" i="16"/>
  <c r="E27" i="16"/>
  <c r="C27" i="16"/>
  <c r="A7" i="23"/>
  <c r="C7" i="23"/>
  <c r="E7" i="23"/>
  <c r="H7" i="23" s="1"/>
  <c r="F7" i="23"/>
  <c r="A8" i="23"/>
  <c r="C8" i="23"/>
  <c r="E8" i="23"/>
  <c r="F8" i="23"/>
  <c r="A9" i="23"/>
  <c r="C9" i="23"/>
  <c r="E9" i="23"/>
  <c r="F9" i="23"/>
  <c r="A10" i="23"/>
  <c r="C10" i="23"/>
  <c r="E10" i="23"/>
  <c r="F10" i="23"/>
  <c r="H10" i="23"/>
  <c r="A11" i="23"/>
  <c r="C11" i="23"/>
  <c r="E11" i="23"/>
  <c r="F11" i="23"/>
  <c r="A12" i="23"/>
  <c r="C12" i="23"/>
  <c r="E12" i="23"/>
  <c r="F12" i="23"/>
  <c r="A13" i="23"/>
  <c r="C13" i="23"/>
  <c r="E13" i="23"/>
  <c r="F13" i="23"/>
  <c r="A14" i="23"/>
  <c r="C14" i="23"/>
  <c r="E14" i="23"/>
  <c r="F14" i="23"/>
  <c r="H14" i="23"/>
  <c r="A15" i="23"/>
  <c r="C15" i="23"/>
  <c r="E15" i="23"/>
  <c r="F15" i="23"/>
  <c r="A16" i="23"/>
  <c r="C16" i="23"/>
  <c r="E16" i="23"/>
  <c r="F16" i="23"/>
  <c r="A17" i="23"/>
  <c r="C17" i="23"/>
  <c r="E17" i="23"/>
  <c r="F17" i="23"/>
  <c r="A18" i="23"/>
  <c r="C18" i="23"/>
  <c r="E18" i="23"/>
  <c r="F18" i="23"/>
  <c r="H18" i="23" s="1"/>
  <c r="A19" i="23"/>
  <c r="C19" i="23"/>
  <c r="E19" i="23"/>
  <c r="H19" i="23" s="1"/>
  <c r="F19" i="23"/>
  <c r="A20" i="23"/>
  <c r="C20" i="23"/>
  <c r="E20" i="23"/>
  <c r="F20" i="23"/>
  <c r="A21" i="23"/>
  <c r="C21" i="23"/>
  <c r="E21" i="23"/>
  <c r="F21" i="23"/>
  <c r="A22" i="23"/>
  <c r="C22" i="23"/>
  <c r="H22" i="23" s="1"/>
  <c r="E22" i="23"/>
  <c r="F22" i="23"/>
  <c r="A23" i="23"/>
  <c r="C23" i="23"/>
  <c r="E23" i="23"/>
  <c r="F23" i="23"/>
  <c r="A24" i="23"/>
  <c r="C24" i="23"/>
  <c r="H24" i="23" s="1"/>
  <c r="E24" i="23"/>
  <c r="F24" i="23"/>
  <c r="A25" i="23"/>
  <c r="C25" i="23"/>
  <c r="H25" i="23" s="1"/>
  <c r="E25" i="23"/>
  <c r="F25" i="23"/>
  <c r="A26" i="23"/>
  <c r="C26" i="23"/>
  <c r="H26" i="23" s="1"/>
  <c r="E26" i="23"/>
  <c r="F26" i="23"/>
  <c r="A27" i="23"/>
  <c r="C27" i="23"/>
  <c r="E27" i="23"/>
  <c r="F27" i="23"/>
  <c r="A36" i="23"/>
  <c r="B36" i="23"/>
  <c r="D36" i="23"/>
  <c r="F36" i="23"/>
  <c r="C37" i="23"/>
  <c r="D37" i="23"/>
  <c r="F37" i="23"/>
  <c r="G37" i="23" s="1"/>
  <c r="C38" i="23"/>
  <c r="D38" i="23"/>
  <c r="F38" i="23"/>
  <c r="C39" i="23"/>
  <c r="D39" i="23"/>
  <c r="F39" i="23"/>
  <c r="C40" i="23"/>
  <c r="D40" i="23"/>
  <c r="F40" i="23"/>
  <c r="C41" i="23"/>
  <c r="D41" i="23"/>
  <c r="F41" i="23"/>
  <c r="D42" i="23"/>
  <c r="E42" i="23" s="1"/>
  <c r="G42" i="23" s="1"/>
  <c r="F42" i="23"/>
  <c r="E43" i="23"/>
  <c r="F43" i="23"/>
  <c r="G43" i="23" s="1"/>
  <c r="E44" i="23"/>
  <c r="F44" i="23"/>
  <c r="E45" i="23"/>
  <c r="F45" i="23"/>
  <c r="G45" i="23" s="1"/>
  <c r="E46" i="23"/>
  <c r="F46" i="23"/>
  <c r="G46" i="23"/>
  <c r="E50" i="23"/>
  <c r="F50" i="23"/>
  <c r="E51" i="23"/>
  <c r="F51" i="23"/>
  <c r="G51" i="23" s="1"/>
  <c r="E52" i="23"/>
  <c r="F52" i="23"/>
  <c r="G52" i="23"/>
  <c r="E53" i="23"/>
  <c r="F53" i="23"/>
  <c r="E54" i="23"/>
  <c r="F54" i="23"/>
  <c r="G54" i="23" s="1"/>
  <c r="E55" i="23"/>
  <c r="F55" i="23"/>
  <c r="G55" i="23"/>
  <c r="E56" i="23"/>
  <c r="F56" i="23"/>
  <c r="G56" i="23" s="1"/>
  <c r="D57" i="23"/>
  <c r="E57" i="23" s="1"/>
  <c r="F57" i="23"/>
  <c r="D58" i="23"/>
  <c r="E58" i="23" s="1"/>
  <c r="G58" i="23" s="1"/>
  <c r="F58" i="23"/>
  <c r="D59" i="23"/>
  <c r="E59" i="23" s="1"/>
  <c r="F59" i="23"/>
  <c r="D60" i="23"/>
  <c r="E60" i="23" s="1"/>
  <c r="G60" i="23" s="1"/>
  <c r="F60" i="23"/>
  <c r="D61" i="23"/>
  <c r="E61" i="23" s="1"/>
  <c r="G61" i="23" s="1"/>
  <c r="F61" i="23"/>
  <c r="E62" i="23"/>
  <c r="F62" i="23"/>
  <c r="E63" i="23"/>
  <c r="F63" i="23"/>
  <c r="E64" i="23"/>
  <c r="F64" i="23"/>
  <c r="G64" i="23"/>
  <c r="E65" i="23"/>
  <c r="F65" i="23"/>
  <c r="G65" i="23" s="1"/>
  <c r="E66" i="23"/>
  <c r="F66" i="23"/>
  <c r="E67" i="23"/>
  <c r="F67" i="23"/>
  <c r="E68" i="23"/>
  <c r="F68" i="23"/>
  <c r="G68" i="23" s="1"/>
  <c r="C70" i="23"/>
  <c r="F7" i="22"/>
  <c r="H7" i="22"/>
  <c r="J7" i="22"/>
  <c r="K7" i="22"/>
  <c r="F8" i="22"/>
  <c r="H8" i="22"/>
  <c r="J8" i="22"/>
  <c r="K8" i="22"/>
  <c r="F9" i="22"/>
  <c r="H9" i="22"/>
  <c r="M9" i="22" s="1"/>
  <c r="J9" i="22"/>
  <c r="K9" i="22"/>
  <c r="F10" i="22"/>
  <c r="H10" i="22"/>
  <c r="J10" i="22"/>
  <c r="K10" i="22"/>
  <c r="M10" i="22"/>
  <c r="F11" i="22"/>
  <c r="H11" i="22"/>
  <c r="J11" i="22"/>
  <c r="K11" i="22"/>
  <c r="F12" i="22"/>
  <c r="H12" i="22"/>
  <c r="J12" i="22"/>
  <c r="K12" i="22"/>
  <c r="F13" i="22"/>
  <c r="H13" i="22"/>
  <c r="J13" i="22"/>
  <c r="K13" i="22"/>
  <c r="F14" i="22"/>
  <c r="H14" i="22"/>
  <c r="J14" i="22"/>
  <c r="K14" i="22"/>
  <c r="M14" i="22"/>
  <c r="F15" i="22"/>
  <c r="H15" i="22"/>
  <c r="J15" i="22"/>
  <c r="K15" i="22"/>
  <c r="F16" i="22"/>
  <c r="H16" i="22"/>
  <c r="J16" i="22"/>
  <c r="K16" i="22"/>
  <c r="F17" i="22"/>
  <c r="H17" i="22"/>
  <c r="J17" i="22"/>
  <c r="K17" i="22"/>
  <c r="F18" i="22"/>
  <c r="H18" i="22"/>
  <c r="J18" i="22"/>
  <c r="M18" i="22" s="1"/>
  <c r="K18" i="22"/>
  <c r="F19" i="22"/>
  <c r="H19" i="22"/>
  <c r="J19" i="22"/>
  <c r="M19" i="22" s="1"/>
  <c r="K19" i="22"/>
  <c r="F20" i="22"/>
  <c r="H20" i="22"/>
  <c r="J20" i="22"/>
  <c r="K20" i="22"/>
  <c r="F21" i="22"/>
  <c r="H21" i="22"/>
  <c r="J21" i="22"/>
  <c r="K21" i="22"/>
  <c r="F22" i="22"/>
  <c r="H22" i="22"/>
  <c r="M22" i="22" s="1"/>
  <c r="J22" i="22"/>
  <c r="K22" i="22"/>
  <c r="F23" i="22"/>
  <c r="H23" i="22"/>
  <c r="J23" i="22"/>
  <c r="K23" i="22"/>
  <c r="F24" i="22"/>
  <c r="H24" i="22"/>
  <c r="M24" i="22" s="1"/>
  <c r="J24" i="22"/>
  <c r="K24" i="22"/>
  <c r="F25" i="22"/>
  <c r="H25" i="22"/>
  <c r="M25" i="22" s="1"/>
  <c r="J25" i="22"/>
  <c r="K25" i="22"/>
  <c r="F26" i="22"/>
  <c r="H26" i="22"/>
  <c r="J26" i="22"/>
  <c r="K26" i="22"/>
  <c r="M26" i="22"/>
  <c r="F27" i="22"/>
  <c r="H27" i="22"/>
  <c r="J27" i="22"/>
  <c r="K27" i="22"/>
  <c r="E37" i="22"/>
  <c r="E44" i="22" s="1"/>
  <c r="J37" i="22"/>
  <c r="L37" i="22" s="1"/>
  <c r="E38" i="22"/>
  <c r="L38" i="22"/>
  <c r="L39" i="22"/>
  <c r="J40" i="22"/>
  <c r="L40" i="22"/>
  <c r="J44" i="22"/>
  <c r="L44" i="22"/>
  <c r="E45" i="22"/>
  <c r="H45" i="22"/>
  <c r="J45" i="22" s="1"/>
  <c r="L45" i="22" s="1"/>
  <c r="E46" i="22"/>
  <c r="E47" i="22"/>
  <c r="E48" i="22"/>
  <c r="E49" i="22"/>
  <c r="E50" i="22"/>
  <c r="D54" i="22"/>
  <c r="E54" i="22"/>
  <c r="D55" i="22"/>
  <c r="E55" i="22" s="1"/>
  <c r="C56" i="22"/>
  <c r="D56" i="22"/>
  <c r="C57" i="22"/>
  <c r="E57" i="22" s="1"/>
  <c r="D57" i="22"/>
  <c r="C58" i="22"/>
  <c r="F7" i="21"/>
  <c r="H7" i="21" s="1"/>
  <c r="E8" i="21"/>
  <c r="F8" i="21"/>
  <c r="E17" i="21"/>
  <c r="E18" i="21" s="1"/>
  <c r="E21" i="21"/>
  <c r="H34" i="25" s="1"/>
  <c r="E25" i="21"/>
  <c r="E26" i="21" s="1"/>
  <c r="E27" i="21"/>
  <c r="A7" i="20"/>
  <c r="C7" i="20"/>
  <c r="E7" i="20"/>
  <c r="F7" i="20"/>
  <c r="A8" i="20"/>
  <c r="C8" i="20"/>
  <c r="E8" i="20"/>
  <c r="F8" i="20"/>
  <c r="A9" i="20"/>
  <c r="C9" i="20"/>
  <c r="E9" i="20"/>
  <c r="F9" i="20"/>
  <c r="A10" i="20"/>
  <c r="C10" i="20"/>
  <c r="E10" i="20"/>
  <c r="F10" i="20"/>
  <c r="H10" i="20"/>
  <c r="A11" i="20"/>
  <c r="C11" i="20"/>
  <c r="E11" i="20"/>
  <c r="F11" i="20"/>
  <c r="A12" i="20"/>
  <c r="C12" i="20"/>
  <c r="E12" i="20"/>
  <c r="F12" i="20"/>
  <c r="A13" i="20"/>
  <c r="C13" i="20"/>
  <c r="E13" i="20"/>
  <c r="F13" i="20"/>
  <c r="A14" i="20"/>
  <c r="C14" i="20"/>
  <c r="E14" i="20"/>
  <c r="H14" i="20" s="1"/>
  <c r="F14" i="20"/>
  <c r="A15" i="20"/>
  <c r="C15" i="20"/>
  <c r="E15" i="20"/>
  <c r="H15" i="20" s="1"/>
  <c r="F15" i="20"/>
  <c r="A16" i="20"/>
  <c r="C16" i="20"/>
  <c r="E16" i="20"/>
  <c r="F16" i="20"/>
  <c r="A17" i="20"/>
  <c r="C17" i="20"/>
  <c r="E17" i="20"/>
  <c r="F17" i="20"/>
  <c r="A18" i="20"/>
  <c r="C18" i="20"/>
  <c r="H18" i="20" s="1"/>
  <c r="E18" i="20"/>
  <c r="F18" i="20"/>
  <c r="A19" i="20"/>
  <c r="C19" i="20"/>
  <c r="H19" i="20" s="1"/>
  <c r="E19" i="20"/>
  <c r="F19" i="20"/>
  <c r="A20" i="20"/>
  <c r="C20" i="20"/>
  <c r="H20" i="20" s="1"/>
  <c r="E20" i="20"/>
  <c r="F20" i="20"/>
  <c r="A21" i="20"/>
  <c r="C21" i="20"/>
  <c r="H21" i="20" s="1"/>
  <c r="E21" i="20"/>
  <c r="F21" i="20"/>
  <c r="A22" i="20"/>
  <c r="C22" i="20"/>
  <c r="H22" i="20" s="1"/>
  <c r="E22" i="20"/>
  <c r="F22" i="20"/>
  <c r="A23" i="20"/>
  <c r="C23" i="20"/>
  <c r="E23" i="20"/>
  <c r="F23" i="20"/>
  <c r="A24" i="20"/>
  <c r="C24" i="20"/>
  <c r="E24" i="20"/>
  <c r="F24" i="20"/>
  <c r="A25" i="20"/>
  <c r="C25" i="20"/>
  <c r="E25" i="20"/>
  <c r="F25" i="20"/>
  <c r="A26" i="20"/>
  <c r="C26" i="20"/>
  <c r="E26" i="20"/>
  <c r="F26" i="20"/>
  <c r="H26" i="20"/>
  <c r="A27" i="20"/>
  <c r="C27" i="20"/>
  <c r="E27" i="20"/>
  <c r="F27" i="20"/>
  <c r="B37" i="20"/>
  <c r="B38" i="20"/>
  <c r="B39" i="20"/>
  <c r="B40" i="20"/>
  <c r="B41" i="20"/>
  <c r="E42" i="20"/>
  <c r="F42" i="20"/>
  <c r="G42" i="20"/>
  <c r="E43" i="20"/>
  <c r="F43" i="20"/>
  <c r="G43" i="20" s="1"/>
  <c r="E44" i="20"/>
  <c r="F44" i="20"/>
  <c r="G44" i="20" s="1"/>
  <c r="E45" i="20"/>
  <c r="F45" i="20"/>
  <c r="G45" i="20"/>
  <c r="E46" i="20"/>
  <c r="G46" i="20" s="1"/>
  <c r="F46" i="20"/>
  <c r="E50" i="20"/>
  <c r="E51" i="20"/>
  <c r="E52" i="20"/>
  <c r="E53" i="20"/>
  <c r="E54" i="20"/>
  <c r="E55" i="20"/>
  <c r="E56" i="20"/>
  <c r="F57" i="20"/>
  <c r="F58" i="20"/>
  <c r="F59" i="20"/>
  <c r="F60" i="20"/>
  <c r="F61" i="20"/>
  <c r="E62" i="20"/>
  <c r="F62" i="20"/>
  <c r="E63" i="20"/>
  <c r="F63" i="20"/>
  <c r="G63" i="20"/>
  <c r="E64" i="20"/>
  <c r="F64" i="20"/>
  <c r="G64" i="20"/>
  <c r="E65" i="20"/>
  <c r="F65" i="20"/>
  <c r="E66" i="20"/>
  <c r="F66" i="20"/>
  <c r="G66" i="20" s="1"/>
  <c r="E67" i="20"/>
  <c r="G67" i="20" s="1"/>
  <c r="F67" i="20"/>
  <c r="E68" i="20"/>
  <c r="F68" i="20"/>
  <c r="G68" i="20" s="1"/>
  <c r="C70" i="20"/>
  <c r="A7" i="19"/>
  <c r="C7" i="19"/>
  <c r="E7" i="19"/>
  <c r="F7" i="19"/>
  <c r="A8" i="19"/>
  <c r="C8" i="19"/>
  <c r="H8" i="19" s="1"/>
  <c r="E8" i="19"/>
  <c r="F8" i="19"/>
  <c r="A9" i="19"/>
  <c r="C9" i="19"/>
  <c r="H9" i="19" s="1"/>
  <c r="E9" i="19"/>
  <c r="F9" i="19"/>
  <c r="A10" i="19"/>
  <c r="C10" i="19"/>
  <c r="H10" i="19" s="1"/>
  <c r="E10" i="19"/>
  <c r="F10" i="19"/>
  <c r="A11" i="19"/>
  <c r="C11" i="19"/>
  <c r="E11" i="19"/>
  <c r="F11" i="19"/>
  <c r="A12" i="19"/>
  <c r="C12" i="19"/>
  <c r="E12" i="19"/>
  <c r="F12" i="19"/>
  <c r="A13" i="19"/>
  <c r="C13" i="19"/>
  <c r="E13" i="19"/>
  <c r="F13" i="19"/>
  <c r="A14" i="19"/>
  <c r="C14" i="19"/>
  <c r="E14" i="19"/>
  <c r="F14" i="19"/>
  <c r="H14" i="19"/>
  <c r="A15" i="19"/>
  <c r="C15" i="19"/>
  <c r="E15" i="19"/>
  <c r="F15" i="19"/>
  <c r="A16" i="19"/>
  <c r="C16" i="19"/>
  <c r="E16" i="19"/>
  <c r="F16" i="19"/>
  <c r="A17" i="19"/>
  <c r="C17" i="19"/>
  <c r="E17" i="19"/>
  <c r="F17" i="19"/>
  <c r="A18" i="19"/>
  <c r="C18" i="19"/>
  <c r="E18" i="19"/>
  <c r="F18" i="19"/>
  <c r="A19" i="19"/>
  <c r="C19" i="19"/>
  <c r="E19" i="19"/>
  <c r="F19" i="19"/>
  <c r="A20" i="19"/>
  <c r="C20" i="19"/>
  <c r="E20" i="19"/>
  <c r="F20" i="19"/>
  <c r="A21" i="19"/>
  <c r="C21" i="19"/>
  <c r="E21" i="19"/>
  <c r="F21" i="19"/>
  <c r="A22" i="19"/>
  <c r="C22" i="19"/>
  <c r="E22" i="19"/>
  <c r="F22" i="19"/>
  <c r="A23" i="19"/>
  <c r="C23" i="19"/>
  <c r="E23" i="19"/>
  <c r="F23" i="19"/>
  <c r="A24" i="19"/>
  <c r="C24" i="19"/>
  <c r="E24" i="19"/>
  <c r="F24" i="19"/>
  <c r="A25" i="19"/>
  <c r="C25" i="19"/>
  <c r="E25" i="19"/>
  <c r="F25" i="19"/>
  <c r="A26" i="19"/>
  <c r="C26" i="19"/>
  <c r="H26" i="19" s="1"/>
  <c r="E26" i="19"/>
  <c r="F26" i="19"/>
  <c r="A27" i="19"/>
  <c r="C27" i="19"/>
  <c r="E27" i="19"/>
  <c r="H27" i="19" s="1"/>
  <c r="F27" i="19"/>
  <c r="E36" i="19"/>
  <c r="G36" i="19" s="1"/>
  <c r="E37" i="19"/>
  <c r="G37" i="19"/>
  <c r="E38" i="19"/>
  <c r="G38" i="19" s="1"/>
  <c r="E39" i="19"/>
  <c r="G39" i="19"/>
  <c r="A49" i="19"/>
  <c r="A36" i="20" s="1"/>
  <c r="B49" i="19"/>
  <c r="B36" i="20" s="1"/>
  <c r="D49" i="19"/>
  <c r="D36" i="20" s="1"/>
  <c r="F49" i="19"/>
  <c r="F36" i="20" s="1"/>
  <c r="C50" i="19"/>
  <c r="C37" i="20" s="1"/>
  <c r="D50" i="19"/>
  <c r="D37" i="20" s="1"/>
  <c r="D57" i="20" s="1"/>
  <c r="E57" i="20" s="1"/>
  <c r="E50" i="19"/>
  <c r="F50" i="19"/>
  <c r="F37" i="20" s="1"/>
  <c r="C51" i="19"/>
  <c r="C38" i="20" s="1"/>
  <c r="D51" i="19"/>
  <c r="E51" i="19"/>
  <c r="E38" i="20" s="1"/>
  <c r="F51" i="19"/>
  <c r="F38" i="20" s="1"/>
  <c r="C52" i="19"/>
  <c r="C39" i="20" s="1"/>
  <c r="D52" i="19"/>
  <c r="D39" i="20" s="1"/>
  <c r="D59" i="20" s="1"/>
  <c r="E59" i="20" s="1"/>
  <c r="F52" i="19"/>
  <c r="F39" i="20" s="1"/>
  <c r="C53" i="19"/>
  <c r="C40" i="20" s="1"/>
  <c r="D53" i="19"/>
  <c r="D40" i="20" s="1"/>
  <c r="D60" i="20" s="1"/>
  <c r="E60" i="20" s="1"/>
  <c r="F53" i="19"/>
  <c r="F40" i="20" s="1"/>
  <c r="C54" i="19"/>
  <c r="C41" i="20" s="1"/>
  <c r="D54" i="19"/>
  <c r="D41" i="20" s="1"/>
  <c r="D61" i="20" s="1"/>
  <c r="E61" i="20" s="1"/>
  <c r="F54" i="19"/>
  <c r="F41" i="20" s="1"/>
  <c r="E55" i="19"/>
  <c r="E56" i="19"/>
  <c r="F56" i="19"/>
  <c r="G56" i="19" s="1"/>
  <c r="E57" i="19"/>
  <c r="F57" i="19"/>
  <c r="G57" i="19" s="1"/>
  <c r="E58" i="19"/>
  <c r="E59" i="19"/>
  <c r="F59" i="19"/>
  <c r="G59" i="19" s="1"/>
  <c r="E60" i="19"/>
  <c r="F60" i="19"/>
  <c r="G60" i="19"/>
  <c r="E64" i="19"/>
  <c r="F64" i="19"/>
  <c r="E65" i="19"/>
  <c r="F65" i="19"/>
  <c r="F51" i="20" s="1"/>
  <c r="G51" i="20" s="1"/>
  <c r="G65" i="19"/>
  <c r="E66" i="19"/>
  <c r="F66" i="19"/>
  <c r="F52" i="20" s="1"/>
  <c r="G52" i="20" s="1"/>
  <c r="G66" i="19"/>
  <c r="E67" i="19"/>
  <c r="G67" i="19" s="1"/>
  <c r="F67" i="19"/>
  <c r="F53" i="20" s="1"/>
  <c r="G53" i="20" s="1"/>
  <c r="E68" i="19"/>
  <c r="F68" i="19"/>
  <c r="E69" i="19"/>
  <c r="G69" i="19" s="1"/>
  <c r="F69" i="19"/>
  <c r="F55" i="20" s="1"/>
  <c r="G55" i="20" s="1"/>
  <c r="E70" i="19"/>
  <c r="F70" i="19"/>
  <c r="F56" i="20" s="1"/>
  <c r="G56" i="20" s="1"/>
  <c r="E71" i="19"/>
  <c r="E72" i="19"/>
  <c r="F72" i="19"/>
  <c r="G72" i="19" s="1"/>
  <c r="E73" i="19"/>
  <c r="F73" i="19"/>
  <c r="G73" i="19"/>
  <c r="E74" i="19"/>
  <c r="G74" i="19" s="1"/>
  <c r="F74" i="19"/>
  <c r="E75" i="19"/>
  <c r="F75" i="19"/>
  <c r="D76" i="19"/>
  <c r="E76" i="19"/>
  <c r="F76" i="19"/>
  <c r="F77" i="19"/>
  <c r="F78" i="19"/>
  <c r="D79" i="19"/>
  <c r="E79" i="19" s="1"/>
  <c r="G79" i="19" s="1"/>
  <c r="F79" i="19"/>
  <c r="D80" i="19"/>
  <c r="E80" i="19"/>
  <c r="G80" i="19" s="1"/>
  <c r="F80" i="19"/>
  <c r="E81" i="19"/>
  <c r="F81" i="19"/>
  <c r="G81" i="19" s="1"/>
  <c r="E82" i="19"/>
  <c r="G82" i="19" s="1"/>
  <c r="F82" i="19"/>
  <c r="E83" i="19"/>
  <c r="F83" i="19"/>
  <c r="G83" i="19" s="1"/>
  <c r="E84" i="19"/>
  <c r="F84" i="19"/>
  <c r="E85" i="19"/>
  <c r="F85" i="19"/>
  <c r="E86" i="19"/>
  <c r="F86" i="19"/>
  <c r="G86" i="19"/>
  <c r="E87" i="19"/>
  <c r="F87" i="19"/>
  <c r="G87" i="19"/>
  <c r="C89" i="19"/>
  <c r="G42" i="17" s="1"/>
  <c r="A7" i="18"/>
  <c r="E7" i="18"/>
  <c r="F7" i="18"/>
  <c r="H7" i="18"/>
  <c r="A8" i="18"/>
  <c r="C8" i="18"/>
  <c r="E8" i="18"/>
  <c r="F8" i="18"/>
  <c r="A9" i="18"/>
  <c r="C9" i="18"/>
  <c r="E9" i="18"/>
  <c r="F9" i="18"/>
  <c r="A10" i="18"/>
  <c r="C10" i="18"/>
  <c r="E10" i="18"/>
  <c r="F10" i="18"/>
  <c r="A11" i="18"/>
  <c r="C11" i="18"/>
  <c r="E11" i="18"/>
  <c r="H11" i="18" s="1"/>
  <c r="F11" i="18"/>
  <c r="A12" i="18"/>
  <c r="C12" i="18"/>
  <c r="E12" i="18"/>
  <c r="H12" i="18" s="1"/>
  <c r="F12" i="18"/>
  <c r="A13" i="18"/>
  <c r="C13" i="18"/>
  <c r="E13" i="18"/>
  <c r="F13" i="18"/>
  <c r="A14" i="18"/>
  <c r="C14" i="18"/>
  <c r="E14" i="18"/>
  <c r="F14" i="18"/>
  <c r="A15" i="18"/>
  <c r="C15" i="18"/>
  <c r="H15" i="18" s="1"/>
  <c r="E15" i="18"/>
  <c r="F15" i="18"/>
  <c r="A16" i="18"/>
  <c r="C16" i="18"/>
  <c r="E16" i="18"/>
  <c r="F16" i="18"/>
  <c r="A17" i="18"/>
  <c r="E17" i="18"/>
  <c r="H17" i="18" s="1"/>
  <c r="F17" i="18"/>
  <c r="A18" i="18"/>
  <c r="C18" i="18"/>
  <c r="E18" i="18"/>
  <c r="F18" i="18"/>
  <c r="A19" i="18"/>
  <c r="C19" i="18"/>
  <c r="E19" i="18"/>
  <c r="F19" i="18"/>
  <c r="A20" i="18"/>
  <c r="C20" i="18"/>
  <c r="H20" i="18" s="1"/>
  <c r="E20" i="18"/>
  <c r="F20" i="18"/>
  <c r="A21" i="18"/>
  <c r="C21" i="18"/>
  <c r="E21" i="18"/>
  <c r="F21" i="18"/>
  <c r="A22" i="18"/>
  <c r="C22" i="18"/>
  <c r="H22" i="18" s="1"/>
  <c r="E22" i="18"/>
  <c r="F22" i="18"/>
  <c r="A23" i="18"/>
  <c r="C23" i="18"/>
  <c r="H23" i="18" s="1"/>
  <c r="E23" i="18"/>
  <c r="F23" i="18"/>
  <c r="A24" i="18"/>
  <c r="C24" i="18"/>
  <c r="H24" i="18" s="1"/>
  <c r="E24" i="18"/>
  <c r="F24" i="18"/>
  <c r="A25" i="18"/>
  <c r="C25" i="18"/>
  <c r="E25" i="18"/>
  <c r="F25" i="18"/>
  <c r="A26" i="18"/>
  <c r="C26" i="18"/>
  <c r="E26" i="18"/>
  <c r="F26" i="18"/>
  <c r="A27" i="18"/>
  <c r="C27" i="18"/>
  <c r="E27" i="18"/>
  <c r="F27" i="18"/>
  <c r="C36" i="18"/>
  <c r="C36" i="23" s="1"/>
  <c r="E37" i="18"/>
  <c r="E37" i="23" s="1"/>
  <c r="G37" i="18"/>
  <c r="E38" i="18"/>
  <c r="E38" i="23" s="1"/>
  <c r="G38" i="23" s="1"/>
  <c r="G38" i="18"/>
  <c r="E39" i="18"/>
  <c r="E39" i="23" s="1"/>
  <c r="G39" i="18"/>
  <c r="E40" i="18"/>
  <c r="E40" i="23" s="1"/>
  <c r="E41" i="18"/>
  <c r="G41" i="18"/>
  <c r="E42" i="18"/>
  <c r="E41" i="23" s="1"/>
  <c r="G41" i="23" s="1"/>
  <c r="E43" i="18"/>
  <c r="G43" i="18"/>
  <c r="E44" i="18"/>
  <c r="G44" i="18" s="1"/>
  <c r="I6" i="25" s="1"/>
  <c r="E45" i="18"/>
  <c r="G45" i="18"/>
  <c r="E46" i="18"/>
  <c r="G46" i="18" s="1"/>
  <c r="E47" i="18"/>
  <c r="G47" i="18"/>
  <c r="E48" i="18"/>
  <c r="G48" i="18" s="1"/>
  <c r="C50" i="18"/>
  <c r="E52" i="18"/>
  <c r="G52" i="18" s="1"/>
  <c r="E53" i="18"/>
  <c r="G53" i="18" s="1"/>
  <c r="E54" i="18"/>
  <c r="G54" i="18" s="1"/>
  <c r="E55" i="18"/>
  <c r="G55" i="18" s="1"/>
  <c r="E56" i="18"/>
  <c r="G56" i="18" s="1"/>
  <c r="E57" i="18"/>
  <c r="G57" i="18"/>
  <c r="E58" i="18"/>
  <c r="G58" i="18" s="1"/>
  <c r="C59" i="18"/>
  <c r="D59" i="18"/>
  <c r="E59" i="18"/>
  <c r="G59" i="18" s="1"/>
  <c r="C60" i="18"/>
  <c r="D60" i="18"/>
  <c r="E60" i="18"/>
  <c r="G60" i="18" s="1"/>
  <c r="C61" i="18"/>
  <c r="E61" i="18" s="1"/>
  <c r="G61" i="18" s="1"/>
  <c r="D61" i="18"/>
  <c r="C62" i="18"/>
  <c r="E62" i="18" s="1"/>
  <c r="G62" i="18" s="1"/>
  <c r="D62" i="18"/>
  <c r="C63" i="18"/>
  <c r="D63" i="18"/>
  <c r="E63" i="18"/>
  <c r="G63" i="18" s="1"/>
  <c r="E64" i="18"/>
  <c r="G64" i="18" s="1"/>
  <c r="E65" i="18"/>
  <c r="G65" i="18" s="1"/>
  <c r="E66" i="18"/>
  <c r="G66" i="18" s="1"/>
  <c r="E67" i="18"/>
  <c r="G67" i="18" s="1"/>
  <c r="E68" i="18"/>
  <c r="G68" i="18"/>
  <c r="E69" i="18"/>
  <c r="G69" i="18" s="1"/>
  <c r="E70" i="18"/>
  <c r="G70" i="18"/>
  <c r="C72" i="18"/>
  <c r="G37" i="17" s="1"/>
  <c r="I10" i="17"/>
  <c r="I11" i="17"/>
  <c r="I12" i="17"/>
  <c r="I13" i="17"/>
  <c r="I14" i="17"/>
  <c r="I15" i="17"/>
  <c r="I16" i="17"/>
  <c r="I17" i="17"/>
  <c r="I18" i="17"/>
  <c r="I19" i="17"/>
  <c r="I20" i="17"/>
  <c r="I21" i="17"/>
  <c r="I22" i="17"/>
  <c r="I23" i="17"/>
  <c r="I24" i="17"/>
  <c r="I25" i="17"/>
  <c r="I26" i="17"/>
  <c r="I27" i="17"/>
  <c r="I28" i="17"/>
  <c r="I29" i="17"/>
  <c r="I30" i="17"/>
  <c r="B36" i="17"/>
  <c r="G36" i="17"/>
  <c r="B37" i="17"/>
  <c r="E37" i="17"/>
  <c r="B38" i="17"/>
  <c r="B39" i="17"/>
  <c r="G39" i="17"/>
  <c r="B40" i="17"/>
  <c r="G40" i="17"/>
  <c r="B41" i="17"/>
  <c r="G41" i="17"/>
  <c r="B42" i="17"/>
  <c r="B43" i="17"/>
  <c r="G43" i="17"/>
  <c r="B44" i="17"/>
  <c r="G44" i="17"/>
  <c r="B45" i="17"/>
  <c r="G45" i="17"/>
  <c r="B46" i="17"/>
  <c r="G46" i="17"/>
  <c r="B47" i="17"/>
  <c r="G47" i="17"/>
  <c r="C7" i="16"/>
  <c r="C11" i="16"/>
  <c r="B19" i="16"/>
  <c r="C19" i="16"/>
  <c r="D19" i="16"/>
  <c r="E19" i="16"/>
  <c r="B20" i="16"/>
  <c r="C20" i="16"/>
  <c r="D20" i="16"/>
  <c r="E20" i="16"/>
  <c r="B21" i="16"/>
  <c r="C21" i="16"/>
  <c r="D21" i="16"/>
  <c r="E21" i="16"/>
  <c r="B22" i="16"/>
  <c r="C23" i="16"/>
  <c r="B24" i="16"/>
  <c r="C24" i="16"/>
  <c r="D24" i="16"/>
  <c r="E24" i="16"/>
  <c r="C25" i="16"/>
  <c r="D25" i="16"/>
  <c r="E25" i="16"/>
  <c r="B26" i="16"/>
  <c r="C26" i="16"/>
  <c r="D26" i="16"/>
  <c r="E26" i="16"/>
  <c r="B28" i="16"/>
  <c r="C29" i="16"/>
  <c r="B30" i="16"/>
  <c r="C30" i="16"/>
  <c r="D30" i="16"/>
  <c r="E30" i="16"/>
  <c r="E31" i="16"/>
  <c r="E32" i="16"/>
  <c r="E33" i="16"/>
  <c r="E34" i="16"/>
  <c r="B35" i="16"/>
  <c r="K35" i="16"/>
  <c r="O35" i="16"/>
  <c r="S35" i="16"/>
  <c r="W35" i="16"/>
  <c r="AA35" i="16"/>
  <c r="AE35" i="16"/>
  <c r="AI35" i="16"/>
  <c r="AM35" i="16"/>
  <c r="AQ35" i="16"/>
  <c r="AU35" i="16"/>
  <c r="AY35" i="16"/>
  <c r="BC35" i="16"/>
  <c r="BG35" i="16"/>
  <c r="BK35" i="16"/>
  <c r="C36" i="16"/>
  <c r="B37" i="16"/>
  <c r="C37" i="16"/>
  <c r="D37" i="16"/>
  <c r="E37" i="16"/>
  <c r="C38" i="16"/>
  <c r="D38" i="16"/>
  <c r="E38" i="16"/>
  <c r="C39" i="16"/>
  <c r="D39" i="16"/>
  <c r="E39" i="16"/>
  <c r="C40" i="16"/>
  <c r="D40" i="16"/>
  <c r="E40" i="16"/>
  <c r="B41" i="16"/>
  <c r="K41" i="16"/>
  <c r="O41" i="16"/>
  <c r="S41" i="16"/>
  <c r="W41" i="16"/>
  <c r="AA41" i="16"/>
  <c r="AE41" i="16"/>
  <c r="AI41" i="16"/>
  <c r="AM41" i="16"/>
  <c r="AQ41" i="16"/>
  <c r="AU41" i="16"/>
  <c r="AY41" i="16"/>
  <c r="BC41" i="16"/>
  <c r="BG41" i="16"/>
  <c r="BK41" i="16"/>
  <c r="C42" i="16"/>
  <c r="B43" i="16"/>
  <c r="D43" i="16"/>
  <c r="B46" i="16"/>
  <c r="K46" i="16"/>
  <c r="O46" i="16"/>
  <c r="S46" i="16"/>
  <c r="W46" i="16"/>
  <c r="AA46" i="16"/>
  <c r="AE46" i="16"/>
  <c r="AI46" i="16"/>
  <c r="AM46" i="16"/>
  <c r="AQ46" i="16"/>
  <c r="AU46" i="16"/>
  <c r="AY46" i="16"/>
  <c r="BC46" i="16"/>
  <c r="BG46" i="16"/>
  <c r="BK46" i="16"/>
  <c r="C47" i="16"/>
  <c r="B48" i="16"/>
  <c r="C48" i="16"/>
  <c r="D48" i="16"/>
  <c r="E48" i="16"/>
  <c r="D49" i="16"/>
  <c r="E49" i="16"/>
  <c r="D50" i="16"/>
  <c r="E50" i="16"/>
  <c r="B51" i="16"/>
  <c r="BB45" i="13"/>
  <c r="BA45" i="13"/>
  <c r="BG45" i="13"/>
  <c r="BF45" i="13"/>
  <c r="BL45" i="13"/>
  <c r="BK45" i="13"/>
  <c r="BQ45" i="13"/>
  <c r="BP45" i="13"/>
  <c r="BV45" i="13"/>
  <c r="BU45" i="13"/>
  <c r="AW45" i="13"/>
  <c r="AV45" i="13"/>
  <c r="AR45" i="13"/>
  <c r="AQ45" i="13"/>
  <c r="AM45" i="13"/>
  <c r="AL45" i="13"/>
  <c r="AH45" i="13"/>
  <c r="AG45" i="13"/>
  <c r="AC45" i="13"/>
  <c r="AB45" i="13"/>
  <c r="X45" i="13"/>
  <c r="W45" i="13"/>
  <c r="S45" i="13"/>
  <c r="R45" i="13"/>
  <c r="N45" i="13"/>
  <c r="M45" i="13"/>
  <c r="H45" i="13"/>
  <c r="I45" i="13"/>
  <c r="CA44" i="13"/>
  <c r="BZ44" i="13"/>
  <c r="CC44" i="13" s="1"/>
  <c r="BX44" i="13"/>
  <c r="BW44" i="13"/>
  <c r="BS44" i="13"/>
  <c r="BR44" i="13"/>
  <c r="BN44" i="13"/>
  <c r="BM44" i="13"/>
  <c r="BI44" i="13"/>
  <c r="BH44" i="13"/>
  <c r="BD44" i="13"/>
  <c r="BC44" i="13"/>
  <c r="AY44" i="13"/>
  <c r="AX44" i="13"/>
  <c r="AT44" i="13"/>
  <c r="AS44" i="13"/>
  <c r="AO44" i="13"/>
  <c r="AN44" i="13"/>
  <c r="AJ44" i="13"/>
  <c r="AI44" i="13"/>
  <c r="AE44" i="13"/>
  <c r="AD44" i="13"/>
  <c r="Z44" i="13"/>
  <c r="Y44" i="13"/>
  <c r="U44" i="13"/>
  <c r="T44" i="13"/>
  <c r="P44" i="13"/>
  <c r="O44" i="13"/>
  <c r="K44" i="13"/>
  <c r="J44" i="13"/>
  <c r="J33" i="13"/>
  <c r="K33" i="13"/>
  <c r="O33" i="13"/>
  <c r="P33" i="13"/>
  <c r="T33" i="13"/>
  <c r="U33" i="13"/>
  <c r="Y33" i="13"/>
  <c r="Z33" i="13"/>
  <c r="AD33" i="13"/>
  <c r="AE33" i="13"/>
  <c r="AI33" i="13"/>
  <c r="AJ33" i="13"/>
  <c r="AN33" i="13"/>
  <c r="AO33" i="13"/>
  <c r="AS33" i="13"/>
  <c r="AT33" i="13"/>
  <c r="AX33" i="13"/>
  <c r="AY33" i="13"/>
  <c r="BC33" i="13"/>
  <c r="BD33" i="13"/>
  <c r="BH33" i="13"/>
  <c r="BI33" i="13"/>
  <c r="BM33" i="13"/>
  <c r="BN33" i="13"/>
  <c r="BR33" i="13"/>
  <c r="BS33" i="13"/>
  <c r="BW33" i="13"/>
  <c r="BX33" i="13"/>
  <c r="BZ33" i="13"/>
  <c r="CA33" i="13"/>
  <c r="J6" i="25" l="1"/>
  <c r="J5" i="25"/>
  <c r="G50" i="19"/>
  <c r="E37" i="20"/>
  <c r="I31" i="17"/>
  <c r="I32" i="17" s="1"/>
  <c r="H19" i="18"/>
  <c r="H18" i="18"/>
  <c r="H14" i="18"/>
  <c r="H13" i="18"/>
  <c r="H8" i="18"/>
  <c r="G75" i="19"/>
  <c r="G68" i="19"/>
  <c r="F54" i="20"/>
  <c r="G54" i="20" s="1"/>
  <c r="G69" i="20" s="1"/>
  <c r="G70" i="20" s="1"/>
  <c r="D77" i="19"/>
  <c r="E77" i="19" s="1"/>
  <c r="G77" i="19" s="1"/>
  <c r="D38" i="20"/>
  <c r="D58" i="20" s="1"/>
  <c r="E58" i="20" s="1"/>
  <c r="H23" i="19"/>
  <c r="H18" i="19"/>
  <c r="G42" i="18"/>
  <c r="I5" i="25" s="1"/>
  <c r="G40" i="18"/>
  <c r="H25" i="18"/>
  <c r="H10" i="18"/>
  <c r="H9" i="18"/>
  <c r="G84" i="19"/>
  <c r="G76" i="19"/>
  <c r="E54" i="19"/>
  <c r="E53" i="19"/>
  <c r="G51" i="19"/>
  <c r="G38" i="20" s="1"/>
  <c r="C49" i="19"/>
  <c r="C36" i="20" s="1"/>
  <c r="H25" i="19"/>
  <c r="H24" i="19"/>
  <c r="H22" i="19"/>
  <c r="H21" i="19"/>
  <c r="H20" i="19"/>
  <c r="H19" i="19"/>
  <c r="E36" i="18"/>
  <c r="H27" i="18"/>
  <c r="H26" i="18"/>
  <c r="H21" i="18"/>
  <c r="H16" i="18"/>
  <c r="G85" i="19"/>
  <c r="D78" i="19"/>
  <c r="E78" i="19" s="1"/>
  <c r="G78" i="19" s="1"/>
  <c r="G70" i="19"/>
  <c r="G64" i="19"/>
  <c r="J17" i="25" s="1"/>
  <c r="F50" i="20"/>
  <c r="G50" i="20" s="1"/>
  <c r="E52" i="19"/>
  <c r="I24" i="25"/>
  <c r="H17" i="19"/>
  <c r="H16" i="19"/>
  <c r="H11" i="19"/>
  <c r="H28" i="19" s="1"/>
  <c r="H29" i="19" s="1"/>
  <c r="G58" i="20"/>
  <c r="H13" i="20"/>
  <c r="H12" i="20"/>
  <c r="H7" i="20"/>
  <c r="M27" i="22"/>
  <c r="M17" i="22"/>
  <c r="M16" i="22"/>
  <c r="M11" i="22"/>
  <c r="M7" i="22"/>
  <c r="G67" i="23"/>
  <c r="G62" i="23"/>
  <c r="G53" i="23"/>
  <c r="G50" i="23"/>
  <c r="J10" i="25" s="1"/>
  <c r="G44" i="23"/>
  <c r="I11" i="25" s="1"/>
  <c r="C48" i="23"/>
  <c r="H27" i="23"/>
  <c r="H17" i="23"/>
  <c r="H16" i="23"/>
  <c r="H11" i="23"/>
  <c r="H28" i="23" s="1"/>
  <c r="H29" i="23" s="1"/>
  <c r="H33" i="25"/>
  <c r="H13" i="19"/>
  <c r="H12" i="19"/>
  <c r="H7" i="19"/>
  <c r="G65" i="20"/>
  <c r="G62" i="20"/>
  <c r="G59" i="20"/>
  <c r="H25" i="20"/>
  <c r="H24" i="20"/>
  <c r="H23" i="20"/>
  <c r="H9" i="20"/>
  <c r="H28" i="20" s="1"/>
  <c r="H29" i="20" s="1"/>
  <c r="H8" i="20"/>
  <c r="E22" i="21"/>
  <c r="E23" i="21" s="1"/>
  <c r="H8" i="21"/>
  <c r="H9" i="21" s="1"/>
  <c r="H10" i="21" s="1"/>
  <c r="E56" i="22"/>
  <c r="E51" i="22"/>
  <c r="L41" i="22"/>
  <c r="H29" i="25" s="1"/>
  <c r="M23" i="22"/>
  <c r="M13" i="22"/>
  <c r="M28" i="22" s="1"/>
  <c r="M29" i="22" s="1"/>
  <c r="M12" i="22"/>
  <c r="M8" i="22"/>
  <c r="H23" i="23"/>
  <c r="H13" i="23"/>
  <c r="H12" i="23"/>
  <c r="G60" i="20"/>
  <c r="L46" i="22"/>
  <c r="G66" i="23"/>
  <c r="G63" i="23"/>
  <c r="H9" i="23"/>
  <c r="H8" i="23"/>
  <c r="H35" i="25"/>
  <c r="H15" i="19"/>
  <c r="G61" i="20"/>
  <c r="G57" i="20"/>
  <c r="H27" i="20"/>
  <c r="H17" i="20"/>
  <c r="H16" i="20"/>
  <c r="H11" i="20"/>
  <c r="E58" i="22"/>
  <c r="M21" i="22"/>
  <c r="M20" i="22"/>
  <c r="M15" i="22"/>
  <c r="G59" i="23"/>
  <c r="G69" i="23" s="1"/>
  <c r="G57" i="23"/>
  <c r="G40" i="23"/>
  <c r="G39" i="23"/>
  <c r="I10" i="25" s="1"/>
  <c r="H21" i="23"/>
  <c r="H20" i="23"/>
  <c r="H15" i="23"/>
  <c r="F58" i="19"/>
  <c r="G58" i="19" s="1"/>
  <c r="I18" i="25" s="1"/>
  <c r="F55" i="19"/>
  <c r="G55" i="19"/>
  <c r="J16" i="25" s="1"/>
  <c r="L42" i="22"/>
  <c r="H45" i="17" s="1"/>
  <c r="I45" i="17" s="1"/>
  <c r="L48" i="22"/>
  <c r="E59" i="22"/>
  <c r="E60" i="22" s="1"/>
  <c r="E28" i="21"/>
  <c r="E19" i="21"/>
  <c r="G40" i="19"/>
  <c r="H16" i="25" s="1"/>
  <c r="F71" i="19"/>
  <c r="G71" i="19" s="1"/>
  <c r="G71" i="18"/>
  <c r="CB44" i="13"/>
  <c r="CB33" i="13"/>
  <c r="CC33" i="13"/>
  <c r="AS42" i="13"/>
  <c r="AN42" i="13"/>
  <c r="AI42" i="13"/>
  <c r="AD42" i="13"/>
  <c r="Y42" i="13"/>
  <c r="T42" i="13"/>
  <c r="BW42" i="13"/>
  <c r="AX42" i="13"/>
  <c r="BC42" i="13"/>
  <c r="BH42" i="13"/>
  <c r="BM42" i="13"/>
  <c r="BR42" i="13"/>
  <c r="AY42" i="13"/>
  <c r="BD42" i="13"/>
  <c r="BI42" i="13"/>
  <c r="BN42" i="13"/>
  <c r="BS42" i="13"/>
  <c r="CA42" i="13"/>
  <c r="BZ42" i="13"/>
  <c r="BX42" i="13"/>
  <c r="O42" i="13"/>
  <c r="O43" i="13"/>
  <c r="J42" i="13"/>
  <c r="G45" i="13"/>
  <c r="L50" i="22" l="1"/>
  <c r="C14" i="24" s="1"/>
  <c r="J24" i="25"/>
  <c r="L47" i="22"/>
  <c r="H46" i="17" s="1"/>
  <c r="I46" i="17" s="1"/>
  <c r="J30" i="25"/>
  <c r="G34" i="25"/>
  <c r="K34" i="25" s="1"/>
  <c r="L34" i="25" s="1"/>
  <c r="M34" i="25" s="1"/>
  <c r="N34" i="25" s="1"/>
  <c r="G49" i="16" s="1"/>
  <c r="G35" i="25"/>
  <c r="K35" i="25" s="1"/>
  <c r="L35" i="25" s="1"/>
  <c r="M35" i="25" s="1"/>
  <c r="N35" i="25" s="1"/>
  <c r="G50" i="16" s="1"/>
  <c r="F50" i="16" s="1"/>
  <c r="G33" i="25"/>
  <c r="K33" i="25" s="1"/>
  <c r="L33" i="25" s="1"/>
  <c r="M33" i="25" s="1"/>
  <c r="N33" i="25" s="1"/>
  <c r="G48" i="16" s="1"/>
  <c r="F48" i="16" s="1"/>
  <c r="G53" i="19"/>
  <c r="G40" i="20" s="1"/>
  <c r="E40" i="20"/>
  <c r="G37" i="20"/>
  <c r="G88" i="19"/>
  <c r="J18" i="25"/>
  <c r="E36" i="23"/>
  <c r="G36" i="23" s="1"/>
  <c r="G36" i="18"/>
  <c r="E49" i="19"/>
  <c r="E39" i="20"/>
  <c r="G52" i="19"/>
  <c r="G39" i="20" s="1"/>
  <c r="G54" i="19"/>
  <c r="G41" i="20" s="1"/>
  <c r="E41" i="20"/>
  <c r="J11" i="25"/>
  <c r="J23" i="25"/>
  <c r="H28" i="18"/>
  <c r="H29" i="18" s="1"/>
  <c r="N36" i="25"/>
  <c r="G70" i="23"/>
  <c r="E30" i="21"/>
  <c r="C15" i="24" s="1"/>
  <c r="H47" i="17"/>
  <c r="I47" i="17" s="1"/>
  <c r="G89" i="19"/>
  <c r="G41" i="19"/>
  <c r="H40" i="17" s="1"/>
  <c r="I40" i="17" s="1"/>
  <c r="G42" i="19"/>
  <c r="G72" i="18"/>
  <c r="H37" i="17" s="1"/>
  <c r="I37" i="17" s="1"/>
  <c r="CC42" i="13"/>
  <c r="CB42" i="13"/>
  <c r="G49" i="18" l="1"/>
  <c r="H5" i="25"/>
  <c r="D15" i="24"/>
  <c r="E15" i="24"/>
  <c r="F15" i="24" s="1"/>
  <c r="G15" i="24" s="1"/>
  <c r="G4" i="25"/>
  <c r="K4" i="25" s="1"/>
  <c r="K5" i="25"/>
  <c r="K6" i="25"/>
  <c r="L6" i="25" s="1"/>
  <c r="M6" i="25" s="1"/>
  <c r="N6" i="25" s="1"/>
  <c r="G21" i="16" s="1"/>
  <c r="F21" i="16" s="1"/>
  <c r="H10" i="25"/>
  <c r="G47" i="23"/>
  <c r="I17" i="25"/>
  <c r="BH48" i="16"/>
  <c r="AW48" i="16"/>
  <c r="X48" i="16"/>
  <c r="BD48" i="16"/>
  <c r="Y48" i="16"/>
  <c r="BE48" i="16"/>
  <c r="L48" i="16"/>
  <c r="U48" i="16"/>
  <c r="M48" i="16"/>
  <c r="AS48" i="16"/>
  <c r="T48" i="16"/>
  <c r="AF48" i="16"/>
  <c r="Q48" i="16"/>
  <c r="AC48" i="16"/>
  <c r="BI48" i="16"/>
  <c r="AJ48" i="16"/>
  <c r="AV48" i="16"/>
  <c r="AZ48" i="16"/>
  <c r="AG48" i="16"/>
  <c r="H48" i="16"/>
  <c r="AN48" i="16"/>
  <c r="I48" i="16"/>
  <c r="AO48" i="16"/>
  <c r="AK48" i="16"/>
  <c r="AR48" i="16"/>
  <c r="BA48" i="16"/>
  <c r="AB48" i="16"/>
  <c r="P48" i="16"/>
  <c r="I23" i="25"/>
  <c r="H50" i="16"/>
  <c r="Q50" i="16"/>
  <c r="AF50" i="16"/>
  <c r="AH50" i="16" s="1"/>
  <c r="AV50" i="16"/>
  <c r="AX50" i="16" s="1"/>
  <c r="AJ50" i="16"/>
  <c r="AL50" i="16" s="1"/>
  <c r="BI50" i="16"/>
  <c r="AG50" i="16"/>
  <c r="AW50" i="16"/>
  <c r="Y50" i="16"/>
  <c r="AN50" i="16"/>
  <c r="AP50" i="16" s="1"/>
  <c r="AK50" i="16"/>
  <c r="AZ50" i="16"/>
  <c r="BB50" i="16" s="1"/>
  <c r="AC50" i="16"/>
  <c r="P50" i="16"/>
  <c r="R50" i="16" s="1"/>
  <c r="AB50" i="16"/>
  <c r="AD50" i="16" s="1"/>
  <c r="I50" i="16"/>
  <c r="BD50" i="16"/>
  <c r="BF50" i="16" s="1"/>
  <c r="L50" i="16"/>
  <c r="N50" i="16" s="1"/>
  <c r="BA50" i="16"/>
  <c r="BE50" i="16"/>
  <c r="X50" i="16"/>
  <c r="Z50" i="16" s="1"/>
  <c r="U50" i="16"/>
  <c r="AR50" i="16"/>
  <c r="AT50" i="16" s="1"/>
  <c r="BH50" i="16"/>
  <c r="BJ50" i="16" s="1"/>
  <c r="M50" i="16"/>
  <c r="T50" i="16"/>
  <c r="V50" i="16" s="1"/>
  <c r="AS50" i="16"/>
  <c r="AO50" i="16"/>
  <c r="G49" i="19"/>
  <c r="E36" i="20"/>
  <c r="G51" i="16"/>
  <c r="F49" i="16"/>
  <c r="E14" i="24"/>
  <c r="F14" i="24" s="1"/>
  <c r="G14" i="24" s="1"/>
  <c r="O31" i="25" s="1"/>
  <c r="G28" i="25"/>
  <c r="D14" i="24"/>
  <c r="BZ30" i="13"/>
  <c r="K28" i="25" l="1"/>
  <c r="G29" i="25"/>
  <c r="G30" i="25"/>
  <c r="K30" i="25" s="1"/>
  <c r="J50" i="16"/>
  <c r="BM50" i="16"/>
  <c r="BM48" i="16"/>
  <c r="I51" i="16"/>
  <c r="BB48" i="16"/>
  <c r="AS51" i="16"/>
  <c r="O36" i="25"/>
  <c r="P36" i="25" s="1"/>
  <c r="AT48" i="16"/>
  <c r="AP48" i="16"/>
  <c r="AX48" i="16"/>
  <c r="M51" i="16"/>
  <c r="BJ48" i="16"/>
  <c r="BE21" i="16"/>
  <c r="AN21" i="16"/>
  <c r="AW21" i="16"/>
  <c r="I21" i="16"/>
  <c r="T21" i="16"/>
  <c r="AK21" i="16"/>
  <c r="AV21" i="16"/>
  <c r="AG21" i="16"/>
  <c r="AB21" i="16"/>
  <c r="Q21" i="16"/>
  <c r="AF21" i="16"/>
  <c r="M21" i="16"/>
  <c r="BI21" i="16"/>
  <c r="AO21" i="16"/>
  <c r="AR21" i="16"/>
  <c r="P21" i="16"/>
  <c r="AZ21" i="16"/>
  <c r="AS21" i="16"/>
  <c r="BA21" i="16"/>
  <c r="AJ21" i="16"/>
  <c r="U21" i="16"/>
  <c r="BD21" i="16"/>
  <c r="L21" i="16"/>
  <c r="H21" i="16"/>
  <c r="AC21" i="16"/>
  <c r="BH21" i="16"/>
  <c r="Y21" i="16"/>
  <c r="X21" i="16"/>
  <c r="H17" i="25"/>
  <c r="G36" i="20"/>
  <c r="G61" i="19"/>
  <c r="AB49" i="16"/>
  <c r="AD49" i="16" s="1"/>
  <c r="AO49" i="16"/>
  <c r="AO51" i="16" s="1"/>
  <c r="BH49" i="16"/>
  <c r="BJ49" i="16" s="1"/>
  <c r="AG49" i="16"/>
  <c r="Q49" i="16"/>
  <c r="Q51" i="16" s="1"/>
  <c r="AC49" i="16"/>
  <c r="AC51" i="16" s="1"/>
  <c r="AF49" i="16"/>
  <c r="AH49" i="16" s="1"/>
  <c r="BI49" i="16"/>
  <c r="H49" i="16"/>
  <c r="H51" i="16" s="1"/>
  <c r="AW49" i="16"/>
  <c r="AW51" i="16" s="1"/>
  <c r="X49" i="16"/>
  <c r="Z49" i="16" s="1"/>
  <c r="P49" i="16"/>
  <c r="R49" i="16" s="1"/>
  <c r="AN49" i="16"/>
  <c r="AP49" i="16" s="1"/>
  <c r="BA49" i="16"/>
  <c r="BA51" i="16" s="1"/>
  <c r="U49" i="16"/>
  <c r="AS49" i="16"/>
  <c r="AZ49" i="16"/>
  <c r="BB49" i="16" s="1"/>
  <c r="AJ49" i="16"/>
  <c r="AL49" i="16" s="1"/>
  <c r="BE49" i="16"/>
  <c r="BE51" i="16" s="1"/>
  <c r="I49" i="16"/>
  <c r="L49" i="16"/>
  <c r="N49" i="16" s="1"/>
  <c r="BD49" i="16"/>
  <c r="BF49" i="16" s="1"/>
  <c r="Y49" i="16"/>
  <c r="Y51" i="16" s="1"/>
  <c r="AV49" i="16"/>
  <c r="AX49" i="16" s="1"/>
  <c r="M49" i="16"/>
  <c r="AR49" i="16"/>
  <c r="AT49" i="16" s="1"/>
  <c r="T49" i="16"/>
  <c r="V49" i="16" s="1"/>
  <c r="AK49" i="16"/>
  <c r="AK51" i="16" s="1"/>
  <c r="R48" i="16"/>
  <c r="J48" i="16"/>
  <c r="BL48" i="16"/>
  <c r="AL48" i="16"/>
  <c r="AH48" i="16"/>
  <c r="AF51" i="16"/>
  <c r="AH51" i="16" s="1"/>
  <c r="U51" i="16"/>
  <c r="BF48" i="16"/>
  <c r="L5" i="25"/>
  <c r="M5" i="25" s="1"/>
  <c r="N5" i="25" s="1"/>
  <c r="G20" i="16" s="1"/>
  <c r="F20" i="16" s="1"/>
  <c r="BL50" i="16"/>
  <c r="BN50" i="16" s="1"/>
  <c r="AD48" i="16"/>
  <c r="AG51" i="16"/>
  <c r="BI51" i="16"/>
  <c r="V48" i="16"/>
  <c r="N48" i="16"/>
  <c r="X51" i="16"/>
  <c r="Z48" i="16"/>
  <c r="G48" i="23"/>
  <c r="G71" i="23"/>
  <c r="G73" i="23" s="1"/>
  <c r="C11" i="24" s="1"/>
  <c r="L4" i="25"/>
  <c r="M4" i="25" s="1"/>
  <c r="N4" i="25" s="1"/>
  <c r="G50" i="18"/>
  <c r="H36" i="17" s="1"/>
  <c r="I36" i="17" s="1"/>
  <c r="G73" i="18"/>
  <c r="G75" i="18" s="1"/>
  <c r="C10" i="24" s="1"/>
  <c r="E50" i="13"/>
  <c r="CA23" i="13"/>
  <c r="BZ23" i="13"/>
  <c r="BX23" i="13"/>
  <c r="BW23" i="13"/>
  <c r="BS23" i="13"/>
  <c r="BR23" i="13"/>
  <c r="BN23" i="13"/>
  <c r="BM23" i="13"/>
  <c r="BI23" i="13"/>
  <c r="BH23" i="13"/>
  <c r="BD23" i="13"/>
  <c r="BC23" i="13"/>
  <c r="AY23" i="13"/>
  <c r="AX23" i="13"/>
  <c r="AT23" i="13"/>
  <c r="AS23" i="13"/>
  <c r="AO23" i="13"/>
  <c r="AN23" i="13"/>
  <c r="AJ23" i="13"/>
  <c r="AI23" i="13"/>
  <c r="AE23" i="13"/>
  <c r="AD23" i="13"/>
  <c r="Z23" i="13"/>
  <c r="Y23" i="13"/>
  <c r="U23" i="13"/>
  <c r="T23" i="13"/>
  <c r="P23" i="13"/>
  <c r="O23" i="13"/>
  <c r="K23" i="13"/>
  <c r="J23" i="13"/>
  <c r="CA29" i="13"/>
  <c r="BZ29" i="13"/>
  <c r="BX29" i="13"/>
  <c r="BW29" i="13"/>
  <c r="BS29" i="13"/>
  <c r="BR29" i="13"/>
  <c r="BN29" i="13"/>
  <c r="BM29" i="13"/>
  <c r="BI29" i="13"/>
  <c r="BH29" i="13"/>
  <c r="BD29" i="13"/>
  <c r="BC29" i="13"/>
  <c r="AY29" i="13"/>
  <c r="AX29" i="13"/>
  <c r="AT29" i="13"/>
  <c r="AS29" i="13"/>
  <c r="AO29" i="13"/>
  <c r="AN29" i="13"/>
  <c r="AJ29" i="13"/>
  <c r="AI29" i="13"/>
  <c r="AE29" i="13"/>
  <c r="AD29" i="13"/>
  <c r="Z29" i="13"/>
  <c r="Y29" i="13"/>
  <c r="U29" i="13"/>
  <c r="T29" i="13"/>
  <c r="P29" i="13"/>
  <c r="O29" i="13"/>
  <c r="K29" i="13"/>
  <c r="J29" i="13"/>
  <c r="CA36" i="13"/>
  <c r="BZ36" i="13"/>
  <c r="CC36" i="13" s="1"/>
  <c r="BX36" i="13"/>
  <c r="BW36" i="13"/>
  <c r="BS36" i="13"/>
  <c r="BR36" i="13"/>
  <c r="BN36" i="13"/>
  <c r="BM36" i="13"/>
  <c r="BI36" i="13"/>
  <c r="BH36" i="13"/>
  <c r="BD36" i="13"/>
  <c r="BC36" i="13"/>
  <c r="AY36" i="13"/>
  <c r="AX36" i="13"/>
  <c r="AT36" i="13"/>
  <c r="AS36" i="13"/>
  <c r="AO36" i="13"/>
  <c r="AN36" i="13"/>
  <c r="AJ36" i="13"/>
  <c r="AI36" i="13"/>
  <c r="AE36" i="13"/>
  <c r="AD36" i="13"/>
  <c r="Z36" i="13"/>
  <c r="Y36" i="13"/>
  <c r="U36" i="13"/>
  <c r="T36" i="13"/>
  <c r="P36" i="13"/>
  <c r="O36" i="13"/>
  <c r="K36" i="13"/>
  <c r="J36" i="13"/>
  <c r="E27" i="13"/>
  <c r="E34" i="13"/>
  <c r="G40" i="13"/>
  <c r="BH51" i="16" l="1"/>
  <c r="BJ51" i="16" s="1"/>
  <c r="AB51" i="16"/>
  <c r="T51" i="16"/>
  <c r="V51" i="16" s="1"/>
  <c r="P51" i="16"/>
  <c r="L51" i="16"/>
  <c r="N51" i="16" s="1"/>
  <c r="G19" i="16"/>
  <c r="N7" i="25"/>
  <c r="L20" i="16"/>
  <c r="N20" i="16" s="1"/>
  <c r="T20" i="16"/>
  <c r="V20" i="16" s="1"/>
  <c r="AG20" i="16"/>
  <c r="AW20" i="16"/>
  <c r="BE20" i="16"/>
  <c r="BA20" i="16"/>
  <c r="U20" i="16"/>
  <c r="M20" i="16"/>
  <c r="BH20" i="16"/>
  <c r="BJ20" i="16" s="1"/>
  <c r="BD20" i="16"/>
  <c r="BF20" i="16" s="1"/>
  <c r="AB20" i="16"/>
  <c r="AD20" i="16" s="1"/>
  <c r="P20" i="16"/>
  <c r="R20" i="16" s="1"/>
  <c r="AJ20" i="16"/>
  <c r="AL20" i="16" s="1"/>
  <c r="Y20" i="16"/>
  <c r="BI20" i="16"/>
  <c r="AR20" i="16"/>
  <c r="AT20" i="16" s="1"/>
  <c r="AZ20" i="16"/>
  <c r="BB20" i="16" s="1"/>
  <c r="AO20" i="16"/>
  <c r="X20" i="16"/>
  <c r="Z20" i="16" s="1"/>
  <c r="AF20" i="16"/>
  <c r="AH20" i="16" s="1"/>
  <c r="AN20" i="16"/>
  <c r="AP20" i="16" s="1"/>
  <c r="H20" i="16"/>
  <c r="AK20" i="16"/>
  <c r="AC20" i="16"/>
  <c r="I20" i="16"/>
  <c r="AS20" i="16"/>
  <c r="Q20" i="16"/>
  <c r="AV20" i="16"/>
  <c r="AX20" i="16" s="1"/>
  <c r="Z51" i="16"/>
  <c r="AD51" i="16"/>
  <c r="BN48" i="16"/>
  <c r="D10" i="24"/>
  <c r="BD51" i="16"/>
  <c r="BF51" i="16" s="1"/>
  <c r="BL21" i="16"/>
  <c r="J21" i="16"/>
  <c r="BM21" i="16"/>
  <c r="AN51" i="16"/>
  <c r="AP51" i="16" s="1"/>
  <c r="L30" i="25"/>
  <c r="AJ51" i="16"/>
  <c r="AL51" i="16" s="1"/>
  <c r="BM49" i="16"/>
  <c r="BM51" i="16" s="1"/>
  <c r="G62" i="19"/>
  <c r="G90" i="19"/>
  <c r="G92" i="19" s="1"/>
  <c r="C12" i="24" s="1"/>
  <c r="AV51" i="16"/>
  <c r="AX51" i="16" s="1"/>
  <c r="AR51" i="16"/>
  <c r="AT51" i="16" s="1"/>
  <c r="AZ51" i="16"/>
  <c r="BB51" i="16" s="1"/>
  <c r="R51" i="16"/>
  <c r="D11" i="24"/>
  <c r="G9" i="25"/>
  <c r="E11" i="24"/>
  <c r="J51" i="16"/>
  <c r="J49" i="16"/>
  <c r="BL49" i="16"/>
  <c r="BN49" i="16" s="1"/>
  <c r="H23" i="25"/>
  <c r="G47" i="20"/>
  <c r="L28" i="25"/>
  <c r="CC29" i="13"/>
  <c r="CC23" i="13"/>
  <c r="CB23" i="13"/>
  <c r="CB29" i="13"/>
  <c r="CB36" i="13"/>
  <c r="G34" i="13"/>
  <c r="E10" i="24" l="1"/>
  <c r="F11" i="24"/>
  <c r="G11" i="24" s="1"/>
  <c r="O13" i="25" s="1"/>
  <c r="J20" i="16"/>
  <c r="BL20" i="16"/>
  <c r="M28" i="25"/>
  <c r="N28" i="25"/>
  <c r="G43" i="16" s="1"/>
  <c r="BM20" i="16"/>
  <c r="M30" i="25"/>
  <c r="N30" i="25" s="1"/>
  <c r="G45" i="16" s="1"/>
  <c r="F45" i="16" s="1"/>
  <c r="G48" i="20"/>
  <c r="G71" i="20"/>
  <c r="G73" i="20" s="1"/>
  <c r="C13" i="24" s="1"/>
  <c r="C16" i="24" s="1"/>
  <c r="BL51" i="16"/>
  <c r="BN51" i="16" s="1"/>
  <c r="G15" i="25"/>
  <c r="D12" i="24"/>
  <c r="E12" i="24" s="1"/>
  <c r="F12" i="24" s="1"/>
  <c r="G12" i="24" s="1"/>
  <c r="O20" i="25" s="1"/>
  <c r="F19" i="16"/>
  <c r="G22" i="16"/>
  <c r="G27" i="13"/>
  <c r="G16" i="25" l="1"/>
  <c r="K16" i="25" s="1"/>
  <c r="K15" i="25"/>
  <c r="G17" i="25"/>
  <c r="K17" i="25" s="1"/>
  <c r="G19" i="25"/>
  <c r="K19" i="25" s="1"/>
  <c r="L19" i="25" s="1"/>
  <c r="M19" i="25" s="1"/>
  <c r="N19" i="25" s="1"/>
  <c r="G34" i="16" s="1"/>
  <c r="F34" i="16" s="1"/>
  <c r="G18" i="25"/>
  <c r="K18" i="25" s="1"/>
  <c r="F43" i="16"/>
  <c r="BD19" i="16"/>
  <c r="AZ19" i="16"/>
  <c r="AC19" i="16"/>
  <c r="AC22" i="16" s="1"/>
  <c r="P19" i="16"/>
  <c r="Q19" i="16"/>
  <c r="Q22" i="16" s="1"/>
  <c r="M19" i="16"/>
  <c r="M22" i="16" s="1"/>
  <c r="T19" i="16"/>
  <c r="H19" i="16"/>
  <c r="AB19" i="16"/>
  <c r="X19" i="16"/>
  <c r="AJ19" i="16"/>
  <c r="AK19" i="16"/>
  <c r="AK22" i="16" s="1"/>
  <c r="AV19" i="16"/>
  <c r="AN19" i="16"/>
  <c r="BA19" i="16"/>
  <c r="BA22" i="16" s="1"/>
  <c r="BE19" i="16"/>
  <c r="BE22" i="16" s="1"/>
  <c r="I19" i="16"/>
  <c r="AW19" i="16"/>
  <c r="AW22" i="16" s="1"/>
  <c r="U19" i="16"/>
  <c r="U22" i="16" s="1"/>
  <c r="AO19" i="16"/>
  <c r="AO22" i="16" s="1"/>
  <c r="AG19" i="16"/>
  <c r="AG22" i="16" s="1"/>
  <c r="AS19" i="16"/>
  <c r="AS22" i="16" s="1"/>
  <c r="BH19" i="16"/>
  <c r="BI19" i="16"/>
  <c r="BI22" i="16" s="1"/>
  <c r="L19" i="16"/>
  <c r="AR19" i="16"/>
  <c r="AF19" i="16"/>
  <c r="Y19" i="16"/>
  <c r="Y22" i="16" s="1"/>
  <c r="L45" i="16"/>
  <c r="N45" i="16" s="1"/>
  <c r="Q45" i="16"/>
  <c r="X45" i="16"/>
  <c r="AJ45" i="16"/>
  <c r="AL45" i="16" s="1"/>
  <c r="AR45" i="16"/>
  <c r="AT45" i="16" s="1"/>
  <c r="AW45" i="16"/>
  <c r="BD45" i="16"/>
  <c r="M45" i="16"/>
  <c r="Y45" i="16"/>
  <c r="AF45" i="16"/>
  <c r="AH45" i="16" s="1"/>
  <c r="AK45" i="16"/>
  <c r="AS45" i="16"/>
  <c r="BE45" i="16"/>
  <c r="H45" i="16"/>
  <c r="T45" i="16"/>
  <c r="AB45" i="16"/>
  <c r="AD45" i="16" s="1"/>
  <c r="AG45" i="16"/>
  <c r="AN45" i="16"/>
  <c r="AZ45" i="16"/>
  <c r="BH45" i="16"/>
  <c r="BJ45" i="16" s="1"/>
  <c r="I45" i="16"/>
  <c r="P45" i="16"/>
  <c r="R45" i="16" s="1"/>
  <c r="U45" i="16"/>
  <c r="AC45" i="16"/>
  <c r="AO45" i="16"/>
  <c r="AV45" i="16"/>
  <c r="AX45" i="16" s="1"/>
  <c r="BA45" i="16"/>
  <c r="BI45" i="16"/>
  <c r="BN20" i="16"/>
  <c r="F10" i="24"/>
  <c r="D13" i="24"/>
  <c r="E13" i="24" s="1"/>
  <c r="F13" i="24" s="1"/>
  <c r="G13" i="24" s="1"/>
  <c r="O26" i="25" s="1"/>
  <c r="G22" i="25"/>
  <c r="X27" i="13"/>
  <c r="W27" i="13"/>
  <c r="CA26" i="13"/>
  <c r="BZ26" i="13"/>
  <c r="BX26" i="13"/>
  <c r="BW26" i="13"/>
  <c r="BS26" i="13"/>
  <c r="BR26" i="13"/>
  <c r="BN26" i="13"/>
  <c r="BM26" i="13"/>
  <c r="BI26" i="13"/>
  <c r="BH26" i="13"/>
  <c r="BD26" i="13"/>
  <c r="BC26" i="13"/>
  <c r="AY26" i="13"/>
  <c r="AX26" i="13"/>
  <c r="AT26" i="13"/>
  <c r="AS26" i="13"/>
  <c r="AO26" i="13"/>
  <c r="AN26" i="13"/>
  <c r="AJ26" i="13"/>
  <c r="AI26" i="13"/>
  <c r="AE26" i="13"/>
  <c r="AD26" i="13"/>
  <c r="Z26" i="13"/>
  <c r="Y26" i="13"/>
  <c r="U26" i="13"/>
  <c r="T26" i="13"/>
  <c r="P26" i="13"/>
  <c r="O26" i="13"/>
  <c r="K26" i="13"/>
  <c r="J26" i="13"/>
  <c r="CA32" i="13"/>
  <c r="BZ32" i="13"/>
  <c r="BX32" i="13"/>
  <c r="BW32" i="13"/>
  <c r="BN32" i="13"/>
  <c r="BM32" i="13"/>
  <c r="BI32" i="13"/>
  <c r="BH32" i="13"/>
  <c r="BD32" i="13"/>
  <c r="BC32" i="13"/>
  <c r="AY32" i="13"/>
  <c r="AX32" i="13"/>
  <c r="AT32" i="13"/>
  <c r="AS32" i="13"/>
  <c r="AO32" i="13"/>
  <c r="AN32" i="13"/>
  <c r="AJ32" i="13"/>
  <c r="AI32" i="13"/>
  <c r="AE32" i="13"/>
  <c r="AD32" i="13"/>
  <c r="Z32" i="13"/>
  <c r="Y32" i="13"/>
  <c r="U32" i="13"/>
  <c r="T32" i="13"/>
  <c r="P32" i="13"/>
  <c r="O32" i="13"/>
  <c r="K32" i="13"/>
  <c r="J32" i="13"/>
  <c r="BM45" i="16" l="1"/>
  <c r="L22" i="16"/>
  <c r="N22" i="16" s="1"/>
  <c r="N19" i="16"/>
  <c r="BM19" i="16"/>
  <c r="BM22" i="16" s="1"/>
  <c r="I22" i="16"/>
  <c r="AX19" i="16"/>
  <c r="AV22" i="16"/>
  <c r="AX22" i="16" s="1"/>
  <c r="AD19" i="16"/>
  <c r="AB22" i="16"/>
  <c r="AD22" i="16" s="1"/>
  <c r="BD22" i="16"/>
  <c r="BF22" i="16" s="1"/>
  <c r="BF19" i="16"/>
  <c r="AW34" i="16"/>
  <c r="X34" i="16"/>
  <c r="Z34" i="16" s="1"/>
  <c r="I34" i="16"/>
  <c r="AB34" i="16"/>
  <c r="AD34" i="16" s="1"/>
  <c r="U34" i="16"/>
  <c r="AS34" i="16"/>
  <c r="AR34" i="16"/>
  <c r="AT34" i="16" s="1"/>
  <c r="M34" i="16"/>
  <c r="P34" i="16"/>
  <c r="R34" i="16" s="1"/>
  <c r="AC34" i="16"/>
  <c r="BE34" i="16"/>
  <c r="AV34" i="16"/>
  <c r="BA34" i="16"/>
  <c r="BH34" i="16"/>
  <c r="BJ34" i="16" s="1"/>
  <c r="AN34" i="16"/>
  <c r="AP34" i="16" s="1"/>
  <c r="AG34" i="16"/>
  <c r="AK34" i="16"/>
  <c r="Y34" i="16"/>
  <c r="AJ34" i="16"/>
  <c r="AL34" i="16" s="1"/>
  <c r="AO34" i="16"/>
  <c r="T34" i="16"/>
  <c r="V34" i="16" s="1"/>
  <c r="L34" i="16"/>
  <c r="N34" i="16" s="1"/>
  <c r="BD34" i="16"/>
  <c r="BF34" i="16" s="1"/>
  <c r="Q34" i="16"/>
  <c r="BI34" i="16"/>
  <c r="AF34" i="16"/>
  <c r="AH34" i="16" s="1"/>
  <c r="AZ34" i="16"/>
  <c r="BB34" i="16" s="1"/>
  <c r="H34" i="16"/>
  <c r="E16" i="24"/>
  <c r="H22" i="16"/>
  <c r="J22" i="16" s="1"/>
  <c r="BL19" i="16"/>
  <c r="J19" i="16"/>
  <c r="R19" i="16"/>
  <c r="P22" i="16"/>
  <c r="R22" i="16" s="1"/>
  <c r="L17" i="25"/>
  <c r="M17" i="25" s="1"/>
  <c r="N17" i="25" s="1"/>
  <c r="G32" i="16" s="1"/>
  <c r="F32" i="16" s="1"/>
  <c r="D16" i="24"/>
  <c r="F16" i="24"/>
  <c r="BB45" i="16"/>
  <c r="V45" i="16"/>
  <c r="BF45" i="16"/>
  <c r="Z45" i="16"/>
  <c r="AH19" i="16"/>
  <c r="AF22" i="16"/>
  <c r="AH22" i="16" s="1"/>
  <c r="BH22" i="16"/>
  <c r="BJ22" i="16" s="1"/>
  <c r="BJ19" i="16"/>
  <c r="AL19" i="16"/>
  <c r="AJ22" i="16"/>
  <c r="AL22" i="16" s="1"/>
  <c r="V19" i="16"/>
  <c r="T22" i="16"/>
  <c r="V22" i="16" s="1"/>
  <c r="H43" i="16"/>
  <c r="BI43" i="16"/>
  <c r="BD43" i="16"/>
  <c r="AG43" i="16"/>
  <c r="M43" i="16"/>
  <c r="AJ43" i="16"/>
  <c r="P43" i="16"/>
  <c r="AV43" i="16"/>
  <c r="AB43" i="16"/>
  <c r="Y43" i="16"/>
  <c r="AR43" i="16"/>
  <c r="BH43" i="16"/>
  <c r="AC43" i="16"/>
  <c r="AW43" i="16"/>
  <c r="I43" i="16"/>
  <c r="AO43" i="16"/>
  <c r="U43" i="16"/>
  <c r="BA43" i="16"/>
  <c r="Q43" i="16"/>
  <c r="AK43" i="16"/>
  <c r="L43" i="16"/>
  <c r="AS43" i="16"/>
  <c r="T43" i="16"/>
  <c r="AZ43" i="16"/>
  <c r="AF43" i="16"/>
  <c r="X43" i="16"/>
  <c r="AN43" i="16"/>
  <c r="BE43" i="16"/>
  <c r="L15" i="25"/>
  <c r="M15" i="25" s="1"/>
  <c r="N15" i="25" s="1"/>
  <c r="K22" i="25"/>
  <c r="L22" i="25" s="1"/>
  <c r="M22" i="25" s="1"/>
  <c r="N22" i="25" s="1"/>
  <c r="G23" i="25"/>
  <c r="K23" i="25" s="1"/>
  <c r="L23" i="25" s="1"/>
  <c r="M23" i="25" s="1"/>
  <c r="N23" i="25" s="1"/>
  <c r="G38" i="16" s="1"/>
  <c r="F38" i="16" s="1"/>
  <c r="G24" i="25"/>
  <c r="K24" i="25" s="1"/>
  <c r="L24" i="25" s="1"/>
  <c r="M24" i="25" s="1"/>
  <c r="N24" i="25" s="1"/>
  <c r="G39" i="16" s="1"/>
  <c r="F39" i="16" s="1"/>
  <c r="G25" i="25"/>
  <c r="K25" i="25" s="1"/>
  <c r="G10" i="24"/>
  <c r="AP45" i="16"/>
  <c r="J45" i="16"/>
  <c r="BL45" i="16"/>
  <c r="BN45" i="16" s="1"/>
  <c r="AR22" i="16"/>
  <c r="AT22" i="16" s="1"/>
  <c r="AT19" i="16"/>
  <c r="AN22" i="16"/>
  <c r="AP22" i="16" s="1"/>
  <c r="AP19" i="16"/>
  <c r="Z19" i="16"/>
  <c r="X22" i="16"/>
  <c r="Z22" i="16" s="1"/>
  <c r="AZ22" i="16"/>
  <c r="BB22" i="16" s="1"/>
  <c r="BB19" i="16"/>
  <c r="L18" i="25"/>
  <c r="M18" i="25" s="1"/>
  <c r="N18" i="25" s="1"/>
  <c r="G33" i="16" s="1"/>
  <c r="F33" i="16" s="1"/>
  <c r="L16" i="25"/>
  <c r="M16" i="25" s="1"/>
  <c r="N16" i="25" s="1"/>
  <c r="G31" i="16" s="1"/>
  <c r="F31" i="16" s="1"/>
  <c r="CC26" i="13"/>
  <c r="CC32" i="13"/>
  <c r="CB26" i="13"/>
  <c r="CB32" i="13"/>
  <c r="AK33" i="16" l="1"/>
  <c r="U33" i="16"/>
  <c r="AW33" i="16"/>
  <c r="AO33" i="16"/>
  <c r="H33" i="16"/>
  <c r="X33" i="16"/>
  <c r="Z33" i="16" s="1"/>
  <c r="AG33" i="16"/>
  <c r="Y33" i="16"/>
  <c r="BD33" i="16"/>
  <c r="BF33" i="16" s="1"/>
  <c r="AJ33" i="16"/>
  <c r="AL33" i="16" s="1"/>
  <c r="AV33" i="16"/>
  <c r="AX33" i="16" s="1"/>
  <c r="AC33" i="16"/>
  <c r="L33" i="16"/>
  <c r="N33" i="16" s="1"/>
  <c r="BI33" i="16"/>
  <c r="M33" i="16"/>
  <c r="AF33" i="16"/>
  <c r="AH33" i="16" s="1"/>
  <c r="AZ33" i="16"/>
  <c r="BB33" i="16" s="1"/>
  <c r="P33" i="16"/>
  <c r="R33" i="16" s="1"/>
  <c r="AN33" i="16"/>
  <c r="AP33" i="16" s="1"/>
  <c r="BH33" i="16"/>
  <c r="BJ33" i="16" s="1"/>
  <c r="AR33" i="16"/>
  <c r="AT33" i="16" s="1"/>
  <c r="AS33" i="16"/>
  <c r="T33" i="16"/>
  <c r="V33" i="16" s="1"/>
  <c r="AB33" i="16"/>
  <c r="AD33" i="16" s="1"/>
  <c r="BA33" i="16"/>
  <c r="Q33" i="16"/>
  <c r="I33" i="16"/>
  <c r="BE33" i="16"/>
  <c r="Q31" i="16"/>
  <c r="AW31" i="16"/>
  <c r="T31" i="16"/>
  <c r="V31" i="16" s="1"/>
  <c r="BE31" i="16"/>
  <c r="BI31" i="16"/>
  <c r="AG31" i="16"/>
  <c r="AZ31" i="16"/>
  <c r="BB31" i="16" s="1"/>
  <c r="AJ31" i="16"/>
  <c r="AL31" i="16" s="1"/>
  <c r="I31" i="16"/>
  <c r="H31" i="16"/>
  <c r="BA31" i="16"/>
  <c r="BH31" i="16"/>
  <c r="BJ31" i="16" s="1"/>
  <c r="AK31" i="16"/>
  <c r="AR31" i="16"/>
  <c r="P31" i="16"/>
  <c r="R31" i="16" s="1"/>
  <c r="M31" i="16"/>
  <c r="U31" i="16"/>
  <c r="AB31" i="16"/>
  <c r="AD31" i="16" s="1"/>
  <c r="AF31" i="16"/>
  <c r="AH31" i="16" s="1"/>
  <c r="AO31" i="16"/>
  <c r="AV31" i="16"/>
  <c r="X31" i="16"/>
  <c r="Z31" i="16" s="1"/>
  <c r="BD31" i="16"/>
  <c r="BF31" i="16" s="1"/>
  <c r="AC31" i="16"/>
  <c r="L31" i="16"/>
  <c r="N31" i="16" s="1"/>
  <c r="AN31" i="16"/>
  <c r="AP31" i="16" s="1"/>
  <c r="Y31" i="16"/>
  <c r="AS31" i="16"/>
  <c r="Q32" i="16"/>
  <c r="M32" i="16"/>
  <c r="AN32" i="16"/>
  <c r="AP32" i="16" s="1"/>
  <c r="I32" i="16"/>
  <c r="AK32" i="16"/>
  <c r="AV32" i="16"/>
  <c r="AX32" i="16" s="1"/>
  <c r="AF32" i="16"/>
  <c r="AH32" i="16" s="1"/>
  <c r="Y32" i="16"/>
  <c r="AC32" i="16"/>
  <c r="P32" i="16"/>
  <c r="R32" i="16" s="1"/>
  <c r="AJ32" i="16"/>
  <c r="AL32" i="16" s="1"/>
  <c r="L32" i="16"/>
  <c r="N32" i="16" s="1"/>
  <c r="AR32" i="16"/>
  <c r="AT32" i="16" s="1"/>
  <c r="X32" i="16"/>
  <c r="AG32" i="16"/>
  <c r="AW32" i="16"/>
  <c r="AS32" i="16"/>
  <c r="AZ32" i="16"/>
  <c r="BB32" i="16" s="1"/>
  <c r="AO32" i="16"/>
  <c r="BH32" i="16"/>
  <c r="BJ32" i="16" s="1"/>
  <c r="BA32" i="16"/>
  <c r="T32" i="16"/>
  <c r="V32" i="16" s="1"/>
  <c r="BE32" i="16"/>
  <c r="BD32" i="16"/>
  <c r="BF32" i="16" s="1"/>
  <c r="U32" i="16"/>
  <c r="H32" i="16"/>
  <c r="AB32" i="16"/>
  <c r="AD32" i="16" s="1"/>
  <c r="BI32" i="16"/>
  <c r="N20" i="25"/>
  <c r="P20" i="25" s="1"/>
  <c r="G30" i="16"/>
  <c r="G37" i="16"/>
  <c r="AP43" i="16"/>
  <c r="AT43" i="16"/>
  <c r="L25" i="25"/>
  <c r="N25" i="25" s="1"/>
  <c r="M25" i="25"/>
  <c r="Z43" i="16"/>
  <c r="AL43" i="16"/>
  <c r="J34" i="16"/>
  <c r="BL34" i="16"/>
  <c r="AX34" i="16"/>
  <c r="R43" i="16"/>
  <c r="BF43" i="16"/>
  <c r="BN19" i="16"/>
  <c r="BL22" i="16"/>
  <c r="BN22" i="16" s="1"/>
  <c r="BM34" i="16"/>
  <c r="O7" i="25"/>
  <c r="P7" i="25" s="1"/>
  <c r="G16" i="24"/>
  <c r="V43" i="16"/>
  <c r="J43" i="16"/>
  <c r="BM43" i="16"/>
  <c r="AR39" i="16"/>
  <c r="AT39" i="16" s="1"/>
  <c r="P39" i="16"/>
  <c r="R39" i="16" s="1"/>
  <c r="BH39" i="16"/>
  <c r="BJ39" i="16" s="1"/>
  <c r="I39" i="16"/>
  <c r="T39" i="16"/>
  <c r="V39" i="16" s="1"/>
  <c r="AF39" i="16"/>
  <c r="AH39" i="16" s="1"/>
  <c r="AC39" i="16"/>
  <c r="AS39" i="16"/>
  <c r="AO39" i="16"/>
  <c r="X39" i="16"/>
  <c r="Z39" i="16" s="1"/>
  <c r="BI39" i="16"/>
  <c r="AW39" i="16"/>
  <c r="BE39" i="16"/>
  <c r="AZ39" i="16"/>
  <c r="AN39" i="16"/>
  <c r="AP39" i="16" s="1"/>
  <c r="AK39" i="16"/>
  <c r="U39" i="16"/>
  <c r="BD39" i="16"/>
  <c r="BF39" i="16" s="1"/>
  <c r="M39" i="16"/>
  <c r="Y39" i="16"/>
  <c r="AB39" i="16"/>
  <c r="AD39" i="16" s="1"/>
  <c r="AV39" i="16"/>
  <c r="H39" i="16"/>
  <c r="AG39" i="16"/>
  <c r="L39" i="16"/>
  <c r="N39" i="16" s="1"/>
  <c r="AJ39" i="16"/>
  <c r="AL39" i="16" s="1"/>
  <c r="Q39" i="16"/>
  <c r="BA39" i="16"/>
  <c r="AH43" i="16"/>
  <c r="N43" i="16"/>
  <c r="AD43" i="16"/>
  <c r="BL43" i="16"/>
  <c r="AO38" i="16"/>
  <c r="M38" i="16"/>
  <c r="P38" i="16"/>
  <c r="R38" i="16" s="1"/>
  <c r="AZ38" i="16"/>
  <c r="AS38" i="16"/>
  <c r="BE38" i="16"/>
  <c r="AK38" i="16"/>
  <c r="H38" i="16"/>
  <c r="I38" i="16"/>
  <c r="L38" i="16"/>
  <c r="N38" i="16" s="1"/>
  <c r="AF38" i="16"/>
  <c r="AH38" i="16" s="1"/>
  <c r="AR38" i="16"/>
  <c r="AT38" i="16" s="1"/>
  <c r="AN38" i="16"/>
  <c r="AP38" i="16" s="1"/>
  <c r="AV38" i="16"/>
  <c r="AX38" i="16" s="1"/>
  <c r="X38" i="16"/>
  <c r="Z38" i="16" s="1"/>
  <c r="AG38" i="16"/>
  <c r="Q38" i="16"/>
  <c r="T38" i="16"/>
  <c r="V38" i="16" s="1"/>
  <c r="BA38" i="16"/>
  <c r="U38" i="16"/>
  <c r="AW38" i="16"/>
  <c r="AB38" i="16"/>
  <c r="AD38" i="16" s="1"/>
  <c r="BH38" i="16"/>
  <c r="BJ38" i="16" s="1"/>
  <c r="AJ38" i="16"/>
  <c r="AL38" i="16" s="1"/>
  <c r="BD38" i="16"/>
  <c r="BF38" i="16" s="1"/>
  <c r="BI38" i="16"/>
  <c r="Y38" i="16"/>
  <c r="AC38" i="16"/>
  <c r="BB43" i="16"/>
  <c r="BJ43" i="16"/>
  <c r="AX43" i="16"/>
  <c r="CA48" i="13"/>
  <c r="BZ48" i="13"/>
  <c r="BX48" i="13"/>
  <c r="BW48" i="13"/>
  <c r="BS48" i="13"/>
  <c r="BR48" i="13"/>
  <c r="BN48" i="13"/>
  <c r="BM48" i="13"/>
  <c r="BI48" i="13"/>
  <c r="BH48" i="13"/>
  <c r="BD48" i="13"/>
  <c r="BC48" i="13"/>
  <c r="AY48" i="13"/>
  <c r="AX48" i="13"/>
  <c r="AT48" i="13"/>
  <c r="AS48" i="13"/>
  <c r="AO48" i="13"/>
  <c r="AN48" i="13"/>
  <c r="AJ48" i="13"/>
  <c r="AI48" i="13"/>
  <c r="AE48" i="13"/>
  <c r="AD48" i="13"/>
  <c r="Z48" i="13"/>
  <c r="Y48" i="13"/>
  <c r="U48" i="13"/>
  <c r="T48" i="13"/>
  <c r="P48" i="13"/>
  <c r="O48" i="13"/>
  <c r="K48" i="13"/>
  <c r="J48" i="13"/>
  <c r="AM40" i="13"/>
  <c r="AL40" i="13"/>
  <c r="AR40" i="13"/>
  <c r="AQ40" i="13"/>
  <c r="AW40" i="13"/>
  <c r="AV40" i="13"/>
  <c r="BA40" i="13"/>
  <c r="BB40" i="13"/>
  <c r="BG40" i="13"/>
  <c r="BF40" i="13"/>
  <c r="BL40" i="13"/>
  <c r="BK40" i="13"/>
  <c r="BQ40" i="13"/>
  <c r="BP40" i="13"/>
  <c r="BV40" i="13"/>
  <c r="BU40" i="13"/>
  <c r="BR25" i="13"/>
  <c r="BS25" i="13"/>
  <c r="BM25" i="13"/>
  <c r="BN25" i="13"/>
  <c r="BH25" i="13"/>
  <c r="BI25" i="13"/>
  <c r="BC25" i="13"/>
  <c r="BD25" i="13"/>
  <c r="AX25" i="13"/>
  <c r="AY25" i="13"/>
  <c r="AQ27" i="13"/>
  <c r="AR27" i="13"/>
  <c r="AV27" i="13"/>
  <c r="AW27" i="13"/>
  <c r="BA27" i="13"/>
  <c r="BB27" i="13"/>
  <c r="BF27" i="13"/>
  <c r="BG27" i="13"/>
  <c r="BK27" i="13"/>
  <c r="BL27" i="13"/>
  <c r="BQ27" i="13"/>
  <c r="BP27" i="13"/>
  <c r="BZ25" i="13"/>
  <c r="CA25" i="13"/>
  <c r="BV27" i="13"/>
  <c r="BU27" i="13"/>
  <c r="BW25" i="13"/>
  <c r="BX25" i="13"/>
  <c r="R21" i="13"/>
  <c r="O20" i="13"/>
  <c r="E40" i="13"/>
  <c r="CA38" i="13"/>
  <c r="BZ38" i="13"/>
  <c r="BX38" i="13"/>
  <c r="BW38" i="13"/>
  <c r="BS38" i="13"/>
  <c r="BR38" i="13"/>
  <c r="BN38" i="13"/>
  <c r="BM38" i="13"/>
  <c r="BI38" i="13"/>
  <c r="BH38" i="13"/>
  <c r="BD38" i="13"/>
  <c r="BC38" i="13"/>
  <c r="AY38" i="13"/>
  <c r="AX38" i="13"/>
  <c r="AT38" i="13"/>
  <c r="AS38" i="13"/>
  <c r="AO38" i="13"/>
  <c r="AN38" i="13"/>
  <c r="AJ38" i="13"/>
  <c r="AI38" i="13"/>
  <c r="AE38" i="13"/>
  <c r="AD38" i="13"/>
  <c r="Z38" i="13"/>
  <c r="Y38" i="13"/>
  <c r="U38" i="13"/>
  <c r="T38" i="13"/>
  <c r="P38" i="13"/>
  <c r="O38" i="13"/>
  <c r="K38" i="13"/>
  <c r="J38" i="13"/>
  <c r="BU34" i="13"/>
  <c r="BP34" i="13"/>
  <c r="BF34" i="13"/>
  <c r="BA34" i="13"/>
  <c r="AV34" i="13"/>
  <c r="AQ34" i="13"/>
  <c r="AM34" i="13"/>
  <c r="AL34" i="13"/>
  <c r="AG34" i="13"/>
  <c r="AB34" i="13"/>
  <c r="X34" i="13"/>
  <c r="W34" i="13"/>
  <c r="S34" i="13"/>
  <c r="R34" i="13"/>
  <c r="N34" i="13"/>
  <c r="M34" i="13"/>
  <c r="H34" i="13"/>
  <c r="I34" i="13"/>
  <c r="BH31" i="13"/>
  <c r="BI31" i="13"/>
  <c r="BM31" i="13"/>
  <c r="BN31" i="13"/>
  <c r="Y31" i="13"/>
  <c r="Z31" i="13"/>
  <c r="T31" i="13"/>
  <c r="U31" i="13"/>
  <c r="BZ31" i="13"/>
  <c r="CA31" i="13"/>
  <c r="CA30" i="13"/>
  <c r="Y25" i="13"/>
  <c r="Z25" i="13"/>
  <c r="O31" i="13"/>
  <c r="P31" i="13"/>
  <c r="J31" i="13"/>
  <c r="K31" i="13"/>
  <c r="T25" i="13"/>
  <c r="U25" i="13"/>
  <c r="R27" i="13"/>
  <c r="O25" i="13"/>
  <c r="P25" i="13"/>
  <c r="J25" i="13"/>
  <c r="K25" i="13"/>
  <c r="G40" i="16" l="1"/>
  <c r="F40" i="16" s="1"/>
  <c r="Q40" i="16" s="1"/>
  <c r="N26" i="25"/>
  <c r="P26" i="25" s="1"/>
  <c r="BM38" i="16"/>
  <c r="AX39" i="16"/>
  <c r="BB39" i="16"/>
  <c r="BI40" i="16"/>
  <c r="AK40" i="16"/>
  <c r="U40" i="16"/>
  <c r="P40" i="16"/>
  <c r="R40" i="16" s="1"/>
  <c r="AJ40" i="16"/>
  <c r="AL40" i="16" s="1"/>
  <c r="AC40" i="16"/>
  <c r="AV40" i="16"/>
  <c r="AX40" i="16" s="1"/>
  <c r="X40" i="16"/>
  <c r="Z40" i="16" s="1"/>
  <c r="AR40" i="16"/>
  <c r="AT40" i="16" s="1"/>
  <c r="AN40" i="16"/>
  <c r="AP40" i="16" s="1"/>
  <c r="BD40" i="16"/>
  <c r="BF40" i="16" s="1"/>
  <c r="BH40" i="16"/>
  <c r="I40" i="16"/>
  <c r="AZ40" i="16"/>
  <c r="BB40" i="16" s="1"/>
  <c r="BM39" i="16"/>
  <c r="BN34" i="16"/>
  <c r="G35" i="16"/>
  <c r="F30" i="16"/>
  <c r="J32" i="16"/>
  <c r="BL32" i="16"/>
  <c r="Z32" i="16"/>
  <c r="AT31" i="16"/>
  <c r="J31" i="16"/>
  <c r="BL31" i="16"/>
  <c r="BM32" i="16"/>
  <c r="F37" i="16"/>
  <c r="BM33" i="16"/>
  <c r="J38" i="16"/>
  <c r="BL38" i="16"/>
  <c r="BN38" i="16" s="1"/>
  <c r="BB38" i="16"/>
  <c r="BN43" i="16"/>
  <c r="J39" i="16"/>
  <c r="BL39" i="16"/>
  <c r="BN39" i="16" s="1"/>
  <c r="AX31" i="16"/>
  <c r="BM31" i="16"/>
  <c r="J33" i="16"/>
  <c r="BL33" i="16"/>
  <c r="BN33" i="16" s="1"/>
  <c r="BW40" i="13"/>
  <c r="CC48" i="13"/>
  <c r="BZ34" i="13"/>
  <c r="Y27" i="13"/>
  <c r="CC38" i="13"/>
  <c r="BC40" i="13"/>
  <c r="CB48" i="13"/>
  <c r="CC25" i="13"/>
  <c r="CA34" i="13"/>
  <c r="CB25" i="13"/>
  <c r="CB38" i="13"/>
  <c r="CB31" i="13"/>
  <c r="CC31" i="13"/>
  <c r="T40" i="16" l="1"/>
  <c r="V40" i="16" s="1"/>
  <c r="BA40" i="16"/>
  <c r="L40" i="16"/>
  <c r="N40" i="16" s="1"/>
  <c r="AF40" i="16"/>
  <c r="AH40" i="16" s="1"/>
  <c r="BE40" i="16"/>
  <c r="AO40" i="16"/>
  <c r="Y40" i="16"/>
  <c r="G41" i="16"/>
  <c r="AS40" i="16"/>
  <c r="M40" i="16"/>
  <c r="BM40" i="16" s="1"/>
  <c r="AB40" i="16"/>
  <c r="AD40" i="16" s="1"/>
  <c r="H40" i="16"/>
  <c r="BL40" i="16" s="1"/>
  <c r="BN40" i="16" s="1"/>
  <c r="AW40" i="16"/>
  <c r="AG40" i="16"/>
  <c r="BN32" i="16"/>
  <c r="J40" i="16"/>
  <c r="I30" i="16"/>
  <c r="H30" i="16"/>
  <c r="L30" i="16"/>
  <c r="T30" i="16"/>
  <c r="Q30" i="16"/>
  <c r="Q35" i="16" s="1"/>
  <c r="AZ30" i="16"/>
  <c r="AB30" i="16"/>
  <c r="AO30" i="16"/>
  <c r="AO35" i="16" s="1"/>
  <c r="M30" i="16"/>
  <c r="M35" i="16" s="1"/>
  <c r="X30" i="16"/>
  <c r="AC30" i="16"/>
  <c r="AC35" i="16" s="1"/>
  <c r="AG30" i="16"/>
  <c r="AG35" i="16" s="1"/>
  <c r="Y30" i="16"/>
  <c r="Y35" i="16" s="1"/>
  <c r="AF30" i="16"/>
  <c r="BE30" i="16"/>
  <c r="BE35" i="16" s="1"/>
  <c r="U30" i="16"/>
  <c r="U35" i="16" s="1"/>
  <c r="AN30" i="16"/>
  <c r="AR30" i="16"/>
  <c r="AK30" i="16"/>
  <c r="AK35" i="16" s="1"/>
  <c r="AW30" i="16"/>
  <c r="AW35" i="16" s="1"/>
  <c r="P30" i="16"/>
  <c r="BH30" i="16"/>
  <c r="BA30" i="16"/>
  <c r="BA35" i="16" s="1"/>
  <c r="AJ30" i="16"/>
  <c r="AV30" i="16"/>
  <c r="AS30" i="16"/>
  <c r="AS35" i="16" s="1"/>
  <c r="BD30" i="16"/>
  <c r="BI30" i="16"/>
  <c r="BI35" i="16" s="1"/>
  <c r="AR37" i="16"/>
  <c r="AJ37" i="16"/>
  <c r="AK37" i="16"/>
  <c r="AK41" i="16" s="1"/>
  <c r="Q37" i="16"/>
  <c r="Q41" i="16" s="1"/>
  <c r="BA37" i="16"/>
  <c r="BA41" i="16" s="1"/>
  <c r="AC37" i="16"/>
  <c r="AC41" i="16" s="1"/>
  <c r="BI37" i="16"/>
  <c r="BI41" i="16" s="1"/>
  <c r="AN37" i="16"/>
  <c r="U37" i="16"/>
  <c r="U41" i="16" s="1"/>
  <c r="M37" i="16"/>
  <c r="M41" i="16" s="1"/>
  <c r="P37" i="16"/>
  <c r="AS37" i="16"/>
  <c r="AS41" i="16" s="1"/>
  <c r="AB37" i="16"/>
  <c r="BH37" i="16"/>
  <c r="AO37" i="16"/>
  <c r="AO41" i="16" s="1"/>
  <c r="X37" i="16"/>
  <c r="I37" i="16"/>
  <c r="BD37" i="16"/>
  <c r="AW37" i="16"/>
  <c r="AW41" i="16" s="1"/>
  <c r="Y37" i="16"/>
  <c r="AZ37" i="16"/>
  <c r="AG37" i="16"/>
  <c r="AG41" i="16" s="1"/>
  <c r="L37" i="16"/>
  <c r="AV37" i="16"/>
  <c r="AF37" i="16"/>
  <c r="T37" i="16"/>
  <c r="H37" i="16"/>
  <c r="BE37" i="16"/>
  <c r="BE41" i="16" s="1"/>
  <c r="BN31" i="16"/>
  <c r="BJ40" i="16"/>
  <c r="E21" i="13"/>
  <c r="Y41" i="16" l="1"/>
  <c r="BB37" i="16"/>
  <c r="AZ41" i="16"/>
  <c r="BB41" i="16" s="1"/>
  <c r="AD37" i="16"/>
  <c r="AB41" i="16"/>
  <c r="AD41" i="16" s="1"/>
  <c r="AT37" i="16"/>
  <c r="AR41" i="16"/>
  <c r="AT41" i="16" s="1"/>
  <c r="P35" i="16"/>
  <c r="R35" i="16" s="1"/>
  <c r="R30" i="16"/>
  <c r="BM30" i="16"/>
  <c r="BM35" i="16" s="1"/>
  <c r="I35" i="16"/>
  <c r="AJ35" i="16"/>
  <c r="AL35" i="16" s="1"/>
  <c r="AL30" i="16"/>
  <c r="V30" i="16"/>
  <c r="T35" i="16"/>
  <c r="V35" i="16" s="1"/>
  <c r="N37" i="16"/>
  <c r="L41" i="16"/>
  <c r="N41" i="16" s="1"/>
  <c r="R37" i="16"/>
  <c r="P41" i="16"/>
  <c r="R41" i="16" s="1"/>
  <c r="BF30" i="16"/>
  <c r="BD35" i="16"/>
  <c r="BF35" i="16" s="1"/>
  <c r="AB35" i="16"/>
  <c r="AD35" i="16" s="1"/>
  <c r="AD30" i="16"/>
  <c r="N30" i="16"/>
  <c r="L35" i="16"/>
  <c r="N35" i="16" s="1"/>
  <c r="AH37" i="16"/>
  <c r="AF41" i="16"/>
  <c r="AH41" i="16" s="1"/>
  <c r="BM37" i="16"/>
  <c r="BM41" i="16" s="1"/>
  <c r="I41" i="16"/>
  <c r="AV35" i="16"/>
  <c r="AX35" i="16" s="1"/>
  <c r="AX30" i="16"/>
  <c r="AP30" i="16"/>
  <c r="AN35" i="16"/>
  <c r="AP35" i="16" s="1"/>
  <c r="AX37" i="16"/>
  <c r="AV41" i="16"/>
  <c r="AX41" i="16" s="1"/>
  <c r="Z37" i="16"/>
  <c r="X41" i="16"/>
  <c r="Z41" i="16" s="1"/>
  <c r="AP37" i="16"/>
  <c r="AN41" i="16"/>
  <c r="AP41" i="16" s="1"/>
  <c r="J37" i="16"/>
  <c r="BL37" i="16"/>
  <c r="H41" i="16"/>
  <c r="V37" i="16"/>
  <c r="T41" i="16"/>
  <c r="V41" i="16" s="1"/>
  <c r="BF37" i="16"/>
  <c r="BD41" i="16"/>
  <c r="BF41" i="16" s="1"/>
  <c r="BJ37" i="16"/>
  <c r="BH41" i="16"/>
  <c r="BJ41" i="16" s="1"/>
  <c r="AL37" i="16"/>
  <c r="AJ41" i="16"/>
  <c r="AL41" i="16" s="1"/>
  <c r="BH35" i="16"/>
  <c r="BJ35" i="16" s="1"/>
  <c r="BJ30" i="16"/>
  <c r="AT30" i="16"/>
  <c r="AR35" i="16"/>
  <c r="AT35" i="16" s="1"/>
  <c r="AH30" i="16"/>
  <c r="AF35" i="16"/>
  <c r="AH35" i="16" s="1"/>
  <c r="Z30" i="16"/>
  <c r="X35" i="16"/>
  <c r="Z35" i="16" s="1"/>
  <c r="AZ35" i="16"/>
  <c r="BB35" i="16" s="1"/>
  <c r="BB30" i="16"/>
  <c r="BL30" i="16"/>
  <c r="J30" i="16"/>
  <c r="H35" i="16"/>
  <c r="J35" i="16" s="1"/>
  <c r="AP51" i="13"/>
  <c r="G51" i="13"/>
  <c r="G50" i="13"/>
  <c r="J41" i="16" l="1"/>
  <c r="BL35" i="16"/>
  <c r="BN35" i="16" s="1"/>
  <c r="BN30" i="16"/>
  <c r="BN37" i="16"/>
  <c r="BL41" i="16"/>
  <c r="BN41" i="16" s="1"/>
  <c r="BV50" i="13"/>
  <c r="BU50" i="13"/>
  <c r="BQ50" i="13"/>
  <c r="BP50" i="13"/>
  <c r="BL50" i="13"/>
  <c r="BK50" i="13"/>
  <c r="BG50" i="13"/>
  <c r="BF50" i="13"/>
  <c r="BB50" i="13"/>
  <c r="BA50" i="13"/>
  <c r="AW50" i="13"/>
  <c r="AV50" i="13"/>
  <c r="AR50" i="13"/>
  <c r="AQ50" i="13"/>
  <c r="AM50" i="13"/>
  <c r="AL50" i="13"/>
  <c r="AH50" i="13"/>
  <c r="AG50" i="13"/>
  <c r="AC50" i="13"/>
  <c r="AB50" i="13"/>
  <c r="X50" i="13"/>
  <c r="W50" i="13"/>
  <c r="S50" i="13"/>
  <c r="R50" i="13"/>
  <c r="N50" i="13"/>
  <c r="M50" i="13"/>
  <c r="I50" i="13"/>
  <c r="H50" i="13"/>
  <c r="CA49" i="13"/>
  <c r="BZ49" i="13"/>
  <c r="BX49" i="13"/>
  <c r="BW49" i="13"/>
  <c r="BS49" i="13"/>
  <c r="BR49" i="13"/>
  <c r="BN49" i="13"/>
  <c r="BM49" i="13"/>
  <c r="BI49" i="13"/>
  <c r="BH49" i="13"/>
  <c r="BD49" i="13"/>
  <c r="BC49" i="13"/>
  <c r="AY49" i="13"/>
  <c r="AX49" i="13"/>
  <c r="AT49" i="13"/>
  <c r="AS49" i="13"/>
  <c r="AO49" i="13"/>
  <c r="AN49" i="13"/>
  <c r="AJ49" i="13"/>
  <c r="AI49" i="13"/>
  <c r="AE49" i="13"/>
  <c r="AD49" i="13"/>
  <c r="Z49" i="13"/>
  <c r="Y49" i="13"/>
  <c r="U49" i="13"/>
  <c r="T49" i="13"/>
  <c r="P49" i="13"/>
  <c r="O49" i="13"/>
  <c r="K49" i="13"/>
  <c r="J49" i="13"/>
  <c r="CA47" i="13"/>
  <c r="BZ47" i="13"/>
  <c r="BX47" i="13"/>
  <c r="BW47" i="13"/>
  <c r="BS47" i="13"/>
  <c r="BR47" i="13"/>
  <c r="BN47" i="13"/>
  <c r="BM47" i="13"/>
  <c r="BI47" i="13"/>
  <c r="BH47" i="13"/>
  <c r="BD47" i="13"/>
  <c r="BC47" i="13"/>
  <c r="AY47" i="13"/>
  <c r="AX47" i="13"/>
  <c r="AT47" i="13"/>
  <c r="AS47" i="13"/>
  <c r="AO47" i="13"/>
  <c r="AN47" i="13"/>
  <c r="AJ47" i="13"/>
  <c r="AI47" i="13"/>
  <c r="AE47" i="13"/>
  <c r="AD47" i="13"/>
  <c r="Z47" i="13"/>
  <c r="Y47" i="13"/>
  <c r="U47" i="13"/>
  <c r="T47" i="13"/>
  <c r="P47" i="13"/>
  <c r="O47" i="13"/>
  <c r="K47" i="13"/>
  <c r="J47" i="13"/>
  <c r="BZ43" i="13"/>
  <c r="BZ45" i="13" s="1"/>
  <c r="CA43" i="13"/>
  <c r="CA45" i="13" s="1"/>
  <c r="BX43" i="13"/>
  <c r="BX45" i="13" s="1"/>
  <c r="BW43" i="13"/>
  <c r="BS43" i="13"/>
  <c r="BS45" i="13" s="1"/>
  <c r="BR43" i="13"/>
  <c r="BN43" i="13"/>
  <c r="BN45" i="13" s="1"/>
  <c r="BM43" i="13"/>
  <c r="BI43" i="13"/>
  <c r="BI45" i="13" s="1"/>
  <c r="BH43" i="13"/>
  <c r="BD43" i="13"/>
  <c r="BD45" i="13" s="1"/>
  <c r="BC43" i="13"/>
  <c r="AY43" i="13"/>
  <c r="AY45" i="13" s="1"/>
  <c r="AX43" i="13"/>
  <c r="AT43" i="13"/>
  <c r="AT45" i="13" s="1"/>
  <c r="AS43" i="13"/>
  <c r="AO43" i="13"/>
  <c r="AO45" i="13" s="1"/>
  <c r="AN43" i="13"/>
  <c r="AJ43" i="13"/>
  <c r="AJ45" i="13" s="1"/>
  <c r="AI43" i="13"/>
  <c r="AE43" i="13"/>
  <c r="AE45" i="13" s="1"/>
  <c r="AD43" i="13"/>
  <c r="Z43" i="13"/>
  <c r="Z45" i="13" s="1"/>
  <c r="Y43" i="13"/>
  <c r="U43" i="13"/>
  <c r="U45" i="13" s="1"/>
  <c r="T43" i="13"/>
  <c r="P43" i="13"/>
  <c r="P45" i="13" s="1"/>
  <c r="K43" i="13"/>
  <c r="K45" i="13" s="1"/>
  <c r="J43" i="13"/>
  <c r="BM40" i="13"/>
  <c r="AH40" i="13"/>
  <c r="AG40" i="13"/>
  <c r="AC40" i="13"/>
  <c r="AB40" i="13"/>
  <c r="X40" i="13"/>
  <c r="W40" i="13"/>
  <c r="S40" i="13"/>
  <c r="R40" i="13"/>
  <c r="N40" i="13"/>
  <c r="M40" i="13"/>
  <c r="H40" i="13"/>
  <c r="I40" i="13"/>
  <c r="CA39" i="13"/>
  <c r="BZ39" i="13"/>
  <c r="BX39" i="13"/>
  <c r="BW39" i="13"/>
  <c r="BS39" i="13"/>
  <c r="BR39" i="13"/>
  <c r="BN39" i="13"/>
  <c r="BM39" i="13"/>
  <c r="BI39" i="13"/>
  <c r="BH39" i="13"/>
  <c r="BD39" i="13"/>
  <c r="BC39" i="13"/>
  <c r="AY39" i="13"/>
  <c r="AX39" i="13"/>
  <c r="AT39" i="13"/>
  <c r="AS39" i="13"/>
  <c r="AO39" i="13"/>
  <c r="AN39" i="13"/>
  <c r="AJ39" i="13"/>
  <c r="AI39" i="13"/>
  <c r="AE39" i="13"/>
  <c r="AD39" i="13"/>
  <c r="Z39" i="13"/>
  <c r="Y39" i="13"/>
  <c r="U39" i="13"/>
  <c r="T39" i="13"/>
  <c r="P39" i="13"/>
  <c r="O39" i="13"/>
  <c r="K39" i="13"/>
  <c r="J39" i="13"/>
  <c r="CA37" i="13"/>
  <c r="BZ37" i="13"/>
  <c r="BX37" i="13"/>
  <c r="BW37" i="13"/>
  <c r="BS37" i="13"/>
  <c r="BR37" i="13"/>
  <c r="BN37" i="13"/>
  <c r="BM37" i="13"/>
  <c r="BI37" i="13"/>
  <c r="BH37" i="13"/>
  <c r="BD37" i="13"/>
  <c r="BC37" i="13"/>
  <c r="AY37" i="13"/>
  <c r="AX37" i="13"/>
  <c r="AT37" i="13"/>
  <c r="AS37" i="13"/>
  <c r="AO37" i="13"/>
  <c r="AN37" i="13"/>
  <c r="AJ37" i="13"/>
  <c r="AI37" i="13"/>
  <c r="AE37" i="13"/>
  <c r="AD37" i="13"/>
  <c r="Z37" i="13"/>
  <c r="Y37" i="13"/>
  <c r="U37" i="13"/>
  <c r="T37" i="13"/>
  <c r="P37" i="13"/>
  <c r="O37" i="13"/>
  <c r="K37" i="13"/>
  <c r="J37" i="13"/>
  <c r="BV34" i="13"/>
  <c r="BQ34" i="13"/>
  <c r="BR34" i="13" s="1"/>
  <c r="BL34" i="13"/>
  <c r="BK34" i="13"/>
  <c r="BG34" i="13"/>
  <c r="BB34" i="13"/>
  <c r="AW34" i="13"/>
  <c r="AX34" i="13" s="1"/>
  <c r="AR34" i="13"/>
  <c r="AN34" i="13"/>
  <c r="AH34" i="13"/>
  <c r="AC34" i="13"/>
  <c r="AD34" i="13" s="1"/>
  <c r="I21" i="13"/>
  <c r="H21" i="13"/>
  <c r="BR27" i="13"/>
  <c r="BH27" i="13"/>
  <c r="AX27" i="13"/>
  <c r="AM27" i="13"/>
  <c r="AL27" i="13"/>
  <c r="AH27" i="13"/>
  <c r="AG27" i="13"/>
  <c r="AC27" i="13"/>
  <c r="AB27" i="13"/>
  <c r="BV21" i="13"/>
  <c r="BU21" i="13"/>
  <c r="BQ21" i="13"/>
  <c r="BP21" i="13"/>
  <c r="BL21" i="13"/>
  <c r="BK21" i="13"/>
  <c r="BG21" i="13"/>
  <c r="BF21" i="13"/>
  <c r="BB21" i="13"/>
  <c r="BA21" i="13"/>
  <c r="AW21" i="13"/>
  <c r="AV21" i="13"/>
  <c r="AR21" i="13"/>
  <c r="AQ21" i="13"/>
  <c r="AM21" i="13"/>
  <c r="AL21" i="13"/>
  <c r="AH21" i="13"/>
  <c r="AG21" i="13"/>
  <c r="AC21" i="13"/>
  <c r="AB21" i="13"/>
  <c r="X21" i="13"/>
  <c r="W21" i="13"/>
  <c r="T34" i="13"/>
  <c r="O34" i="13"/>
  <c r="BX31" i="13"/>
  <c r="BW31" i="13"/>
  <c r="BS31" i="13"/>
  <c r="BR31" i="13"/>
  <c r="BD31" i="13"/>
  <c r="BC31" i="13"/>
  <c r="AY31" i="13"/>
  <c r="AX31" i="13"/>
  <c r="AT31" i="13"/>
  <c r="AS31" i="13"/>
  <c r="AO31" i="13"/>
  <c r="AN31" i="13"/>
  <c r="AJ31" i="13"/>
  <c r="AI31" i="13"/>
  <c r="AE31" i="13"/>
  <c r="AD31" i="13"/>
  <c r="CC30" i="13"/>
  <c r="CC34" i="13" s="1"/>
  <c r="BX30" i="13"/>
  <c r="BW30" i="13"/>
  <c r="BS30" i="13"/>
  <c r="BR30" i="13"/>
  <c r="BN30" i="13"/>
  <c r="BN34" i="13" s="1"/>
  <c r="BM30" i="13"/>
  <c r="BI30" i="13"/>
  <c r="BI34" i="13" s="1"/>
  <c r="BH30" i="13"/>
  <c r="BD30" i="13"/>
  <c r="BC30" i="13"/>
  <c r="AY30" i="13"/>
  <c r="AX30" i="13"/>
  <c r="AT30" i="13"/>
  <c r="AS30" i="13"/>
  <c r="AO30" i="13"/>
  <c r="AN30" i="13"/>
  <c r="AJ30" i="13"/>
  <c r="AI30" i="13"/>
  <c r="AE30" i="13"/>
  <c r="AD30" i="13"/>
  <c r="Z30" i="13"/>
  <c r="Z34" i="13" s="1"/>
  <c r="Y30" i="13"/>
  <c r="U30" i="13"/>
  <c r="U34" i="13" s="1"/>
  <c r="T30" i="13"/>
  <c r="P30" i="13"/>
  <c r="P34" i="13" s="1"/>
  <c r="O30" i="13"/>
  <c r="K30" i="13"/>
  <c r="K34" i="13" s="1"/>
  <c r="J30" i="13"/>
  <c r="BX24" i="13"/>
  <c r="BX27" i="13" s="1"/>
  <c r="BW24" i="13"/>
  <c r="BS24" i="13"/>
  <c r="BS27" i="13" s="1"/>
  <c r="BR24" i="13"/>
  <c r="BN24" i="13"/>
  <c r="BN27" i="13" s="1"/>
  <c r="BI24" i="13"/>
  <c r="BI27" i="13" s="1"/>
  <c r="BD24" i="13"/>
  <c r="BD27" i="13" s="1"/>
  <c r="AY24" i="13"/>
  <c r="AY27" i="13" s="1"/>
  <c r="AT25" i="13"/>
  <c r="AT24" i="13"/>
  <c r="AO25" i="13"/>
  <c r="AO24" i="13"/>
  <c r="AJ25" i="13"/>
  <c r="AJ24" i="13"/>
  <c r="AE25" i="13"/>
  <c r="AE24" i="13"/>
  <c r="Z24" i="13"/>
  <c r="Z27" i="13" s="1"/>
  <c r="U24" i="13"/>
  <c r="T24" i="13"/>
  <c r="J24" i="13"/>
  <c r="K24" i="13"/>
  <c r="P24" i="13"/>
  <c r="O24" i="13"/>
  <c r="Y24" i="13"/>
  <c r="AD25" i="13"/>
  <c r="AD24" i="13"/>
  <c r="AI25" i="13"/>
  <c r="AI24" i="13"/>
  <c r="AN25" i="13"/>
  <c r="AN24" i="13"/>
  <c r="AS25" i="13"/>
  <c r="AS24" i="13"/>
  <c r="AX24" i="13"/>
  <c r="BC24" i="13"/>
  <c r="BH24" i="13"/>
  <c r="BM24" i="13"/>
  <c r="BX20" i="13"/>
  <c r="BW20" i="13"/>
  <c r="BX19" i="13"/>
  <c r="BW19" i="13"/>
  <c r="BX18" i="13"/>
  <c r="BW18" i="13"/>
  <c r="BS20" i="13"/>
  <c r="BR20" i="13"/>
  <c r="BS19" i="13"/>
  <c r="BR19" i="13"/>
  <c r="BS18" i="13"/>
  <c r="BR18" i="13"/>
  <c r="BN20" i="13"/>
  <c r="BM20" i="13"/>
  <c r="BN19" i="13"/>
  <c r="BM19" i="13"/>
  <c r="BN18" i="13"/>
  <c r="BM18" i="13"/>
  <c r="BI20" i="13"/>
  <c r="BH20" i="13"/>
  <c r="BI19" i="13"/>
  <c r="BH19" i="13"/>
  <c r="BI18" i="13"/>
  <c r="BH18" i="13"/>
  <c r="BD20" i="13"/>
  <c r="BC20" i="13"/>
  <c r="BD19" i="13"/>
  <c r="BC19" i="13"/>
  <c r="BD18" i="13"/>
  <c r="BC18" i="13"/>
  <c r="AY20" i="13"/>
  <c r="AX20" i="13"/>
  <c r="AY19" i="13"/>
  <c r="AX19" i="13"/>
  <c r="AY18" i="13"/>
  <c r="AX18" i="13"/>
  <c r="AT20" i="13"/>
  <c r="AS20" i="13"/>
  <c r="AT19" i="13"/>
  <c r="AS19" i="13"/>
  <c r="AT18" i="13"/>
  <c r="AS18" i="13"/>
  <c r="AO20" i="13"/>
  <c r="AN20" i="13"/>
  <c r="AO19" i="13"/>
  <c r="AN19" i="13"/>
  <c r="AO18" i="13"/>
  <c r="AN18" i="13"/>
  <c r="AJ20" i="13"/>
  <c r="AI20" i="13"/>
  <c r="AJ19" i="13"/>
  <c r="AI19" i="13"/>
  <c r="AJ18" i="13"/>
  <c r="AI18" i="13"/>
  <c r="AD19" i="13"/>
  <c r="AD20" i="13"/>
  <c r="AD18" i="13"/>
  <c r="AE20" i="13"/>
  <c r="AE19" i="13"/>
  <c r="AE18" i="13"/>
  <c r="Z20" i="13"/>
  <c r="Z19" i="13"/>
  <c r="Z18" i="13"/>
  <c r="J20" i="13"/>
  <c r="Y20" i="13"/>
  <c r="T20" i="13"/>
  <c r="U20" i="13"/>
  <c r="P20" i="13"/>
  <c r="CA24" i="13"/>
  <c r="CA27" i="13" s="1"/>
  <c r="BZ24" i="13"/>
  <c r="BZ27" i="13" s="1"/>
  <c r="CA19" i="13"/>
  <c r="CA20" i="13"/>
  <c r="CA18" i="13"/>
  <c r="BZ19" i="13"/>
  <c r="BZ20" i="13"/>
  <c r="BZ18" i="13"/>
  <c r="E17" i="13"/>
  <c r="K20" i="13"/>
  <c r="S21" i="13"/>
  <c r="N21" i="13"/>
  <c r="M21" i="13"/>
  <c r="G21" i="13"/>
  <c r="AJ34" i="13" l="1"/>
  <c r="AT34" i="13"/>
  <c r="K40" i="13"/>
  <c r="U40" i="13"/>
  <c r="AE40" i="13"/>
  <c r="AN50" i="13"/>
  <c r="CC18" i="13"/>
  <c r="AS21" i="13"/>
  <c r="AO40" i="13"/>
  <c r="AY40" i="13"/>
  <c r="BI40" i="13"/>
  <c r="BS40" i="13"/>
  <c r="CA40" i="13"/>
  <c r="BD34" i="13"/>
  <c r="BX34" i="13"/>
  <c r="AN21" i="13"/>
  <c r="AX21" i="13"/>
  <c r="BH21" i="13"/>
  <c r="BR21" i="13"/>
  <c r="AD27" i="13"/>
  <c r="AN27" i="13"/>
  <c r="O40" i="13"/>
  <c r="AE34" i="13"/>
  <c r="AO34" i="13"/>
  <c r="AY34" i="13"/>
  <c r="BS34" i="13"/>
  <c r="J21" i="13"/>
  <c r="T45" i="13"/>
  <c r="AN45" i="13"/>
  <c r="AX45" i="13"/>
  <c r="BH45" i="13"/>
  <c r="BR45" i="13"/>
  <c r="O50" i="13"/>
  <c r="Y50" i="13"/>
  <c r="T50" i="13"/>
  <c r="P40" i="13"/>
  <c r="Z40" i="13"/>
  <c r="AJ40" i="13"/>
  <c r="AT40" i="13"/>
  <c r="BD40" i="13"/>
  <c r="BN40" i="13"/>
  <c r="BX40" i="13"/>
  <c r="AT27" i="13"/>
  <c r="BZ40" i="13"/>
  <c r="CC47" i="13"/>
  <c r="AE50" i="13"/>
  <c r="AO50" i="13"/>
  <c r="AY50" i="13"/>
  <c r="BI50" i="13"/>
  <c r="BS50" i="13"/>
  <c r="T40" i="13"/>
  <c r="AD40" i="13"/>
  <c r="AN40" i="13"/>
  <c r="Y45" i="13"/>
  <c r="AI45" i="13"/>
  <c r="BH34" i="13"/>
  <c r="CC20" i="13"/>
  <c r="AE27" i="13"/>
  <c r="AO27" i="13"/>
  <c r="Z21" i="13"/>
  <c r="AO21" i="13"/>
  <c r="AY21" i="13"/>
  <c r="BI21" i="13"/>
  <c r="BS21" i="13"/>
  <c r="AI40" i="13"/>
  <c r="AS40" i="13"/>
  <c r="J45" i="13"/>
  <c r="O45" i="13"/>
  <c r="CB47" i="13"/>
  <c r="AG51" i="13"/>
  <c r="AM51" i="13"/>
  <c r="AX50" i="13"/>
  <c r="AV51" i="13"/>
  <c r="BH50" i="13"/>
  <c r="BF51" i="13"/>
  <c r="BR50" i="13"/>
  <c r="BP51" i="13"/>
  <c r="AB51" i="13"/>
  <c r="AH51" i="13"/>
  <c r="AW51" i="13"/>
  <c r="BG51" i="13"/>
  <c r="BQ51" i="13"/>
  <c r="J34" i="13"/>
  <c r="AC51" i="13"/>
  <c r="AI50" i="13"/>
  <c r="AS50" i="13"/>
  <c r="AQ51" i="13"/>
  <c r="BC50" i="13"/>
  <c r="BA51" i="13"/>
  <c r="BM50" i="13"/>
  <c r="BK51" i="13"/>
  <c r="BW50" i="13"/>
  <c r="BU51" i="13"/>
  <c r="CA21" i="13"/>
  <c r="P27" i="13"/>
  <c r="CB34" i="13"/>
  <c r="AD21" i="13"/>
  <c r="CB18" i="13"/>
  <c r="K27" i="13"/>
  <c r="AI21" i="13"/>
  <c r="Y40" i="13"/>
  <c r="AX40" i="13"/>
  <c r="BH40" i="13"/>
  <c r="BR40" i="13"/>
  <c r="AD45" i="13"/>
  <c r="AS45" i="13"/>
  <c r="BC45" i="13"/>
  <c r="BM45" i="13"/>
  <c r="BW45" i="13"/>
  <c r="CC43" i="13"/>
  <c r="CC45" i="13" s="1"/>
  <c r="CB49" i="13"/>
  <c r="AD50" i="13"/>
  <c r="AR51" i="13"/>
  <c r="BB51" i="13"/>
  <c r="BL51" i="13"/>
  <c r="BV51" i="13"/>
  <c r="J50" i="13"/>
  <c r="CA50" i="13"/>
  <c r="CC49" i="13"/>
  <c r="Z50" i="13"/>
  <c r="AT50" i="13"/>
  <c r="BX50" i="13"/>
  <c r="P50" i="13"/>
  <c r="AJ50" i="13"/>
  <c r="BD50" i="13"/>
  <c r="BN50" i="13"/>
  <c r="K50" i="13"/>
  <c r="U50" i="13"/>
  <c r="BZ50" i="13"/>
  <c r="CB45" i="13"/>
  <c r="CB43" i="13"/>
  <c r="BD21" i="13"/>
  <c r="CB19" i="13"/>
  <c r="CB20" i="13"/>
  <c r="BZ21" i="13"/>
  <c r="AJ21" i="13"/>
  <c r="AT21" i="13"/>
  <c r="BN21" i="13"/>
  <c r="BX21" i="13"/>
  <c r="U27" i="13"/>
  <c r="AE21" i="13"/>
  <c r="AJ27" i="13"/>
  <c r="BC21" i="13"/>
  <c r="BM21" i="13"/>
  <c r="BW21" i="13"/>
  <c r="AI27" i="13"/>
  <c r="AS27" i="13"/>
  <c r="BC27" i="13"/>
  <c r="BM27" i="13"/>
  <c r="BW27" i="13"/>
  <c r="Y34" i="13"/>
  <c r="AI34" i="13"/>
  <c r="AS34" i="13"/>
  <c r="BC34" i="13"/>
  <c r="BM34" i="13"/>
  <c r="BW34" i="13"/>
  <c r="CC37" i="13"/>
  <c r="CB37" i="13"/>
  <c r="CC39" i="13"/>
  <c r="CB39" i="13"/>
  <c r="CC19" i="13"/>
  <c r="CB30" i="13"/>
  <c r="AN51" i="13" l="1"/>
  <c r="AO51" i="13" s="1"/>
  <c r="CC50" i="13"/>
  <c r="AD51" i="13"/>
  <c r="CC40" i="13"/>
  <c r="BC51" i="13"/>
  <c r="AI51" i="13"/>
  <c r="CC21" i="13"/>
  <c r="BR51" i="13"/>
  <c r="AX51" i="13"/>
  <c r="BM51" i="13"/>
  <c r="CB21" i="13"/>
  <c r="BI51" i="13"/>
  <c r="BS51" i="13"/>
  <c r="BD51" i="13"/>
  <c r="AY51" i="13"/>
  <c r="Z51" i="13"/>
  <c r="AE51" i="13"/>
  <c r="BW51" i="13"/>
  <c r="AT51" i="13"/>
  <c r="AJ51" i="13"/>
  <c r="AS51" i="13"/>
  <c r="BH51" i="13"/>
  <c r="BN51" i="13"/>
  <c r="BX51" i="13"/>
  <c r="CB50" i="13"/>
  <c r="X51" i="13" l="1"/>
  <c r="S27" i="13"/>
  <c r="S51" i="13" s="1"/>
  <c r="N27" i="13"/>
  <c r="N51" i="13" s="1"/>
  <c r="M27" i="13"/>
  <c r="I27" i="13"/>
  <c r="I51" i="13" s="1"/>
  <c r="H27" i="13"/>
  <c r="M51" i="13" l="1"/>
  <c r="O51" i="13" s="1"/>
  <c r="W51" i="13"/>
  <c r="Y51" i="13" s="1"/>
  <c r="J27" i="13"/>
  <c r="H51" i="13"/>
  <c r="J51" i="13" s="1"/>
  <c r="T27" i="13"/>
  <c r="R51" i="13"/>
  <c r="T51" i="13" s="1"/>
  <c r="BZ51" i="13" l="1"/>
  <c r="CA51" i="13"/>
  <c r="CB51" i="13" l="1"/>
  <c r="D11" i="13"/>
  <c r="K18" i="13" l="1"/>
  <c r="P18" i="13"/>
  <c r="P19" i="13"/>
  <c r="U18" i="13"/>
  <c r="U19" i="13"/>
  <c r="K19" i="13"/>
  <c r="AM38" i="14"/>
  <c r="AL38" i="14"/>
  <c r="AH38" i="14"/>
  <c r="AG38" i="14"/>
  <c r="AC38" i="14"/>
  <c r="AB38" i="14"/>
  <c r="X38" i="14"/>
  <c r="W38" i="14"/>
  <c r="S38" i="14"/>
  <c r="R38" i="14"/>
  <c r="N38" i="14"/>
  <c r="M38" i="14"/>
  <c r="I38" i="14"/>
  <c r="H38" i="14"/>
  <c r="G38" i="14"/>
  <c r="E38" i="14"/>
  <c r="AW37" i="14"/>
  <c r="AW38" i="14" s="1"/>
  <c r="AV37" i="14"/>
  <c r="AV38" i="14" s="1"/>
  <c r="AO37" i="14"/>
  <c r="AN37" i="14"/>
  <c r="AJ37" i="14"/>
  <c r="AI37" i="14"/>
  <c r="AE37" i="14"/>
  <c r="AD37" i="14"/>
  <c r="Z37" i="14"/>
  <c r="Y37" i="14"/>
  <c r="U37" i="14"/>
  <c r="T37" i="14"/>
  <c r="P37" i="14"/>
  <c r="O37" i="14"/>
  <c r="K37" i="14"/>
  <c r="J37" i="14"/>
  <c r="AW34" i="14"/>
  <c r="AW35" i="14" s="1"/>
  <c r="AV34" i="14"/>
  <c r="AO34" i="14"/>
  <c r="AO38" i="14" s="1"/>
  <c r="AN34" i="14"/>
  <c r="AJ34" i="14"/>
  <c r="AJ38" i="14" s="1"/>
  <c r="AI34" i="14"/>
  <c r="AE34" i="14"/>
  <c r="AE38" i="14" s="1"/>
  <c r="AD34" i="14"/>
  <c r="Z34" i="14"/>
  <c r="Z38" i="14" s="1"/>
  <c r="Y34" i="14"/>
  <c r="U34" i="14"/>
  <c r="U38" i="14" s="1"/>
  <c r="T34" i="14"/>
  <c r="P34" i="14"/>
  <c r="P38" i="14" s="1"/>
  <c r="O34" i="14"/>
  <c r="K34" i="14"/>
  <c r="K38" i="14" s="1"/>
  <c r="J34" i="14"/>
  <c r="AZ33" i="14"/>
  <c r="AW31" i="14"/>
  <c r="AW32" i="14" s="1"/>
  <c r="AV31" i="14"/>
  <c r="AZ31" i="14" s="1"/>
  <c r="AN31" i="14"/>
  <c r="AJ31" i="14"/>
  <c r="AI31" i="14"/>
  <c r="AE31" i="14"/>
  <c r="AD31" i="14"/>
  <c r="Z31" i="14"/>
  <c r="Y31" i="14"/>
  <c r="U31" i="14"/>
  <c r="T31" i="14"/>
  <c r="P31" i="14"/>
  <c r="O31" i="14"/>
  <c r="K31" i="14"/>
  <c r="J31" i="14"/>
  <c r="AZ30" i="14"/>
  <c r="AO29" i="14"/>
  <c r="AO32" i="14" s="1"/>
  <c r="AM29" i="14"/>
  <c r="AM32" i="14" s="1"/>
  <c r="AM35" i="14" s="1"/>
  <c r="AL29" i="14"/>
  <c r="AJ29" i="14"/>
  <c r="AH29" i="14"/>
  <c r="AH32" i="14" s="1"/>
  <c r="AH35" i="14" s="1"/>
  <c r="AG29" i="14"/>
  <c r="AG32" i="14" s="1"/>
  <c r="AE29" i="14"/>
  <c r="AC29" i="14"/>
  <c r="AC32" i="14"/>
  <c r="AC35" i="14" s="1"/>
  <c r="AB29" i="14"/>
  <c r="AB32" i="14" s="1"/>
  <c r="AB35" i="14" s="1"/>
  <c r="Z29" i="14"/>
  <c r="X29" i="14"/>
  <c r="X32" i="14" s="1"/>
  <c r="X35" i="14" s="1"/>
  <c r="W29" i="14"/>
  <c r="W32" i="14" s="1"/>
  <c r="W35" i="14" s="1"/>
  <c r="U29" i="14"/>
  <c r="U32" i="14" s="1"/>
  <c r="U35" i="14" s="1"/>
  <c r="R29" i="14"/>
  <c r="S29" i="14"/>
  <c r="S32" i="14" s="1"/>
  <c r="S35" i="14" s="1"/>
  <c r="P29" i="14"/>
  <c r="N29" i="14"/>
  <c r="N32" i="14" s="1"/>
  <c r="M29" i="14"/>
  <c r="M32" i="14"/>
  <c r="K27" i="14"/>
  <c r="K28" i="14"/>
  <c r="I29" i="14"/>
  <c r="I32" i="14" s="1"/>
  <c r="I35" i="14" s="1"/>
  <c r="H29" i="14"/>
  <c r="H32" i="14" s="1"/>
  <c r="H35" i="14" s="1"/>
  <c r="G29" i="14"/>
  <c r="G32" i="14" s="1"/>
  <c r="G35" i="14" s="1"/>
  <c r="E29" i="14"/>
  <c r="E32" i="14" s="1"/>
  <c r="E35" i="14" s="1"/>
  <c r="AW28" i="14"/>
  <c r="AV28" i="14"/>
  <c r="AN28" i="14"/>
  <c r="AI28" i="14"/>
  <c r="AD28" i="14"/>
  <c r="Y28" i="14"/>
  <c r="T28" i="14"/>
  <c r="O28" i="14"/>
  <c r="J28" i="14"/>
  <c r="AW27" i="14"/>
  <c r="AV27" i="14"/>
  <c r="AX27" i="14" s="1"/>
  <c r="AN27" i="14"/>
  <c r="AI27" i="14"/>
  <c r="AD27" i="14"/>
  <c r="Y27" i="14"/>
  <c r="T27" i="14"/>
  <c r="O27" i="14"/>
  <c r="J27" i="14"/>
  <c r="AW26" i="14"/>
  <c r="AV26" i="14"/>
  <c r="AN26" i="14"/>
  <c r="AI26" i="14"/>
  <c r="AD26" i="14"/>
  <c r="Y26" i="14"/>
  <c r="T26" i="14"/>
  <c r="O26" i="14"/>
  <c r="J26" i="14"/>
  <c r="AW25" i="14"/>
  <c r="AV25" i="14"/>
  <c r="AN25" i="14"/>
  <c r="AI25" i="14"/>
  <c r="AD25" i="14"/>
  <c r="Y25" i="14"/>
  <c r="T25" i="14"/>
  <c r="O25" i="14"/>
  <c r="K25" i="14"/>
  <c r="J25" i="14"/>
  <c r="AW24" i="14"/>
  <c r="AV24" i="14"/>
  <c r="AZ24" i="14" s="1"/>
  <c r="AO24" i="14"/>
  <c r="AN24" i="14"/>
  <c r="AJ24" i="14"/>
  <c r="AI24" i="14"/>
  <c r="AE24" i="14"/>
  <c r="AD24" i="14"/>
  <c r="Z24" i="14"/>
  <c r="Y24" i="14"/>
  <c r="U24" i="14"/>
  <c r="T24" i="14"/>
  <c r="P24" i="14"/>
  <c r="O24" i="14"/>
  <c r="K24" i="14"/>
  <c r="J24" i="14"/>
  <c r="AW23" i="14"/>
  <c r="AV23" i="14"/>
  <c r="AY23" i="14" s="1"/>
  <c r="AO23" i="14"/>
  <c r="AN23" i="14"/>
  <c r="AJ23" i="14"/>
  <c r="AI23" i="14"/>
  <c r="AE23" i="14"/>
  <c r="AD23" i="14"/>
  <c r="Z23" i="14"/>
  <c r="Y23" i="14"/>
  <c r="U23" i="14"/>
  <c r="T23" i="14"/>
  <c r="P23" i="14"/>
  <c r="O23" i="14"/>
  <c r="K23" i="14"/>
  <c r="J23" i="14"/>
  <c r="AZ22" i="14"/>
  <c r="AM21" i="14"/>
  <c r="AL21" i="14"/>
  <c r="AH21" i="14"/>
  <c r="AG21" i="14"/>
  <c r="AB21" i="14"/>
  <c r="AC21" i="14"/>
  <c r="X21" i="14"/>
  <c r="W21" i="14"/>
  <c r="S21" i="14"/>
  <c r="R21" i="14"/>
  <c r="M21" i="14"/>
  <c r="N21" i="14"/>
  <c r="I21" i="14"/>
  <c r="H21" i="14"/>
  <c r="G21" i="14"/>
  <c r="E21" i="14"/>
  <c r="AW20" i="14"/>
  <c r="AV20" i="14"/>
  <c r="AO20" i="14"/>
  <c r="AN20" i="14"/>
  <c r="AJ20" i="14"/>
  <c r="AI20" i="14"/>
  <c r="AE20" i="14"/>
  <c r="AD20" i="14"/>
  <c r="Z20" i="14"/>
  <c r="Y20" i="14"/>
  <c r="U20" i="14"/>
  <c r="T20" i="14"/>
  <c r="P20" i="14"/>
  <c r="O20" i="14"/>
  <c r="K20" i="14"/>
  <c r="J20" i="14"/>
  <c r="AW19" i="14"/>
  <c r="AV19" i="14"/>
  <c r="AO19" i="14"/>
  <c r="AN19" i="14"/>
  <c r="AJ19" i="14"/>
  <c r="AI19" i="14"/>
  <c r="AE19" i="14"/>
  <c r="AD19" i="14"/>
  <c r="Z19" i="14"/>
  <c r="Y19" i="14"/>
  <c r="U19" i="14"/>
  <c r="T19" i="14"/>
  <c r="P19" i="14"/>
  <c r="O19" i="14"/>
  <c r="K19" i="14"/>
  <c r="J19" i="14"/>
  <c r="AW18" i="14"/>
  <c r="AV18" i="14"/>
  <c r="AO18" i="14"/>
  <c r="AN18" i="14"/>
  <c r="AJ18" i="14"/>
  <c r="AI18" i="14"/>
  <c r="AE18" i="14"/>
  <c r="AD18" i="14"/>
  <c r="Z18" i="14"/>
  <c r="Y18" i="14"/>
  <c r="U18" i="14"/>
  <c r="T18" i="14"/>
  <c r="P18" i="14"/>
  <c r="O18" i="14"/>
  <c r="K18" i="14"/>
  <c r="J18" i="14"/>
  <c r="G17" i="14"/>
  <c r="G39" i="14" s="1"/>
  <c r="AK13" i="14"/>
  <c r="AL13" i="14" s="1"/>
  <c r="D11" i="14"/>
  <c r="J32" i="14"/>
  <c r="M35" i="14"/>
  <c r="O29" i="14"/>
  <c r="T18" i="13"/>
  <c r="Y19" i="13"/>
  <c r="T19" i="13"/>
  <c r="O19" i="13"/>
  <c r="J19" i="13"/>
  <c r="Y18" i="13"/>
  <c r="O18" i="13"/>
  <c r="J18" i="13"/>
  <c r="J29" i="14" l="1"/>
  <c r="K21" i="14"/>
  <c r="AY18" i="14"/>
  <c r="AY19" i="14"/>
  <c r="AY26" i="14"/>
  <c r="P21" i="13"/>
  <c r="P51" i="13" s="1"/>
  <c r="U21" i="13"/>
  <c r="U51" i="13" s="1"/>
  <c r="AO35" i="14"/>
  <c r="AV32" i="14"/>
  <c r="AX32" i="14" s="1"/>
  <c r="AX24" i="14"/>
  <c r="AX31" i="14"/>
  <c r="AV21" i="14"/>
  <c r="AE32" i="14"/>
  <c r="AE35" i="14" s="1"/>
  <c r="AX34" i="14"/>
  <c r="AX28" i="14"/>
  <c r="AV35" i="14"/>
  <c r="AD29" i="14"/>
  <c r="AZ34" i="14"/>
  <c r="AX25" i="14"/>
  <c r="AX38" i="14"/>
  <c r="T38" i="14"/>
  <c r="Y21" i="14"/>
  <c r="AY31" i="14"/>
  <c r="AX35" i="14"/>
  <c r="AX19" i="14"/>
  <c r="U21" i="14"/>
  <c r="U39" i="14" s="1"/>
  <c r="AY25" i="14"/>
  <c r="K29" i="14"/>
  <c r="K32" i="14" s="1"/>
  <c r="K35" i="14" s="1"/>
  <c r="K39" i="14" s="1"/>
  <c r="P32" i="14"/>
  <c r="P35" i="14" s="1"/>
  <c r="AN29" i="14"/>
  <c r="AY34" i="14"/>
  <c r="AY38" i="14" s="1"/>
  <c r="AX18" i="14"/>
  <c r="Y21" i="13"/>
  <c r="P21" i="14"/>
  <c r="Z21" i="14"/>
  <c r="AJ21" i="14"/>
  <c r="AX20" i="14"/>
  <c r="AD21" i="14"/>
  <c r="AV29" i="14"/>
  <c r="Z32" i="14"/>
  <c r="Z35" i="14" s="1"/>
  <c r="Z39" i="14" s="1"/>
  <c r="AZ18" i="14"/>
  <c r="AJ32" i="14"/>
  <c r="AJ35" i="14" s="1"/>
  <c r="AG35" i="14"/>
  <c r="AI35" i="14" s="1"/>
  <c r="AI32" i="14"/>
  <c r="AY24" i="14"/>
  <c r="Y29" i="14"/>
  <c r="AX26" i="14"/>
  <c r="AX23" i="14"/>
  <c r="Y32" i="14"/>
  <c r="AW21" i="14"/>
  <c r="AY20" i="14"/>
  <c r="J21" i="14"/>
  <c r="AN21" i="14"/>
  <c r="AI29" i="14"/>
  <c r="AL32" i="14"/>
  <c r="O38" i="14"/>
  <c r="AI38" i="14"/>
  <c r="AY37" i="14"/>
  <c r="J35" i="14"/>
  <c r="AD32" i="14"/>
  <c r="Y35" i="14"/>
  <c r="AD38" i="14"/>
  <c r="AZ23" i="14"/>
  <c r="AX37" i="14"/>
  <c r="BA23" i="14"/>
  <c r="BB23" i="14" s="1"/>
  <c r="AO21" i="14"/>
  <c r="AO39" i="14" s="1"/>
  <c r="O21" i="14"/>
  <c r="AY27" i="14"/>
  <c r="T21" i="13"/>
  <c r="O21" i="13"/>
  <c r="J40" i="13"/>
  <c r="CB40" i="13"/>
  <c r="CC24" i="13"/>
  <c r="CC27" i="13" s="1"/>
  <c r="CB24" i="13"/>
  <c r="N35" i="14"/>
  <c r="O35" i="14" s="1"/>
  <c r="O32" i="14"/>
  <c r="AE21" i="14"/>
  <c r="AE39" i="14" s="1"/>
  <c r="T21" i="14"/>
  <c r="AI21" i="14"/>
  <c r="AW29" i="14"/>
  <c r="J38" i="14"/>
  <c r="Y38" i="14"/>
  <c r="AN38" i="14"/>
  <c r="AD35" i="14"/>
  <c r="AY28" i="14"/>
  <c r="T29" i="14"/>
  <c r="R32" i="14"/>
  <c r="K21" i="13"/>
  <c r="K51" i="13" s="1"/>
  <c r="AX21" i="14" l="1"/>
  <c r="AY21" i="14"/>
  <c r="AJ39" i="14"/>
  <c r="CC51" i="13"/>
  <c r="P39" i="14"/>
  <c r="AX29" i="14"/>
  <c r="AL35" i="14"/>
  <c r="AN35" i="14" s="1"/>
  <c r="AN32" i="14"/>
  <c r="AY29" i="14"/>
  <c r="AY32" i="14" s="1"/>
  <c r="AY35" i="14" s="1"/>
  <c r="CB27" i="13"/>
  <c r="R35" i="14"/>
  <c r="T35" i="14" s="1"/>
  <c r="T32" i="14"/>
  <c r="AY39" i="14" l="1"/>
  <c r="G38" i="17" l="1"/>
  <c r="H42" i="17" l="1"/>
  <c r="I42" i="17" s="1"/>
  <c r="H39" i="17"/>
  <c r="I39" i="17" s="1"/>
  <c r="H44" i="17"/>
  <c r="I44" i="17" s="1"/>
  <c r="H38" i="17" l="1"/>
  <c r="I38" i="17" s="1"/>
  <c r="H41" i="17" l="1"/>
  <c r="I41" i="17" s="1"/>
  <c r="H43" i="17"/>
  <c r="I43" i="17" s="1"/>
  <c r="I48" i="17" l="1"/>
  <c r="I49" i="17" s="1"/>
  <c r="I50" i="17" s="1"/>
  <c r="I51" i="17" s="1"/>
  <c r="I52" i="17" s="1"/>
  <c r="I53" i="17" s="1"/>
  <c r="G10" i="25"/>
  <c r="K10" i="25" s="1"/>
  <c r="G11" i="25"/>
  <c r="K11" i="25" s="1"/>
  <c r="K9" i="25"/>
  <c r="L9" i="25" s="1"/>
  <c r="M9" i="25" s="1"/>
  <c r="G12" i="25"/>
  <c r="K12" i="25" s="1"/>
  <c r="L11" i="25" l="1"/>
  <c r="M11" i="25" s="1"/>
  <c r="L12" i="25"/>
  <c r="M12" i="25" s="1"/>
  <c r="L10" i="25"/>
  <c r="M10" i="25" s="1"/>
  <c r="N10" i="25" s="1"/>
  <c r="G25" i="16" s="1"/>
  <c r="F25" i="16" s="1"/>
  <c r="N9" i="25"/>
  <c r="AB25" i="16" l="1"/>
  <c r="AD25" i="16" s="1"/>
  <c r="H25" i="16"/>
  <c r="BI25" i="16"/>
  <c r="BA25" i="16"/>
  <c r="Y25" i="16"/>
  <c r="AC25" i="16"/>
  <c r="I25" i="16"/>
  <c r="L25" i="16"/>
  <c r="N25" i="16" s="1"/>
  <c r="BD25" i="16"/>
  <c r="BF25" i="16" s="1"/>
  <c r="AF25" i="16"/>
  <c r="AH25" i="16" s="1"/>
  <c r="AR25" i="16"/>
  <c r="AT25" i="16" s="1"/>
  <c r="AJ25" i="16"/>
  <c r="AL25" i="16" s="1"/>
  <c r="M25" i="16"/>
  <c r="BE25" i="16"/>
  <c r="AS25" i="16"/>
  <c r="AZ25" i="16"/>
  <c r="BB25" i="16" s="1"/>
  <c r="U25" i="16"/>
  <c r="AK25" i="16"/>
  <c r="BH25" i="16"/>
  <c r="BJ25" i="16" s="1"/>
  <c r="P25" i="16"/>
  <c r="T25" i="16"/>
  <c r="V25" i="16" s="1"/>
  <c r="X25" i="16"/>
  <c r="Z25" i="16" s="1"/>
  <c r="AW25" i="16"/>
  <c r="AV25" i="16"/>
  <c r="AX25" i="16" s="1"/>
  <c r="AO25" i="16"/>
  <c r="AG25" i="16"/>
  <c r="AN25" i="16"/>
  <c r="AP25" i="16" s="1"/>
  <c r="Q25" i="16"/>
  <c r="G24" i="16"/>
  <c r="N12" i="25"/>
  <c r="G27" i="16" s="1"/>
  <c r="F27" i="16" s="1"/>
  <c r="N11" i="25"/>
  <c r="G26" i="16" s="1"/>
  <c r="F26" i="16" s="1"/>
  <c r="R25" i="16" l="1"/>
  <c r="AZ27" i="16"/>
  <c r="BB27" i="16" s="1"/>
  <c r="L27" i="16"/>
  <c r="N27" i="16" s="1"/>
  <c r="T27" i="16"/>
  <c r="AN27" i="16"/>
  <c r="AP27" i="16" s="1"/>
  <c r="AC27" i="16"/>
  <c r="AO27" i="16"/>
  <c r="AG27" i="16"/>
  <c r="BI27" i="16"/>
  <c r="I27" i="16"/>
  <c r="AB27" i="16"/>
  <c r="AD27" i="16" s="1"/>
  <c r="AF27" i="16"/>
  <c r="AH27" i="16" s="1"/>
  <c r="M27" i="16"/>
  <c r="AK27" i="16"/>
  <c r="AR27" i="16"/>
  <c r="AT27" i="16" s="1"/>
  <c r="AJ27" i="16"/>
  <c r="AL27" i="16" s="1"/>
  <c r="BH27" i="16"/>
  <c r="BJ27" i="16" s="1"/>
  <c r="BE27" i="16"/>
  <c r="Q27" i="16"/>
  <c r="U27" i="16"/>
  <c r="Y27" i="16"/>
  <c r="H27" i="16"/>
  <c r="AS27" i="16"/>
  <c r="AW27" i="16"/>
  <c r="X27" i="16"/>
  <c r="Z27" i="16" s="1"/>
  <c r="AV27" i="16"/>
  <c r="AX27" i="16" s="1"/>
  <c r="BA27" i="16"/>
  <c r="BD27" i="16"/>
  <c r="BF27" i="16" s="1"/>
  <c r="P27" i="16"/>
  <c r="R27" i="16" s="1"/>
  <c r="BM25" i="16"/>
  <c r="G28" i="16"/>
  <c r="F24" i="16"/>
  <c r="J25" i="16"/>
  <c r="BL25" i="16"/>
  <c r="BN25" i="16" s="1"/>
  <c r="AJ26" i="16"/>
  <c r="AL26" i="16" s="1"/>
  <c r="AR26" i="16"/>
  <c r="AT26" i="16" s="1"/>
  <c r="AV26" i="16"/>
  <c r="AX26" i="16" s="1"/>
  <c r="AO26" i="16"/>
  <c r="M26" i="16"/>
  <c r="AW26" i="16"/>
  <c r="AB26" i="16"/>
  <c r="AD26" i="16" s="1"/>
  <c r="T26" i="16"/>
  <c r="BH26" i="16"/>
  <c r="BJ26" i="16" s="1"/>
  <c r="AG26" i="16"/>
  <c r="AS26" i="16"/>
  <c r="U26" i="16"/>
  <c r="AN26" i="16"/>
  <c r="AP26" i="16" s="1"/>
  <c r="AZ26" i="16"/>
  <c r="BB26" i="16" s="1"/>
  <c r="I26" i="16"/>
  <c r="AC26" i="16"/>
  <c r="BE26" i="16"/>
  <c r="BI26" i="16"/>
  <c r="Y26" i="16"/>
  <c r="X26" i="16"/>
  <c r="Z26" i="16" s="1"/>
  <c r="H26" i="16"/>
  <c r="BA26" i="16"/>
  <c r="AK26" i="16"/>
  <c r="Q26" i="16"/>
  <c r="BD26" i="16"/>
  <c r="BF26" i="16" s="1"/>
  <c r="L26" i="16"/>
  <c r="N26" i="16" s="1"/>
  <c r="AF26" i="16"/>
  <c r="AH26" i="16" s="1"/>
  <c r="P26" i="16"/>
  <c r="R26" i="16" s="1"/>
  <c r="N13" i="25"/>
  <c r="P13" i="25" s="1"/>
  <c r="BI24" i="16" l="1"/>
  <c r="BI28" i="16" s="1"/>
  <c r="L24" i="16"/>
  <c r="AF24" i="16"/>
  <c r="M24" i="16"/>
  <c r="M28" i="16" s="1"/>
  <c r="H24" i="16"/>
  <c r="AB24" i="16"/>
  <c r="AR24" i="16"/>
  <c r="X24" i="16"/>
  <c r="AC24" i="16"/>
  <c r="AC28" i="16" s="1"/>
  <c r="U24" i="16"/>
  <c r="U28" i="16" s="1"/>
  <c r="AJ24" i="16"/>
  <c r="Q24" i="16"/>
  <c r="Q28" i="16" s="1"/>
  <c r="AO24" i="16"/>
  <c r="AO28" i="16" s="1"/>
  <c r="AV24" i="16"/>
  <c r="BE24" i="16"/>
  <c r="BE28" i="16" s="1"/>
  <c r="P24" i="16"/>
  <c r="BH24" i="16"/>
  <c r="AW24" i="16"/>
  <c r="AW28" i="16" s="1"/>
  <c r="BD24" i="16"/>
  <c r="AS24" i="16"/>
  <c r="AS28" i="16" s="1"/>
  <c r="AZ24" i="16"/>
  <c r="BA24" i="16"/>
  <c r="BA28" i="16" s="1"/>
  <c r="Y24" i="16"/>
  <c r="Y28" i="16" s="1"/>
  <c r="I24" i="16"/>
  <c r="AG24" i="16"/>
  <c r="AG28" i="16" s="1"/>
  <c r="AN24" i="16"/>
  <c r="AK24" i="16"/>
  <c r="AK28" i="16" s="1"/>
  <c r="T24" i="16"/>
  <c r="V27" i="16"/>
  <c r="V26" i="16"/>
  <c r="BL27" i="16"/>
  <c r="J27" i="16"/>
  <c r="BM27" i="16"/>
  <c r="BL26" i="16"/>
  <c r="J26" i="16"/>
  <c r="BM26" i="16"/>
  <c r="BN27" i="16" l="1"/>
  <c r="T28" i="16"/>
  <c r="V24" i="16"/>
  <c r="I28" i="16"/>
  <c r="BM24" i="16"/>
  <c r="BM28" i="16" s="1"/>
  <c r="R24" i="16"/>
  <c r="P28" i="16"/>
  <c r="AF28" i="16"/>
  <c r="AH24" i="16"/>
  <c r="BN26" i="16"/>
  <c r="AP24" i="16"/>
  <c r="AN28" i="16"/>
  <c r="AV28" i="16"/>
  <c r="AX24" i="16"/>
  <c r="AB28" i="16"/>
  <c r="AD24" i="16"/>
  <c r="L28" i="16"/>
  <c r="N24" i="16"/>
  <c r="Z24" i="16"/>
  <c r="X28" i="16"/>
  <c r="BD28" i="16"/>
  <c r="BF24" i="16"/>
  <c r="AL24" i="16"/>
  <c r="AJ28" i="16"/>
  <c r="AR28" i="16"/>
  <c r="AT24" i="16"/>
  <c r="BB24" i="16"/>
  <c r="AZ28" i="16"/>
  <c r="BJ24" i="16"/>
  <c r="BH28" i="16"/>
  <c r="J24" i="16"/>
  <c r="BL24" i="16"/>
  <c r="H28" i="16"/>
  <c r="AT28" i="16" l="1"/>
  <c r="BF28" i="16"/>
  <c r="N28" i="16"/>
  <c r="AX28" i="16"/>
  <c r="BN24" i="16"/>
  <c r="BL28" i="16"/>
  <c r="AL28" i="16"/>
  <c r="AD28" i="16"/>
  <c r="R28" i="16"/>
  <c r="J28" i="16"/>
  <c r="BB28" i="16"/>
  <c r="Z28" i="16"/>
  <c r="AP28" i="16"/>
  <c r="AH28" i="16"/>
  <c r="BJ28" i="16"/>
  <c r="V28" i="16"/>
  <c r="BN28" i="16" l="1"/>
  <c r="K29" i="25"/>
  <c r="L29" i="25" s="1"/>
  <c r="M29" i="25" l="1"/>
  <c r="N29" i="25"/>
  <c r="N31" i="25" l="1"/>
  <c r="P31" i="25" s="1"/>
  <c r="G44" i="16"/>
  <c r="F44" i="16" l="1"/>
  <c r="G46" i="16"/>
  <c r="G52" i="16" s="1"/>
  <c r="H44" i="16" l="1"/>
  <c r="P44" i="16"/>
  <c r="AB44" i="16"/>
  <c r="AJ44" i="16"/>
  <c r="AO44" i="16"/>
  <c r="AO46" i="16" s="1"/>
  <c r="AO52" i="16" s="1"/>
  <c r="AV44" i="16"/>
  <c r="BH44" i="16"/>
  <c r="I44" i="16"/>
  <c r="Q44" i="16"/>
  <c r="Q46" i="16" s="1"/>
  <c r="Q52" i="16" s="1"/>
  <c r="X44" i="16"/>
  <c r="AC44" i="16"/>
  <c r="AC46" i="16" s="1"/>
  <c r="AC52" i="16" s="1"/>
  <c r="AK44" i="16"/>
  <c r="AK46" i="16" s="1"/>
  <c r="AK52" i="16" s="1"/>
  <c r="AW44" i="16"/>
  <c r="AW46" i="16" s="1"/>
  <c r="AW52" i="16" s="1"/>
  <c r="BD44" i="16"/>
  <c r="BI44" i="16"/>
  <c r="BI46" i="16" s="1"/>
  <c r="BI52" i="16" s="1"/>
  <c r="L44" i="16"/>
  <c r="T44" i="16"/>
  <c r="Y44" i="16"/>
  <c r="Y46" i="16" s="1"/>
  <c r="Y52" i="16" s="1"/>
  <c r="AF44" i="16"/>
  <c r="AR44" i="16"/>
  <c r="AZ44" i="16"/>
  <c r="BE44" i="16"/>
  <c r="BE46" i="16" s="1"/>
  <c r="BE52" i="16" s="1"/>
  <c r="M44" i="16"/>
  <c r="M46" i="16" s="1"/>
  <c r="M52" i="16" s="1"/>
  <c r="U44" i="16"/>
  <c r="U46" i="16" s="1"/>
  <c r="U52" i="16" s="1"/>
  <c r="AG44" i="16"/>
  <c r="AG46" i="16" s="1"/>
  <c r="AG52" i="16" s="1"/>
  <c r="AN44" i="16"/>
  <c r="AS44" i="16"/>
  <c r="AS46" i="16" s="1"/>
  <c r="AS52" i="16" s="1"/>
  <c r="BA44" i="16"/>
  <c r="BA46" i="16" s="1"/>
  <c r="BA52" i="16" s="1"/>
  <c r="BJ44" i="16" l="1"/>
  <c r="BH46" i="16"/>
  <c r="AD44" i="16"/>
  <c r="AB46" i="16"/>
  <c r="AP44" i="16"/>
  <c r="AN46" i="16"/>
  <c r="BF44" i="16"/>
  <c r="BD46" i="16"/>
  <c r="Z44" i="16"/>
  <c r="X46" i="16"/>
  <c r="AX44" i="16"/>
  <c r="AV46" i="16"/>
  <c r="R44" i="16"/>
  <c r="P46" i="16"/>
  <c r="AT44" i="16"/>
  <c r="AR46" i="16"/>
  <c r="N44" i="16"/>
  <c r="L46" i="16"/>
  <c r="BM44" i="16"/>
  <c r="BM46" i="16" s="1"/>
  <c r="BM52" i="16" s="1"/>
  <c r="I46" i="16"/>
  <c r="I52" i="16" s="1"/>
  <c r="AL44" i="16"/>
  <c r="AJ46" i="16"/>
  <c r="AH44" i="16"/>
  <c r="AF46" i="16"/>
  <c r="BB44" i="16"/>
  <c r="AZ46" i="16"/>
  <c r="V44" i="16"/>
  <c r="T46" i="16"/>
  <c r="J44" i="16"/>
  <c r="BL44" i="16"/>
  <c r="H46" i="16"/>
  <c r="V46" i="16" l="1"/>
  <c r="T52" i="16"/>
  <c r="T53" i="16" s="1"/>
  <c r="AH46" i="16"/>
  <c r="AF52" i="16"/>
  <c r="AF53" i="16" s="1"/>
  <c r="AT46" i="16"/>
  <c r="AR52" i="16"/>
  <c r="AR53" i="16" s="1"/>
  <c r="BF46" i="16"/>
  <c r="BD52" i="16"/>
  <c r="BD53" i="16" s="1"/>
  <c r="BN44" i="16"/>
  <c r="BL46" i="16"/>
  <c r="BB46" i="16"/>
  <c r="AZ52" i="16"/>
  <c r="AZ53" i="16" s="1"/>
  <c r="AL46" i="16"/>
  <c r="AJ52" i="16"/>
  <c r="AJ53" i="16" s="1"/>
  <c r="N46" i="16"/>
  <c r="L52" i="16"/>
  <c r="L53" i="16" s="1"/>
  <c r="R46" i="16"/>
  <c r="P52" i="16"/>
  <c r="P53" i="16" s="1"/>
  <c r="Z46" i="16"/>
  <c r="X52" i="16"/>
  <c r="X53" i="16" s="1"/>
  <c r="AP46" i="16"/>
  <c r="AN52" i="16"/>
  <c r="AN53" i="16" s="1"/>
  <c r="BJ46" i="16"/>
  <c r="BH52" i="16"/>
  <c r="BH53" i="16" s="1"/>
  <c r="AX46" i="16"/>
  <c r="AV52" i="16"/>
  <c r="AV53" i="16" s="1"/>
  <c r="AD46" i="16"/>
  <c r="AB52" i="16"/>
  <c r="AB53" i="16" s="1"/>
  <c r="J46" i="16"/>
  <c r="H52" i="16"/>
  <c r="H53" i="16" s="1"/>
  <c r="H54" i="16" s="1"/>
  <c r="L54" i="16" l="1"/>
  <c r="P54" i="16" s="1"/>
  <c r="T54" i="16" s="1"/>
  <c r="X54" i="16" s="1"/>
  <c r="AB54" i="16" s="1"/>
  <c r="AF54" i="16" s="1"/>
  <c r="AJ54" i="16" s="1"/>
  <c r="AN54" i="16" s="1"/>
  <c r="AR54" i="16" s="1"/>
  <c r="AV54" i="16" s="1"/>
  <c r="AZ54" i="16" s="1"/>
  <c r="BD54" i="16" s="1"/>
  <c r="BH54" i="16" s="1"/>
  <c r="BN46" i="16"/>
  <c r="BL52" i="16"/>
  <c r="BL53"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Alberto Josué Mejía Upegui</author>
    <author>Paula Arteaga Vasque</author>
    <author>parteaga</author>
  </authors>
  <commentList>
    <comment ref="D8" authorId="0" shapeId="0" xr:uid="{00000000-0006-0000-0000-000001000000}">
      <text>
        <r>
          <rPr>
            <b/>
            <sz val="8"/>
            <color rgb="FF000000"/>
            <rFont val="Tahoma"/>
            <family val="2"/>
          </rPr>
          <t>Ingresar la fecha de inicio en formato DD/MM/AAA</t>
        </r>
      </text>
    </comment>
    <comment ref="D9" authorId="0" shapeId="0" xr:uid="{00000000-0006-0000-0000-000002000000}">
      <text>
        <r>
          <rPr>
            <b/>
            <sz val="8"/>
            <color rgb="FF000000"/>
            <rFont val="Tahoma"/>
            <family val="2"/>
          </rPr>
          <t>Ingresar la fecha de inicio en formato DD/MM/AAA</t>
        </r>
      </text>
    </comment>
    <comment ref="D10" authorId="1" shapeId="0" xr:uid="{00000000-0006-0000-0000-000003000000}">
      <text>
        <r>
          <rPr>
            <b/>
            <sz val="9"/>
            <color rgb="FF000000"/>
            <rFont val="Tahoma"/>
            <family val="2"/>
          </rPr>
          <t>inserte la fecha de elaboración del informe</t>
        </r>
      </text>
    </comment>
    <comment ref="H15" authorId="0" shapeId="0" xr:uid="{00000000-0006-0000-0000-000004000000}">
      <text>
        <r>
          <rPr>
            <b/>
            <sz val="8"/>
            <color rgb="FF000000"/>
            <rFont val="Tahoma"/>
            <family val="2"/>
          </rPr>
          <t>Se anota como mes 1, pero puede cambiarse al tipo de período requerido por el contrato en cuestión.</t>
        </r>
      </text>
    </comment>
    <comment ref="M15" authorId="0" shapeId="0" xr:uid="{14F683B6-14B0-42C8-BC7A-E167F58C7509}">
      <text>
        <r>
          <rPr>
            <b/>
            <sz val="8"/>
            <color rgb="FF000000"/>
            <rFont val="Tahoma"/>
            <family val="2"/>
          </rPr>
          <t>Se anota como mes 1, pero puede cambiarse al tipo de período requerido por el contrato en cuestión.</t>
        </r>
      </text>
    </comment>
    <comment ref="R15" authorId="0" shapeId="0" xr:uid="{810557D5-6A63-49F5-857A-7BDE7231C2CD}">
      <text>
        <r>
          <rPr>
            <b/>
            <sz val="8"/>
            <color rgb="FF000000"/>
            <rFont val="Tahoma"/>
            <family val="2"/>
          </rPr>
          <t>Se anota como mes 1, pero puede cambiarse al tipo de período requerido por el contrato en cuestión.</t>
        </r>
      </text>
    </comment>
    <comment ref="W15" authorId="0" shapeId="0" xr:uid="{00000000-0006-0000-0000-000006000000}">
      <text>
        <r>
          <rPr>
            <b/>
            <sz val="8"/>
            <color rgb="FF000000"/>
            <rFont val="Tahoma"/>
            <family val="2"/>
          </rPr>
          <t>Se anota como mes 1, pero puede cambiarse al tipo de período requerido por el contrato en cuestión.</t>
        </r>
      </text>
    </comment>
    <comment ref="AB15" authorId="0" shapeId="0" xr:uid="{00000000-0006-0000-0000-000007000000}">
      <text>
        <r>
          <rPr>
            <b/>
            <sz val="8"/>
            <color indexed="81"/>
            <rFont val="Tahoma"/>
            <family val="2"/>
          </rPr>
          <t>Se anota como mes 1, pero puede cambiarse al tipo de período requerido por el contrato en cuestión.</t>
        </r>
      </text>
    </comment>
    <comment ref="AG15" authorId="0" shapeId="0" xr:uid="{5FB99F46-94C8-4F17-A95D-E7DD2B3F3F05}">
      <text>
        <r>
          <rPr>
            <b/>
            <sz val="8"/>
            <color indexed="81"/>
            <rFont val="Tahoma"/>
            <family val="2"/>
          </rPr>
          <t>Se anota como mes 1, pero puede cambiarse al tipo de período requerido por el contrato en cuestión.</t>
        </r>
      </text>
    </comment>
    <comment ref="AL15" authorId="0" shapeId="0" xr:uid="{88BFF30C-B67B-4AE3-BA80-934068F1BE69}">
      <text>
        <r>
          <rPr>
            <b/>
            <sz val="8"/>
            <color indexed="81"/>
            <rFont val="Tahoma"/>
            <family val="2"/>
          </rPr>
          <t>Se anota como mes 1, pero puede cambiarse al tipo de período requerido por el contrato en cuestión.</t>
        </r>
      </text>
    </comment>
    <comment ref="AQ15" authorId="0" shapeId="0" xr:uid="{59A30379-5410-4417-A955-50D45A6D6A26}">
      <text>
        <r>
          <rPr>
            <b/>
            <sz val="8"/>
            <color indexed="81"/>
            <rFont val="Tahoma"/>
            <family val="2"/>
          </rPr>
          <t>Se anota como mes 1, pero puede cambiarse al tipo de período requerido por el contrato en cuestión.</t>
        </r>
      </text>
    </comment>
    <comment ref="AV15" authorId="0" shapeId="0" xr:uid="{FC4C5B23-668B-402F-AB15-29B2C9B25688}">
      <text>
        <r>
          <rPr>
            <b/>
            <sz val="8"/>
            <color indexed="81"/>
            <rFont val="Tahoma"/>
            <family val="2"/>
          </rPr>
          <t>Se anota como mes 1, pero puede cambiarse al tipo de período requerido por el contrato en cuestión.</t>
        </r>
      </text>
    </comment>
    <comment ref="BA15" authorId="0" shapeId="0" xr:uid="{A5DF804A-4ED5-4300-A475-EA171B8DCBD6}">
      <text>
        <r>
          <rPr>
            <b/>
            <sz val="8"/>
            <color indexed="81"/>
            <rFont val="Tahoma"/>
            <family val="2"/>
          </rPr>
          <t>Se anota como mes 1, pero puede cambiarse al tipo de período requerido por el contrato en cuestión.</t>
        </r>
      </text>
    </comment>
    <comment ref="BF15" authorId="0" shapeId="0" xr:uid="{AA28C46E-FDEF-4815-B6B0-A5C82FC98515}">
      <text>
        <r>
          <rPr>
            <b/>
            <sz val="8"/>
            <color indexed="81"/>
            <rFont val="Tahoma"/>
            <family val="2"/>
          </rPr>
          <t>Se anota como mes 1, pero puede cambiarse al tipo de período requerido por el contrato en cuestión.</t>
        </r>
      </text>
    </comment>
    <comment ref="BK15" authorId="0" shapeId="0" xr:uid="{E3FF2BF4-C4F5-4028-8D1B-CD5E0C053E06}">
      <text>
        <r>
          <rPr>
            <b/>
            <sz val="8"/>
            <color indexed="81"/>
            <rFont val="Tahoma"/>
            <family val="2"/>
          </rPr>
          <t>Se anota como mes 1, pero puede cambiarse al tipo de período requerido por el contrato en cuestión.</t>
        </r>
      </text>
    </comment>
    <comment ref="BP15" authorId="0" shapeId="0" xr:uid="{726D2BEF-3C0B-4378-989A-5D5C2901A0F2}">
      <text>
        <r>
          <rPr>
            <b/>
            <sz val="8"/>
            <color indexed="81"/>
            <rFont val="Tahoma"/>
            <family val="2"/>
          </rPr>
          <t>Se anota como mes 1, pero puede cambiarse al tipo de período requerido por el contrato en cuestión.</t>
        </r>
      </text>
    </comment>
    <comment ref="BU15" authorId="0" shapeId="0" xr:uid="{AD207A6F-C6D8-4F09-847A-D57557DD179F}">
      <text>
        <r>
          <rPr>
            <b/>
            <sz val="8"/>
            <color indexed="81"/>
            <rFont val="Tahoma"/>
            <family val="2"/>
          </rPr>
          <t>Se anota como mes 1, pero puede cambiarse al tipo de período requerido por el contrato en cuestión.</t>
        </r>
      </text>
    </comment>
    <comment ref="J16" authorId="2" shapeId="0" xr:uid="{00000000-0006-0000-0000-000008000000}">
      <text>
        <r>
          <rPr>
            <b/>
            <sz val="8"/>
            <color indexed="81"/>
            <rFont val="Tahoma"/>
            <family val="2"/>
          </rPr>
          <t>parteaga:</t>
        </r>
        <r>
          <rPr>
            <sz val="8"/>
            <color indexed="81"/>
            <rFont val="Tahoma"/>
            <family val="2"/>
          </rPr>
          <t xml:space="preserve">
se refiere al cumplimiento de lo programado con relacion a lo ejecutado.</t>
        </r>
      </text>
    </comment>
    <comment ref="K16" authorId="2" shapeId="0" xr:uid="{00000000-0006-0000-0000-000009000000}">
      <text>
        <r>
          <rPr>
            <b/>
            <sz val="8"/>
            <color indexed="81"/>
            <rFont val="Tahoma"/>
            <family val="2"/>
          </rPr>
          <t>parteaga:</t>
        </r>
        <r>
          <rPr>
            <sz val="8"/>
            <color indexed="81"/>
            <rFont val="Tahoma"/>
            <family val="2"/>
          </rPr>
          <t xml:space="preserve">
se refiere a la ejecución ponderada en relacion al % de importancia.</t>
        </r>
      </text>
    </comment>
    <comment ref="L16" authorId="0" shapeId="0" xr:uid="{00000000-0006-0000-0000-00000A000000}">
      <text>
        <r>
          <rPr>
            <b/>
            <sz val="8"/>
            <color rgb="FF000000"/>
            <rFont val="Tahoma"/>
            <family val="2"/>
          </rPr>
          <t>Espacio para colocar aquellas observaciones o comentarios concernientes al cumplimiento alcanzado, o la explicación del por qué sí se llegó o no se llegó a la meta.</t>
        </r>
      </text>
    </comment>
    <comment ref="P16" authorId="2" shapeId="0" xr:uid="{00000000-0006-0000-0000-00000B000000}">
      <text>
        <r>
          <rPr>
            <b/>
            <sz val="8"/>
            <color indexed="81"/>
            <rFont val="Tahoma"/>
            <family val="2"/>
          </rPr>
          <t>parteaga:</t>
        </r>
        <r>
          <rPr>
            <sz val="8"/>
            <color indexed="81"/>
            <rFont val="Tahoma"/>
            <family val="2"/>
          </rPr>
          <t xml:space="preserve">
se refiere a la ejecución ponderada en relacion al % de importancia.</t>
        </r>
      </text>
    </comment>
    <comment ref="Q16" authorId="0" shapeId="0" xr:uid="{00000000-0006-0000-0000-00000C000000}">
      <text>
        <r>
          <rPr>
            <b/>
            <sz val="8"/>
            <color indexed="81"/>
            <rFont val="Tahoma"/>
            <family val="2"/>
          </rPr>
          <t>Espacio para colocar aquellas observaciones o comentarios concernientes al cumplimiento alcanzado, o la explicación del por qué sí se llegó o no se llegó a la meta.</t>
        </r>
      </text>
    </comment>
    <comment ref="U16" authorId="2" shapeId="0" xr:uid="{00000000-0006-0000-0000-00000D000000}">
      <text>
        <r>
          <rPr>
            <b/>
            <sz val="8"/>
            <color indexed="81"/>
            <rFont val="Tahoma"/>
            <family val="2"/>
          </rPr>
          <t>parteaga:</t>
        </r>
        <r>
          <rPr>
            <sz val="8"/>
            <color indexed="81"/>
            <rFont val="Tahoma"/>
            <family val="2"/>
          </rPr>
          <t xml:space="preserve">
se refiere a la ejecución ponderada en relacion al % de importancia.</t>
        </r>
      </text>
    </comment>
    <comment ref="V16" authorId="0" shapeId="0" xr:uid="{00000000-0006-0000-0000-00000E000000}">
      <text>
        <r>
          <rPr>
            <b/>
            <sz val="8"/>
            <color indexed="81"/>
            <rFont val="Tahoma"/>
            <family val="2"/>
          </rPr>
          <t>Espacio para colocar aquellas observaciones o comentarios concernientes al cumplimiento alcanzado, o la explicación del por qué sí se llegó o no se llegó a la meta.</t>
        </r>
      </text>
    </comment>
    <comment ref="Z16" authorId="2" shapeId="0" xr:uid="{00000000-0006-0000-0000-00000F000000}">
      <text>
        <r>
          <rPr>
            <b/>
            <sz val="8"/>
            <color indexed="81"/>
            <rFont val="Tahoma"/>
            <family val="2"/>
          </rPr>
          <t>parteaga:</t>
        </r>
        <r>
          <rPr>
            <sz val="8"/>
            <color indexed="81"/>
            <rFont val="Tahoma"/>
            <family val="2"/>
          </rPr>
          <t xml:space="preserve">
se refiere a la ejecución ponderada en relacion al % de importancia.</t>
        </r>
      </text>
    </comment>
    <comment ref="AA16" authorId="0" shapeId="0" xr:uid="{00000000-0006-0000-0000-000010000000}">
      <text>
        <r>
          <rPr>
            <b/>
            <sz val="8"/>
            <color indexed="81"/>
            <rFont val="Tahoma"/>
            <family val="2"/>
          </rPr>
          <t>Espacio para colocar aquellas observaciones o comentarios concernientes al cumplimiento alcanzado, o la explicación del por qué sí se llegó o no se llegó a la meta.</t>
        </r>
      </text>
    </comment>
    <comment ref="AE16" authorId="2" shapeId="0" xr:uid="{00000000-0006-0000-0000-000011000000}">
      <text>
        <r>
          <rPr>
            <b/>
            <sz val="8"/>
            <color indexed="81"/>
            <rFont val="Tahoma"/>
            <family val="2"/>
          </rPr>
          <t>parteaga:</t>
        </r>
        <r>
          <rPr>
            <sz val="8"/>
            <color indexed="81"/>
            <rFont val="Tahoma"/>
            <family val="2"/>
          </rPr>
          <t xml:space="preserve">
se refiere a la ejecución ponderada en relacion al % de importancia.</t>
        </r>
      </text>
    </comment>
    <comment ref="AF16" authorId="0" shapeId="0" xr:uid="{00000000-0006-0000-0000-000012000000}">
      <text>
        <r>
          <rPr>
            <b/>
            <sz val="8"/>
            <color indexed="81"/>
            <rFont val="Tahoma"/>
            <family val="2"/>
          </rPr>
          <t>Espacio para colocar aquellas observaciones o comentarios concernientes al cumplimiento alcanzado, o la explicación del por qué sí se llegó o no se llegó a la meta.</t>
        </r>
      </text>
    </comment>
    <comment ref="AJ16" authorId="2" shapeId="0" xr:uid="{EBB2E0A4-33B7-41FE-92B5-929099CE821C}">
      <text>
        <r>
          <rPr>
            <b/>
            <sz val="8"/>
            <color indexed="81"/>
            <rFont val="Tahoma"/>
            <family val="2"/>
          </rPr>
          <t>parteaga:</t>
        </r>
        <r>
          <rPr>
            <sz val="8"/>
            <color indexed="81"/>
            <rFont val="Tahoma"/>
            <family val="2"/>
          </rPr>
          <t xml:space="preserve">
se refiere a la ejecución ponderada en relacion al % de importancia.</t>
        </r>
      </text>
    </comment>
    <comment ref="AK16" authorId="0" shapeId="0" xr:uid="{7C610A13-3A13-461C-BE8D-C3B7DBBE98E0}">
      <text>
        <r>
          <rPr>
            <b/>
            <sz val="8"/>
            <color indexed="81"/>
            <rFont val="Tahoma"/>
            <family val="2"/>
          </rPr>
          <t>Espacio para colocar aquellas observaciones o comentarios concernientes al cumplimiento alcanzado, o la explicación del por qué sí se llegó o no se llegó a la meta.</t>
        </r>
      </text>
    </comment>
    <comment ref="AO16" authorId="2" shapeId="0" xr:uid="{78645B45-CC5C-4C77-BA1A-329EF90AEC07}">
      <text>
        <r>
          <rPr>
            <b/>
            <sz val="8"/>
            <color indexed="81"/>
            <rFont val="Tahoma"/>
            <family val="2"/>
          </rPr>
          <t>parteaga:</t>
        </r>
        <r>
          <rPr>
            <sz val="8"/>
            <color indexed="81"/>
            <rFont val="Tahoma"/>
            <family val="2"/>
          </rPr>
          <t xml:space="preserve">
se refiere a la ejecución ponderada en relacion al % de importancia.</t>
        </r>
      </text>
    </comment>
    <comment ref="AP16" authorId="0" shapeId="0" xr:uid="{082748AE-3A9C-4E66-8D91-2393F3963E49}">
      <text>
        <r>
          <rPr>
            <b/>
            <sz val="8"/>
            <color indexed="81"/>
            <rFont val="Tahoma"/>
            <family val="2"/>
          </rPr>
          <t>Espacio para colocar aquellas observaciones o comentarios concernientes al cumplimiento alcanzado, o la explicación del por qué sí se llegó o no se llegó a la meta.</t>
        </r>
      </text>
    </comment>
    <comment ref="AT16" authorId="2" shapeId="0" xr:uid="{E9B12058-31A2-4F53-9A02-7E3A0203CF18}">
      <text>
        <r>
          <rPr>
            <b/>
            <sz val="8"/>
            <color indexed="81"/>
            <rFont val="Tahoma"/>
            <family val="2"/>
          </rPr>
          <t>parteaga:</t>
        </r>
        <r>
          <rPr>
            <sz val="8"/>
            <color indexed="81"/>
            <rFont val="Tahoma"/>
            <family val="2"/>
          </rPr>
          <t xml:space="preserve">
se refiere a la ejecución ponderada en relacion al % de importancia.</t>
        </r>
      </text>
    </comment>
    <comment ref="AU16" authorId="0" shapeId="0" xr:uid="{18419434-2D65-4413-8E33-48E89785B93C}">
      <text>
        <r>
          <rPr>
            <b/>
            <sz val="8"/>
            <color indexed="81"/>
            <rFont val="Tahoma"/>
            <family val="2"/>
          </rPr>
          <t>Espacio para colocar aquellas observaciones o comentarios concernientes al cumplimiento alcanzado, o la explicación del por qué sí se llegó o no se llegó a la meta.</t>
        </r>
      </text>
    </comment>
    <comment ref="AY16" authorId="2" shapeId="0" xr:uid="{7EF16260-DE77-4BCE-8242-C24DBE912253}">
      <text>
        <r>
          <rPr>
            <b/>
            <sz val="8"/>
            <color indexed="81"/>
            <rFont val="Tahoma"/>
            <family val="2"/>
          </rPr>
          <t>parteaga:</t>
        </r>
        <r>
          <rPr>
            <sz val="8"/>
            <color indexed="81"/>
            <rFont val="Tahoma"/>
            <family val="2"/>
          </rPr>
          <t xml:space="preserve">
se refiere a la ejecución ponderada en relacion al % de importancia.</t>
        </r>
      </text>
    </comment>
    <comment ref="AZ16" authorId="0" shapeId="0" xr:uid="{ADD2A156-6665-4A03-A0D1-B287677EF2C4}">
      <text>
        <r>
          <rPr>
            <b/>
            <sz val="8"/>
            <color indexed="81"/>
            <rFont val="Tahoma"/>
            <family val="2"/>
          </rPr>
          <t>Espacio para colocar aquellas observaciones o comentarios concernientes al cumplimiento alcanzado, o la explicación del por qué sí se llegó o no se llegó a la meta.</t>
        </r>
      </text>
    </comment>
    <comment ref="BD16" authorId="2" shapeId="0" xr:uid="{D7291A26-3FB3-4ECE-B98E-BDA7434761AE}">
      <text>
        <r>
          <rPr>
            <b/>
            <sz val="8"/>
            <color indexed="81"/>
            <rFont val="Tahoma"/>
            <family val="2"/>
          </rPr>
          <t>parteaga:</t>
        </r>
        <r>
          <rPr>
            <sz val="8"/>
            <color indexed="81"/>
            <rFont val="Tahoma"/>
            <family val="2"/>
          </rPr>
          <t xml:space="preserve">
se refiere a la ejecución ponderada en relacion al % de importancia.</t>
        </r>
      </text>
    </comment>
    <comment ref="BE16" authorId="0" shapeId="0" xr:uid="{50192FC0-4D5B-4C6F-A582-A670761C489E}">
      <text>
        <r>
          <rPr>
            <b/>
            <sz val="8"/>
            <color indexed="81"/>
            <rFont val="Tahoma"/>
            <family val="2"/>
          </rPr>
          <t>Espacio para colocar aquellas observaciones o comentarios concernientes al cumplimiento alcanzado, o la explicación del por qué sí se llegó o no se llegó a la meta.</t>
        </r>
      </text>
    </comment>
    <comment ref="BI16" authorId="2" shapeId="0" xr:uid="{5D92EEEA-D9C4-460B-B2A7-46CFC2205356}">
      <text>
        <r>
          <rPr>
            <b/>
            <sz val="8"/>
            <color indexed="81"/>
            <rFont val="Tahoma"/>
            <family val="2"/>
          </rPr>
          <t>parteaga:</t>
        </r>
        <r>
          <rPr>
            <sz val="8"/>
            <color indexed="81"/>
            <rFont val="Tahoma"/>
            <family val="2"/>
          </rPr>
          <t xml:space="preserve">
se refiere a la ejecución ponderada en relacion al % de importancia.</t>
        </r>
      </text>
    </comment>
    <comment ref="BJ16" authorId="0" shapeId="0" xr:uid="{C83DEA05-20B6-434C-8244-A3FDA4B505AD}">
      <text>
        <r>
          <rPr>
            <b/>
            <sz val="8"/>
            <color indexed="81"/>
            <rFont val="Tahoma"/>
            <family val="2"/>
          </rPr>
          <t>Espacio para colocar aquellas observaciones o comentarios concernientes al cumplimiento alcanzado, o la explicación del por qué sí se llegó o no se llegó a la meta.</t>
        </r>
      </text>
    </comment>
    <comment ref="BN16" authorId="2" shapeId="0" xr:uid="{3C1271BE-40F7-4F64-8207-DBDF5F893D18}">
      <text>
        <r>
          <rPr>
            <b/>
            <sz val="8"/>
            <color indexed="81"/>
            <rFont val="Tahoma"/>
            <family val="2"/>
          </rPr>
          <t>parteaga:</t>
        </r>
        <r>
          <rPr>
            <sz val="8"/>
            <color indexed="81"/>
            <rFont val="Tahoma"/>
            <family val="2"/>
          </rPr>
          <t xml:space="preserve">
se refiere a la ejecución ponderada en relacion al % de importancia.</t>
        </r>
      </text>
    </comment>
    <comment ref="BO16" authorId="0" shapeId="0" xr:uid="{C43F216B-175B-4E43-9DB0-0E4623A9C8AF}">
      <text>
        <r>
          <rPr>
            <b/>
            <sz val="8"/>
            <color indexed="81"/>
            <rFont val="Tahoma"/>
            <family val="2"/>
          </rPr>
          <t>Espacio para colocar aquellas observaciones o comentarios concernientes al cumplimiento alcanzado, o la explicación del por qué sí se llegó o no se llegó a la meta.</t>
        </r>
      </text>
    </comment>
    <comment ref="BS16" authorId="2" shapeId="0" xr:uid="{CF42B455-54EE-4E3A-B7DD-878044E22889}">
      <text>
        <r>
          <rPr>
            <b/>
            <sz val="8"/>
            <color indexed="81"/>
            <rFont val="Tahoma"/>
            <family val="2"/>
          </rPr>
          <t>parteaga:</t>
        </r>
        <r>
          <rPr>
            <sz val="8"/>
            <color indexed="81"/>
            <rFont val="Tahoma"/>
            <family val="2"/>
          </rPr>
          <t xml:space="preserve">
se refiere a la ejecución ponderada en relacion al % de importancia.</t>
        </r>
      </text>
    </comment>
    <comment ref="BT16" authorId="0" shapeId="0" xr:uid="{088DA570-1A9D-4248-9275-F63942909C80}">
      <text>
        <r>
          <rPr>
            <b/>
            <sz val="8"/>
            <color indexed="81"/>
            <rFont val="Tahoma"/>
            <family val="2"/>
          </rPr>
          <t>Espacio para colocar aquellas observaciones o comentarios concernientes al cumplimiento alcanzado, o la explicación del por qué sí se llegó o no se llegó a la meta.</t>
        </r>
      </text>
    </comment>
    <comment ref="BX16" authorId="2" shapeId="0" xr:uid="{63A594D9-CD3B-4FA1-A077-23E9D62ECE5A}">
      <text>
        <r>
          <rPr>
            <b/>
            <sz val="8"/>
            <color indexed="81"/>
            <rFont val="Tahoma"/>
            <family val="2"/>
          </rPr>
          <t>parteaga:</t>
        </r>
        <r>
          <rPr>
            <sz val="8"/>
            <color indexed="81"/>
            <rFont val="Tahoma"/>
            <family val="2"/>
          </rPr>
          <t xml:space="preserve">
se refiere a la ejecución ponderada en relacion al % de importancia.</t>
        </r>
      </text>
    </comment>
    <comment ref="BY16" authorId="0" shapeId="0" xr:uid="{C69491B4-8C39-4A3D-A255-0B08CF8E8DA7}">
      <text>
        <r>
          <rPr>
            <b/>
            <sz val="8"/>
            <color indexed="81"/>
            <rFont val="Tahoma"/>
            <family val="2"/>
          </rPr>
          <t>Espacio para colocar aquellas observaciones o comentarios concernientes al cumplimiento alcanzado, o la explicación del por qué sí se llegó o no se llegó a la meta.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Alberto Josué Mejía Upegui</author>
    <author>Paula Arteaga Vasque</author>
    <author>practicantes</author>
  </authors>
  <commentList>
    <comment ref="A6" authorId="0" shapeId="0" xr:uid="{00000000-0006-0000-0200-000001000000}">
      <text>
        <r>
          <rPr>
            <b/>
            <sz val="8"/>
            <color indexed="81"/>
            <rFont val="Tahoma"/>
            <family val="2"/>
          </rPr>
          <t>CON RESPECTO AL PRESENTE ARCHIVO:
* No elimine filas ni columnas.  Siempre ocúltelas, pues las fórmulas están diseñadas para 10 productos por cada uno de los 5 componentes, y para el cumplimiento de los 12 meses (o unidad de tiempo); la eliminación causaría el ERROR en las fórmulas.
* Si debe insertar filas o columnas, actualice las fórmulas de acuerdo a la lógica utilizada, con la información de las nuevas filas o columnas.
* Los datos de las metas proyectadas para cada uno de los meses (unidades de tiempo) y para cada uno de los componentes y productos, se calcularán automáticamente con base en el valor ingresado en la página de "Ejecución Financiera" para el Valor Por Unidad De Medida, y las metas físicas registradas en la página de "Ejecución Física".
* Los campos de contrato, objeto, inicio, vencimiento, y descripción de los componentes y productos son arrastrados de los ingresados por el usuario al inicio de su trabajo con el archivo, en la página "Ejecución Física".  El usuario sólo deberá ingresar en esta página de "Ejecución Financiera", el valor total del contrato.</t>
        </r>
      </text>
    </comment>
    <comment ref="C8" authorId="0" shapeId="0" xr:uid="{00000000-0006-0000-0200-000002000000}">
      <text>
        <r>
          <rPr>
            <b/>
            <sz val="8"/>
            <color rgb="FF000000"/>
            <rFont val="Tahoma"/>
            <family val="2"/>
          </rPr>
          <t>Ingresar la fecha de inicio en formato DD/MM/AAA</t>
        </r>
      </text>
    </comment>
    <comment ref="C9" authorId="0" shapeId="0" xr:uid="{00000000-0006-0000-0200-000003000000}">
      <text>
        <r>
          <rPr>
            <b/>
            <sz val="8"/>
            <color rgb="FF000000"/>
            <rFont val="Tahoma"/>
            <family val="2"/>
          </rPr>
          <t>Ingresar la fecha de inicio en formato DD/MM/AAA</t>
        </r>
      </text>
    </comment>
    <comment ref="C10" authorId="1" shapeId="0" xr:uid="{00000000-0006-0000-0200-000004000000}">
      <text>
        <r>
          <rPr>
            <b/>
            <sz val="9"/>
            <color rgb="FF000000"/>
            <rFont val="Tahoma"/>
            <family val="2"/>
          </rPr>
          <t>inserte la fecha de elaboración del informe</t>
        </r>
      </text>
    </comment>
    <comment ref="J17" authorId="2" shapeId="0" xr:uid="{00000000-0006-0000-0200-000005000000}">
      <text>
        <r>
          <rPr>
            <b/>
            <sz val="9"/>
            <color indexed="81"/>
            <rFont val="Tahoma"/>
            <family val="2"/>
          </rPr>
          <t>practicantes:</t>
        </r>
        <r>
          <rPr>
            <sz val="9"/>
            <color indexed="81"/>
            <rFont val="Tahoma"/>
            <family val="2"/>
          </rPr>
          <t xml:space="preserve">
En general, presentar el porcentaje de cumplimiento de todas las actividades</t>
        </r>
      </text>
    </comment>
    <comment ref="N17" authorId="2" shapeId="0" xr:uid="{00000000-0006-0000-0200-000006000000}">
      <text>
        <r>
          <rPr>
            <b/>
            <sz val="9"/>
            <color indexed="81"/>
            <rFont val="Tahoma"/>
            <family val="2"/>
          </rPr>
          <t>practicantes:</t>
        </r>
        <r>
          <rPr>
            <sz val="9"/>
            <color indexed="81"/>
            <rFont val="Tahoma"/>
            <family val="2"/>
          </rPr>
          <t xml:space="preserve">
En general, presentar el porcentaje de cumplimiento de todas las actividades</t>
        </r>
      </text>
    </comment>
    <comment ref="R17" authorId="2" shapeId="0" xr:uid="{00000000-0006-0000-0200-000007000000}">
      <text>
        <r>
          <rPr>
            <b/>
            <sz val="9"/>
            <color indexed="81"/>
            <rFont val="Tahoma"/>
            <family val="2"/>
          </rPr>
          <t>practicantes:</t>
        </r>
        <r>
          <rPr>
            <sz val="9"/>
            <color indexed="81"/>
            <rFont val="Tahoma"/>
            <family val="2"/>
          </rPr>
          <t xml:space="preserve">
En general, presentar el porcentaje de cumplimiento de todas las actividades</t>
        </r>
      </text>
    </comment>
    <comment ref="V17" authorId="2" shapeId="0" xr:uid="{00000000-0006-0000-0200-000008000000}">
      <text>
        <r>
          <rPr>
            <b/>
            <sz val="9"/>
            <color indexed="81"/>
            <rFont val="Tahoma"/>
            <family val="2"/>
          </rPr>
          <t>practicantes:</t>
        </r>
        <r>
          <rPr>
            <sz val="9"/>
            <color indexed="81"/>
            <rFont val="Tahoma"/>
            <family val="2"/>
          </rPr>
          <t xml:space="preserve">
En general, presentar el porcentaje de cumplimiento de todas las actividades</t>
        </r>
      </text>
    </comment>
    <comment ref="Z17" authorId="2" shapeId="0" xr:uid="{33249E9B-BE4D-4D83-84CD-137A48FDC164}">
      <text>
        <r>
          <rPr>
            <b/>
            <sz val="9"/>
            <color indexed="81"/>
            <rFont val="Tahoma"/>
            <family val="2"/>
          </rPr>
          <t>practicantes:</t>
        </r>
        <r>
          <rPr>
            <sz val="9"/>
            <color indexed="81"/>
            <rFont val="Tahoma"/>
            <family val="2"/>
          </rPr>
          <t xml:space="preserve">
En general, presentar el porcentaje de cumplimiento de todas las actividades</t>
        </r>
      </text>
    </comment>
    <comment ref="AD17" authorId="2" shapeId="0" xr:uid="{2AB9EC0D-D309-4A3F-8FB8-D8A71021A95B}">
      <text>
        <r>
          <rPr>
            <b/>
            <sz val="9"/>
            <color indexed="81"/>
            <rFont val="Tahoma"/>
            <family val="2"/>
          </rPr>
          <t>practicantes:</t>
        </r>
        <r>
          <rPr>
            <sz val="9"/>
            <color indexed="81"/>
            <rFont val="Tahoma"/>
            <family val="2"/>
          </rPr>
          <t xml:space="preserve">
En general, presentar el porcentaje de cumplimiento de todas las actividades</t>
        </r>
      </text>
    </comment>
    <comment ref="AH17" authorId="2" shapeId="0" xr:uid="{ABCBDC9D-BED9-4853-A4EC-04CABAE330E8}">
      <text>
        <r>
          <rPr>
            <b/>
            <sz val="9"/>
            <color indexed="81"/>
            <rFont val="Tahoma"/>
            <family val="2"/>
          </rPr>
          <t>practicantes:</t>
        </r>
        <r>
          <rPr>
            <sz val="9"/>
            <color indexed="81"/>
            <rFont val="Tahoma"/>
            <family val="2"/>
          </rPr>
          <t xml:space="preserve">
En general, presentar el porcentaje de cumplimiento de todas las actividades</t>
        </r>
      </text>
    </comment>
    <comment ref="AL17" authorId="2" shapeId="0" xr:uid="{7066C349-E2BF-448F-899A-924081BAAD84}">
      <text>
        <r>
          <rPr>
            <b/>
            <sz val="9"/>
            <color indexed="81"/>
            <rFont val="Tahoma"/>
            <family val="2"/>
          </rPr>
          <t>practicantes:</t>
        </r>
        <r>
          <rPr>
            <sz val="9"/>
            <color indexed="81"/>
            <rFont val="Tahoma"/>
            <family val="2"/>
          </rPr>
          <t xml:space="preserve">
En general, presentar el porcentaje de cumplimiento de todas las actividades</t>
        </r>
      </text>
    </comment>
    <comment ref="AP17" authorId="2" shapeId="0" xr:uid="{66BE40D9-62FE-44EA-98F8-FF908D6AF4B9}">
      <text>
        <r>
          <rPr>
            <b/>
            <sz val="9"/>
            <color indexed="81"/>
            <rFont val="Tahoma"/>
            <family val="2"/>
          </rPr>
          <t>practicantes:</t>
        </r>
        <r>
          <rPr>
            <sz val="9"/>
            <color indexed="81"/>
            <rFont val="Tahoma"/>
            <family val="2"/>
          </rPr>
          <t xml:space="preserve">
En general, presentar el porcentaje de cumplimiento de todas las actividades</t>
        </r>
      </text>
    </comment>
    <comment ref="AT17" authorId="2" shapeId="0" xr:uid="{49E9B40F-5E1A-4F47-BA8F-2EA315BF7F35}">
      <text>
        <r>
          <rPr>
            <b/>
            <sz val="9"/>
            <color indexed="81"/>
            <rFont val="Tahoma"/>
            <family val="2"/>
          </rPr>
          <t>practicantes:</t>
        </r>
        <r>
          <rPr>
            <sz val="9"/>
            <color indexed="81"/>
            <rFont val="Tahoma"/>
            <family val="2"/>
          </rPr>
          <t xml:space="preserve">
En general, presentar el porcentaje de cumplimiento de todas las actividades</t>
        </r>
      </text>
    </comment>
    <comment ref="AX17" authorId="2" shapeId="0" xr:uid="{854AD867-2DF9-4B60-ADFA-E3E2A3675A34}">
      <text>
        <r>
          <rPr>
            <b/>
            <sz val="9"/>
            <color indexed="81"/>
            <rFont val="Tahoma"/>
            <family val="2"/>
          </rPr>
          <t>practicantes:</t>
        </r>
        <r>
          <rPr>
            <sz val="9"/>
            <color indexed="81"/>
            <rFont val="Tahoma"/>
            <family val="2"/>
          </rPr>
          <t xml:space="preserve">
En general, presentar el porcentaje de cumplimiento de todas las actividades</t>
        </r>
      </text>
    </comment>
    <comment ref="BB17" authorId="2" shapeId="0" xr:uid="{EC3F5A18-ADA3-432C-B973-BF2847EDAC96}">
      <text>
        <r>
          <rPr>
            <b/>
            <sz val="9"/>
            <color indexed="81"/>
            <rFont val="Tahoma"/>
            <family val="2"/>
          </rPr>
          <t>practicantes:</t>
        </r>
        <r>
          <rPr>
            <sz val="9"/>
            <color indexed="81"/>
            <rFont val="Tahoma"/>
            <family val="2"/>
          </rPr>
          <t xml:space="preserve">
En general, presentar el porcentaje de cumplimiento de todas las actividades</t>
        </r>
      </text>
    </comment>
    <comment ref="BF17" authorId="2" shapeId="0" xr:uid="{251287E3-D8A5-4E00-8100-66AF10157273}">
      <text>
        <r>
          <rPr>
            <b/>
            <sz val="9"/>
            <color indexed="81"/>
            <rFont val="Tahoma"/>
            <family val="2"/>
          </rPr>
          <t>practicantes:</t>
        </r>
        <r>
          <rPr>
            <sz val="9"/>
            <color indexed="81"/>
            <rFont val="Tahoma"/>
            <family val="2"/>
          </rPr>
          <t xml:space="preserve">
En general, presentar el porcentaje de cumplimiento de todas las actividades</t>
        </r>
      </text>
    </comment>
    <comment ref="BJ17" authorId="2" shapeId="0" xr:uid="{133DE7E6-2E7E-4C62-89B3-7B8CDDCAE835}">
      <text>
        <r>
          <rPr>
            <b/>
            <sz val="9"/>
            <color indexed="81"/>
            <rFont val="Tahoma"/>
            <family val="2"/>
          </rPr>
          <t>practicantes:</t>
        </r>
        <r>
          <rPr>
            <sz val="9"/>
            <color indexed="81"/>
            <rFont val="Tahoma"/>
            <family val="2"/>
          </rPr>
          <t xml:space="preserve">
En general, presentar el porcentaje de cumplimiento de todas las actividades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jgaviria</author>
    <author>Jorge Ignacio Gaviria</author>
    <author>Diana Janeth Suarez Giraldo</author>
  </authors>
  <commentList>
    <comment ref="C39" authorId="0" shapeId="0" xr:uid="{00000000-0006-0000-0500-000001000000}">
      <text>
        <r>
          <rPr>
            <b/>
            <sz val="8"/>
            <color indexed="81"/>
            <rFont val="Tahoma"/>
            <family val="2"/>
          </rPr>
          <t>jgaviria:</t>
        </r>
        <r>
          <rPr>
            <sz val="8"/>
            <color indexed="81"/>
            <rFont val="Tahoma"/>
            <family val="2"/>
          </rPr>
          <t xml:space="preserve">
5 cuerpos de agua, 5 talleres y 40 personas por evento promedio
</t>
        </r>
      </text>
    </comment>
    <comment ref="C42" authorId="0" shapeId="0" xr:uid="{00000000-0006-0000-0500-000002000000}">
      <text>
        <r>
          <rPr>
            <b/>
            <sz val="8"/>
            <color indexed="81"/>
            <rFont val="Tahoma"/>
            <family val="2"/>
          </rPr>
          <t>jgaviria:</t>
        </r>
        <r>
          <rPr>
            <sz val="8"/>
            <color indexed="81"/>
            <rFont val="Tahoma"/>
            <family val="2"/>
          </rPr>
          <t xml:space="preserve">
100 afiches 4 por cuerpo de agua y por taller
500 volantes</t>
        </r>
      </text>
    </comment>
    <comment ref="D54" authorId="1" shapeId="0" xr:uid="{00000000-0006-0000-0500-000003000000}">
      <text>
        <r>
          <rPr>
            <b/>
            <sz val="9"/>
            <color indexed="81"/>
            <rFont val="Tahoma"/>
            <family val="2"/>
          </rPr>
          <t>Jorge Ignacio Gaviria:</t>
        </r>
        <r>
          <rPr>
            <sz val="9"/>
            <color indexed="81"/>
            <rFont val="Tahoma"/>
            <family val="2"/>
          </rPr>
          <t xml:space="preserve">
30000 alimentacion de un dia y medio
108000 transporte ida y regreso+terminales
30000 hospedaje
3 profesionales (social, tecnologo y comunicador)
</t>
        </r>
      </text>
    </comment>
    <comment ref="D55" authorId="2" shapeId="0" xr:uid="{00000000-0006-0000-0500-000004000000}">
      <text>
        <r>
          <rPr>
            <b/>
            <sz val="9"/>
            <color indexed="81"/>
            <rFont val="Tahoma"/>
            <family val="2"/>
          </rPr>
          <t>Diana Janeth Suarez Giraldo:</t>
        </r>
        <r>
          <rPr>
            <sz val="9"/>
            <color indexed="81"/>
            <rFont val="Tahoma"/>
            <family val="2"/>
          </rPr>
          <t xml:space="preserve">
30000 Alimentación dia y medio
105000 Transporte
30000 hospedaje
3 personas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Alberto Josué Mejía Upegui</author>
    <author>Paula Arteaga Vasque</author>
    <author>parteaga</author>
  </authors>
  <commentList>
    <comment ref="D8" authorId="0" shapeId="0" xr:uid="{00000000-0006-0000-0100-000001000000}">
      <text>
        <r>
          <rPr>
            <b/>
            <sz val="8"/>
            <color rgb="FF000000"/>
            <rFont val="Tahoma"/>
            <family val="2"/>
          </rPr>
          <t>Ingresar la fecha de inicio en formato DD/MM/AAA</t>
        </r>
      </text>
    </comment>
    <comment ref="D9" authorId="0" shapeId="0" xr:uid="{00000000-0006-0000-0100-000002000000}">
      <text>
        <r>
          <rPr>
            <b/>
            <sz val="8"/>
            <color rgb="FF000000"/>
            <rFont val="Tahoma"/>
            <family val="2"/>
          </rPr>
          <t>Ingresar la fecha de inicio en formato DD/MM/AAA</t>
        </r>
      </text>
    </comment>
    <comment ref="D10" authorId="1" shapeId="0" xr:uid="{00000000-0006-0000-0100-000003000000}">
      <text>
        <r>
          <rPr>
            <b/>
            <sz val="9"/>
            <color rgb="FF000000"/>
            <rFont val="Tahoma"/>
            <family val="2"/>
          </rPr>
          <t>inserte la fecha de elaboración del informe</t>
        </r>
      </text>
    </comment>
    <comment ref="H15" authorId="0" shapeId="0" xr:uid="{00000000-0006-0000-0100-000004000000}">
      <text>
        <r>
          <rPr>
            <b/>
            <sz val="8"/>
            <color rgb="FF000000"/>
            <rFont val="Tahoma"/>
            <family val="2"/>
          </rPr>
          <t>Se anota como mes 1, pero puede cambiarse al tipo de período requerido por el contrato en cuestión.</t>
        </r>
      </text>
    </comment>
    <comment ref="M15" authorId="0" shapeId="0" xr:uid="{00000000-0006-0000-0100-000005000000}">
      <text>
        <r>
          <rPr>
            <b/>
            <sz val="8"/>
            <color rgb="FF000000"/>
            <rFont val="Tahoma"/>
            <family val="2"/>
          </rPr>
          <t>Se anota como mes 1, pero puede cambiarse al tipo de período requerido por el contrato en cuestión.</t>
        </r>
      </text>
    </comment>
    <comment ref="R15" authorId="0" shapeId="0" xr:uid="{00000000-0006-0000-0100-000006000000}">
      <text>
        <r>
          <rPr>
            <b/>
            <sz val="8"/>
            <color rgb="FF000000"/>
            <rFont val="Tahoma"/>
            <family val="2"/>
          </rPr>
          <t>Se anota como mes 1, pero puede cambiarse al tipo de período requerido por el contrato en cuestión.</t>
        </r>
      </text>
    </comment>
    <comment ref="W15" authorId="0" shapeId="0" xr:uid="{00000000-0006-0000-0100-000007000000}">
      <text>
        <r>
          <rPr>
            <b/>
            <sz val="8"/>
            <color rgb="FF000000"/>
            <rFont val="Tahoma"/>
            <family val="2"/>
          </rPr>
          <t>Se anota como mes 1, pero puede cambiarse al tipo de período requerido por el contrato en cuestión.</t>
        </r>
      </text>
    </comment>
    <comment ref="AB15" authorId="0" shapeId="0" xr:uid="{00000000-0006-0000-0100-000008000000}">
      <text>
        <r>
          <rPr>
            <b/>
            <sz val="8"/>
            <color rgb="FF000000"/>
            <rFont val="Tahoma"/>
            <family val="2"/>
          </rPr>
          <t>Se anota como mes 1, pero puede cambiarse al tipo de período requerido por el contrato en cuestión.</t>
        </r>
      </text>
    </comment>
    <comment ref="AG15" authorId="0" shapeId="0" xr:uid="{00000000-0006-0000-0100-000009000000}">
      <text>
        <r>
          <rPr>
            <b/>
            <sz val="8"/>
            <color rgb="FF000000"/>
            <rFont val="Tahoma"/>
            <family val="2"/>
          </rPr>
          <t>Se anota como mes 1, pero puede cambiarse al tipo de período requerido por el contrato en cuestión.</t>
        </r>
      </text>
    </comment>
    <comment ref="AL15" authorId="0" shapeId="0" xr:uid="{00000000-0006-0000-0100-00000A000000}">
      <text>
        <r>
          <rPr>
            <b/>
            <sz val="8"/>
            <color rgb="FF000000"/>
            <rFont val="Tahoma"/>
            <family val="2"/>
          </rPr>
          <t>Se anota como mes 1, pero puede cambiarse al tipo de período requerido por el contrato en cuestión.</t>
        </r>
      </text>
    </comment>
    <comment ref="AQ15" authorId="0" shapeId="0" xr:uid="{00000000-0006-0000-0100-00000B000000}">
      <text>
        <r>
          <rPr>
            <b/>
            <sz val="8"/>
            <color indexed="81"/>
            <rFont val="Tahoma"/>
            <family val="2"/>
          </rPr>
          <t>Se anota como mes 1, pero puede cambiarse al tipo de período requerido por el contrato en cuestión.</t>
        </r>
      </text>
    </comment>
    <comment ref="J16" authorId="2" shapeId="0" xr:uid="{00000000-0006-0000-0100-00000C000000}">
      <text>
        <r>
          <rPr>
            <b/>
            <sz val="8"/>
            <color indexed="81"/>
            <rFont val="Tahoma"/>
            <family val="2"/>
          </rPr>
          <t>parteaga:</t>
        </r>
        <r>
          <rPr>
            <sz val="8"/>
            <color indexed="81"/>
            <rFont val="Tahoma"/>
            <family val="2"/>
          </rPr>
          <t xml:space="preserve">
se refiere al cumplimiento de lo programado con relacion a lo ejecutado.</t>
        </r>
      </text>
    </comment>
    <comment ref="K16" authorId="2" shapeId="0" xr:uid="{00000000-0006-0000-0100-00000D000000}">
      <text>
        <r>
          <rPr>
            <b/>
            <sz val="8"/>
            <color indexed="81"/>
            <rFont val="Tahoma"/>
            <family val="2"/>
          </rPr>
          <t>parteaga:</t>
        </r>
        <r>
          <rPr>
            <sz val="8"/>
            <color indexed="81"/>
            <rFont val="Tahoma"/>
            <family val="2"/>
          </rPr>
          <t xml:space="preserve">
se refiere a la ejecución ponderada en relacion al % de importancia.</t>
        </r>
      </text>
    </comment>
    <comment ref="L16" authorId="0" shapeId="0" xr:uid="{00000000-0006-0000-0100-00000E000000}">
      <text>
        <r>
          <rPr>
            <b/>
            <sz val="8"/>
            <color rgb="FF000000"/>
            <rFont val="Tahoma"/>
            <family val="2"/>
          </rPr>
          <t>Espacio para colocar aquellas observaciones o comentarios concernientes al cumplimiento alcanzado, o la explicación del por qué sí se llegó o no se llegó a la meta.</t>
        </r>
      </text>
    </comment>
    <comment ref="P16" authorId="2" shapeId="0" xr:uid="{00000000-0006-0000-0100-00000F000000}">
      <text>
        <r>
          <rPr>
            <b/>
            <sz val="8"/>
            <color indexed="81"/>
            <rFont val="Tahoma"/>
            <family val="2"/>
          </rPr>
          <t>parteaga:</t>
        </r>
        <r>
          <rPr>
            <sz val="8"/>
            <color indexed="81"/>
            <rFont val="Tahoma"/>
            <family val="2"/>
          </rPr>
          <t xml:space="preserve">
se refiere a la ejecución ponderada en relacion al % de importancia.</t>
        </r>
      </text>
    </comment>
    <comment ref="Q16" authorId="0" shapeId="0" xr:uid="{00000000-0006-0000-0100-000010000000}">
      <text>
        <r>
          <rPr>
            <b/>
            <sz val="8"/>
            <color indexed="81"/>
            <rFont val="Tahoma"/>
            <family val="2"/>
          </rPr>
          <t>Espacio para colocar aquellas observaciones o comentarios concernientes al cumplimiento alcanzado, o la explicación del por qué sí se llegó o no se llegó a la meta.</t>
        </r>
      </text>
    </comment>
    <comment ref="U16" authorId="2" shapeId="0" xr:uid="{00000000-0006-0000-0100-000011000000}">
      <text>
        <r>
          <rPr>
            <b/>
            <sz val="8"/>
            <color indexed="81"/>
            <rFont val="Tahoma"/>
            <family val="2"/>
          </rPr>
          <t>parteaga:</t>
        </r>
        <r>
          <rPr>
            <sz val="8"/>
            <color indexed="81"/>
            <rFont val="Tahoma"/>
            <family val="2"/>
          </rPr>
          <t xml:space="preserve">
se refiere a la ejecución ponderada en relacion al % de importancia.</t>
        </r>
      </text>
    </comment>
    <comment ref="V16" authorId="0" shapeId="0" xr:uid="{00000000-0006-0000-0100-000012000000}">
      <text>
        <r>
          <rPr>
            <b/>
            <sz val="8"/>
            <color indexed="81"/>
            <rFont val="Tahoma"/>
            <family val="2"/>
          </rPr>
          <t>Espacio para colocar aquellas observaciones o comentarios concernientes al cumplimiento alcanzado, o la explicación del por qué sí se llegó o no se llegó a la meta.</t>
        </r>
      </text>
    </comment>
    <comment ref="Z16" authorId="2" shapeId="0" xr:uid="{00000000-0006-0000-0100-000013000000}">
      <text>
        <r>
          <rPr>
            <b/>
            <sz val="8"/>
            <color indexed="81"/>
            <rFont val="Tahoma"/>
            <family val="2"/>
          </rPr>
          <t>parteaga:</t>
        </r>
        <r>
          <rPr>
            <sz val="8"/>
            <color indexed="81"/>
            <rFont val="Tahoma"/>
            <family val="2"/>
          </rPr>
          <t xml:space="preserve">
se refiere a la ejecución ponderada en relacion al % de importancia.</t>
        </r>
      </text>
    </comment>
    <comment ref="AA16" authorId="0" shapeId="0" xr:uid="{00000000-0006-0000-0100-000014000000}">
      <text>
        <r>
          <rPr>
            <b/>
            <sz val="8"/>
            <color indexed="81"/>
            <rFont val="Tahoma"/>
            <family val="2"/>
          </rPr>
          <t>Espacio para colocar aquellas observaciones o comentarios concernientes al cumplimiento alcanzado, o la explicación del por qué sí se llegó o no se llegó a la meta.</t>
        </r>
      </text>
    </comment>
    <comment ref="AE16" authorId="2" shapeId="0" xr:uid="{00000000-0006-0000-0100-000015000000}">
      <text>
        <r>
          <rPr>
            <b/>
            <sz val="8"/>
            <color indexed="81"/>
            <rFont val="Tahoma"/>
            <family val="2"/>
          </rPr>
          <t>parteaga:</t>
        </r>
        <r>
          <rPr>
            <sz val="8"/>
            <color indexed="81"/>
            <rFont val="Tahoma"/>
            <family val="2"/>
          </rPr>
          <t xml:space="preserve">
se refiere a la ejecución ponderada en relacion al % de importancia.</t>
        </r>
      </text>
    </comment>
    <comment ref="AF16" authorId="0" shapeId="0" xr:uid="{00000000-0006-0000-0100-000016000000}">
      <text>
        <r>
          <rPr>
            <b/>
            <sz val="8"/>
            <color indexed="81"/>
            <rFont val="Tahoma"/>
            <family val="2"/>
          </rPr>
          <t>Espacio para colocar aquellas observaciones o comentarios concernientes al cumplimiento alcanzado, o la explicación del por qué sí se llegó o no se llegó a la meta.</t>
        </r>
      </text>
    </comment>
    <comment ref="AJ16" authorId="2" shapeId="0" xr:uid="{00000000-0006-0000-0100-000017000000}">
      <text>
        <r>
          <rPr>
            <b/>
            <sz val="8"/>
            <color indexed="81"/>
            <rFont val="Tahoma"/>
            <family val="2"/>
          </rPr>
          <t>parteaga:</t>
        </r>
        <r>
          <rPr>
            <sz val="8"/>
            <color indexed="81"/>
            <rFont val="Tahoma"/>
            <family val="2"/>
          </rPr>
          <t xml:space="preserve">
se refiere a la ejecución ponderada en relacion al % de importancia.</t>
        </r>
      </text>
    </comment>
    <comment ref="AK16" authorId="0" shapeId="0" xr:uid="{00000000-0006-0000-0100-000018000000}">
      <text>
        <r>
          <rPr>
            <b/>
            <sz val="8"/>
            <color indexed="81"/>
            <rFont val="Tahoma"/>
            <family val="2"/>
          </rPr>
          <t>Espacio para colocar aquellas observaciones o comentarios concernientes al cumplimiento alcanzado, o la explicación del por qué sí se llegó o no se llegó a la meta.</t>
        </r>
      </text>
    </comment>
    <comment ref="AO16" authorId="2" shapeId="0" xr:uid="{00000000-0006-0000-0100-000019000000}">
      <text>
        <r>
          <rPr>
            <b/>
            <sz val="8"/>
            <color indexed="81"/>
            <rFont val="Tahoma"/>
            <family val="2"/>
          </rPr>
          <t>parteaga:</t>
        </r>
        <r>
          <rPr>
            <sz val="8"/>
            <color indexed="81"/>
            <rFont val="Tahoma"/>
            <family val="2"/>
          </rPr>
          <t xml:space="preserve">
se refiere a la ejecución ponderada en relacion al % de importancia.</t>
        </r>
      </text>
    </comment>
    <comment ref="AP16" authorId="0" shapeId="0" xr:uid="{00000000-0006-0000-0100-00001A000000}">
      <text>
        <r>
          <rPr>
            <b/>
            <sz val="8"/>
            <color indexed="81"/>
            <rFont val="Tahoma"/>
            <family val="2"/>
          </rPr>
          <t>Espacio para colocar aquellas observaciones o comentarios concernientes al cumplimiento alcanzado, o la explicación del por qué sí se llegó o no se llegó a la meta.</t>
        </r>
      </text>
    </comment>
    <comment ref="AT16" authorId="2" shapeId="0" xr:uid="{00000000-0006-0000-0100-00001B000000}">
      <text>
        <r>
          <rPr>
            <b/>
            <sz val="8"/>
            <color indexed="81"/>
            <rFont val="Tahoma"/>
            <family val="2"/>
          </rPr>
          <t>parteaga:</t>
        </r>
        <r>
          <rPr>
            <sz val="8"/>
            <color indexed="81"/>
            <rFont val="Tahoma"/>
            <family val="2"/>
          </rPr>
          <t xml:space="preserve">
se refiere a la ejecución ponderada en relacion al % de importancia.</t>
        </r>
      </text>
    </comment>
    <comment ref="AU16" authorId="0" shapeId="0" xr:uid="{00000000-0006-0000-0100-00001C000000}">
      <text>
        <r>
          <rPr>
            <b/>
            <sz val="8"/>
            <color indexed="81"/>
            <rFont val="Tahoma"/>
            <family val="2"/>
          </rPr>
          <t>Espacio para colocar aquellas observaciones o comentarios concernientes al cumplimiento alcanzado, o la explicación del por qué sí se llegó o no se llegó a la meta.</t>
        </r>
      </text>
    </comment>
  </commentList>
</comments>
</file>

<file path=xl/sharedStrings.xml><?xml version="1.0" encoding="utf-8"?>
<sst xmlns="http://schemas.openxmlformats.org/spreadsheetml/2006/main" count="1418" uniqueCount="470">
  <si>
    <t>CONTROL DE CUMPLIMIENTO DE EJECUCIÓN FÍSICA</t>
  </si>
  <si>
    <t>Versión 01</t>
  </si>
  <si>
    <t>Fecha Versión:</t>
  </si>
  <si>
    <t xml:space="preserve">Objeto </t>
  </si>
  <si>
    <t>Fecha de Inicio</t>
  </si>
  <si>
    <t>Fecha de Vencimiento</t>
  </si>
  <si>
    <t>Fecha de corte</t>
  </si>
  <si>
    <t>Porcentaje de Ejecución</t>
  </si>
  <si>
    <t xml:space="preserve">OBSERVACIONES: </t>
  </si>
  <si>
    <r>
      <t>CONVENCIONES:</t>
    </r>
    <r>
      <rPr>
        <sz val="8"/>
        <rFont val="Arial"/>
        <family val="2"/>
      </rPr>
      <t xml:space="preserve"> P=Meta Proyectada, E=Ejecución</t>
    </r>
  </si>
  <si>
    <t>Descripción</t>
  </si>
  <si>
    <t>% de Importancia</t>
  </si>
  <si>
    <t>TOTALES</t>
  </si>
  <si>
    <t>P</t>
  </si>
  <si>
    <t>E</t>
  </si>
  <si>
    <t>cumplim.</t>
  </si>
  <si>
    <t>eficacia</t>
  </si>
  <si>
    <t>Observación Cualitativas</t>
  </si>
  <si>
    <t>C</t>
  </si>
  <si>
    <t>Meta Proyectada</t>
  </si>
  <si>
    <t>Meta Ejecutada</t>
  </si>
  <si>
    <t>Cumplimiento</t>
  </si>
  <si>
    <t>1.1</t>
  </si>
  <si>
    <t>1.2</t>
  </si>
  <si>
    <t>Informe</t>
  </si>
  <si>
    <t>1.3</t>
  </si>
  <si>
    <t>2.1</t>
  </si>
  <si>
    <t>2.2</t>
  </si>
  <si>
    <t>3.1</t>
  </si>
  <si>
    <t>PORCENTAJES TOTALES DEL CONTRATO/CONVENIO</t>
  </si>
  <si>
    <t>ALCANCE 1</t>
  </si>
  <si>
    <t>Total ALCANCE 1</t>
  </si>
  <si>
    <t>ALCANCE 2</t>
  </si>
  <si>
    <t>Total ALCANCE 2</t>
  </si>
  <si>
    <t>ALCANCE 3</t>
  </si>
  <si>
    <t>Total ALCANCE 3</t>
  </si>
  <si>
    <t>Seguimiento a usuarios de captaciones de agua</t>
  </si>
  <si>
    <t>Actuación</t>
  </si>
  <si>
    <t>Actas</t>
  </si>
  <si>
    <t>3.2</t>
  </si>
  <si>
    <t>ALCANCE 4</t>
  </si>
  <si>
    <t>Actividad 1.1</t>
  </si>
  <si>
    <t>Actividad 1.2</t>
  </si>
  <si>
    <t>Actividad 1.3</t>
  </si>
  <si>
    <t>Actividad 2.1</t>
  </si>
  <si>
    <t>Actividad 2.2</t>
  </si>
  <si>
    <t>Actividad 3.1</t>
  </si>
  <si>
    <t>Actividad 4.1</t>
  </si>
  <si>
    <t>Total ALCANCE 4</t>
  </si>
  <si>
    <t>CONTROL DE CUMPLIMIENTO DE EJECUCIÓN FINANCIERA</t>
  </si>
  <si>
    <t>Valor:</t>
  </si>
  <si>
    <t>Objeto</t>
  </si>
  <si>
    <t>No</t>
  </si>
  <si>
    <t>Unidad de medida</t>
  </si>
  <si>
    <t>Cantidad</t>
  </si>
  <si>
    <t>Valor por Unidad de Medida</t>
  </si>
  <si>
    <t>Valor Total por producto</t>
  </si>
  <si>
    <t>Ejecución</t>
  </si>
  <si>
    <t>Cumple</t>
  </si>
  <si>
    <t>Observa. Cualitativas</t>
  </si>
  <si>
    <t>4.1</t>
  </si>
  <si>
    <t>4.2</t>
  </si>
  <si>
    <t>5.1</t>
  </si>
  <si>
    <t>6.1</t>
  </si>
  <si>
    <t>6.2</t>
  </si>
  <si>
    <t>TOTAL PAGADO A LA FECHA DE CORTE</t>
  </si>
  <si>
    <t>IMPLEMENTACIÓN DE LOS PLANES DE ORDENAMIENTO DEL RECURSO HÍDRICO</t>
  </si>
  <si>
    <t>Evaluación y seguimiento a usuarios  del recurso hídrico</t>
  </si>
  <si>
    <t>Realizar visitas e informes de seguimiento a usuarios del recurso hídrico</t>
  </si>
  <si>
    <t>Realizar actuaciones juridicas a usuarios del recurso hídrico</t>
  </si>
  <si>
    <t>Informes</t>
  </si>
  <si>
    <t>Fortalecimiento a la gestión del riesgo, a través de procesos de formación y desarrollo de iniciativas ambientales.</t>
  </si>
  <si>
    <t>Seguimiento a los acuerdos protocolizados con comunidades étnicas.</t>
  </si>
  <si>
    <t>Seguimiento a la implementación de los PORH</t>
  </si>
  <si>
    <t>ALCANCE 5</t>
  </si>
  <si>
    <t>Reglamentación de corriente priorizada</t>
  </si>
  <si>
    <t>Realizar el proceso de reglamentación  en usos y calidad de una corriente</t>
  </si>
  <si>
    <t>Actividad 5.1</t>
  </si>
  <si>
    <t>Realizar seguimiento a la implementación de los PORH</t>
  </si>
  <si>
    <t>Realizar seguimiento a los acuerdos protocolizados con comunidades étnicas</t>
  </si>
  <si>
    <t>Actividad 2.3</t>
  </si>
  <si>
    <t>Actividad 2.4</t>
  </si>
  <si>
    <t>Actividad 2.5</t>
  </si>
  <si>
    <t>Desarrollar el proceso de selección e implementación de iniciativas ambientales</t>
  </si>
  <si>
    <t>Realizar seguimiento a los riesgos por reducción de la oferta, alteración de la calidad, incertidumbre y vulnerabilidad territorial frente a la seguridad hídrica</t>
  </si>
  <si>
    <t>2.3</t>
  </si>
  <si>
    <t>2.4</t>
  </si>
  <si>
    <t>2.5</t>
  </si>
  <si>
    <t>Realizar actividades de acompañamiento y seguimiento durante el proceso  de implementación de las iniciativas ganadoras</t>
  </si>
  <si>
    <t xml:space="preserve">Socializar y fortalecer el ejercicio de Autoridad Ambiental. </t>
  </si>
  <si>
    <t>Desarrollar escenarios de capacitación para la gestión del riesgo, BPA, proceso de legalización e iniciativas ambientales.</t>
  </si>
  <si>
    <t>Acompañar y articular el proceso de guardianes de la naturaleza y la red de liderazgo juvenil con énfasis en planificación y gestión integral del recurso hídrico.</t>
  </si>
  <si>
    <t>Base de datos / Documentos</t>
  </si>
  <si>
    <t>Iniciativas e informes</t>
  </si>
  <si>
    <t>Encuentros</t>
  </si>
  <si>
    <t>Procesos</t>
  </si>
  <si>
    <t>Total ALCANCE 5</t>
  </si>
  <si>
    <t>Diciembre de 2019</t>
  </si>
  <si>
    <t>Producto</t>
  </si>
  <si>
    <t>CONTRATO 110-CNT1905-67</t>
  </si>
  <si>
    <t>Mes (1) 29 de mayo - 28 de junio de 2019</t>
  </si>
  <si>
    <t>Mes (2) 29 de junio - 28 de julio de 2019</t>
  </si>
  <si>
    <t xml:space="preserve">Mes (3) 29 de julio - 28 de agosto de 2019  </t>
  </si>
  <si>
    <t>Mes (4) 29 de agosto - 28 de septiembre de 2019</t>
  </si>
  <si>
    <t xml:space="preserve">Mes (5) 29 de septiembre - 28 de octubre de 2019  </t>
  </si>
  <si>
    <t xml:space="preserve">Mes (6) 29 de octubre - 28 de noviembre de 2019  </t>
  </si>
  <si>
    <t xml:space="preserve">Mes (7) 29 de noviembre - 28 de diciembre de 2019  </t>
  </si>
  <si>
    <t>TOTAL ALCANCE 1</t>
  </si>
  <si>
    <t>Actividad 3.2</t>
  </si>
  <si>
    <t>CONTRATO 110-CNT2011-148</t>
  </si>
  <si>
    <t>Formulación de los Planes de Ordenamiento del Recurso Hídrico en cuerpos de agua priorizados por la Corporación</t>
  </si>
  <si>
    <t>FASE DE DECLARATORIA</t>
  </si>
  <si>
    <t>Realizar la Declaratoria en ordenamient de las corrientes R. Dolores, R. Yarumalito, Q. La Noque, Q. Sbaleta Trinidad y Q. La vívora</t>
  </si>
  <si>
    <t>Mes (1) 17/11/2020 al 16/12/2020</t>
  </si>
  <si>
    <t>Mes (2) 17/12/2020 al 16/01/2021</t>
  </si>
  <si>
    <t>Mes (3) 17/01/2021 al 16/02/2021</t>
  </si>
  <si>
    <t>Mes (4) 17/02/2021 al 16/03/2021</t>
  </si>
  <si>
    <t>Mes (5) 17/03/2021 al 16/04/2021</t>
  </si>
  <si>
    <t>Mes (6) 17/04/2021 al 16/05/2021</t>
  </si>
  <si>
    <t>Mes (7) 17/05/2021 al 16/06/2021</t>
  </si>
  <si>
    <t>Mes (8) 17/06/2021 al 16/07/2021</t>
  </si>
  <si>
    <t>Mes (9) 17/07/2021 al 16/08/2021</t>
  </si>
  <si>
    <t>Mes (10) 17/08/2021 al 16/09/2021</t>
  </si>
  <si>
    <t>Mes (11) 17/09/2021 al 16/10/2021</t>
  </si>
  <si>
    <t>Mes (12) 17/10/2021 al 16/11/2021</t>
  </si>
  <si>
    <t>Mes (13) 17/11/2021 al 16/12/2021</t>
  </si>
  <si>
    <t>Mes (14) 17/12/2021 al 16/01/2022</t>
  </si>
  <si>
    <t>316/1/2022</t>
  </si>
  <si>
    <t>FASE DE DIAGNÓSTICO</t>
  </si>
  <si>
    <t>Recorridos</t>
  </si>
  <si>
    <t>FASE DE IDENTIFICACIÓN DE LOS USOS POTENCIALES DEL RECURSO.</t>
  </si>
  <si>
    <t>3.3</t>
  </si>
  <si>
    <t>Actividad 3.3</t>
  </si>
  <si>
    <t>FASE DE FORMULACIÓN</t>
  </si>
  <si>
    <t>Actividad 4.2</t>
  </si>
  <si>
    <t>Encuentro</t>
  </si>
  <si>
    <t>CONSULTA PREVIA</t>
  </si>
  <si>
    <t>6.3</t>
  </si>
  <si>
    <t>Actividad 6.1</t>
  </si>
  <si>
    <t>Actividad 6.2</t>
  </si>
  <si>
    <t>Entregar distintivos al equipo consultor</t>
  </si>
  <si>
    <t>PORCENTAJES TOTALES DEL CONTRATO</t>
  </si>
  <si>
    <t xml:space="preserve"> TOTALES DEL CONTRATO</t>
  </si>
  <si>
    <t>Doumentos acto administrativo</t>
  </si>
  <si>
    <t>Talleres</t>
  </si>
  <si>
    <t>Documento</t>
  </si>
  <si>
    <t>Documentos</t>
  </si>
  <si>
    <t>Actos administrativos</t>
  </si>
  <si>
    <t>PLAN DE COMUNICACIONES Y PLAN DE MEDIOS</t>
  </si>
  <si>
    <t>Actividad 6.3</t>
  </si>
  <si>
    <t>Formular la estrategía de comunicaciones</t>
  </si>
  <si>
    <t>Plan  de medios</t>
  </si>
  <si>
    <t>Distintivo</t>
  </si>
  <si>
    <t>Presentar documento de metodología del Diagnóstico</t>
  </si>
  <si>
    <t>Presentar documento de metodología de la fase de identificación de los usos potenciales</t>
  </si>
  <si>
    <t>Presentar documento de metodología de la fase de Formulación</t>
  </si>
  <si>
    <t>Total PLAN</t>
  </si>
  <si>
    <t>Corte</t>
  </si>
  <si>
    <t>Acumulado</t>
  </si>
  <si>
    <t>Viajes</t>
  </si>
  <si>
    <t>Realizar recorridos de diagnostico, Visita a usuarios, estructuras y demás aspectos del diagnóstico por municipio  (10 días por cuerpo de agua por 3 profesionales) (Incluye Gastos de viaje , transporte rural y urbano)</t>
  </si>
  <si>
    <t>Entrega documento Diagnostico</t>
  </si>
  <si>
    <t>Socialización del proyecto y diligenciamiento del RURH (Incluye 100 refrigerios,  gatos de viaje, transporte de tres personas)</t>
  </si>
  <si>
    <t>Primer acercamiento y diligenciamiento del RURH (incluye gastos de viaje, transporte urbano, transporte rural de dos personas del equipo).</t>
  </si>
  <si>
    <t>Realizar el Diagnóstico Participativo (1 taller por Cuerpo de agua por 3 profesionales incluye  gastos de viaje)</t>
  </si>
  <si>
    <t>Recorridos por Cuerpo de agua (cinco días, de tres profesionales, incluye gastos de viaje y transporte urbano y rural)</t>
  </si>
  <si>
    <t>3.4</t>
  </si>
  <si>
    <t>Entrega del Documento de Definición de usos</t>
  </si>
  <si>
    <t>Realizar la fase de Formulación Participativa por cuerpo de agua (un taller por cuerpo de agua Ficha T pag 41, incluye refrigerios y gastos de 3 profesionales)</t>
  </si>
  <si>
    <t>Actividad 4.3</t>
  </si>
  <si>
    <t>4.3</t>
  </si>
  <si>
    <t>Entregar documento de fase de formulación y PORH</t>
  </si>
  <si>
    <t>Recorridos (incluyen gastos de viaje de 3 profesionales por 5 dias, recorridos urbanos y rurales)</t>
  </si>
  <si>
    <t>Presentar documento propuesta de ruta metodológica y diseño de la Consulta previa</t>
  </si>
  <si>
    <t>Actividad 5.2</t>
  </si>
  <si>
    <t>Actividad 5.3</t>
  </si>
  <si>
    <t>Viaje</t>
  </si>
  <si>
    <t>5.2</t>
  </si>
  <si>
    <t>5.3</t>
  </si>
  <si>
    <t>Kit Distintivos</t>
  </si>
  <si>
    <t>CONSORCIO PORH 2020</t>
  </si>
  <si>
    <t>Representante Legal</t>
  </si>
  <si>
    <t>C.C. No 79.531.170 de Bogotá D.C</t>
  </si>
  <si>
    <t>OSCAR HERNANDO SUAREZ AREVALO</t>
  </si>
  <si>
    <t xml:space="preserve">TOTAL </t>
  </si>
  <si>
    <t xml:space="preserve">IVA </t>
  </si>
  <si>
    <t>Subtotal antes de IVA</t>
  </si>
  <si>
    <t>AU</t>
  </si>
  <si>
    <t>SUBTOTAL (Costos Personal + Costos Directos)</t>
  </si>
  <si>
    <t>SUBTOTAL COSTOS DIRECTOS</t>
  </si>
  <si>
    <t>Plan</t>
  </si>
  <si>
    <t xml:space="preserve">Encuentros </t>
  </si>
  <si>
    <t>Jornadas</t>
  </si>
  <si>
    <t>VALOR TOTAL</t>
  </si>
  <si>
    <t>VALOR UNITARIO</t>
  </si>
  <si>
    <t>CANTIDAD UNIDAD DE MEDIDA</t>
  </si>
  <si>
    <t>UNIDAD DE MEDIDA</t>
  </si>
  <si>
    <t>ÍTEM</t>
  </si>
  <si>
    <t>2. COSTOS DIRECTOS</t>
  </si>
  <si>
    <t>SUBTOTAL PERSONAL (Mano de Obra Calificada )</t>
  </si>
  <si>
    <t>Subtotal Mano de Obra calificada</t>
  </si>
  <si>
    <t>Mes</t>
  </si>
  <si>
    <t>Bachiller promotor sin experiencia cuerpo de agua Q. Sabaletas T</t>
  </si>
  <si>
    <t>Bachiller promotor sin experiencia cuerpo de agua R. Dolores</t>
  </si>
  <si>
    <t>Bachiller promotor sin experiencia cuerpo de agua Q. Yarumalito</t>
  </si>
  <si>
    <t>Bachiller promotor sin experiencia cuerpo de agua La Noque</t>
  </si>
  <si>
    <t>Bachiller promotor sin experiencia cuerpo de agua La Vibora</t>
  </si>
  <si>
    <t xml:space="preserve">Profesional en ingeniería sin experiencia </t>
  </si>
  <si>
    <t>Profesional especialista obras hidráulica</t>
  </si>
  <si>
    <t>Tecnólogo en área social, administrativa o ambiental (apoyo)</t>
  </si>
  <si>
    <t>Profesional especialista en planificación</t>
  </si>
  <si>
    <t>Profesional en SIG</t>
  </si>
  <si>
    <t>Profesional en el área de comunicaciones y diseño grafico</t>
  </si>
  <si>
    <t>Profesional en el área social</t>
  </si>
  <si>
    <t xml:space="preserve">Profesionales con experiencia en hidrobiología   </t>
  </si>
  <si>
    <t>Tecnólogo sin experiencia</t>
  </si>
  <si>
    <t xml:space="preserve">Tecnólogos ambientales </t>
  </si>
  <si>
    <t>Profesional con experiencia en instrumentos económicos</t>
  </si>
  <si>
    <t xml:space="preserve">Profesional especialista en modelación </t>
  </si>
  <si>
    <t>Profesional especialista en calidad y cantidad del agua</t>
  </si>
  <si>
    <t>Profesional especialista en hidrología</t>
  </si>
  <si>
    <t xml:space="preserve">Profesional especialista socio -ambiental  </t>
  </si>
  <si>
    <t>Profesional con experiencia en el área ambiental – Coordinador de Proyectos</t>
  </si>
  <si>
    <t>Mano de Obra Calificada</t>
  </si>
  <si>
    <t>FACTOR PRESTACIONAL</t>
  </si>
  <si>
    <t>DEDICACION (%)</t>
  </si>
  <si>
    <t>CANTIDAD</t>
  </si>
  <si>
    <t>1. COSTOS DE PERSONAL</t>
  </si>
  <si>
    <t>CUADRO A - PROPUESTA ECONÓMICA</t>
  </si>
  <si>
    <t>Objeto: “Formulación de los Planes de Ordenamiento del Recurso Hídrico en cuerpos de agua priorizados por la Corporación”</t>
  </si>
  <si>
    <t>Formato Propuesta Económica Concurso de Méritos No. 110-CM2008-7</t>
  </si>
  <si>
    <t>VALOR TOTAL ALCANCE 1</t>
  </si>
  <si>
    <t>VALOR TOTAL COSTOS DIRECTOS</t>
  </si>
  <si>
    <t>V/U x ACTIVIDAD</t>
  </si>
  <si>
    <t>VALOR COSTO UNITARIO ACTIVIDAD</t>
  </si>
  <si>
    <t>VALOR COSTO TOTAL ACTIVIDAD 1.2</t>
  </si>
  <si>
    <t>Transporte medellín a municipios y recorridos urbanos-Q. Vibora (Municipio de Amalfi)</t>
  </si>
  <si>
    <t>Transporte medellín a municipios y recorridos urbanos-Q. Vibora (Municipio de Anorí)</t>
  </si>
  <si>
    <t>Transporte medellín a municipios y recorridos urbanos-Q. Sabaletas Trinidad (Municipio Santa Barbará)</t>
  </si>
  <si>
    <t>Transporte medellín a municipios y recorridos urbanos-Q. Sabaletas Trinidad (Municipio Montebello )</t>
  </si>
  <si>
    <t>Transporte medellín a municipios y recorridos urbanos-Q. La Noque (Municipio de Caicedo)</t>
  </si>
  <si>
    <t>Transporte medellín a municipios y recorridos urbanos- Q. Yarumalito (Municipio de Yarumal)</t>
  </si>
  <si>
    <t>Transporte medellín a municipios y recorridos urbanos-R. Dolores (Municipio de Angostura)</t>
  </si>
  <si>
    <t>Transporte para recorridos rurales Q. Vibora (Municipio de Anorí y Amalfi)</t>
  </si>
  <si>
    <t>Transporte para recorridos rurales -Q. Sabaletas Trinidad (Municipio Montebello y Santa Barbará)</t>
  </si>
  <si>
    <t>Transporte para recorridos rurales Q. La Noque  (Municipio Caicedo)</t>
  </si>
  <si>
    <t>Transporte para recorridos rurales Q. Yarumalito (Municipio de Yarumal)</t>
  </si>
  <si>
    <t>Transporte para recorridos rurales R. Dolores (Municipio de Angostura)</t>
  </si>
  <si>
    <t>Transporte para socialización Q. Vibora (Municipio de Amalfi)</t>
  </si>
  <si>
    <t>Transporte para socialización Q. Vibora (Municipio de Anorí)</t>
  </si>
  <si>
    <t>Transporte para socialización -Q. Sabaletas Trinidad (Municipio Santa Barbará)</t>
  </si>
  <si>
    <t>Transporte para socialización -Q. Sabaletas Trinidad (Municipio Montebello)</t>
  </si>
  <si>
    <t>Transporte para socialización Q. La Noque  (Municipio Caicedo)</t>
  </si>
  <si>
    <t>Transporte para socialización Q. Yarumalito (Municipio de Yarumal)</t>
  </si>
  <si>
    <t>Transporte para socialización R. Dolores (Municipio de Angostura)</t>
  </si>
  <si>
    <t>VALOR TOTAL ($)</t>
  </si>
  <si>
    <t>VALOR UNITARIO ($)</t>
  </si>
  <si>
    <t>TOTAL ACTIVIDAD (CANTIDAD X PERSONAL)</t>
  </si>
  <si>
    <t>PERSONAS ACOMPAÑANTE</t>
  </si>
  <si>
    <t>CANTIDAD ITEM</t>
  </si>
  <si>
    <t>Actividad 1.2 Recorridos para socialización y diligenciamiento RURH</t>
  </si>
  <si>
    <t>VALOR COSTO TOTAL ACTIVIDAD 1.1</t>
  </si>
  <si>
    <t>Día</t>
  </si>
  <si>
    <t>Gastos de viaje - Primer acercamiento y diligenciamiento RURH - Q. Vibora (Municipio de Anorí y Amalfi)</t>
  </si>
  <si>
    <t>Gastos de viaje - Primer acercamiento y diligenciamiento RURH - Q. Sabaletas Trinidad (Municipio Montebello y Santa Barbará)</t>
  </si>
  <si>
    <t>Gastos de viaje - Primer acercamiento y diligenciamiento RURH - Q. La Noque (Municipio de Caicedo)</t>
  </si>
  <si>
    <t>Gastos de viaje Primer acercamiento y diligenciamiento RURH - Q. Yarumalito (Municipio de Yarumal)</t>
  </si>
  <si>
    <t>Gastos de viaje - Primer Acercamiento y diligenciamiento RURH - R. Dolores (Municipio de Angostura)</t>
  </si>
  <si>
    <t>Gastos de viaje para socialización del proyecto Q. Vibora (Municipio de  Amalfi)</t>
  </si>
  <si>
    <t>Gastos de viaje para socialización del proyecto Q. Vibora (Municipio de Anorí)</t>
  </si>
  <si>
    <t>Gastos de viaje para socialización del proyecto Q. Sabaletas Trinidad (Municipio Santa Barbará)</t>
  </si>
  <si>
    <t>Gastos de viaje para socialización del proyecto Q. Sabaletas Trinidad (Municipio Montebello)</t>
  </si>
  <si>
    <t>Gastos de viaje para socialización del proyecto Q. La Noque (Municipio de Caicedo)</t>
  </si>
  <si>
    <t>Gastos de viaje para socialización del proyecto Q. Yarumalito (Municipio de Yarumal)</t>
  </si>
  <si>
    <t>Gastos de viaje para socialización del proyecto  R. Dolores (Municipio de Angostura)</t>
  </si>
  <si>
    <t>NA</t>
  </si>
  <si>
    <t xml:space="preserve">Refrigerios </t>
  </si>
  <si>
    <t>Refrigerios (20 personas, 5 cuencas)</t>
  </si>
  <si>
    <t>Actividad 1.1 Socialización, acercamiento y diligenciamiento RURH</t>
  </si>
  <si>
    <t>Recorridos por los cuerpos de agua, interacción y reconocimiento de actores y registro de usuarios del recurso hídrico</t>
  </si>
  <si>
    <t>ESPECIFICACIÓN TÉCNICA PARA EL PRECIO UNITARIO</t>
  </si>
  <si>
    <t>UNIDAD DE MEDIDA PARA EL PRECIO UNITARIO</t>
  </si>
  <si>
    <t>Socialización, reconocimiento de cuerpos de agua y registro de  usuarios del recurso hídrico</t>
  </si>
  <si>
    <t>NOMBRE DEL COSTO DIRECTO</t>
  </si>
  <si>
    <t>SUBTOTAL PERSONAL (Mano de Obra Calificada)</t>
  </si>
  <si>
    <t>Cuadro B - Alcance 1</t>
  </si>
  <si>
    <t>VALOR TOTAL ALCANCE 3</t>
  </si>
  <si>
    <t>VALOR COSTO TOTAL ACTIVIDAD 3.3</t>
  </si>
  <si>
    <t>Transporte medellín a municipios y recorridos urbanos-Q. Sabaletas Trinidad (Municipio Montebello)</t>
  </si>
  <si>
    <t>Transporte medellín a municipios y recorridos urbanos-Q. La Noque  (Municipio de Caicedo)</t>
  </si>
  <si>
    <t>Transporte para  modelación usos Q. Vibora (Municipio de Amalfi)</t>
  </si>
  <si>
    <t>Transporte para  modelación usos -Q. Sabaletas Trinidad (Municipio Montebello)</t>
  </si>
  <si>
    <t>Transporte para  modelación usos Q. La Noque  (Municipio Caicedo)</t>
  </si>
  <si>
    <t>Transporte para  modelación usos Q. Yarumalito (Municipio de Yarumal)</t>
  </si>
  <si>
    <t>Transporte para  modelación R. Dolores (Municipio de Angostura)</t>
  </si>
  <si>
    <t>Transporte para  definición usos Q. Vibora (Municipio de Amalfi)</t>
  </si>
  <si>
    <t>Transporte para  definición usos Q. Vibora (Municipio de Anorí)</t>
  </si>
  <si>
    <t>Transporte para  definición usos -Q. Sabaletas Trinidad (Municipio Santa Barbará)</t>
  </si>
  <si>
    <t>Transporte para  definición usos -Q. Sabaletas Trinidad (Municipio Montebello)</t>
  </si>
  <si>
    <t>Transporte para  definición usos Q. La Noque  (Municipio Caicedo)</t>
  </si>
  <si>
    <t>Transporte para  definición usos Q. Yarumalito (Municipio de Yarumal)</t>
  </si>
  <si>
    <t>Transporte para  definición usos R. Dolores (Municipio de Angostura)</t>
  </si>
  <si>
    <t>Actividad 3.3 Transporte a municipios para definición de usos actuales y potenciales</t>
  </si>
  <si>
    <t>VALOR COSTO TOTAL ACTIVIDAD 3.2</t>
  </si>
  <si>
    <t>Gastos de viaje - P recorridos Usos - Q. Vibora (Municipio de Anorí y Amalfi)</t>
  </si>
  <si>
    <t>Gastos de viaje - recorridos Usos- Q. Sabaletas Trinidad (Municipio Montebello y Santa Barbará)</t>
  </si>
  <si>
    <t>Gastos de viaje - recorridos Usos - Q. La Noque (Municipio de Caicedo)</t>
  </si>
  <si>
    <t>Gastos de viaje  recorridos Usos - Q. Yarumalito (Municipio de Yarumal)</t>
  </si>
  <si>
    <t>Gastos de viaje - recorridos Usos- R. Dolores (Municipio de Angostura)</t>
  </si>
  <si>
    <t>Gastos de viaje para talleres modelación</t>
  </si>
  <si>
    <t>Gastos de viaje para  definición usos del proyecto  Q. Vibora (Municipio de Anorí y Amalfi)</t>
  </si>
  <si>
    <t>Gastos de viaje para  definición usos del proyecto Q. Sabaletas Trinidad (Municipio Montebello y Santa Barbará)</t>
  </si>
  <si>
    <t>Gastos de viaje para  definición usos del proyecto Q. La Noque (Municipio de Caicedo)</t>
  </si>
  <si>
    <t>Gastos de viaje para  definición usos del proyecto Q. Yarumalito (Municipio de Yarumal)</t>
  </si>
  <si>
    <t>Gastos de viaje para definición usos del proyecto  R. Dolores (Municipio de Angostura)</t>
  </si>
  <si>
    <t>PERSONAS POR ACTIVIDAD</t>
  </si>
  <si>
    <t>Actividad 3.2 Definición de usos actuales y potenciales participativo</t>
  </si>
  <si>
    <t>Realización de talleres</t>
  </si>
  <si>
    <t>Proceso participativo para definición de usos actuales y potenciales</t>
  </si>
  <si>
    <t>VALOR COSTO TOTAL ACTIVIDAD 3.1</t>
  </si>
  <si>
    <t>Almuerzo/día</t>
  </si>
  <si>
    <t>Almuerzo</t>
  </si>
  <si>
    <t>refrigerio/día</t>
  </si>
  <si>
    <t>Refrigerios</t>
  </si>
  <si>
    <t>Kit</t>
  </si>
  <si>
    <t>Kit academico (cuaderno+lapicero)</t>
  </si>
  <si>
    <t>Unidad</t>
  </si>
  <si>
    <t>Memorias</t>
  </si>
  <si>
    <t>Actividad 3.1 Fortalecimiento en modelación y planificación</t>
  </si>
  <si>
    <t>Jornadas de capacitación</t>
  </si>
  <si>
    <t>Talleres modelacion</t>
  </si>
  <si>
    <t>Cuadro B - Alcance 3</t>
  </si>
  <si>
    <t>VALOR TOTAL ALCANCE 4</t>
  </si>
  <si>
    <t>VALOR COSTO TOTAL ACTIVIDAD 4.2</t>
  </si>
  <si>
    <t>Transporte para recorridos elaboración del plan rurales Q. Vibora (Municipio de Anorí y Amalfi)</t>
  </si>
  <si>
    <t>Transporte para recorridos elaboración del plan rurales -Q. Sabaletas Trinidad (Municipio Montebello y Santa Barbará)</t>
  </si>
  <si>
    <t>Transporte para recorridos elaboración del planrurales Q. La Noque  (Municipio Caicedo)</t>
  </si>
  <si>
    <t>Transporte para recorridos elaboración del plan rurales Q. Yarumalito (Municipio de Yarumal)</t>
  </si>
  <si>
    <t>Transporte para recorridos elaboración del plan rurales R. Dolores (Municipio de Angostura)</t>
  </si>
  <si>
    <t>Transporte para elaboración del plan Q. Vibora (Municipio de Amalfi)</t>
  </si>
  <si>
    <t>Transporte para elaboración del plan Q. Vibora (Municipio de Anorí)</t>
  </si>
  <si>
    <t>Transporte para  elaboración del plan -Q. Sabaletas Trinidad (Municipio Santa Barbará)</t>
  </si>
  <si>
    <t>Transporte para elaboración del plan -Q. Sabaletas Trinidad (Municipio Montebello )</t>
  </si>
  <si>
    <t>Transporte para elaboración del plan Q. La Noque  (Municipio Caicedo)</t>
  </si>
  <si>
    <t>Transporte para elaboración del plan Q. Yarumalito (Municipio de Yarumal)</t>
  </si>
  <si>
    <t>Transporte para elaboración del plan R. Dolores (Municipio de Angostura)</t>
  </si>
  <si>
    <t>Actividad 4.2 Transporte a municipios para fase de formulación</t>
  </si>
  <si>
    <t>VALOR COSTO TOTAL ACTIVIDAD 4.1</t>
  </si>
  <si>
    <t>Gastos de viaje - recorridos - Q. Vibora (Municipio de Anorí y Amalfi)</t>
  </si>
  <si>
    <t>Gastos de viaje -recorridos - Q. Sabaletas Trinidad (Municipio Montebello y Santa Barbará)</t>
  </si>
  <si>
    <t>Gastos de viaje - recorridos - Q. La Noque (Municipio de Caicedo)</t>
  </si>
  <si>
    <t>Gastos de viaje recorridos - Q. Yarumalito (Municipio de Yarumal)</t>
  </si>
  <si>
    <t>Gastos de viaje - recorridos (Municipio de Angostura)</t>
  </si>
  <si>
    <t>Gastos de viaje para elaboración del plan del proyecto  Q. Vibora (Municipio de Anorí y Amalfi)</t>
  </si>
  <si>
    <t>Gastos de viaje para elaboración del plan del proyecto Q. Sabaletas Trinidad (Municipio Montebello y Santa Barbará)</t>
  </si>
  <si>
    <t>Gastos de viaje para  elaboración del plan del proyecto Q. La Noque (Municipio de Caicedo)</t>
  </si>
  <si>
    <t>Gastos de viaje para  elaboración del plan del proyecto Q. Yarumalito (Municipio de Yarumal)</t>
  </si>
  <si>
    <t>Gastos de viaje para elaboración del plan del proyecto  R. Dolores (Municipio de Angostura)</t>
  </si>
  <si>
    <t>Actividad 4.1 fase de formulación participativa</t>
  </si>
  <si>
    <t>Proceso participativo para fase de formulación</t>
  </si>
  <si>
    <t>Cuadro B - Alcance 4</t>
  </si>
  <si>
    <t>VALOR TOTAL PLAN DE COMUNICACIONES</t>
  </si>
  <si>
    <t>VALOR COSTO TOTAL DISTINTIVOS</t>
  </si>
  <si>
    <t>Distintivo (Chaleco+camibuso+Gorra+Carnet)</t>
  </si>
  <si>
    <t>VALOR COSTO TOTAL PLAN DE MEDIOS</t>
  </si>
  <si>
    <t>Plan de medios</t>
  </si>
  <si>
    <t>VALOR COSTO TOTAL ESTRATEGIA DE COMUNICACIONES</t>
  </si>
  <si>
    <t>Estrategia de comunicaciones</t>
  </si>
  <si>
    <t>Estrategía de Comunicaciones</t>
  </si>
  <si>
    <t>Estrategia de comunicaciones y plan de medios</t>
  </si>
  <si>
    <t>Global</t>
  </si>
  <si>
    <t>Cuadro B - Plan de Comunicaciones</t>
  </si>
  <si>
    <t>La memoria de cálculo se considera un respaldo que da cuenta todos los items que se necesitaron para la construcción de un costo directo.</t>
  </si>
  <si>
    <t xml:space="preserve">NOTA No.1 </t>
  </si>
  <si>
    <t>VALOR COSTO UNITARIO</t>
  </si>
  <si>
    <t>VALOR COSTO TOTAL ACTIVIDAD</t>
  </si>
  <si>
    <t>SUBTOTAL OTROS GASTOS</t>
  </si>
  <si>
    <t>Transporte para garante en proceso de consulta previa</t>
  </si>
  <si>
    <t>Gastos de viaje - Taller 1 Comunidades Etnicas - Río Taraza- Panzenu</t>
  </si>
  <si>
    <t>Gastos de viaje - Taller 1 Comunidades Etnicas- Río Anorí - Tahamies-Panzenu</t>
  </si>
  <si>
    <t>OTROS GASTOS</t>
  </si>
  <si>
    <t>SUBTOTAL MAQUINARIA Y EQUIPO</t>
  </si>
  <si>
    <t>VALOR TOTAL ALCANCE 5</t>
  </si>
  <si>
    <t>VALOR COSTO TOTAL ACTIVIDAD 5.2</t>
  </si>
  <si>
    <t>Gastos de viaje y transporte profesionales - Taller  Comunidades étnicas-</t>
  </si>
  <si>
    <t>MAQUINARIA Y EQUIPO</t>
  </si>
  <si>
    <t>Días</t>
  </si>
  <si>
    <t>Transporte promotores:1 por comunidad</t>
  </si>
  <si>
    <t xml:space="preserve"> </t>
  </si>
  <si>
    <t>SUBTOTAL OBRA FISICA, MATERIALES Y SUMINISTROS</t>
  </si>
  <si>
    <t>PERSONAL ACOMPAÑANTE</t>
  </si>
  <si>
    <t>Actividad 5.2 Transporte proceso Consulta Previa</t>
  </si>
  <si>
    <t>VALOR COSTO TOTAL ACTIVIDAD 5.1</t>
  </si>
  <si>
    <t>Transporte/gastos de viaje garante</t>
  </si>
  <si>
    <t>N/A</t>
  </si>
  <si>
    <t>Logistica encuentro (papeleria, impresora, material didactico)</t>
  </si>
  <si>
    <t>Registro audiovisual de los encuentros de consulta previa</t>
  </si>
  <si>
    <t>Almuerzos</t>
  </si>
  <si>
    <t>Personas/Encuentro</t>
  </si>
  <si>
    <t>Alimentación encuentros (encuentros en la comunidad 6 (3 con Mininterior, 3 intermedios). 20 personas por comunidad</t>
  </si>
  <si>
    <t>Refrigerios talleres</t>
  </si>
  <si>
    <t>Actividad 5.1 Encuentros Proceso de Consulta Previa</t>
  </si>
  <si>
    <t>DESCRIPCIÓN DEL GASTO</t>
  </si>
  <si>
    <t>COSTOS DIRECTOS</t>
  </si>
  <si>
    <t>Realización de encuentros con comunidades étnicas. Para cada comunidad se contemplan: 3 momentos con Mininterior y 3 encuentros previos de preparación.</t>
  </si>
  <si>
    <t>Realización de talleres con comunidades etnicas</t>
  </si>
  <si>
    <t>Proceso de Consulta Previa con comunidades etnicas</t>
  </si>
  <si>
    <t>MEMORIA DE CALCULO DETALLE</t>
  </si>
  <si>
    <t>Cuadro B - Alcance 5</t>
  </si>
  <si>
    <t xml:space="preserve">VALOR TOTAL ALCANCE 2 </t>
  </si>
  <si>
    <t>VALOR COSTO TOTAL ACTIVIDAD 2.2</t>
  </si>
  <si>
    <t>Transporte para diagnóstico Q. Vibora (Municipio de Amalfi)</t>
  </si>
  <si>
    <t>Transporte para diagnóstico Q. Vibora (Municipio de Anorí)</t>
  </si>
  <si>
    <t>Transporte para diagnóstico -Q. Sabaletas Trinidad (Municipio Santa Barbará)</t>
  </si>
  <si>
    <t>Transporte para diagnóstico -Q. Sabaletas Trinidad (Municipio Montebello)</t>
  </si>
  <si>
    <t>Transporte para diagnóstico Q. La Noque  (Municipio Caicedo)</t>
  </si>
  <si>
    <t>Transporte para diagnóstico Q. Yarumalito (Municipio de Yarumal)</t>
  </si>
  <si>
    <t>Transporte para diagnóstico R. Dolores (Municipio de Angostura)</t>
  </si>
  <si>
    <t>Actividad 2.2 Visitas a usuarios, estructuras y demas aspectos relacionados con el diagnóstico</t>
  </si>
  <si>
    <t>VALOR COSTO TOTAL ACTIVIDAD 2.1</t>
  </si>
  <si>
    <t>Gastos de viaje - diagnóstico - Q. Vibora (Municipio de Anorí y Amalfi)</t>
  </si>
  <si>
    <t>Gastos de viaje -diagnóstico - Q. Sabaletas Trinidad (Municipio Montebello y Santa Barbará)</t>
  </si>
  <si>
    <t>Gastos de viaje - diagnóstico - Q. La Noque (Municipio de Caicedo)</t>
  </si>
  <si>
    <t>Gastos de viaje diagnóstico - Q. Yarumalito (Municipio de Yarumal)</t>
  </si>
  <si>
    <t>Gastos de viaje - diagnostico RURH - R. Dolores (Municipio de Angostura)</t>
  </si>
  <si>
    <t>Gastos de viaje para diagnóstico del proyecto  Q. Vibora (Municipio de Anorí y Amalfi)</t>
  </si>
  <si>
    <t>Gastos de viaje para diagnóstico del proyecto Q. Sabaletas Trinidad (Municipio Montebello y Santa Barbará)</t>
  </si>
  <si>
    <t>Gastos de viaje para diagnóstico del proyecto Q. La Noque (Municipio de Caicedo)</t>
  </si>
  <si>
    <t>Gastos de viaje para diagnóstico del proyecto Q. Yarumalito (Municipio de Yarumal)</t>
  </si>
  <si>
    <t>Gastos de viaje para diagnóstico del proyecto  R. Dolores (Municipio de Angostura)</t>
  </si>
  <si>
    <t>Actividad 2.1 Realización de diagnóstico participativo</t>
  </si>
  <si>
    <t>Realización de jornadas</t>
  </si>
  <si>
    <t>Proceso participativo para elaboración del Diagnóstico (Entes territoriales, sectores y comunidad en general)</t>
  </si>
  <si>
    <t>Cuadro B - Alcance 2</t>
  </si>
  <si>
    <t>TOTAL</t>
  </si>
  <si>
    <t>Estrategia de comunicaciones y plan de medios.</t>
  </si>
  <si>
    <t>Plan de Comunicaciones</t>
  </si>
  <si>
    <t>Desarrollar y acompañar el proceso de consulta previa con las comunidades étnicas presentes en las cuencas.</t>
  </si>
  <si>
    <t xml:space="preserve">Alcance 5 </t>
  </si>
  <si>
    <t>Elaborar los Planes de Ordenamiento del Recurso Hídrico – PORH de las quebradas La Noque, Sabaletas Trinidad, La Viborita, Yarumalito y el río Dolores.</t>
  </si>
  <si>
    <t>Alcance 4</t>
  </si>
  <si>
    <t>Identificar los usos actuales y potenciales del recurso hídrico.</t>
  </si>
  <si>
    <t>Alcance 3</t>
  </si>
  <si>
    <t>Realizar el diagnóstico de cada uno de los cuerpos de agua teniendo en cuenta sus aspectos sociales, físicos, bióticos y antrópicos.</t>
  </si>
  <si>
    <t>Alcance 2</t>
  </si>
  <si>
    <t>Elaborar la fase de Declaratoria en Ordenamiento de los siguientes cuerpos de agua: Las quebradas La Noque, Sabaletas Trinidad, La Viborita, Yarumalito y el río Dolores.</t>
  </si>
  <si>
    <t>Alcance 1</t>
  </si>
  <si>
    <r>
      <t xml:space="preserve">TOTAL ALCANCE </t>
    </r>
    <r>
      <rPr>
        <b/>
        <sz val="10"/>
        <rFont val="Arial"/>
        <family val="2"/>
      </rPr>
      <t>($)</t>
    </r>
  </si>
  <si>
    <r>
      <t xml:space="preserve">IVA </t>
    </r>
    <r>
      <rPr>
        <b/>
        <sz val="9"/>
        <color rgb="FFFF0000"/>
        <rFont val="Arial"/>
        <family val="2"/>
      </rPr>
      <t>19</t>
    </r>
    <r>
      <rPr>
        <b/>
        <sz val="9"/>
        <color rgb="FF000000"/>
        <rFont val="Arial"/>
        <family val="2"/>
      </rPr>
      <t xml:space="preserve">% </t>
    </r>
    <r>
      <rPr>
        <b/>
        <sz val="10"/>
        <rFont val="Arial"/>
        <family val="2"/>
      </rPr>
      <t>($)</t>
    </r>
  </si>
  <si>
    <r>
      <t xml:space="preserve">SUBTOTAL ANTES DE IVA </t>
    </r>
    <r>
      <rPr>
        <b/>
        <sz val="10"/>
        <rFont val="Arial"/>
        <family val="2"/>
      </rPr>
      <t>($)</t>
    </r>
  </si>
  <si>
    <r>
      <t xml:space="preserve">AU </t>
    </r>
    <r>
      <rPr>
        <b/>
        <sz val="9"/>
        <color rgb="FFFF0000"/>
        <rFont val="Arial"/>
        <family val="2"/>
      </rPr>
      <t>15%</t>
    </r>
    <r>
      <rPr>
        <b/>
        <sz val="9"/>
        <color rgb="FF000000"/>
        <rFont val="Arial"/>
        <family val="2"/>
      </rPr>
      <t xml:space="preserve"> </t>
    </r>
    <r>
      <rPr>
        <b/>
        <sz val="10"/>
        <rFont val="Arial"/>
        <family val="2"/>
      </rPr>
      <t>($)</t>
    </r>
  </si>
  <si>
    <r>
      <t>SUBTOTAL (Costos Personal + Costos Directos)</t>
    </r>
    <r>
      <rPr>
        <b/>
        <sz val="10"/>
        <rFont val="Arial"/>
        <family val="2"/>
      </rPr>
      <t xml:space="preserve"> ($)</t>
    </r>
  </si>
  <si>
    <t>DENOMINACIÓN</t>
  </si>
  <si>
    <t>ALCANCE</t>
  </si>
  <si>
    <t xml:space="preserve">En los siguientes cuadros se deben costear los alcances en que consiste el objeto contractual, de tal forma que el total cuadro B, coincida con el total del cuadro C, síntesis de los alcances.	</t>
  </si>
  <si>
    <t>CUADRO C - SÍNTISIS DE LOS ALCANCES</t>
  </si>
  <si>
    <t>Mano de Obra</t>
  </si>
  <si>
    <t>Neto</t>
  </si>
  <si>
    <t>AI</t>
  </si>
  <si>
    <t>IVA</t>
  </si>
  <si>
    <t>Total</t>
  </si>
  <si>
    <t>Gastos de Recorrido</t>
  </si>
  <si>
    <t>Transporte</t>
  </si>
  <si>
    <t>Subtotal</t>
  </si>
  <si>
    <t>Definición de usos actuales y potenciales participativo - Creación de las Mesas temáticas  (un taller por cuerpo de agua)(Incluye gastos de viaje y de transporte de tres profesionales)</t>
  </si>
  <si>
    <t>Actividad 3.4</t>
  </si>
  <si>
    <t>Fortalecimiento en modelción y Planificacion - Capacitación en modelación (5 talleres de dos dias por cuerpo de agua, se ajustará presupuestos con otras actividades para la logística, incluye kit del taller, memorias, 4 refrigerios y dos almuerzo para 20  personas en cada cuenca )</t>
  </si>
  <si>
    <t>Transporte promotores (uno por comunidad de consulta previa) y profesionales (2) a encuentros</t>
  </si>
  <si>
    <t>Desarrolar y acompañar el proceso de consulta previa (incluye 240 alimentaciones,  6 registros audivisulaes, 12 gastos de logística, y 12 viajes al garante)</t>
  </si>
  <si>
    <t>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</si>
</sst>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40A]d&quot; de &quot;mmmm&quot; de &quot;yyyy;@"/>
    <numFmt numFmtId="167" formatCode="0.0%"/>
    <numFmt numFmtId="168" formatCode="&quot;$&quot;\ #,##0"/>
    <numFmt numFmtId="169" formatCode="[$-C0A]d\ &quot;de&quot;\ mmmm\ &quot;de&quot;\ yyyy;@"/>
    <numFmt numFmtId="170" formatCode="&quot;$&quot;\ #,##0.00"/>
    <numFmt numFmtId="171" formatCode="&quot;$&quot;\ #,##0.0000000000"/>
    <numFmt numFmtId="172" formatCode="&quot;$&quot;\ #,##0.0"/>
    <numFmt numFmtId="173" formatCode="_(&quot;$&quot;\ * #,##0.00_);_(&quot;$&quot;\ * \(#,##0.00\);_(&quot;$&quot;\ * &quot;-&quot;??_);_(@_)"/>
    <numFmt numFmtId="174" formatCode="_-* #,##0\ &quot;€&quot;_-;\-* #,##0\ &quot;€&quot;_-;_-* &quot;-&quot;\ &quot;€&quot;_-;_-@_-"/>
    <numFmt numFmtId="175" formatCode="_(&quot;C$&quot;* #,##0.00_);_(&quot;C$&quot;* \(#,##0.00\);_(&quot;C$&quot;* &quot;-&quot;??_);_(@_)"/>
    <numFmt numFmtId="176" formatCode="_([$$-240A]\ * #,##0_);_([$$-240A]\ * \(#,##0\);_([$$-240A]\ * &quot;-&quot;??_);_(@_)"/>
    <numFmt numFmtId="177" formatCode="_-[$$-240A]* #,##0_-;\-[$$-240A]* #,##0_-;_-[$$-240A]* &quot;-&quot;??_-;_-@_-"/>
    <numFmt numFmtId="178" formatCode="_-[$$-240A]\ * #,##0_-;\-[$$-240A]\ * #,##0_-;_-[$$-240A]\ * &quot;-&quot;??_-;_-@_-"/>
    <numFmt numFmtId="179" formatCode="_ * #,##0_ ;_ * \-#,##0_ ;_ * &quot;-&quot;??_ ;_ @_ "/>
    <numFmt numFmtId="180" formatCode="_-[$$-240A]\ * #,##0.00_-;\-[$$-240A]\ * #,##0.00_-;_-[$$-240A]\ * &quot;-&quot;??_-;_-@_-"/>
    <numFmt numFmtId="181" formatCode="_(&quot;$&quot;\ * #,##0_);_(&quot;$&quot;\ * \(#,##0\);_(&quot;$&quot;\ * &quot;-&quot;??_);_(@_)"/>
  </numFmts>
  <fonts count="45" x14ac:knownFonts="1">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8"/>
      <color indexed="8"/>
      <name val="Arial"/>
      <family val="2"/>
    </font>
    <font>
      <sz val="8"/>
      <name val="Times New Roman"/>
      <family val="1"/>
    </font>
    <font>
      <b/>
      <sz val="8"/>
      <color indexed="81"/>
      <name val="Tahoma"/>
      <family val="2"/>
    </font>
    <font>
      <sz val="8"/>
      <color indexed="81"/>
      <name val="Tahoma"/>
      <family val="2"/>
    </font>
    <font>
      <b/>
      <sz val="8"/>
      <color rgb="FF000000"/>
      <name val="Tahoma"/>
      <family val="2"/>
    </font>
    <font>
      <b/>
      <sz val="9"/>
      <color rgb="FF000000"/>
      <name val="Tahoma"/>
      <family val="2"/>
    </font>
    <font>
      <u/>
      <sz val="11"/>
      <color theme="10"/>
      <name val="Calibri"/>
      <family val="2"/>
      <scheme val="minor"/>
    </font>
    <font>
      <u/>
      <sz val="11"/>
      <color theme="11"/>
      <name val="Calibri"/>
      <family val="2"/>
      <scheme val="minor"/>
    </font>
    <font>
      <sz val="10"/>
      <name val="Times New Roman"/>
      <family val="1"/>
    </font>
    <font>
      <b/>
      <sz val="10"/>
      <name val="Arial"/>
      <family val="2"/>
    </font>
    <font>
      <b/>
      <sz val="14"/>
      <name val="Arial"/>
      <family val="2"/>
    </font>
    <font>
      <b/>
      <sz val="9"/>
      <name val="Arial"/>
      <family val="2"/>
    </font>
    <font>
      <sz val="9"/>
      <name val="Arial"/>
      <family val="2"/>
    </font>
    <font>
      <b/>
      <sz val="12"/>
      <name val="Arial"/>
      <family val="2"/>
    </font>
    <font>
      <sz val="10"/>
      <name val="Times New Roman"/>
      <family val="1"/>
    </font>
    <font>
      <sz val="8"/>
      <color rgb="FFFF0000"/>
      <name val="Arial"/>
      <family val="2"/>
    </font>
    <font>
      <sz val="9"/>
      <color indexed="81"/>
      <name val="Tahoma"/>
      <family val="2"/>
    </font>
    <font>
      <b/>
      <sz val="9"/>
      <color indexed="81"/>
      <name val="Tahoma"/>
      <family val="2"/>
    </font>
    <font>
      <sz val="8"/>
      <name val="Calibri"/>
      <family val="2"/>
      <scheme val="minor"/>
    </font>
    <font>
      <sz val="10"/>
      <name val="Times New Roman"/>
    </font>
    <font>
      <sz val="11"/>
      <color indexed="8"/>
      <name val="Calibri"/>
      <family val="2"/>
    </font>
    <font>
      <sz val="14"/>
      <name val="Arial"/>
      <family val="2"/>
    </font>
    <font>
      <b/>
      <sz val="18"/>
      <name val="Arial"/>
      <family val="2"/>
    </font>
    <font>
      <sz val="18"/>
      <name val="Arial"/>
      <family val="2"/>
    </font>
    <font>
      <b/>
      <sz val="11"/>
      <color theme="1"/>
      <name val="Calibri"/>
      <family val="2"/>
      <scheme val="minor"/>
    </font>
    <font>
      <sz val="11"/>
      <name val="Arial"/>
      <family val="2"/>
    </font>
    <font>
      <b/>
      <sz val="12"/>
      <color indexed="8"/>
      <name val="Arial"/>
      <family val="2"/>
    </font>
    <font>
      <sz val="10"/>
      <color indexed="8"/>
      <name val="Arial"/>
      <family val="2"/>
    </font>
    <font>
      <b/>
      <sz val="10"/>
      <color indexed="8"/>
      <name val="Arial"/>
      <family val="2"/>
    </font>
    <font>
      <b/>
      <sz val="10"/>
      <color theme="1"/>
      <name val="Arial"/>
      <family val="2"/>
    </font>
    <font>
      <b/>
      <sz val="20"/>
      <name val="Arial"/>
      <family val="2"/>
    </font>
    <font>
      <b/>
      <sz val="11"/>
      <name val="Arial"/>
      <family val="2"/>
    </font>
    <font>
      <b/>
      <sz val="16"/>
      <name val="Arial"/>
      <family val="2"/>
    </font>
    <font>
      <b/>
      <sz val="9"/>
      <color rgb="FF000000"/>
      <name val="Arial"/>
      <family val="2"/>
    </font>
    <font>
      <b/>
      <sz val="11"/>
      <color rgb="FF000000"/>
      <name val="Calibri"/>
      <family val="2"/>
    </font>
    <font>
      <sz val="9"/>
      <color rgb="FF000000"/>
      <name val="Arial"/>
      <family val="2"/>
    </font>
    <font>
      <sz val="10"/>
      <color rgb="FF000000"/>
      <name val="Arial"/>
      <family val="2"/>
    </font>
    <font>
      <b/>
      <sz val="9"/>
      <color rgb="FFFF0000"/>
      <name val="Arial"/>
      <family val="2"/>
    </font>
    <font>
      <b/>
      <sz val="26"/>
      <name val="Arial"/>
      <family val="2"/>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FF99"/>
        <bgColor indexed="64"/>
      </patternFill>
    </fill>
    <fill>
      <patternFill patternType="solid">
        <fgColor rgb="FF4EE257"/>
        <bgColor indexed="64"/>
      </patternFill>
    </fill>
    <fill>
      <patternFill patternType="solid">
        <fgColor rgb="FF00FA00"/>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FDE9D9"/>
        <bgColor rgb="FF000000"/>
      </patternFill>
    </fill>
    <fill>
      <patternFill patternType="solid">
        <fgColor rgb="FF92D050"/>
        <bgColor indexed="64"/>
      </patternFill>
    </fill>
    <fill>
      <patternFill patternType="solid">
        <fgColor rgb="FF8EFA00"/>
        <bgColor indexed="64"/>
      </patternFill>
    </fill>
  </fills>
  <borders count="6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top/>
      <bottom style="medium">
        <color auto="1"/>
      </bottom>
      <diagonal/>
    </border>
    <border>
      <left/>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bottom style="medium">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thin">
        <color auto="1"/>
      </bottom>
      <diagonal/>
    </border>
    <border>
      <left style="thin">
        <color auto="1"/>
      </left>
      <right style="medium">
        <color auto="1"/>
      </right>
      <top/>
      <bottom/>
      <diagonal/>
    </border>
    <border>
      <left style="thin">
        <color auto="1"/>
      </left>
      <right style="thin">
        <color auto="1"/>
      </right>
      <top/>
      <bottom/>
      <diagonal/>
    </border>
    <border>
      <left style="thin">
        <color auto="1"/>
      </left>
      <right/>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top/>
      <bottom/>
      <diagonal/>
    </border>
    <border>
      <left style="thick">
        <color indexed="64"/>
      </left>
      <right style="thin">
        <color indexed="64"/>
      </right>
      <top style="thin">
        <color indexed="64"/>
      </top>
      <bottom style="thin">
        <color indexed="64"/>
      </bottom>
      <diagonal/>
    </border>
  </borders>
  <cellStyleXfs count="291">
    <xf numFmtId="0" fontId="0" fillId="0" borderId="0"/>
    <xf numFmtId="0" fontId="3" fillId="0" borderId="0"/>
    <xf numFmtId="165"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0" fontId="1"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0"/>
    <xf numFmtId="9" fontId="20" fillId="0" borderId="0" applyFon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9" fontId="14" fillId="0" borderId="0" applyFon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42" fontId="2" fillId="0" borderId="0" applyFont="0" applyFill="0" applyBorder="0" applyAlignment="0" applyProtection="0"/>
    <xf numFmtId="0" fontId="25" fillId="0" borderId="0"/>
    <xf numFmtId="43" fontId="14"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173" fontId="14" fillId="0" borderId="0" applyFont="0" applyFill="0" applyBorder="0" applyAlignment="0" applyProtection="0"/>
    <xf numFmtId="174" fontId="14" fillId="0" borderId="0" applyFont="0" applyFill="0" applyBorder="0" applyAlignment="0" applyProtection="0"/>
    <xf numFmtId="173" fontId="26" fillId="0" borderId="0" applyFont="0" applyFill="0" applyBorder="0" applyAlignment="0" applyProtection="0"/>
    <xf numFmtId="175" fontId="3" fillId="0" borderId="0" applyFont="0" applyFill="0" applyBorder="0" applyAlignment="0" applyProtection="0"/>
    <xf numFmtId="0" fontId="14" fillId="0" borderId="0"/>
    <xf numFmtId="0" fontId="3" fillId="0" borderId="0"/>
    <xf numFmtId="0" fontId="14" fillId="0" borderId="0"/>
    <xf numFmtId="0" fontId="14" fillId="0" borderId="0"/>
    <xf numFmtId="0" fontId="2" fillId="0" borderId="0"/>
    <xf numFmtId="0" fontId="2" fillId="0" borderId="0"/>
    <xf numFmtId="0" fontId="3" fillId="0" borderId="0"/>
    <xf numFmtId="0" fontId="3" fillId="0" borderId="0"/>
    <xf numFmtId="9" fontId="2" fillId="0" borderId="0" applyFont="0" applyFill="0" applyBorder="0" applyAlignment="0" applyProtection="0"/>
    <xf numFmtId="9" fontId="26" fillId="0" borderId="0" applyFont="0" applyFill="0" applyBorder="0" applyAlignment="0" applyProtection="0"/>
    <xf numFmtId="42"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9" fontId="2" fillId="0" borderId="0" applyFont="0" applyFill="0" applyBorder="0" applyAlignment="0" applyProtection="0"/>
    <xf numFmtId="42" fontId="2" fillId="0" borderId="0" applyFont="0" applyFill="0" applyBorder="0" applyAlignment="0" applyProtection="0"/>
    <xf numFmtId="0" fontId="2" fillId="0" borderId="0"/>
  </cellStyleXfs>
  <cellXfs count="704">
    <xf numFmtId="0" fontId="0" fillId="0" borderId="0" xfId="0"/>
    <xf numFmtId="0" fontId="4" fillId="0" borderId="0" xfId="0" applyFont="1" applyFill="1" applyBorder="1" applyAlignment="1">
      <alignment horizontal="center" vertical="center"/>
    </xf>
    <xf numFmtId="0" fontId="5"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pplyFill="1" applyBorder="1" applyAlignment="1">
      <alignment vertical="center"/>
    </xf>
    <xf numFmtId="0" fontId="5" fillId="0" borderId="0" xfId="0" applyFont="1" applyFill="1" applyAlignment="1">
      <alignment vertical="center"/>
    </xf>
    <xf numFmtId="0" fontId="4" fillId="0" borderId="0" xfId="0" applyFont="1" applyFill="1" applyAlignment="1">
      <alignment horizontal="center" vertical="center"/>
    </xf>
    <xf numFmtId="0" fontId="4" fillId="0" borderId="2" xfId="0" applyFont="1" applyBorder="1" applyAlignment="1">
      <alignment vertical="center"/>
    </xf>
    <xf numFmtId="0" fontId="4" fillId="0" borderId="0" xfId="0" applyFont="1" applyAlignment="1">
      <alignment horizontal="left" vertical="center"/>
    </xf>
    <xf numFmtId="0" fontId="7" fillId="0" borderId="0" xfId="0" applyFont="1"/>
    <xf numFmtId="0" fontId="4" fillId="0" borderId="0" xfId="0" applyFont="1" applyFill="1" applyBorder="1" applyAlignment="1">
      <alignment vertical="center"/>
    </xf>
    <xf numFmtId="0" fontId="7" fillId="0" borderId="0" xfId="0" applyFont="1" applyAlignment="1">
      <alignment horizontal="center"/>
    </xf>
    <xf numFmtId="0" fontId="4" fillId="0" borderId="0" xfId="0" applyFont="1" applyAlignment="1">
      <alignment horizontal="center" vertical="center" wrapText="1"/>
    </xf>
    <xf numFmtId="0" fontId="4" fillId="5" borderId="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4" fillId="6" borderId="1" xfId="0" applyFont="1" applyFill="1" applyBorder="1" applyAlignment="1" applyProtection="1">
      <alignment horizontal="center" vertical="center" wrapText="1"/>
      <protection locked="0"/>
    </xf>
    <xf numFmtId="0" fontId="4" fillId="6" borderId="1" xfId="0" applyFont="1" applyFill="1" applyBorder="1" applyAlignment="1" applyProtection="1">
      <alignment horizontal="justify" vertical="center" wrapText="1"/>
      <protection locked="0"/>
    </xf>
    <xf numFmtId="10" fontId="4" fillId="6" borderId="1" xfId="4" applyNumberFormat="1" applyFont="1" applyFill="1" applyBorder="1" applyAlignment="1" applyProtection="1">
      <alignment horizontal="center" vertical="center"/>
      <protection locked="0"/>
    </xf>
    <xf numFmtId="0" fontId="5" fillId="6" borderId="21" xfId="0" applyFont="1" applyFill="1" applyBorder="1" applyAlignment="1" applyProtection="1">
      <alignment horizontal="center" vertical="center"/>
      <protection locked="0"/>
    </xf>
    <xf numFmtId="0" fontId="5" fillId="0" borderId="0" xfId="0" applyFont="1" applyAlignment="1" applyProtection="1">
      <alignment vertical="center"/>
      <protection locked="0"/>
    </xf>
    <xf numFmtId="10" fontId="5" fillId="0" borderId="1" xfId="4" applyNumberFormat="1" applyFont="1" applyBorder="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10" fontId="5" fillId="0" borderId="1" xfId="4" applyNumberFormat="1" applyFont="1" applyBorder="1" applyAlignment="1" applyProtection="1">
      <alignment horizontal="center" vertical="center"/>
      <protection hidden="1"/>
    </xf>
    <xf numFmtId="0" fontId="5" fillId="0" borderId="1" xfId="0" applyFont="1" applyBorder="1" applyAlignment="1" applyProtection="1">
      <alignment horizontal="center" vertical="center"/>
      <protection locked="0"/>
    </xf>
    <xf numFmtId="2" fontId="5" fillId="0" borderId="1" xfId="0" applyNumberFormat="1" applyFont="1" applyBorder="1" applyAlignment="1" applyProtection="1">
      <alignment horizontal="center" vertical="center"/>
      <protection locked="0"/>
    </xf>
    <xf numFmtId="2" fontId="5" fillId="0" borderId="0" xfId="0" applyNumberFormat="1" applyFont="1" applyAlignment="1">
      <alignment vertical="center"/>
    </xf>
    <xf numFmtId="0" fontId="4" fillId="5" borderId="1" xfId="0" applyFont="1" applyFill="1" applyBorder="1" applyAlignment="1" applyProtection="1">
      <alignment horizontal="center" vertical="center"/>
      <protection hidden="1"/>
    </xf>
    <xf numFmtId="0" fontId="4" fillId="5" borderId="2" xfId="0" applyFont="1" applyFill="1" applyBorder="1" applyAlignment="1" applyProtection="1">
      <alignment vertical="center"/>
      <protection hidden="1"/>
    </xf>
    <xf numFmtId="0" fontId="4" fillId="5" borderId="4" xfId="0" applyFont="1" applyFill="1" applyBorder="1" applyAlignment="1" applyProtection="1">
      <alignment vertical="center"/>
      <protection hidden="1"/>
    </xf>
    <xf numFmtId="10" fontId="4" fillId="5" borderId="1" xfId="4" applyNumberFormat="1" applyFont="1" applyFill="1" applyBorder="1" applyAlignment="1" applyProtection="1">
      <alignment horizontal="center" vertical="center"/>
      <protection hidden="1"/>
    </xf>
    <xf numFmtId="0" fontId="5" fillId="0" borderId="1" xfId="0" applyFont="1" applyFill="1" applyBorder="1" applyAlignment="1" applyProtection="1">
      <alignment horizontal="justify" vertical="center" wrapText="1"/>
      <protection locked="0"/>
    </xf>
    <xf numFmtId="0" fontId="4" fillId="5" borderId="4" xfId="0" applyFont="1" applyFill="1" applyBorder="1" applyAlignment="1" applyProtection="1">
      <alignment horizontal="center" vertical="center"/>
      <protection hidden="1"/>
    </xf>
    <xf numFmtId="9" fontId="4" fillId="5" borderId="1" xfId="4" applyNumberFormat="1" applyFont="1" applyFill="1" applyBorder="1" applyAlignment="1" applyProtection="1">
      <alignment horizontal="center" vertical="center"/>
      <protection hidden="1"/>
    </xf>
    <xf numFmtId="10" fontId="5" fillId="0" borderId="0" xfId="0" applyNumberFormat="1" applyFont="1" applyAlignment="1">
      <alignment horizontal="center" vertical="center"/>
    </xf>
    <xf numFmtId="0" fontId="5" fillId="0" borderId="0" xfId="0" applyFont="1" applyAlignment="1">
      <alignment horizontal="justify" vertical="center"/>
    </xf>
    <xf numFmtId="0" fontId="4" fillId="6" borderId="1" xfId="0" applyFont="1" applyFill="1" applyBorder="1" applyAlignment="1" applyProtection="1">
      <alignment vertical="center" wrapText="1"/>
      <protection locked="0"/>
    </xf>
    <xf numFmtId="0" fontId="5" fillId="0" borderId="1" xfId="0" applyFont="1" applyBorder="1" applyAlignment="1" applyProtection="1">
      <alignment vertical="center" wrapText="1"/>
      <protection locked="0"/>
    </xf>
    <xf numFmtId="9" fontId="5" fillId="0" borderId="1" xfId="4" applyFont="1" applyBorder="1" applyAlignment="1" applyProtection="1">
      <alignment horizontal="center" vertical="center"/>
      <protection hidden="1"/>
    </xf>
    <xf numFmtId="0" fontId="5" fillId="0" borderId="1" xfId="0" applyFont="1" applyBorder="1" applyAlignment="1" applyProtection="1">
      <alignment horizontal="center" vertical="center" wrapText="1"/>
      <protection locked="0"/>
    </xf>
    <xf numFmtId="1" fontId="5" fillId="0" borderId="0" xfId="0" applyNumberFormat="1" applyFont="1" applyAlignment="1">
      <alignment vertical="center"/>
    </xf>
    <xf numFmtId="167" fontId="4" fillId="0" borderId="0" xfId="0" applyNumberFormat="1" applyFont="1" applyAlignment="1">
      <alignment vertical="center"/>
    </xf>
    <xf numFmtId="1" fontId="5" fillId="0" borderId="0" xfId="0" applyNumberFormat="1" applyFont="1" applyAlignment="1">
      <alignment horizontal="center" vertical="center"/>
    </xf>
    <xf numFmtId="0" fontId="5" fillId="6" borderId="3" xfId="0" applyFont="1" applyFill="1" applyBorder="1" applyAlignment="1" applyProtection="1">
      <alignment horizontal="center" vertical="center"/>
      <protection locked="0"/>
    </xf>
    <xf numFmtId="0" fontId="4" fillId="5" borderId="1" xfId="0" applyFont="1" applyFill="1" applyBorder="1" applyAlignment="1">
      <alignment horizontal="center" vertical="center" wrapText="1"/>
    </xf>
    <xf numFmtId="0" fontId="5" fillId="6" borderId="1" xfId="0" applyFont="1" applyFill="1" applyBorder="1" applyAlignment="1" applyProtection="1">
      <alignment horizontal="center" vertical="center"/>
      <protection locked="0"/>
    </xf>
    <xf numFmtId="0" fontId="5" fillId="0" borderId="0" xfId="0" applyFont="1" applyFill="1" applyAlignment="1" applyProtection="1">
      <alignment vertical="center"/>
      <protection locked="0"/>
    </xf>
    <xf numFmtId="0" fontId="4" fillId="0" borderId="2" xfId="0" applyFont="1" applyFill="1" applyBorder="1" applyAlignment="1" applyProtection="1">
      <alignment horizontal="justify" vertical="center" wrapText="1"/>
      <protection locked="0"/>
    </xf>
    <xf numFmtId="2" fontId="5" fillId="0" borderId="0" xfId="0" applyNumberFormat="1" applyFont="1" applyFill="1" applyAlignment="1">
      <alignment vertical="center"/>
    </xf>
    <xf numFmtId="0" fontId="5" fillId="0" borderId="1" xfId="0" applyFont="1" applyBorder="1" applyAlignment="1" applyProtection="1">
      <alignment vertical="justify" wrapText="1"/>
      <protection locked="0"/>
    </xf>
    <xf numFmtId="0" fontId="5" fillId="0" borderId="1" xfId="0" applyFont="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10" fontId="5" fillId="0" borderId="1" xfId="4" applyNumberFormat="1" applyFont="1" applyFill="1" applyBorder="1" applyAlignment="1" applyProtection="1">
      <alignment horizontal="center" vertical="center"/>
      <protection locked="0"/>
    </xf>
    <xf numFmtId="0" fontId="5" fillId="6" borderId="3" xfId="0" applyFont="1" applyFill="1" applyBorder="1" applyAlignment="1" applyProtection="1">
      <alignment horizontal="center" vertical="center"/>
      <protection locked="0"/>
    </xf>
    <xf numFmtId="0" fontId="5" fillId="0" borderId="5" xfId="0" applyFont="1" applyBorder="1" applyAlignment="1" applyProtection="1">
      <alignment horizontal="center" vertical="center" wrapText="1"/>
      <protection locked="0"/>
    </xf>
    <xf numFmtId="0" fontId="5" fillId="6" borderId="1" xfId="0" applyFont="1" applyFill="1" applyBorder="1" applyAlignment="1" applyProtection="1">
      <alignment horizontal="center" vertical="center"/>
      <protection locked="0"/>
    </xf>
    <xf numFmtId="0" fontId="4" fillId="5" borderId="1"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 fontId="5" fillId="0" borderId="1" xfId="0" applyNumberFormat="1" applyFont="1" applyBorder="1" applyAlignment="1" applyProtection="1">
      <alignment horizontal="center" vertical="center"/>
      <protection locked="0"/>
    </xf>
    <xf numFmtId="0" fontId="5"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8" borderId="0" xfId="0" applyFont="1" applyFill="1" applyAlignment="1">
      <alignment vertical="center"/>
    </xf>
    <xf numFmtId="0" fontId="5" fillId="8" borderId="0" xfId="0" applyFont="1" applyFill="1" applyAlignment="1">
      <alignment horizontal="center" vertical="center"/>
    </xf>
    <xf numFmtId="0" fontId="7" fillId="8" borderId="0" xfId="0" applyFont="1" applyFill="1"/>
    <xf numFmtId="0" fontId="4" fillId="5" borderId="2" xfId="0" applyFont="1" applyFill="1" applyBorder="1" applyAlignment="1" applyProtection="1">
      <alignment horizontal="center" vertical="center"/>
      <protection hidden="1"/>
    </xf>
    <xf numFmtId="0" fontId="5" fillId="0" borderId="2" xfId="0" applyFont="1" applyBorder="1" applyAlignment="1" applyProtection="1">
      <alignment horizontal="center" vertical="center" wrapText="1"/>
      <protection locked="0"/>
    </xf>
    <xf numFmtId="2" fontId="4" fillId="5" borderId="1" xfId="0" applyNumberFormat="1" applyFont="1" applyFill="1" applyBorder="1" applyAlignment="1" applyProtection="1">
      <alignment horizontal="center" vertical="center"/>
      <protection hidden="1"/>
    </xf>
    <xf numFmtId="1" fontId="4" fillId="5" borderId="1" xfId="0" applyNumberFormat="1" applyFont="1" applyFill="1" applyBorder="1" applyAlignment="1" applyProtection="1">
      <alignment horizontal="center" vertical="center"/>
      <protection hidden="1"/>
    </xf>
    <xf numFmtId="0" fontId="4" fillId="5" borderId="2" xfId="0" applyFont="1" applyFill="1" applyBorder="1" applyAlignment="1">
      <alignment horizontal="center" vertical="center" wrapText="1"/>
    </xf>
    <xf numFmtId="0" fontId="21" fillId="0" borderId="0" xfId="0" applyFont="1" applyFill="1" applyAlignment="1">
      <alignment vertical="center"/>
    </xf>
    <xf numFmtId="0" fontId="4" fillId="5" borderId="1" xfId="0" applyFont="1" applyFill="1" applyBorder="1" applyAlignment="1" applyProtection="1">
      <alignment horizontal="center" vertical="center"/>
      <protection hidden="1"/>
    </xf>
    <xf numFmtId="10" fontId="4" fillId="5" borderId="1" xfId="4" applyNumberFormat="1" applyFont="1" applyFill="1" applyBorder="1" applyAlignment="1" applyProtection="1">
      <alignment horizontal="center" vertical="center"/>
      <protection hidden="1"/>
    </xf>
    <xf numFmtId="0" fontId="4" fillId="4" borderId="2" xfId="0" applyFont="1" applyFill="1" applyBorder="1" applyAlignment="1" applyProtection="1">
      <alignment vertical="center" wrapText="1"/>
      <protection locked="0"/>
    </xf>
    <xf numFmtId="2" fontId="5" fillId="0" borderId="1" xfId="0" applyNumberFormat="1" applyFont="1" applyFill="1" applyBorder="1" applyAlignment="1" applyProtection="1">
      <alignment horizontal="center" vertical="center"/>
      <protection locked="0"/>
    </xf>
    <xf numFmtId="168" fontId="15" fillId="5" borderId="19" xfId="96" applyNumberFormat="1" applyFont="1" applyFill="1" applyBorder="1" applyAlignment="1" applyProtection="1">
      <alignment vertical="center"/>
      <protection hidden="1"/>
    </xf>
    <xf numFmtId="0" fontId="4" fillId="0" borderId="0" xfId="0" applyFont="1" applyFill="1" applyAlignment="1">
      <alignment vertical="center"/>
    </xf>
    <xf numFmtId="0" fontId="5" fillId="0" borderId="0" xfId="0" applyFont="1" applyFill="1" applyAlignment="1">
      <alignment horizontal="center" vertical="center"/>
    </xf>
    <xf numFmtId="0" fontId="7" fillId="0" borderId="0" xfId="0" applyFont="1" applyFill="1"/>
    <xf numFmtId="0" fontId="5" fillId="0" borderId="1" xfId="0" applyFont="1" applyFill="1" applyBorder="1" applyAlignment="1" applyProtection="1">
      <alignment horizontal="center" vertical="center"/>
      <protection locked="0"/>
    </xf>
    <xf numFmtId="0" fontId="5" fillId="6" borderId="3" xfId="0" applyFont="1" applyFill="1" applyBorder="1" applyAlignment="1" applyProtection="1">
      <alignment horizontal="center" vertical="center"/>
      <protection locked="0"/>
    </xf>
    <xf numFmtId="0" fontId="5" fillId="6" borderId="1" xfId="0" applyFont="1" applyFill="1" applyBorder="1" applyAlignment="1" applyProtection="1">
      <alignment horizontal="center" vertical="center"/>
      <protection locked="0"/>
    </xf>
    <xf numFmtId="0" fontId="4" fillId="5" borderId="1" xfId="0" applyFont="1" applyFill="1" applyBorder="1" applyAlignment="1">
      <alignment horizontal="center" vertical="center" wrapText="1"/>
    </xf>
    <xf numFmtId="0" fontId="5" fillId="0" borderId="4"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0" borderId="4" xfId="0" applyFont="1" applyBorder="1" applyAlignment="1" applyProtection="1">
      <alignment horizontal="justify" vertical="center" wrapText="1"/>
      <protection locked="0"/>
    </xf>
    <xf numFmtId="9" fontId="4" fillId="5" borderId="1" xfId="4" applyFont="1" applyFill="1" applyBorder="1" applyAlignment="1" applyProtection="1">
      <alignment horizontal="center" vertical="center"/>
      <protection hidden="1"/>
    </xf>
    <xf numFmtId="9" fontId="4" fillId="6" borderId="1" xfId="4" applyNumberFormat="1" applyFont="1" applyFill="1" applyBorder="1" applyAlignment="1" applyProtection="1">
      <alignment horizontal="center" vertical="center"/>
      <protection locked="0"/>
    </xf>
    <xf numFmtId="9" fontId="5" fillId="0" borderId="1" xfId="4" applyNumberFormat="1" applyFont="1" applyBorder="1" applyAlignment="1" applyProtection="1">
      <alignment horizontal="center" vertical="center"/>
      <protection locked="0"/>
    </xf>
    <xf numFmtId="1" fontId="5" fillId="0" borderId="1" xfId="0" applyNumberFormat="1" applyFont="1" applyFill="1" applyBorder="1" applyAlignment="1" applyProtection="1">
      <alignment horizontal="center" vertical="center"/>
      <protection locked="0"/>
    </xf>
    <xf numFmtId="0" fontId="5" fillId="6" borderId="1" xfId="0" applyFont="1" applyFill="1" applyBorder="1" applyAlignment="1" applyProtection="1">
      <alignment horizontal="center" vertical="center" wrapText="1"/>
      <protection locked="0"/>
    </xf>
    <xf numFmtId="0" fontId="5" fillId="6" borderId="1" xfId="0" applyFont="1" applyFill="1" applyBorder="1" applyAlignment="1" applyProtection="1">
      <alignment horizontal="center" vertical="center"/>
      <protection locked="0"/>
    </xf>
    <xf numFmtId="0" fontId="5" fillId="0" borderId="26" xfId="0" applyFont="1" applyFill="1" applyBorder="1" applyAlignment="1" applyProtection="1">
      <alignment horizontal="center" vertical="center"/>
      <protection locked="0"/>
    </xf>
    <xf numFmtId="0" fontId="5" fillId="0" borderId="5" xfId="0" applyFont="1" applyFill="1" applyBorder="1" applyAlignment="1" applyProtection="1">
      <alignment horizontal="center" vertical="center" wrapText="1"/>
      <protection locked="0"/>
    </xf>
    <xf numFmtId="0" fontId="5" fillId="0" borderId="26" xfId="0" applyFont="1" applyFill="1" applyBorder="1" applyAlignment="1" applyProtection="1">
      <alignment horizontal="center" vertical="center" wrapText="1"/>
      <protection locked="0"/>
    </xf>
    <xf numFmtId="0" fontId="4" fillId="5" borderId="1" xfId="4" applyNumberFormat="1" applyFont="1" applyFill="1" applyBorder="1" applyAlignment="1" applyProtection="1">
      <alignment horizontal="center" vertical="center"/>
      <protection hidden="1"/>
    </xf>
    <xf numFmtId="0" fontId="5" fillId="0" borderId="5"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5" fillId="0" borderId="5" xfId="0" applyFont="1" applyFill="1" applyBorder="1" applyAlignment="1" applyProtection="1">
      <alignment vertical="center"/>
      <protection locked="0"/>
    </xf>
    <xf numFmtId="0" fontId="5" fillId="0" borderId="0" xfId="0" applyFont="1" applyAlignment="1">
      <alignment vertical="center" wrapText="1"/>
    </xf>
    <xf numFmtId="1" fontId="4" fillId="5" borderId="1" xfId="4" applyNumberFormat="1" applyFont="1" applyFill="1" applyBorder="1" applyAlignment="1" applyProtection="1">
      <alignment horizontal="center" vertical="center"/>
      <protection hidden="1"/>
    </xf>
    <xf numFmtId="0" fontId="3" fillId="0" borderId="0" xfId="287" applyFont="1" applyAlignment="1">
      <alignment vertical="center"/>
    </xf>
    <xf numFmtId="0" fontId="3" fillId="0" borderId="0" xfId="287" applyFont="1" applyAlignment="1">
      <alignment horizontal="center" vertical="center"/>
    </xf>
    <xf numFmtId="0" fontId="3" fillId="0" borderId="0" xfId="287" applyFont="1" applyAlignment="1">
      <alignment horizontal="justify" vertical="center"/>
    </xf>
    <xf numFmtId="0" fontId="15" fillId="0" borderId="0" xfId="287" applyFont="1" applyAlignment="1">
      <alignment vertical="center"/>
    </xf>
    <xf numFmtId="168" fontId="3" fillId="0" borderId="0" xfId="287" applyNumberFormat="1" applyFont="1" applyAlignment="1">
      <alignment horizontal="center" vertical="center"/>
    </xf>
    <xf numFmtId="168" fontId="3" fillId="0" borderId="0" xfId="287" applyNumberFormat="1" applyFont="1" applyAlignment="1">
      <alignment vertical="center"/>
    </xf>
    <xf numFmtId="10" fontId="3" fillId="0" borderId="0" xfId="96" applyNumberFormat="1" applyFont="1" applyAlignment="1">
      <alignment horizontal="center" vertical="center"/>
    </xf>
    <xf numFmtId="10" fontId="3" fillId="0" borderId="0" xfId="96" applyNumberFormat="1" applyFont="1" applyAlignment="1">
      <alignment vertical="center"/>
    </xf>
    <xf numFmtId="0" fontId="3" fillId="0" borderId="0" xfId="287" applyFont="1" applyAlignment="1">
      <alignment horizontal="center" vertical="center" wrapText="1"/>
    </xf>
    <xf numFmtId="0" fontId="3" fillId="0" borderId="0" xfId="287" applyFont="1" applyAlignment="1">
      <alignment horizontal="justify" vertical="center" wrapText="1"/>
    </xf>
    <xf numFmtId="168" fontId="19" fillId="5" borderId="42" xfId="287" applyNumberFormat="1" applyFont="1" applyFill="1" applyBorder="1" applyAlignment="1" applyProtection="1">
      <alignment horizontal="center" vertical="center"/>
      <protection hidden="1"/>
    </xf>
    <xf numFmtId="168" fontId="19" fillId="5" borderId="34" xfId="287" applyNumberFormat="1" applyFont="1" applyFill="1" applyBorder="1" applyAlignment="1" applyProtection="1">
      <alignment vertical="center"/>
      <protection hidden="1"/>
    </xf>
    <xf numFmtId="171" fontId="3" fillId="0" borderId="0" xfId="287" applyNumberFormat="1" applyFont="1" applyAlignment="1">
      <alignment vertical="center"/>
    </xf>
    <xf numFmtId="0" fontId="15" fillId="2" borderId="0" xfId="287" applyFont="1" applyFill="1" applyAlignment="1">
      <alignment vertical="center"/>
    </xf>
    <xf numFmtId="0" fontId="28" fillId="0" borderId="0" xfId="287" applyFont="1" applyAlignment="1">
      <alignment vertical="center"/>
    </xf>
    <xf numFmtId="0" fontId="29" fillId="0" borderId="0" xfId="287" applyFont="1" applyAlignment="1">
      <alignment horizontal="center" vertical="center"/>
    </xf>
    <xf numFmtId="168" fontId="28" fillId="0" borderId="0" xfId="287" applyNumberFormat="1" applyFont="1" applyAlignment="1">
      <alignment vertical="center"/>
    </xf>
    <xf numFmtId="9" fontId="28" fillId="0" borderId="0" xfId="288" applyFont="1" applyBorder="1" applyAlignment="1">
      <alignment vertical="center"/>
    </xf>
    <xf numFmtId="168" fontId="28" fillId="0" borderId="0" xfId="287" applyNumberFormat="1" applyFont="1" applyAlignment="1">
      <alignment horizontal="center" vertical="center"/>
    </xf>
    <xf numFmtId="172" fontId="28" fillId="0" borderId="0" xfId="287" applyNumberFormat="1" applyFont="1" applyAlignment="1">
      <alignment vertical="center"/>
    </xf>
    <xf numFmtId="0" fontId="28" fillId="0" borderId="0" xfId="287" applyFont="1" applyAlignment="1">
      <alignment horizontal="center" vertical="center" wrapText="1"/>
    </xf>
    <xf numFmtId="168" fontId="29" fillId="0" borderId="0" xfId="287" applyNumberFormat="1" applyFont="1" applyAlignment="1" applyProtection="1">
      <alignment vertical="center"/>
      <protection hidden="1"/>
    </xf>
    <xf numFmtId="0" fontId="28" fillId="0" borderId="0" xfId="287" applyFont="1" applyAlignment="1">
      <alignment horizontal="justify" vertical="center" wrapText="1"/>
    </xf>
    <xf numFmtId="0" fontId="28" fillId="0" borderId="0" xfId="287" applyFont="1" applyAlignment="1">
      <alignment horizontal="justify" vertical="center"/>
    </xf>
    <xf numFmtId="0" fontId="28" fillId="0" borderId="0" xfId="287" applyFont="1" applyAlignment="1">
      <alignment horizontal="center" vertical="center"/>
    </xf>
    <xf numFmtId="0" fontId="16" fillId="0" borderId="0" xfId="287" applyFont="1" applyAlignment="1">
      <alignment vertical="center"/>
    </xf>
    <xf numFmtId="168" fontId="16" fillId="0" borderId="0" xfId="287" applyNumberFormat="1" applyFont="1" applyAlignment="1">
      <alignment horizontal="center" vertical="center"/>
    </xf>
    <xf numFmtId="168" fontId="16" fillId="5" borderId="1" xfId="289" applyNumberFormat="1" applyFont="1" applyFill="1" applyBorder="1" applyAlignment="1" applyProtection="1">
      <alignment horizontal="center" vertical="center"/>
      <protection hidden="1"/>
    </xf>
    <xf numFmtId="168" fontId="16" fillId="0" borderId="0" xfId="287" applyNumberFormat="1" applyFont="1" applyAlignment="1">
      <alignment vertical="center"/>
    </xf>
    <xf numFmtId="172" fontId="16" fillId="0" borderId="0" xfId="287" applyNumberFormat="1" applyFont="1" applyAlignment="1">
      <alignment vertical="center"/>
    </xf>
    <xf numFmtId="0" fontId="16" fillId="0" borderId="0" xfId="287" applyFont="1" applyAlignment="1">
      <alignment horizontal="center" vertical="center" wrapText="1"/>
    </xf>
    <xf numFmtId="168" fontId="27" fillId="0" borderId="0" xfId="287" applyNumberFormat="1" applyFont="1" applyAlignment="1" applyProtection="1">
      <alignment vertical="center"/>
      <protection hidden="1"/>
    </xf>
    <xf numFmtId="0" fontId="16" fillId="5" borderId="22" xfId="287" applyFont="1" applyFill="1" applyBorder="1" applyAlignment="1" applyProtection="1">
      <alignment horizontal="center" vertical="center"/>
      <protection hidden="1"/>
    </xf>
    <xf numFmtId="0" fontId="15" fillId="0" borderId="0" xfId="287" applyFont="1" applyAlignment="1" applyProtection="1">
      <alignment vertical="center"/>
      <protection locked="0"/>
    </xf>
    <xf numFmtId="10" fontId="15" fillId="5" borderId="1" xfId="96" applyNumberFormat="1" applyFont="1" applyFill="1" applyBorder="1" applyAlignment="1" applyProtection="1">
      <alignment horizontal="center" vertical="center"/>
      <protection hidden="1"/>
    </xf>
    <xf numFmtId="168" fontId="15" fillId="5" borderId="1" xfId="96" applyNumberFormat="1" applyFont="1" applyFill="1" applyBorder="1" applyAlignment="1" applyProtection="1">
      <alignment vertical="center"/>
      <protection hidden="1"/>
    </xf>
    <xf numFmtId="0" fontId="15" fillId="5" borderId="1" xfId="287" applyFont="1" applyFill="1" applyBorder="1" applyAlignment="1" applyProtection="1">
      <alignment vertical="center"/>
      <protection hidden="1"/>
    </xf>
    <xf numFmtId="170" fontId="15" fillId="5" borderId="1" xfId="287" applyNumberFormat="1" applyFont="1" applyFill="1" applyBorder="1" applyAlignment="1" applyProtection="1">
      <alignment vertical="center"/>
      <protection hidden="1"/>
    </xf>
    <xf numFmtId="0" fontId="3" fillId="5" borderId="1" xfId="287" applyFont="1" applyFill="1" applyBorder="1" applyAlignment="1" applyProtection="1">
      <alignment horizontal="center" vertical="center" wrapText="1"/>
      <protection hidden="1"/>
    </xf>
    <xf numFmtId="0" fontId="15" fillId="5" borderId="1" xfId="287" applyFont="1" applyFill="1" applyBorder="1" applyAlignment="1" applyProtection="1">
      <alignment horizontal="justify" vertical="center" wrapText="1"/>
      <protection hidden="1"/>
    </xf>
    <xf numFmtId="0" fontId="15" fillId="5" borderId="22" xfId="287" applyFont="1" applyFill="1" applyBorder="1" applyAlignment="1" applyProtection="1">
      <alignment horizontal="center" vertical="center"/>
      <protection hidden="1"/>
    </xf>
    <xf numFmtId="0" fontId="3" fillId="0" borderId="0" xfId="287" applyFont="1" applyAlignment="1" applyProtection="1">
      <alignment vertical="center"/>
      <protection locked="0"/>
    </xf>
    <xf numFmtId="10" fontId="3" fillId="0" borderId="40" xfId="96" applyNumberFormat="1" applyFont="1" applyBorder="1" applyAlignment="1" applyProtection="1">
      <alignment horizontal="center" vertical="center"/>
      <protection hidden="1"/>
    </xf>
    <xf numFmtId="168" fontId="3" fillId="0" borderId="8" xfId="287" applyNumberFormat="1" applyFont="1" applyBorder="1" applyAlignment="1" applyProtection="1">
      <alignment vertical="center"/>
      <protection hidden="1"/>
    </xf>
    <xf numFmtId="0" fontId="3" fillId="0" borderId="40" xfId="287" applyFont="1" applyBorder="1" applyAlignment="1" applyProtection="1">
      <alignment vertical="center"/>
      <protection locked="0"/>
    </xf>
    <xf numFmtId="10" fontId="3" fillId="0" borderId="26" xfId="96" applyNumberFormat="1" applyFont="1" applyBorder="1" applyAlignment="1" applyProtection="1">
      <alignment horizontal="center" vertical="center"/>
      <protection hidden="1"/>
    </xf>
    <xf numFmtId="168" fontId="3" fillId="0" borderId="41" xfId="287" applyNumberFormat="1" applyFont="1" applyBorder="1" applyAlignment="1" applyProtection="1">
      <alignment vertical="center"/>
      <protection hidden="1"/>
    </xf>
    <xf numFmtId="168" fontId="3" fillId="0" borderId="40" xfId="287" applyNumberFormat="1" applyFont="1" applyBorder="1" applyAlignment="1" applyProtection="1">
      <alignment vertical="center"/>
      <protection hidden="1"/>
    </xf>
    <xf numFmtId="168" fontId="3" fillId="0" borderId="26" xfId="287" applyNumberFormat="1" applyFont="1" applyBorder="1" applyAlignment="1" applyProtection="1">
      <alignment vertical="center"/>
      <protection hidden="1"/>
    </xf>
    <xf numFmtId="0" fontId="3" fillId="0" borderId="39" xfId="287" applyFont="1" applyBorder="1" applyAlignment="1" applyProtection="1">
      <alignment horizontal="center" vertical="center" wrapText="1"/>
      <protection locked="0"/>
    </xf>
    <xf numFmtId="0" fontId="3" fillId="0" borderId="39" xfId="287" applyFont="1" applyBorder="1" applyAlignment="1" applyProtection="1">
      <alignment vertical="center" wrapText="1"/>
      <protection locked="0"/>
    </xf>
    <xf numFmtId="0" fontId="3" fillId="0" borderId="5" xfId="287" applyFont="1" applyBorder="1" applyAlignment="1" applyProtection="1">
      <alignment vertical="center" wrapText="1"/>
      <protection locked="0"/>
    </xf>
    <xf numFmtId="0" fontId="5" fillId="0" borderId="1" xfId="290" applyFont="1" applyBorder="1" applyAlignment="1" applyProtection="1">
      <alignment horizontal="center" vertical="center"/>
      <protection locked="0"/>
    </xf>
    <xf numFmtId="0" fontId="15" fillId="7" borderId="47" xfId="287" applyFont="1" applyFill="1" applyBorder="1" applyAlignment="1" applyProtection="1">
      <alignment vertical="center" wrapText="1"/>
      <protection locked="0"/>
    </xf>
    <xf numFmtId="0" fontId="15" fillId="7" borderId="46" xfId="287" applyFont="1" applyFill="1" applyBorder="1" applyAlignment="1" applyProtection="1">
      <alignment vertical="center" wrapText="1"/>
      <protection locked="0"/>
    </xf>
    <xf numFmtId="0" fontId="4" fillId="7" borderId="1" xfId="290" applyFont="1" applyFill="1" applyBorder="1" applyAlignment="1" applyProtection="1">
      <alignment vertical="center" wrapText="1"/>
      <protection locked="0"/>
    </xf>
    <xf numFmtId="0" fontId="4" fillId="7" borderId="1" xfId="290" applyFont="1" applyFill="1" applyBorder="1" applyAlignment="1" applyProtection="1">
      <alignment horizontal="justify" vertical="center" wrapText="1"/>
      <protection locked="0"/>
    </xf>
    <xf numFmtId="0" fontId="4" fillId="7" borderId="1" xfId="290" applyFont="1" applyFill="1" applyBorder="1" applyAlignment="1" applyProtection="1">
      <alignment horizontal="center" vertical="center" wrapText="1"/>
      <protection locked="0"/>
    </xf>
    <xf numFmtId="0" fontId="3" fillId="0" borderId="1" xfId="287" applyFont="1" applyBorder="1" applyAlignment="1" applyProtection="1">
      <alignment vertical="center"/>
      <protection locked="0"/>
    </xf>
    <xf numFmtId="10" fontId="3" fillId="0" borderId="1" xfId="96" applyNumberFormat="1" applyFont="1" applyBorder="1" applyAlignment="1" applyProtection="1">
      <alignment horizontal="center" vertical="center"/>
      <protection hidden="1"/>
    </xf>
    <xf numFmtId="0" fontId="3" fillId="0" borderId="1" xfId="287" applyFont="1" applyBorder="1" applyAlignment="1" applyProtection="1">
      <alignment horizontal="center" vertical="center" wrapText="1"/>
      <protection locked="0"/>
    </xf>
    <xf numFmtId="0" fontId="4" fillId="0" borderId="5" xfId="290" applyFont="1" applyBorder="1" applyAlignment="1" applyProtection="1">
      <alignment horizontal="center" vertical="center"/>
      <protection locked="0"/>
    </xf>
    <xf numFmtId="0" fontId="15" fillId="7" borderId="18" xfId="287" applyFont="1" applyFill="1" applyBorder="1" applyAlignment="1" applyProtection="1">
      <alignment vertical="center" wrapText="1"/>
      <protection locked="0"/>
    </xf>
    <xf numFmtId="0" fontId="15" fillId="7" borderId="17" xfId="287" applyFont="1" applyFill="1" applyBorder="1" applyAlignment="1" applyProtection="1">
      <alignment vertical="center" wrapText="1"/>
      <protection locked="0"/>
    </xf>
    <xf numFmtId="10" fontId="15" fillId="5" borderId="19" xfId="96" applyNumberFormat="1" applyFont="1" applyFill="1" applyBorder="1" applyAlignment="1" applyProtection="1">
      <alignment horizontal="center" vertical="center"/>
      <protection hidden="1"/>
    </xf>
    <xf numFmtId="0" fontId="15" fillId="5" borderId="24" xfId="287" applyFont="1" applyFill="1" applyBorder="1" applyAlignment="1" applyProtection="1">
      <alignment vertical="center"/>
      <protection hidden="1"/>
    </xf>
    <xf numFmtId="0" fontId="15" fillId="5" borderId="4" xfId="287" applyFont="1" applyFill="1" applyBorder="1" applyAlignment="1" applyProtection="1">
      <alignment horizontal="left" vertical="center"/>
      <protection hidden="1"/>
    </xf>
    <xf numFmtId="0" fontId="15" fillId="5" borderId="2" xfId="287" applyFont="1" applyFill="1" applyBorder="1" applyAlignment="1" applyProtection="1">
      <alignment horizontal="left" vertical="center"/>
      <protection hidden="1"/>
    </xf>
    <xf numFmtId="9" fontId="3" fillId="0" borderId="41" xfId="288" applyFont="1" applyBorder="1" applyAlignment="1" applyProtection="1">
      <alignment vertical="center"/>
      <protection hidden="1"/>
    </xf>
    <xf numFmtId="9" fontId="3" fillId="0" borderId="39" xfId="288" applyFont="1" applyBorder="1" applyAlignment="1" applyProtection="1">
      <alignment horizontal="center" vertical="center" wrapText="1"/>
      <protection locked="0"/>
    </xf>
    <xf numFmtId="9" fontId="3" fillId="0" borderId="0" xfId="288" applyFont="1" applyAlignment="1" applyProtection="1">
      <alignment vertical="center"/>
      <protection locked="0"/>
    </xf>
    <xf numFmtId="9" fontId="3" fillId="0" borderId="40" xfId="288" applyFont="1" applyBorder="1" applyAlignment="1" applyProtection="1">
      <alignment horizontal="center" vertical="center"/>
      <protection hidden="1"/>
    </xf>
    <xf numFmtId="9" fontId="3" fillId="0" borderId="8" xfId="288" applyFont="1" applyBorder="1" applyAlignment="1" applyProtection="1">
      <alignment vertical="center"/>
      <protection hidden="1"/>
    </xf>
    <xf numFmtId="9" fontId="3" fillId="0" borderId="40" xfId="288" applyFont="1" applyBorder="1" applyAlignment="1" applyProtection="1">
      <alignment vertical="center"/>
      <protection locked="0"/>
    </xf>
    <xf numFmtId="9" fontId="3" fillId="0" borderId="26" xfId="288" applyFont="1" applyBorder="1" applyAlignment="1" applyProtection="1">
      <alignment horizontal="center" vertical="center"/>
      <protection hidden="1"/>
    </xf>
    <xf numFmtId="0" fontId="3" fillId="0" borderId="49" xfId="287" applyFont="1" applyBorder="1" applyAlignment="1" applyProtection="1">
      <alignment vertical="center"/>
      <protection locked="0"/>
    </xf>
    <xf numFmtId="0" fontId="15" fillId="0" borderId="0" xfId="287" applyFont="1" applyAlignment="1">
      <alignment horizontal="center" vertical="center" wrapText="1"/>
    </xf>
    <xf numFmtId="0" fontId="15" fillId="5" borderId="37" xfId="287" applyFont="1" applyFill="1" applyBorder="1" applyAlignment="1">
      <alignment horizontal="center" vertical="center" wrapText="1"/>
    </xf>
    <xf numFmtId="0" fontId="15" fillId="5" borderId="35" xfId="287" applyFont="1" applyFill="1" applyBorder="1" applyAlignment="1">
      <alignment horizontal="center" vertical="center" wrapText="1"/>
    </xf>
    <xf numFmtId="0" fontId="15" fillId="5" borderId="36" xfId="287" applyFont="1" applyFill="1" applyBorder="1" applyAlignment="1">
      <alignment horizontal="center" vertical="center" wrapText="1"/>
    </xf>
    <xf numFmtId="0" fontId="15" fillId="5" borderId="34" xfId="287" applyFont="1" applyFill="1" applyBorder="1" applyAlignment="1">
      <alignment horizontal="center" vertical="center" wrapText="1"/>
    </xf>
    <xf numFmtId="0" fontId="15" fillId="5" borderId="33" xfId="287" applyFont="1" applyFill="1" applyBorder="1" applyAlignment="1">
      <alignment horizontal="center" vertical="center" wrapText="1"/>
    </xf>
    <xf numFmtId="0" fontId="15" fillId="5" borderId="32" xfId="287" applyFont="1" applyFill="1" applyBorder="1" applyAlignment="1">
      <alignment horizontal="center" vertical="center" wrapText="1"/>
    </xf>
    <xf numFmtId="0" fontId="15" fillId="5" borderId="31" xfId="287" applyFont="1" applyFill="1" applyBorder="1" applyAlignment="1">
      <alignment horizontal="center" vertical="center" wrapText="1"/>
    </xf>
    <xf numFmtId="0" fontId="4" fillId="0" borderId="2" xfId="290" applyFont="1" applyBorder="1" applyAlignment="1">
      <alignment vertical="center"/>
    </xf>
    <xf numFmtId="0" fontId="3" fillId="0" borderId="0" xfId="287" applyFont="1" applyAlignment="1">
      <alignment vertical="center" wrapText="1"/>
    </xf>
    <xf numFmtId="0" fontId="15" fillId="0" borderId="1" xfId="287" applyFont="1" applyBorder="1" applyAlignment="1">
      <alignment horizontal="left" vertical="center"/>
    </xf>
    <xf numFmtId="0" fontId="19" fillId="0" borderId="0" xfId="287" applyFont="1" applyAlignment="1">
      <alignment vertical="center"/>
    </xf>
    <xf numFmtId="0" fontId="15" fillId="0" borderId="0" xfId="287" applyFont="1" applyAlignment="1">
      <alignment horizontal="center" vertical="center"/>
    </xf>
    <xf numFmtId="0" fontId="16" fillId="0" borderId="0" xfId="287" applyFont="1" applyAlignment="1">
      <alignment horizontal="center" vertical="center"/>
    </xf>
    <xf numFmtId="0" fontId="3" fillId="0" borderId="0" xfId="264" applyFont="1" applyProtection="1">
      <protection locked="0"/>
    </xf>
    <xf numFmtId="176" fontId="3" fillId="0" borderId="0" xfId="264" applyNumberFormat="1" applyFont="1" applyProtection="1">
      <protection locked="0"/>
    </xf>
    <xf numFmtId="176" fontId="32" fillId="0" borderId="37" xfId="270" applyNumberFormat="1" applyFont="1" applyFill="1" applyBorder="1" applyAlignment="1" applyProtection="1"/>
    <xf numFmtId="177" fontId="33" fillId="0" borderId="24" xfId="270" applyNumberFormat="1" applyFont="1" applyFill="1" applyBorder="1" applyAlignment="1" applyProtection="1"/>
    <xf numFmtId="9" fontId="33" fillId="0" borderId="23" xfId="264" applyNumberFormat="1" applyFont="1" applyBorder="1" applyProtection="1">
      <protection locked="0"/>
    </xf>
    <xf numFmtId="176" fontId="34" fillId="0" borderId="19" xfId="270" applyNumberFormat="1" applyFont="1" applyFill="1" applyBorder="1" applyAlignment="1" applyProtection="1"/>
    <xf numFmtId="177" fontId="33" fillId="0" borderId="19" xfId="270" applyNumberFormat="1" applyFont="1" applyFill="1" applyBorder="1" applyAlignment="1" applyProtection="1"/>
    <xf numFmtId="9" fontId="33" fillId="0" borderId="1" xfId="264" applyNumberFormat="1" applyFont="1" applyBorder="1" applyProtection="1">
      <protection locked="0"/>
    </xf>
    <xf numFmtId="176" fontId="34" fillId="0" borderId="40" xfId="270" applyNumberFormat="1" applyFont="1" applyFill="1" applyBorder="1" applyAlignment="1" applyProtection="1"/>
    <xf numFmtId="176" fontId="33" fillId="0" borderId="24" xfId="264" applyNumberFormat="1" applyFont="1" applyBorder="1" applyAlignment="1">
      <alignment vertical="center"/>
    </xf>
    <xf numFmtId="176" fontId="33" fillId="0" borderId="23" xfId="265" applyNumberFormat="1" applyFont="1" applyFill="1" applyBorder="1" applyAlignment="1" applyProtection="1">
      <alignment vertical="center"/>
    </xf>
    <xf numFmtId="1" fontId="3" fillId="0" borderId="23" xfId="275" applyNumberFormat="1" applyBorder="1" applyAlignment="1">
      <alignment horizontal="center" vertical="center" wrapText="1"/>
    </xf>
    <xf numFmtId="176" fontId="33" fillId="0" borderId="19" xfId="264" applyNumberFormat="1" applyFont="1" applyBorder="1" applyAlignment="1">
      <alignment vertical="center"/>
    </xf>
    <xf numFmtId="176" fontId="33" fillId="0" borderId="1" xfId="265" applyNumberFormat="1" applyFont="1" applyFill="1" applyBorder="1" applyAlignment="1" applyProtection="1">
      <alignment vertical="center"/>
    </xf>
    <xf numFmtId="1" fontId="3" fillId="0" borderId="1" xfId="275" applyNumberFormat="1" applyBorder="1" applyAlignment="1">
      <alignment horizontal="center" vertical="center" wrapText="1"/>
    </xf>
    <xf numFmtId="176" fontId="33" fillId="0" borderId="30" xfId="264" applyNumberFormat="1" applyFont="1" applyBorder="1" applyAlignment="1">
      <alignment vertical="center"/>
    </xf>
    <xf numFmtId="176" fontId="33" fillId="0" borderId="28" xfId="265" applyNumberFormat="1" applyFont="1" applyFill="1" applyBorder="1" applyAlignment="1" applyProtection="1">
      <alignment vertical="center"/>
    </xf>
    <xf numFmtId="1" fontId="3" fillId="0" borderId="28" xfId="275" applyNumberFormat="1" applyBorder="1" applyAlignment="1">
      <alignment horizontal="center" vertical="center" wrapText="1"/>
    </xf>
    <xf numFmtId="0" fontId="35" fillId="0" borderId="53" xfId="264" applyFont="1" applyBorder="1" applyAlignment="1" applyProtection="1">
      <alignment horizontal="center" vertical="center" wrapText="1"/>
      <protection locked="0"/>
    </xf>
    <xf numFmtId="0" fontId="35" fillId="0" borderId="29" xfId="264" applyFont="1" applyBorder="1" applyAlignment="1" applyProtection="1">
      <alignment horizontal="center" vertical="center" wrapText="1"/>
      <protection locked="0"/>
    </xf>
    <xf numFmtId="3" fontId="34" fillId="0" borderId="0" xfId="264" applyNumberFormat="1" applyFont="1" applyAlignment="1" applyProtection="1">
      <alignment horizontal="center" vertical="center" wrapText="1"/>
      <protection locked="0"/>
    </xf>
    <xf numFmtId="0" fontId="3" fillId="0" borderId="0" xfId="264" applyFont="1" applyAlignment="1" applyProtection="1">
      <alignment horizontal="right" vertical="center"/>
      <protection locked="0"/>
    </xf>
    <xf numFmtId="0" fontId="34" fillId="0" borderId="0" xfId="264" applyFont="1" applyAlignment="1" applyProtection="1">
      <alignment horizontal="right" vertical="center"/>
      <protection locked="0"/>
    </xf>
    <xf numFmtId="176" fontId="34" fillId="0" borderId="24" xfId="270" applyNumberFormat="1" applyFont="1" applyFill="1" applyBorder="1" applyAlignment="1" applyProtection="1">
      <alignment vertical="center"/>
    </xf>
    <xf numFmtId="176" fontId="34" fillId="0" borderId="37" xfId="270" applyNumberFormat="1" applyFont="1" applyFill="1" applyBorder="1" applyAlignment="1" applyProtection="1">
      <alignment vertical="center"/>
    </xf>
    <xf numFmtId="176" fontId="33" fillId="0" borderId="24" xfId="270" applyNumberFormat="1" applyFont="1" applyFill="1" applyBorder="1" applyAlignment="1" applyProtection="1">
      <alignment vertical="center"/>
    </xf>
    <xf numFmtId="0" fontId="33" fillId="0" borderId="23" xfId="264" applyFont="1" applyBorder="1" applyAlignment="1">
      <alignment horizontal="center" vertical="center" wrapText="1"/>
    </xf>
    <xf numFmtId="178" fontId="3" fillId="9" borderId="1" xfId="265" applyNumberFormat="1" applyFont="1" applyFill="1" applyBorder="1" applyAlignment="1" applyProtection="1">
      <alignment vertical="center"/>
      <protection locked="0"/>
    </xf>
    <xf numFmtId="0" fontId="3" fillId="0" borderId="23" xfId="275" applyBorder="1" applyAlignment="1">
      <alignment horizontal="center" vertical="center" wrapText="1"/>
    </xf>
    <xf numFmtId="9" fontId="3" fillId="0" borderId="23" xfId="275" applyNumberFormat="1" applyBorder="1" applyAlignment="1">
      <alignment horizontal="center" vertical="center" wrapText="1"/>
    </xf>
    <xf numFmtId="0" fontId="3" fillId="0" borderId="56" xfId="275" applyBorder="1" applyAlignment="1">
      <alignment horizontal="center" vertical="center" wrapText="1"/>
    </xf>
    <xf numFmtId="0" fontId="3" fillId="0" borderId="22" xfId="264" applyFont="1" applyBorder="1" applyAlignment="1">
      <alignment horizontal="justify" vertical="center" wrapText="1"/>
    </xf>
    <xf numFmtId="0" fontId="3" fillId="0" borderId="0" xfId="264" applyFont="1" applyAlignment="1" applyProtection="1">
      <alignment horizontal="left"/>
      <protection locked="0"/>
    </xf>
    <xf numFmtId="176" fontId="33" fillId="0" borderId="19" xfId="270" applyNumberFormat="1" applyFont="1" applyFill="1" applyBorder="1" applyAlignment="1" applyProtection="1">
      <alignment vertical="center"/>
    </xf>
    <xf numFmtId="0" fontId="33" fillId="0" borderId="1" xfId="264" applyFont="1" applyBorder="1" applyAlignment="1">
      <alignment horizontal="center" vertical="center" wrapText="1"/>
    </xf>
    <xf numFmtId="0" fontId="3" fillId="0" borderId="1" xfId="275" applyBorder="1" applyAlignment="1">
      <alignment horizontal="center" vertical="center" wrapText="1"/>
    </xf>
    <xf numFmtId="9" fontId="3" fillId="0" borderId="1" xfId="275" applyNumberFormat="1" applyBorder="1" applyAlignment="1">
      <alignment horizontal="center" vertical="center" wrapText="1"/>
    </xf>
    <xf numFmtId="0" fontId="3" fillId="0" borderId="4" xfId="275" applyBorder="1" applyAlignment="1">
      <alignment horizontal="center" vertical="center" wrapText="1"/>
    </xf>
    <xf numFmtId="0" fontId="3" fillId="0" borderId="8" xfId="264" applyFont="1" applyBorder="1" applyAlignment="1">
      <alignment horizontal="justify" vertical="center" wrapText="1"/>
    </xf>
    <xf numFmtId="178" fontId="33" fillId="9" borderId="1" xfId="265" applyNumberFormat="1" applyFont="1" applyFill="1" applyBorder="1" applyAlignment="1" applyProtection="1">
      <alignment vertical="center"/>
      <protection locked="0"/>
    </xf>
    <xf numFmtId="0" fontId="35" fillId="0" borderId="33" xfId="264" applyFont="1" applyBorder="1" applyAlignment="1" applyProtection="1">
      <alignment horizontal="center" vertical="center" wrapText="1"/>
      <protection locked="0"/>
    </xf>
    <xf numFmtId="0" fontId="35" fillId="0" borderId="32" xfId="264" applyFont="1" applyBorder="1" applyAlignment="1" applyProtection="1">
      <alignment horizontal="center" vertical="center" wrapText="1"/>
      <protection locked="0"/>
    </xf>
    <xf numFmtId="0" fontId="35" fillId="0" borderId="34" xfId="264" applyFont="1" applyBorder="1" applyAlignment="1" applyProtection="1">
      <alignment horizontal="center" vertical="center" wrapText="1"/>
      <protection locked="0"/>
    </xf>
    <xf numFmtId="0" fontId="3" fillId="0" borderId="0" xfId="264" applyFont="1" applyAlignment="1" applyProtection="1">
      <alignment vertical="top" wrapText="1"/>
      <protection locked="0"/>
    </xf>
    <xf numFmtId="0" fontId="3" fillId="0" borderId="0" xfId="264" applyFont="1" applyAlignment="1" applyProtection="1">
      <alignment horizontal="center" wrapText="1"/>
      <protection locked="0"/>
    </xf>
    <xf numFmtId="0" fontId="3" fillId="0" borderId="0" xfId="264" applyFont="1" applyAlignment="1" applyProtection="1">
      <alignment horizontal="center" vertical="center" wrapText="1"/>
      <protection locked="0"/>
    </xf>
    <xf numFmtId="0" fontId="3" fillId="0" borderId="0" xfId="274" applyFont="1" applyProtection="1">
      <protection locked="0"/>
    </xf>
    <xf numFmtId="0" fontId="3" fillId="0" borderId="0" xfId="274" applyFont="1" applyAlignment="1" applyProtection="1">
      <alignment horizontal="right" vertical="top" wrapText="1"/>
      <protection locked="0"/>
    </xf>
    <xf numFmtId="0" fontId="3" fillId="0" borderId="0" xfId="274" applyFont="1" applyAlignment="1" applyProtection="1">
      <alignment horizontal="left" vertical="top" wrapText="1"/>
      <protection locked="0"/>
    </xf>
    <xf numFmtId="0" fontId="3" fillId="0" borderId="46" xfId="264" applyFont="1" applyBorder="1" applyProtection="1">
      <protection locked="0"/>
    </xf>
    <xf numFmtId="178" fontId="15" fillId="0" borderId="42" xfId="274" applyNumberFormat="1" applyFont="1" applyBorder="1"/>
    <xf numFmtId="178" fontId="3" fillId="0" borderId="0" xfId="274" applyNumberFormat="1" applyFont="1" applyProtection="1">
      <protection locked="0"/>
    </xf>
    <xf numFmtId="0" fontId="14" fillId="0" borderId="0" xfId="274" applyAlignment="1" applyProtection="1">
      <alignment horizontal="left" vertical="top" wrapText="1"/>
      <protection locked="0"/>
    </xf>
    <xf numFmtId="178" fontId="15" fillId="0" borderId="37" xfId="274" applyNumberFormat="1" applyFont="1" applyBorder="1" applyAlignment="1">
      <alignment vertical="center"/>
    </xf>
    <xf numFmtId="179" fontId="15" fillId="0" borderId="0" xfId="274" applyNumberFormat="1" applyFont="1" applyProtection="1">
      <protection locked="0"/>
    </xf>
    <xf numFmtId="180" fontId="3" fillId="0" borderId="24" xfId="274" applyNumberFormat="1" applyFont="1" applyBorder="1"/>
    <xf numFmtId="0" fontId="15" fillId="0" borderId="23" xfId="274" applyFont="1" applyBorder="1" applyAlignment="1">
      <alignment horizontal="right" vertical="center" wrapText="1"/>
    </xf>
    <xf numFmtId="1" fontId="15" fillId="0" borderId="23" xfId="274" applyNumberFormat="1" applyFont="1" applyBorder="1" applyAlignment="1">
      <alignment vertical="center" wrapText="1"/>
    </xf>
    <xf numFmtId="179" fontId="15" fillId="0" borderId="23" xfId="274" applyNumberFormat="1" applyFont="1" applyBorder="1" applyAlignment="1">
      <alignment horizontal="center" vertical="center" wrapText="1"/>
    </xf>
    <xf numFmtId="0" fontId="15" fillId="0" borderId="22" xfId="274" applyFont="1" applyBorder="1" applyAlignment="1">
      <alignment horizontal="right" vertical="center" wrapText="1"/>
    </xf>
    <xf numFmtId="43" fontId="3" fillId="0" borderId="0" xfId="274" applyNumberFormat="1" applyFont="1" applyProtection="1">
      <protection locked="0"/>
    </xf>
    <xf numFmtId="178" fontId="15" fillId="0" borderId="19" xfId="265" applyNumberFormat="1" applyFont="1" applyFill="1" applyBorder="1" applyAlignment="1" applyProtection="1">
      <alignment vertical="center"/>
    </xf>
    <xf numFmtId="178" fontId="3" fillId="0" borderId="19" xfId="269" applyNumberFormat="1" applyFont="1" applyFill="1" applyBorder="1" applyAlignment="1" applyProtection="1">
      <alignment horizontal="left" vertical="center" wrapText="1"/>
    </xf>
    <xf numFmtId="178" fontId="3" fillId="9" borderId="1" xfId="270" applyNumberFormat="1" applyFont="1" applyFill="1" applyBorder="1" applyAlignment="1" applyProtection="1">
      <alignment horizontal="left" vertical="center"/>
      <protection locked="0"/>
    </xf>
    <xf numFmtId="0" fontId="3" fillId="0" borderId="1" xfId="274" applyFont="1" applyBorder="1" applyAlignment="1">
      <alignment horizontal="center" vertical="center"/>
    </xf>
    <xf numFmtId="0" fontId="3" fillId="0" borderId="8" xfId="275" applyBorder="1" applyAlignment="1">
      <alignment horizontal="left" vertical="top" wrapText="1"/>
    </xf>
    <xf numFmtId="179" fontId="15" fillId="0" borderId="19" xfId="265" applyNumberFormat="1" applyFont="1" applyFill="1" applyBorder="1" applyAlignment="1" applyProtection="1">
      <alignment horizontal="center" vertical="center" wrapText="1"/>
    </xf>
    <xf numFmtId="179" fontId="15" fillId="0" borderId="1" xfId="265" applyNumberFormat="1" applyFont="1" applyFill="1" applyBorder="1" applyAlignment="1" applyProtection="1">
      <alignment horizontal="center" vertical="center" wrapText="1"/>
    </xf>
    <xf numFmtId="0" fontId="15" fillId="0" borderId="1" xfId="274" applyFont="1" applyBorder="1" applyAlignment="1">
      <alignment horizontal="center" vertical="center" wrapText="1"/>
    </xf>
    <xf numFmtId="0" fontId="15" fillId="0" borderId="8" xfId="274" applyFont="1" applyBorder="1" applyAlignment="1">
      <alignment vertical="center" wrapText="1"/>
    </xf>
    <xf numFmtId="164" fontId="3" fillId="0" borderId="19" xfId="269" applyNumberFormat="1" applyFont="1" applyFill="1" applyBorder="1" applyAlignment="1" applyProtection="1">
      <alignment vertical="center"/>
    </xf>
    <xf numFmtId="0" fontId="15" fillId="0" borderId="1" xfId="274" applyFont="1" applyBorder="1" applyAlignment="1">
      <alignment horizontal="right" vertical="center" wrapText="1"/>
    </xf>
    <xf numFmtId="1" fontId="15" fillId="0" borderId="1" xfId="274" applyNumberFormat="1" applyFont="1" applyBorder="1" applyAlignment="1">
      <alignment vertical="center" wrapText="1"/>
    </xf>
    <xf numFmtId="179" fontId="15" fillId="0" borderId="1" xfId="274" applyNumberFormat="1" applyFont="1" applyBorder="1" applyAlignment="1">
      <alignment horizontal="center" vertical="center" wrapText="1"/>
    </xf>
    <xf numFmtId="0" fontId="15" fillId="0" borderId="8" xfId="274" applyFont="1" applyBorder="1" applyAlignment="1">
      <alignment horizontal="right" vertical="center" wrapText="1"/>
    </xf>
    <xf numFmtId="164" fontId="15" fillId="0" borderId="19" xfId="265" applyNumberFormat="1" applyFont="1" applyFill="1" applyBorder="1" applyAlignment="1" applyProtection="1">
      <alignment vertical="center"/>
      <protection locked="0"/>
    </xf>
    <xf numFmtId="178" fontId="3" fillId="10" borderId="1" xfId="264" applyNumberFormat="1" applyFont="1" applyFill="1" applyBorder="1" applyAlignment="1" applyProtection="1">
      <alignment vertical="center"/>
      <protection locked="0"/>
    </xf>
    <xf numFmtId="178" fontId="3" fillId="9" borderId="1" xfId="270" applyNumberFormat="1" applyFont="1" applyFill="1" applyBorder="1" applyAlignment="1" applyProtection="1">
      <alignment vertical="center"/>
      <protection locked="0"/>
    </xf>
    <xf numFmtId="0" fontId="3" fillId="0" borderId="1" xfId="275" applyBorder="1" applyAlignment="1">
      <alignment horizontal="left" vertical="top" wrapText="1"/>
    </xf>
    <xf numFmtId="0" fontId="3" fillId="0" borderId="0" xfId="274" applyFont="1" applyAlignment="1" applyProtection="1">
      <alignment horizontal="center" vertical="center"/>
      <protection locked="0"/>
    </xf>
    <xf numFmtId="0" fontId="15" fillId="0" borderId="8" xfId="274" applyFont="1" applyBorder="1" applyAlignment="1">
      <alignment horizontal="left" vertical="center" wrapText="1"/>
    </xf>
    <xf numFmtId="180" fontId="33" fillId="0" borderId="1" xfId="265" applyNumberFormat="1" applyFont="1" applyFill="1" applyBorder="1" applyAlignment="1" applyProtection="1">
      <alignment vertical="center"/>
    </xf>
    <xf numFmtId="0" fontId="35" fillId="0" borderId="33" xfId="264" applyFont="1" applyBorder="1" applyAlignment="1">
      <alignment horizontal="center" vertical="center" wrapText="1"/>
    </xf>
    <xf numFmtId="0" fontId="35" fillId="0" borderId="32" xfId="264" applyFont="1" applyBorder="1" applyAlignment="1">
      <alignment horizontal="center" vertical="center" wrapText="1"/>
    </xf>
    <xf numFmtId="0" fontId="35" fillId="0" borderId="34" xfId="264" applyFont="1" applyBorder="1" applyAlignment="1">
      <alignment horizontal="center" vertical="center" wrapText="1"/>
    </xf>
    <xf numFmtId="176" fontId="34" fillId="0" borderId="0" xfId="270" applyNumberFormat="1" applyFont="1" applyFill="1" applyBorder="1" applyAlignment="1" applyProtection="1">
      <alignment horizontal="right" vertical="center" wrapText="1"/>
      <protection locked="0"/>
    </xf>
    <xf numFmtId="179" fontId="3" fillId="0" borderId="42" xfId="274" applyNumberFormat="1" applyFont="1" applyBorder="1"/>
    <xf numFmtId="178" fontId="15" fillId="0" borderId="37" xfId="274" applyNumberFormat="1" applyFont="1" applyBorder="1" applyAlignment="1" applyProtection="1">
      <alignment vertical="center"/>
      <protection locked="0"/>
    </xf>
    <xf numFmtId="178" fontId="3" fillId="0" borderId="24" xfId="274" applyNumberFormat="1" applyFont="1" applyBorder="1"/>
    <xf numFmtId="178" fontId="15" fillId="0" borderId="19" xfId="265" applyNumberFormat="1" applyFont="1" applyFill="1" applyBorder="1" applyAlignment="1" applyProtection="1">
      <alignment vertical="center" wrapText="1"/>
    </xf>
    <xf numFmtId="178" fontId="3" fillId="0" borderId="19" xfId="269" applyNumberFormat="1" applyFont="1" applyFill="1" applyBorder="1" applyAlignment="1" applyProtection="1">
      <alignment vertical="center" wrapText="1"/>
    </xf>
    <xf numFmtId="0" fontId="3" fillId="0" borderId="1" xfId="274" applyFont="1" applyBorder="1" applyAlignment="1">
      <alignment horizontal="left" vertical="center"/>
    </xf>
    <xf numFmtId="178" fontId="3" fillId="0" borderId="19" xfId="274" applyNumberFormat="1" applyFont="1" applyBorder="1"/>
    <xf numFmtId="178" fontId="3" fillId="0" borderId="19" xfId="269" applyNumberFormat="1" applyFont="1" applyFill="1" applyBorder="1" applyAlignment="1" applyProtection="1">
      <alignment vertical="center"/>
    </xf>
    <xf numFmtId="181" fontId="31" fillId="9" borderId="1" xfId="270" applyNumberFormat="1" applyFont="1" applyFill="1" applyBorder="1" applyAlignment="1" applyProtection="1">
      <alignment vertical="center"/>
      <protection locked="0"/>
    </xf>
    <xf numFmtId="178" fontId="3" fillId="9" borderId="1" xfId="271" applyNumberFormat="1" applyFont="1" applyFill="1" applyBorder="1" applyAlignment="1" applyProtection="1">
      <alignment vertical="center"/>
      <protection locked="0"/>
    </xf>
    <xf numFmtId="0" fontId="3" fillId="0" borderId="1" xfId="264" applyFont="1" applyBorder="1" applyAlignment="1">
      <alignment horizontal="center" vertical="center"/>
    </xf>
    <xf numFmtId="0" fontId="3" fillId="0" borderId="1" xfId="275" applyBorder="1" applyAlignment="1">
      <alignment horizontal="left" vertical="center" wrapText="1"/>
    </xf>
    <xf numFmtId="181" fontId="3" fillId="9" borderId="1" xfId="270" applyNumberFormat="1" applyFont="1" applyFill="1" applyBorder="1" applyAlignment="1" applyProtection="1">
      <alignment vertical="center"/>
      <protection locked="0"/>
    </xf>
    <xf numFmtId="0" fontId="15" fillId="0" borderId="19" xfId="274" applyFont="1" applyBorder="1" applyAlignment="1">
      <alignment horizontal="center" vertical="center" wrapText="1"/>
    </xf>
    <xf numFmtId="180" fontId="3" fillId="0" borderId="19" xfId="274" applyNumberFormat="1" applyFont="1" applyBorder="1"/>
    <xf numFmtId="180" fontId="15" fillId="0" borderId="19" xfId="274" applyNumberFormat="1" applyFont="1" applyBorder="1" applyAlignment="1">
      <alignment vertical="center"/>
    </xf>
    <xf numFmtId="180" fontId="3" fillId="9" borderId="1" xfId="269" applyNumberFormat="1" applyFont="1" applyFill="1" applyBorder="1" applyAlignment="1" applyProtection="1">
      <alignment horizontal="left" vertical="center" wrapText="1"/>
      <protection locked="0"/>
    </xf>
    <xf numFmtId="0" fontId="3" fillId="0" borderId="1" xfId="269" applyNumberFormat="1" applyFont="1" applyFill="1" applyBorder="1" applyAlignment="1" applyProtection="1">
      <alignment horizontal="right" vertical="center" wrapText="1"/>
    </xf>
    <xf numFmtId="0" fontId="3" fillId="0" borderId="1" xfId="274" applyFont="1" applyBorder="1"/>
    <xf numFmtId="0" fontId="3" fillId="0" borderId="1" xfId="276" applyFont="1" applyBorder="1" applyAlignment="1">
      <alignment horizontal="center" vertical="center" wrapText="1"/>
    </xf>
    <xf numFmtId="0" fontId="3" fillId="0" borderId="8" xfId="275" applyBorder="1"/>
    <xf numFmtId="0" fontId="3" fillId="0" borderId="44" xfId="264" applyFont="1" applyBorder="1" applyAlignment="1" applyProtection="1">
      <alignment horizontal="right" vertical="center"/>
      <protection locked="0"/>
    </xf>
    <xf numFmtId="0" fontId="3" fillId="0" borderId="45" xfId="264" applyFont="1" applyBorder="1" applyAlignment="1" applyProtection="1">
      <alignment horizontal="right" vertical="center"/>
      <protection locked="0"/>
    </xf>
    <xf numFmtId="0" fontId="34" fillId="0" borderId="45" xfId="264" applyFont="1" applyBorder="1" applyAlignment="1" applyProtection="1">
      <alignment horizontal="right" vertical="center"/>
      <protection locked="0"/>
    </xf>
    <xf numFmtId="176" fontId="34" fillId="0" borderId="24" xfId="270" applyNumberFormat="1" applyFont="1" applyFill="1" applyBorder="1" applyAlignment="1" applyProtection="1">
      <alignment horizontal="right" vertical="center" wrapText="1"/>
    </xf>
    <xf numFmtId="176" fontId="34" fillId="0" borderId="37" xfId="270" applyNumberFormat="1" applyFont="1" applyFill="1" applyBorder="1" applyAlignment="1" applyProtection="1">
      <alignment horizontal="right" vertical="center" wrapText="1"/>
    </xf>
    <xf numFmtId="176" fontId="33" fillId="0" borderId="19" xfId="270" applyNumberFormat="1" applyFont="1" applyFill="1" applyBorder="1" applyAlignment="1" applyProtection="1">
      <alignment horizontal="center" vertical="center" wrapText="1"/>
    </xf>
    <xf numFmtId="178" fontId="33" fillId="0" borderId="1" xfId="265" applyNumberFormat="1" applyFont="1" applyFill="1" applyBorder="1" applyAlignment="1" applyProtection="1">
      <alignment horizontal="center" vertical="center" wrapText="1"/>
    </xf>
    <xf numFmtId="178" fontId="3" fillId="0" borderId="24" xfId="274" applyNumberFormat="1" applyFont="1" applyBorder="1" applyAlignment="1">
      <alignment vertical="center"/>
    </xf>
    <xf numFmtId="178" fontId="3" fillId="9" borderId="1" xfId="271" applyNumberFormat="1" applyFont="1" applyFill="1" applyBorder="1" applyAlignment="1" applyProtection="1">
      <alignment horizontal="left" vertical="center"/>
      <protection locked="0"/>
    </xf>
    <xf numFmtId="181" fontId="3" fillId="9" borderId="1" xfId="270" applyNumberFormat="1" applyFont="1" applyFill="1" applyBorder="1" applyAlignment="1" applyProtection="1">
      <alignment horizontal="left" vertical="center"/>
      <protection locked="0"/>
    </xf>
    <xf numFmtId="178" fontId="3" fillId="9" borderId="1" xfId="271" applyNumberFormat="1" applyFont="1" applyFill="1" applyBorder="1" applyAlignment="1" applyProtection="1">
      <alignment horizontal="center" vertical="center"/>
      <protection locked="0"/>
    </xf>
    <xf numFmtId="178" fontId="33" fillId="0" borderId="1" xfId="265" applyNumberFormat="1" applyFont="1" applyFill="1" applyBorder="1" applyAlignment="1" applyProtection="1">
      <alignment vertical="center"/>
    </xf>
    <xf numFmtId="0" fontId="3" fillId="0" borderId="0" xfId="274" applyFont="1"/>
    <xf numFmtId="0" fontId="3" fillId="0" borderId="0" xfId="274" applyFont="1" applyAlignment="1">
      <alignment horizontal="right" vertical="top" wrapText="1"/>
    </xf>
    <xf numFmtId="0" fontId="3" fillId="0" borderId="0" xfId="274" applyFont="1" applyAlignment="1">
      <alignment horizontal="left" vertical="top" wrapText="1"/>
    </xf>
    <xf numFmtId="0" fontId="14" fillId="0" borderId="0" xfId="274" applyAlignment="1">
      <alignment horizontal="left" vertical="top" wrapText="1"/>
    </xf>
    <xf numFmtId="178" fontId="3" fillId="0" borderId="42" xfId="274" applyNumberFormat="1" applyFont="1" applyBorder="1"/>
    <xf numFmtId="178" fontId="3" fillId="0" borderId="0" xfId="274" applyNumberFormat="1" applyFont="1"/>
    <xf numFmtId="178" fontId="3" fillId="0" borderId="24" xfId="269" applyNumberFormat="1" applyFont="1" applyFill="1" applyBorder="1" applyAlignment="1" applyProtection="1">
      <alignment vertical="center" wrapText="1"/>
    </xf>
    <xf numFmtId="179" fontId="3" fillId="0" borderId="23" xfId="265" applyNumberFormat="1" applyFont="1" applyFill="1" applyBorder="1" applyAlignment="1" applyProtection="1">
      <alignment horizontal="center" vertical="center" wrapText="1"/>
    </xf>
    <xf numFmtId="0" fontId="3" fillId="0" borderId="23" xfId="264" applyFont="1" applyBorder="1" applyAlignment="1">
      <alignment horizontal="center" vertical="center" wrapText="1"/>
    </xf>
    <xf numFmtId="0" fontId="5" fillId="0" borderId="0" xfId="274" applyFont="1"/>
    <xf numFmtId="179" fontId="5" fillId="0" borderId="0" xfId="274" applyNumberFormat="1" applyFont="1"/>
    <xf numFmtId="179" fontId="3" fillId="0" borderId="1" xfId="265" applyNumberFormat="1" applyFont="1" applyFill="1" applyBorder="1" applyAlignment="1" applyProtection="1">
      <alignment horizontal="center" vertical="center" wrapText="1"/>
    </xf>
    <xf numFmtId="0" fontId="3" fillId="0" borderId="1" xfId="264" applyFont="1" applyBorder="1" applyAlignment="1">
      <alignment horizontal="center" vertical="center" wrapText="1"/>
    </xf>
    <xf numFmtId="0" fontId="3" fillId="0" borderId="8" xfId="264" applyFont="1" applyBorder="1" applyAlignment="1">
      <alignment vertical="center" wrapText="1"/>
    </xf>
    <xf numFmtId="178" fontId="15" fillId="0" borderId="19" xfId="274" applyNumberFormat="1" applyFont="1" applyBorder="1" applyAlignment="1">
      <alignment horizontal="center" vertical="center" wrapText="1"/>
    </xf>
    <xf numFmtId="0" fontId="3" fillId="0" borderId="0" xfId="274" applyFont="1" applyAlignment="1">
      <alignment horizontal="center" vertical="center"/>
    </xf>
    <xf numFmtId="176" fontId="34" fillId="0" borderId="0" xfId="270" applyNumberFormat="1" applyFont="1" applyFill="1" applyBorder="1" applyAlignment="1" applyProtection="1">
      <alignment horizontal="right" vertical="center" wrapText="1"/>
    </xf>
    <xf numFmtId="0" fontId="3" fillId="0" borderId="0" xfId="264" applyFont="1" applyAlignment="1">
      <alignment horizontal="right" vertical="center"/>
    </xf>
    <xf numFmtId="0" fontId="34" fillId="0" borderId="0" xfId="264" applyFont="1" applyAlignment="1">
      <alignment horizontal="right" vertical="center"/>
    </xf>
    <xf numFmtId="0" fontId="34" fillId="0" borderId="60" xfId="264" applyFont="1" applyBorder="1" applyAlignment="1">
      <alignment horizontal="right" vertical="center"/>
    </xf>
    <xf numFmtId="178" fontId="34" fillId="0" borderId="24" xfId="270" applyNumberFormat="1" applyFont="1" applyFill="1" applyBorder="1" applyAlignment="1" applyProtection="1">
      <alignment vertical="center"/>
    </xf>
    <xf numFmtId="178" fontId="34" fillId="0" borderId="37" xfId="270" applyNumberFormat="1" applyFont="1" applyFill="1" applyBorder="1" applyAlignment="1" applyProtection="1">
      <alignment vertical="center"/>
    </xf>
    <xf numFmtId="178" fontId="33" fillId="0" borderId="19" xfId="270" applyNumberFormat="1" applyFont="1" applyFill="1" applyBorder="1" applyAlignment="1" applyProtection="1">
      <alignment vertical="center"/>
    </xf>
    <xf numFmtId="0" fontId="3" fillId="0" borderId="0" xfId="264" applyFont="1" applyAlignment="1">
      <alignment horizontal="center" wrapText="1"/>
    </xf>
    <xf numFmtId="0" fontId="3" fillId="0" borderId="0" xfId="264" applyFont="1" applyAlignment="1">
      <alignment horizontal="center" vertical="center" wrapText="1"/>
    </xf>
    <xf numFmtId="0" fontId="3" fillId="0" borderId="0" xfId="264" applyFont="1"/>
    <xf numFmtId="179" fontId="15" fillId="0" borderId="37" xfId="274" applyNumberFormat="1" applyFont="1" applyBorder="1" applyAlignment="1" applyProtection="1">
      <alignment horizontal="center" vertical="center" wrapText="1"/>
      <protection locked="0"/>
    </xf>
    <xf numFmtId="0" fontId="15" fillId="0" borderId="35" xfId="274" applyFont="1" applyBorder="1" applyAlignment="1" applyProtection="1">
      <alignment horizontal="center" vertical="center" wrapText="1"/>
      <protection locked="0"/>
    </xf>
    <xf numFmtId="0" fontId="15" fillId="0" borderId="36" xfId="274" applyFont="1" applyBorder="1" applyAlignment="1" applyProtection="1">
      <alignment horizontal="left" vertical="center" wrapText="1"/>
      <protection locked="0"/>
    </xf>
    <xf numFmtId="179" fontId="15" fillId="0" borderId="33" xfId="274" applyNumberFormat="1" applyFont="1" applyBorder="1" applyAlignment="1" applyProtection="1">
      <alignment horizontal="center" vertical="center" wrapText="1"/>
      <protection locked="0"/>
    </xf>
    <xf numFmtId="0" fontId="15" fillId="0" borderId="32" xfId="274" applyFont="1" applyBorder="1" applyAlignment="1" applyProtection="1">
      <alignment horizontal="center" vertical="center" wrapText="1"/>
      <protection locked="0"/>
    </xf>
    <xf numFmtId="0" fontId="15" fillId="0" borderId="34" xfId="274" applyFont="1" applyBorder="1" applyAlignment="1" applyProtection="1">
      <alignment horizontal="left" vertical="center" wrapText="1"/>
      <protection locked="0"/>
    </xf>
    <xf numFmtId="179" fontId="15" fillId="0" borderId="19" xfId="265" applyNumberFormat="1" applyFont="1" applyFill="1" applyBorder="1" applyAlignment="1" applyProtection="1">
      <alignment horizontal="center" vertical="center" wrapText="1"/>
      <protection locked="0"/>
    </xf>
    <xf numFmtId="179" fontId="3" fillId="0" borderId="1" xfId="265" applyNumberFormat="1" applyFont="1" applyFill="1" applyBorder="1" applyAlignment="1" applyProtection="1">
      <alignment horizontal="center" vertical="center" wrapText="1"/>
      <protection locked="0"/>
    </xf>
    <xf numFmtId="0" fontId="3" fillId="0" borderId="1" xfId="274" applyFont="1" applyBorder="1" applyAlignment="1" applyProtection="1">
      <alignment horizontal="center" vertical="center" wrapText="1"/>
      <protection locked="0"/>
    </xf>
    <xf numFmtId="0" fontId="15" fillId="0" borderId="8" xfId="274" applyFont="1" applyBorder="1" applyAlignment="1" applyProtection="1">
      <alignment vertical="center" wrapText="1"/>
      <protection locked="0"/>
    </xf>
    <xf numFmtId="179" fontId="3" fillId="0" borderId="1" xfId="269" applyNumberFormat="1" applyFont="1" applyFill="1" applyBorder="1" applyAlignment="1" applyProtection="1">
      <alignment horizontal="left" vertical="center" wrapText="1"/>
      <protection locked="0"/>
    </xf>
    <xf numFmtId="181" fontId="31" fillId="0" borderId="1" xfId="270" applyNumberFormat="1" applyFont="1" applyFill="1" applyBorder="1" applyAlignment="1" applyProtection="1">
      <alignment horizontal="left" vertical="center"/>
      <protection locked="0"/>
    </xf>
    <xf numFmtId="0" fontId="3" fillId="0" borderId="1" xfId="264" applyFont="1" applyBorder="1" applyAlignment="1" applyProtection="1">
      <alignment horizontal="center" vertical="center"/>
      <protection locked="0"/>
    </xf>
    <xf numFmtId="0" fontId="3" fillId="0" borderId="1" xfId="274" applyFont="1" applyBorder="1" applyAlignment="1" applyProtection="1">
      <alignment horizontal="left" vertical="center"/>
      <protection locked="0"/>
    </xf>
    <xf numFmtId="0" fontId="3" fillId="0" borderId="20" xfId="275" applyBorder="1" applyAlignment="1" applyProtection="1">
      <alignment horizontal="left" vertical="top" wrapText="1"/>
      <protection locked="0"/>
    </xf>
    <xf numFmtId="0" fontId="31" fillId="0" borderId="4" xfId="274" applyFont="1" applyBorder="1" applyAlignment="1" applyProtection="1">
      <alignment horizontal="center" vertical="center"/>
      <protection locked="0"/>
    </xf>
    <xf numFmtId="2" fontId="3" fillId="0" borderId="4" xfId="276" applyNumberFormat="1" applyFont="1" applyBorder="1" applyAlignment="1" applyProtection="1">
      <alignment horizontal="center" vertical="center" wrapText="1"/>
      <protection locked="0"/>
    </xf>
    <xf numFmtId="0" fontId="3" fillId="0" borderId="1" xfId="275" applyBorder="1" applyAlignment="1" applyProtection="1">
      <alignment horizontal="center" vertical="center"/>
      <protection locked="0"/>
    </xf>
    <xf numFmtId="0" fontId="31" fillId="0" borderId="1" xfId="275" applyFont="1" applyBorder="1" applyProtection="1">
      <protection locked="0"/>
    </xf>
    <xf numFmtId="179" fontId="3" fillId="0" borderId="19" xfId="265" applyNumberFormat="1" applyFont="1" applyFill="1" applyBorder="1" applyAlignment="1" applyProtection="1">
      <alignment horizontal="center" vertical="center" wrapText="1"/>
      <protection locked="0"/>
    </xf>
    <xf numFmtId="0" fontId="3" fillId="0" borderId="7" xfId="274" applyFont="1" applyBorder="1" applyProtection="1">
      <protection locked="0"/>
    </xf>
    <xf numFmtId="0" fontId="3" fillId="0" borderId="1" xfId="264" applyFont="1" applyBorder="1" applyAlignment="1" applyProtection="1">
      <alignment horizontal="center" vertical="center" wrapText="1"/>
      <protection locked="0"/>
    </xf>
    <xf numFmtId="0" fontId="3" fillId="0" borderId="61" xfId="264" applyFont="1" applyBorder="1" applyAlignment="1" applyProtection="1">
      <alignment vertical="center" wrapText="1"/>
      <protection locked="0"/>
    </xf>
    <xf numFmtId="179" fontId="3" fillId="0" borderId="2" xfId="265" applyNumberFormat="1" applyFont="1" applyFill="1" applyBorder="1" applyAlignment="1" applyProtection="1">
      <alignment horizontal="center" vertical="center" wrapText="1"/>
      <protection locked="0"/>
    </xf>
    <xf numFmtId="180" fontId="3" fillId="9" borderId="1" xfId="270" applyNumberFormat="1" applyFont="1" applyFill="1" applyBorder="1" applyAlignment="1" applyProtection="1">
      <alignment vertical="center"/>
      <protection locked="0"/>
    </xf>
    <xf numFmtId="0" fontId="31" fillId="0" borderId="1" xfId="274" applyFont="1" applyBorder="1" applyAlignment="1">
      <alignment horizontal="center" vertical="center"/>
    </xf>
    <xf numFmtId="0" fontId="5" fillId="0" borderId="0" xfId="274" applyFont="1" applyProtection="1">
      <protection locked="0"/>
    </xf>
    <xf numFmtId="180" fontId="3" fillId="9" borderId="1" xfId="269" applyNumberFormat="1" applyFont="1" applyFill="1" applyBorder="1" applyAlignment="1" applyProtection="1">
      <alignment vertical="center"/>
      <protection locked="0"/>
    </xf>
    <xf numFmtId="1" fontId="3" fillId="0" borderId="1" xfId="276" applyNumberFormat="1" applyFont="1" applyBorder="1" applyAlignment="1">
      <alignment horizontal="center" vertical="center" wrapText="1"/>
    </xf>
    <xf numFmtId="0" fontId="3" fillId="0" borderId="1" xfId="275" applyBorder="1" applyAlignment="1">
      <alignment horizontal="center" vertical="center"/>
    </xf>
    <xf numFmtId="0" fontId="3" fillId="0" borderId="8" xfId="274" applyFont="1" applyBorder="1" applyAlignment="1">
      <alignment vertical="center" wrapText="1"/>
    </xf>
    <xf numFmtId="179" fontId="4" fillId="0" borderId="2" xfId="265" applyNumberFormat="1" applyFont="1" applyFill="1" applyBorder="1" applyAlignment="1" applyProtection="1">
      <alignment horizontal="center" vertical="center" wrapText="1"/>
      <protection locked="0"/>
    </xf>
    <xf numFmtId="179" fontId="5" fillId="0" borderId="1" xfId="265" applyNumberFormat="1" applyFont="1" applyFill="1" applyBorder="1" applyAlignment="1" applyProtection="1">
      <alignment horizontal="center" vertical="center" wrapText="1"/>
      <protection locked="0"/>
    </xf>
    <xf numFmtId="0" fontId="5" fillId="0" borderId="1" xfId="274" applyFont="1" applyBorder="1" applyAlignment="1" applyProtection="1">
      <alignment horizontal="center" vertical="center" wrapText="1"/>
      <protection locked="0"/>
    </xf>
    <xf numFmtId="0" fontId="4" fillId="0" borderId="8" xfId="274" applyFont="1" applyBorder="1" applyAlignment="1" applyProtection="1">
      <alignment vertical="center" wrapText="1"/>
      <protection locked="0"/>
    </xf>
    <xf numFmtId="43" fontId="5" fillId="0" borderId="0" xfId="274" applyNumberFormat="1" applyFont="1" applyProtection="1">
      <protection locked="0"/>
    </xf>
    <xf numFmtId="179" fontId="3" fillId="0" borderId="2" xfId="269" applyNumberFormat="1" applyFont="1" applyFill="1" applyBorder="1" applyAlignment="1" applyProtection="1">
      <alignment horizontal="left" vertical="center" wrapText="1"/>
      <protection locked="0"/>
    </xf>
    <xf numFmtId="179" fontId="3" fillId="0" borderId="1" xfId="269" applyNumberFormat="1" applyFont="1" applyFill="1" applyBorder="1" applyAlignment="1" applyProtection="1">
      <alignment horizontal="center" vertical="center" wrapText="1"/>
      <protection locked="0"/>
    </xf>
    <xf numFmtId="0" fontId="3" fillId="0" borderId="1" xfId="276" applyFont="1" applyBorder="1" applyAlignment="1" applyProtection="1">
      <alignment horizontal="center" vertical="center" wrapText="1"/>
      <protection locked="0"/>
    </xf>
    <xf numFmtId="0" fontId="3" fillId="0" borderId="1" xfId="275" applyBorder="1" applyProtection="1">
      <protection locked="0"/>
    </xf>
    <xf numFmtId="178" fontId="3" fillId="9" borderId="1" xfId="269" applyNumberFormat="1" applyFont="1" applyFill="1" applyBorder="1" applyAlignment="1" applyProtection="1">
      <alignment vertical="center"/>
      <protection locked="0"/>
    </xf>
    <xf numFmtId="178" fontId="3" fillId="9" borderId="1" xfId="274" applyNumberFormat="1" applyFont="1" applyFill="1" applyBorder="1" applyAlignment="1" applyProtection="1">
      <alignment vertical="center"/>
      <protection locked="0"/>
    </xf>
    <xf numFmtId="0" fontId="3" fillId="0" borderId="8" xfId="275" applyBorder="1" applyAlignment="1">
      <alignment horizontal="left" wrapText="1"/>
    </xf>
    <xf numFmtId="0" fontId="15" fillId="0" borderId="2" xfId="274" applyFont="1" applyBorder="1" applyAlignment="1" applyProtection="1">
      <alignment horizontal="center" vertical="center" wrapText="1"/>
      <protection locked="0"/>
    </xf>
    <xf numFmtId="0" fontId="15" fillId="0" borderId="1" xfId="274" applyFont="1" applyBorder="1" applyAlignment="1" applyProtection="1">
      <alignment horizontal="center" vertical="center" wrapText="1"/>
      <protection locked="0"/>
    </xf>
    <xf numFmtId="0" fontId="15" fillId="0" borderId="8" xfId="274" applyFont="1" applyBorder="1" applyAlignment="1" applyProtection="1">
      <alignment horizontal="center" vertical="center" wrapText="1"/>
      <protection locked="0"/>
    </xf>
    <xf numFmtId="0" fontId="15" fillId="0" borderId="3" xfId="274" applyFont="1" applyBorder="1" applyAlignment="1" applyProtection="1">
      <alignment horizontal="center" vertical="center" wrapText="1"/>
      <protection locked="0"/>
    </xf>
    <xf numFmtId="0" fontId="15" fillId="0" borderId="48" xfId="274" applyFont="1" applyBorder="1" applyAlignment="1" applyProtection="1">
      <alignment horizontal="left" vertical="center" wrapText="1"/>
      <protection locked="0"/>
    </xf>
    <xf numFmtId="0" fontId="15" fillId="0" borderId="20" xfId="274" applyFont="1" applyBorder="1" applyAlignment="1" applyProtection="1">
      <alignment horizontal="left" vertical="center" wrapText="1"/>
      <protection locked="0"/>
    </xf>
    <xf numFmtId="180" fontId="33" fillId="0" borderId="1" xfId="265" applyNumberFormat="1" applyFont="1" applyFill="1" applyBorder="1" applyAlignment="1" applyProtection="1">
      <alignment horizontal="center" vertical="center" wrapText="1"/>
    </xf>
    <xf numFmtId="179" fontId="15" fillId="0" borderId="0" xfId="274" applyNumberFormat="1" applyFont="1"/>
    <xf numFmtId="43" fontId="3" fillId="0" borderId="0" xfId="274" applyNumberFormat="1" applyFont="1"/>
    <xf numFmtId="179" fontId="15" fillId="0" borderId="1" xfId="274" applyNumberFormat="1" applyFont="1" applyBorder="1" applyAlignment="1">
      <alignment horizontal="left" vertical="center"/>
    </xf>
    <xf numFmtId="178" fontId="3" fillId="9" borderId="1" xfId="264" applyNumberFormat="1" applyFont="1" applyFill="1" applyBorder="1" applyAlignment="1" applyProtection="1">
      <alignment horizontal="center" vertical="center"/>
      <protection locked="0"/>
    </xf>
    <xf numFmtId="0" fontId="14" fillId="0" borderId="0" xfId="274"/>
    <xf numFmtId="0" fontId="3" fillId="0" borderId="0" xfId="274" applyFont="1" applyAlignment="1">
      <alignment horizontal="justify" vertical="center"/>
    </xf>
    <xf numFmtId="164" fontId="39" fillId="0" borderId="37" xfId="274" applyNumberFormat="1" applyFont="1" applyBorder="1" applyAlignment="1">
      <alignment vertical="center"/>
    </xf>
    <xf numFmtId="164" fontId="39" fillId="0" borderId="35" xfId="274" applyNumberFormat="1" applyFont="1" applyBorder="1" applyAlignment="1">
      <alignment vertical="center"/>
    </xf>
    <xf numFmtId="164" fontId="41" fillId="0" borderId="24" xfId="284" applyNumberFormat="1" applyFont="1" applyBorder="1" applyAlignment="1" applyProtection="1">
      <alignment vertical="center" wrapText="1"/>
    </xf>
    <xf numFmtId="164" fontId="41" fillId="0" borderId="23" xfId="274" applyNumberFormat="1" applyFont="1" applyBorder="1" applyAlignment="1">
      <alignment vertical="center" wrapText="1"/>
    </xf>
    <xf numFmtId="164" fontId="41" fillId="0" borderId="23" xfId="274" applyNumberFormat="1" applyFont="1" applyBorder="1" applyAlignment="1">
      <alignment vertical="center"/>
    </xf>
    <xf numFmtId="0" fontId="42" fillId="0" borderId="23" xfId="274" applyFont="1" applyBorder="1" applyAlignment="1">
      <alignment horizontal="left" vertical="center" wrapText="1"/>
    </xf>
    <xf numFmtId="0" fontId="42" fillId="0" borderId="22" xfId="274" applyFont="1" applyBorder="1" applyAlignment="1">
      <alignment vertical="center" wrapText="1"/>
    </xf>
    <xf numFmtId="164" fontId="41" fillId="0" borderId="19" xfId="284" applyNumberFormat="1" applyFont="1" applyBorder="1" applyAlignment="1" applyProtection="1">
      <alignment vertical="center" wrapText="1"/>
    </xf>
    <xf numFmtId="164" fontId="41" fillId="0" borderId="1" xfId="274" applyNumberFormat="1" applyFont="1" applyBorder="1" applyAlignment="1">
      <alignment vertical="center" wrapText="1"/>
    </xf>
    <xf numFmtId="164" fontId="41" fillId="0" borderId="1" xfId="274" applyNumberFormat="1" applyFont="1" applyBorder="1" applyAlignment="1">
      <alignment vertical="center"/>
    </xf>
    <xf numFmtId="0" fontId="42" fillId="0" borderId="1" xfId="274" applyFont="1" applyBorder="1" applyAlignment="1">
      <alignment horizontal="left" vertical="center" wrapText="1"/>
    </xf>
    <xf numFmtId="0" fontId="42" fillId="0" borderId="8" xfId="274" applyFont="1" applyBorder="1" applyAlignment="1">
      <alignment vertical="center" wrapText="1"/>
    </xf>
    <xf numFmtId="0" fontId="39" fillId="0" borderId="19" xfId="274" applyFont="1" applyBorder="1" applyAlignment="1">
      <alignment horizontal="center" vertical="center" wrapText="1"/>
    </xf>
    <xf numFmtId="0" fontId="39" fillId="0" borderId="1" xfId="274" applyFont="1" applyBorder="1" applyAlignment="1" applyProtection="1">
      <alignment horizontal="center" vertical="center" wrapText="1"/>
      <protection locked="0"/>
    </xf>
    <xf numFmtId="0" fontId="39" fillId="0" borderId="1" xfId="274" applyFont="1" applyBorder="1" applyAlignment="1">
      <alignment horizontal="center" vertical="center" wrapText="1"/>
    </xf>
    <xf numFmtId="0" fontId="39" fillId="0" borderId="8" xfId="274" applyFont="1" applyBorder="1" applyAlignment="1">
      <alignment horizontal="center" vertical="center" wrapText="1"/>
    </xf>
    <xf numFmtId="0" fontId="15" fillId="0" borderId="0" xfId="274" applyFont="1" applyAlignment="1">
      <alignment vertical="center"/>
    </xf>
    <xf numFmtId="0" fontId="2" fillId="0" borderId="0" xfId="290"/>
    <xf numFmtId="9" fontId="5" fillId="0" borderId="1" xfId="288" applyFont="1" applyBorder="1" applyAlignment="1" applyProtection="1">
      <alignment horizontal="center" vertical="center"/>
      <protection locked="0"/>
    </xf>
    <xf numFmtId="0" fontId="5" fillId="0" borderId="1" xfId="290" applyFont="1" applyBorder="1" applyAlignment="1" applyProtection="1">
      <alignment horizontal="center" vertical="center" wrapText="1"/>
      <protection locked="0"/>
    </xf>
    <xf numFmtId="0" fontId="5" fillId="0" borderId="4" xfId="290" applyFont="1" applyBorder="1" applyAlignment="1" applyProtection="1">
      <alignment vertical="center" wrapText="1"/>
      <protection locked="0"/>
    </xf>
    <xf numFmtId="0" fontId="5" fillId="0" borderId="1" xfId="290" applyFont="1" applyBorder="1" applyAlignment="1" applyProtection="1">
      <alignment horizontal="justify" vertical="center" wrapText="1"/>
      <protection locked="0"/>
    </xf>
    <xf numFmtId="0" fontId="5" fillId="0" borderId="1" xfId="290" applyFont="1" applyBorder="1" applyAlignment="1" applyProtection="1">
      <alignment vertical="center" wrapText="1"/>
      <protection locked="0"/>
    </xf>
    <xf numFmtId="9" fontId="4" fillId="6" borderId="1" xfId="288" applyFont="1" applyFill="1" applyBorder="1" applyAlignment="1" applyProtection="1">
      <alignment horizontal="center" vertical="center"/>
      <protection locked="0"/>
    </xf>
    <xf numFmtId="0" fontId="5" fillId="6" borderId="1" xfId="290" applyFont="1" applyFill="1" applyBorder="1" applyAlignment="1" applyProtection="1">
      <alignment horizontal="center" vertical="center" wrapText="1"/>
      <protection locked="0"/>
    </xf>
    <xf numFmtId="0" fontId="4" fillId="6" borderId="1" xfId="290" applyFont="1" applyFill="1" applyBorder="1" applyAlignment="1" applyProtection="1">
      <alignment horizontal="center" vertical="center" wrapText="1"/>
      <protection locked="0"/>
    </xf>
    <xf numFmtId="0" fontId="4" fillId="6" borderId="1" xfId="290" applyFont="1" applyFill="1" applyBorder="1" applyAlignment="1" applyProtection="1">
      <alignment vertical="center" wrapText="1"/>
      <protection locked="0"/>
    </xf>
    <xf numFmtId="0" fontId="4" fillId="6" borderId="1" xfId="290" applyFont="1" applyFill="1" applyBorder="1" applyAlignment="1" applyProtection="1">
      <alignment horizontal="justify" vertical="center" wrapText="1"/>
      <protection locked="0"/>
    </xf>
    <xf numFmtId="0" fontId="0" fillId="0" borderId="0" xfId="290" applyFont="1"/>
    <xf numFmtId="42" fontId="2" fillId="0" borderId="0" xfId="263"/>
    <xf numFmtId="42" fontId="2" fillId="0" borderId="0" xfId="290" applyNumberFormat="1"/>
    <xf numFmtId="178" fontId="3" fillId="11" borderId="19" xfId="269" applyNumberFormat="1" applyFont="1" applyFill="1" applyBorder="1" applyAlignment="1" applyProtection="1">
      <alignment horizontal="left" vertical="center" wrapText="1"/>
    </xf>
    <xf numFmtId="0" fontId="0" fillId="0" borderId="1" xfId="290" applyFont="1" applyBorder="1" applyAlignment="1"/>
    <xf numFmtId="0" fontId="0" fillId="0" borderId="1" xfId="290" applyFont="1" applyBorder="1"/>
    <xf numFmtId="0" fontId="2" fillId="0" borderId="1" xfId="290" applyBorder="1"/>
    <xf numFmtId="42" fontId="2" fillId="0" borderId="1" xfId="263" applyBorder="1"/>
    <xf numFmtId="42" fontId="2" fillId="0" borderId="1" xfId="290" applyNumberFormat="1" applyBorder="1"/>
    <xf numFmtId="42" fontId="2" fillId="11" borderId="1" xfId="263" applyFill="1" applyBorder="1"/>
    <xf numFmtId="178" fontId="3" fillId="11" borderId="19" xfId="271" applyNumberFormat="1" applyFont="1" applyFill="1" applyBorder="1" applyAlignment="1" applyProtection="1">
      <alignment horizontal="left" vertical="center" wrapText="1"/>
    </xf>
    <xf numFmtId="178" fontId="3" fillId="11" borderId="19" xfId="269" applyNumberFormat="1" applyFont="1" applyFill="1" applyBorder="1" applyAlignment="1" applyProtection="1">
      <alignment vertical="center"/>
    </xf>
    <xf numFmtId="0" fontId="30" fillId="0" borderId="5" xfId="290" applyFont="1" applyBorder="1" applyAlignment="1">
      <alignment vertical="center"/>
    </xf>
    <xf numFmtId="0" fontId="3" fillId="0" borderId="5" xfId="290" applyFont="1" applyBorder="1" applyAlignment="1" applyProtection="1">
      <alignment horizontal="center" vertical="center"/>
      <protection locked="0"/>
    </xf>
    <xf numFmtId="0" fontId="3" fillId="0" borderId="5" xfId="290" applyFont="1" applyBorder="1" applyAlignment="1" applyProtection="1">
      <alignment horizontal="center" vertical="center" wrapText="1"/>
      <protection locked="0"/>
    </xf>
    <xf numFmtId="180" fontId="15" fillId="12" borderId="24" xfId="274" applyNumberFormat="1" applyFont="1" applyFill="1" applyBorder="1" applyAlignment="1">
      <alignment horizontal="center" vertical="center"/>
    </xf>
    <xf numFmtId="178" fontId="3" fillId="12" borderId="19" xfId="269" applyNumberFormat="1" applyFont="1" applyFill="1" applyBorder="1" applyAlignment="1" applyProtection="1">
      <alignment vertical="center"/>
    </xf>
    <xf numFmtId="178" fontId="3" fillId="12" borderId="19" xfId="269" applyNumberFormat="1" applyFont="1" applyFill="1" applyBorder="1" applyAlignment="1" applyProtection="1">
      <alignment vertical="center" wrapText="1"/>
    </xf>
    <xf numFmtId="0" fontId="5" fillId="0" borderId="5" xfId="290" applyFont="1" applyBorder="1" applyAlignment="1" applyProtection="1">
      <alignment horizontal="center" vertical="center"/>
      <protection locked="0"/>
    </xf>
    <xf numFmtId="0" fontId="5" fillId="0" borderId="26" xfId="290" applyFont="1" applyBorder="1" applyAlignment="1" applyProtection="1">
      <alignment vertical="center"/>
      <protection locked="0"/>
    </xf>
    <xf numFmtId="178" fontId="3" fillId="12" borderId="19" xfId="271" applyNumberFormat="1" applyFont="1" applyFill="1" applyBorder="1" applyAlignment="1" applyProtection="1">
      <alignment horizontal="center" vertical="center"/>
    </xf>
    <xf numFmtId="178" fontId="3" fillId="12" borderId="19" xfId="269" applyNumberFormat="1" applyFont="1" applyFill="1" applyBorder="1" applyAlignment="1" applyProtection="1">
      <alignment horizontal="left" vertical="center" wrapText="1"/>
    </xf>
    <xf numFmtId="178" fontId="15" fillId="12" borderId="19" xfId="274" applyNumberFormat="1" applyFont="1" applyFill="1" applyBorder="1" applyAlignment="1">
      <alignment vertical="center"/>
    </xf>
    <xf numFmtId="176" fontId="34" fillId="12" borderId="24" xfId="270" applyNumberFormat="1" applyFont="1" applyFill="1" applyBorder="1" applyAlignment="1" applyProtection="1">
      <alignment vertical="center"/>
    </xf>
    <xf numFmtId="178" fontId="15" fillId="0" borderId="37" xfId="274" applyNumberFormat="1" applyFont="1" applyFill="1" applyBorder="1" applyAlignment="1">
      <alignment vertical="center"/>
    </xf>
    <xf numFmtId="178" fontId="15" fillId="7" borderId="19" xfId="265" applyNumberFormat="1" applyFont="1" applyFill="1" applyBorder="1" applyAlignment="1" applyProtection="1">
      <alignment vertical="center"/>
    </xf>
    <xf numFmtId="0" fontId="5" fillId="6" borderId="2" xfId="0" applyFont="1" applyFill="1" applyBorder="1" applyAlignment="1" applyProtection="1">
      <alignment vertical="center"/>
      <protection locked="0"/>
    </xf>
    <xf numFmtId="0" fontId="5" fillId="6" borderId="3" xfId="0" applyFont="1" applyFill="1" applyBorder="1" applyAlignment="1" applyProtection="1">
      <alignment vertical="center"/>
      <protection locked="0"/>
    </xf>
    <xf numFmtId="0" fontId="5" fillId="6" borderId="4" xfId="0" applyFont="1" applyFill="1" applyBorder="1" applyAlignment="1" applyProtection="1">
      <alignment vertical="center"/>
      <protection locked="0"/>
    </xf>
    <xf numFmtId="0" fontId="5" fillId="0" borderId="1" xfId="0" applyFont="1" applyFill="1" applyBorder="1" applyAlignment="1" applyProtection="1">
      <alignment horizontal="center" vertical="center"/>
      <protection locked="0"/>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3"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5" fillId="0" borderId="9"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4" fillId="5" borderId="5" xfId="0" applyFont="1" applyFill="1" applyBorder="1" applyAlignment="1">
      <alignment horizontal="center" vertical="center" wrapText="1"/>
    </xf>
    <xf numFmtId="0" fontId="4" fillId="5" borderId="26" xfId="0" applyFont="1" applyFill="1" applyBorder="1" applyAlignment="1">
      <alignment horizontal="center" vertical="center" wrapText="1"/>
    </xf>
    <xf numFmtId="0" fontId="4" fillId="5" borderId="43" xfId="0" applyFont="1" applyFill="1" applyBorder="1" applyAlignment="1">
      <alignment horizontal="center" vertical="center" wrapText="1"/>
    </xf>
    <xf numFmtId="0" fontId="4" fillId="5" borderId="45" xfId="0" applyFont="1" applyFill="1" applyBorder="1" applyAlignment="1">
      <alignment horizontal="center" vertical="center" wrapText="1"/>
    </xf>
    <xf numFmtId="0" fontId="4" fillId="5" borderId="44"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4" fillId="5" borderId="46" xfId="0" applyFont="1" applyFill="1" applyBorder="1" applyAlignment="1">
      <alignment horizontal="center" vertical="center" wrapText="1"/>
    </xf>
    <xf numFmtId="0" fontId="4" fillId="5" borderId="41" xfId="0" applyFont="1" applyFill="1" applyBorder="1" applyAlignment="1">
      <alignment horizontal="center" vertical="center" wrapText="1"/>
    </xf>
    <xf numFmtId="0" fontId="4" fillId="5" borderId="2" xfId="0" applyFont="1" applyFill="1" applyBorder="1" applyAlignment="1" applyProtection="1">
      <alignment horizontal="center" vertical="center" wrapText="1"/>
      <protection locked="0"/>
    </xf>
    <xf numFmtId="0" fontId="4" fillId="5" borderId="3" xfId="0" applyFont="1" applyFill="1" applyBorder="1" applyAlignment="1" applyProtection="1">
      <alignment horizontal="center" vertical="center" wrapText="1"/>
      <protection locked="0"/>
    </xf>
    <xf numFmtId="0" fontId="4" fillId="5" borderId="4"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66" fontId="5" fillId="0" borderId="1" xfId="0" applyNumberFormat="1" applyFont="1" applyBorder="1" applyAlignment="1" applyProtection="1">
      <alignment horizontal="center" vertical="center"/>
      <protection locked="0"/>
    </xf>
    <xf numFmtId="166" fontId="5" fillId="3" borderId="1" xfId="0" applyNumberFormat="1" applyFont="1" applyFill="1" applyBorder="1" applyAlignment="1" applyProtection="1">
      <alignment horizontal="center" vertical="center"/>
      <protection locked="0"/>
    </xf>
    <xf numFmtId="10" fontId="6" fillId="2" borderId="1" xfId="4" applyNumberFormat="1" applyFont="1" applyFill="1" applyBorder="1" applyAlignment="1" applyProtection="1">
      <alignment horizontal="center" vertical="center"/>
      <protection hidden="1"/>
    </xf>
    <xf numFmtId="0" fontId="4" fillId="4"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5" fillId="6" borderId="2" xfId="0" applyFont="1" applyFill="1" applyBorder="1" applyAlignment="1" applyProtection="1">
      <alignment horizontal="center" vertical="center"/>
      <protection locked="0"/>
    </xf>
    <xf numFmtId="0" fontId="5" fillId="6" borderId="3" xfId="0" applyFont="1" applyFill="1" applyBorder="1" applyAlignment="1" applyProtection="1">
      <alignment horizontal="center" vertical="center"/>
      <protection locked="0"/>
    </xf>
    <xf numFmtId="0" fontId="5" fillId="6" borderId="4" xfId="0" applyFont="1" applyFill="1" applyBorder="1" applyAlignment="1" applyProtection="1">
      <alignment horizontal="center" vertical="center"/>
      <protection locked="0"/>
    </xf>
    <xf numFmtId="0" fontId="4" fillId="5" borderId="1" xfId="0" applyFont="1" applyFill="1" applyBorder="1" applyAlignment="1">
      <alignment horizontal="center" vertical="center" wrapText="1"/>
    </xf>
    <xf numFmtId="0" fontId="5" fillId="6" borderId="1" xfId="0" applyFont="1" applyFill="1" applyBorder="1" applyAlignment="1" applyProtection="1">
      <alignment horizontal="center" vertical="center"/>
      <protection locked="0"/>
    </xf>
    <xf numFmtId="0" fontId="5" fillId="0" borderId="5" xfId="0" applyFont="1" applyFill="1" applyBorder="1" applyAlignment="1" applyProtection="1">
      <alignment horizontal="center" vertical="center"/>
      <protection locked="0"/>
    </xf>
    <xf numFmtId="0" fontId="5" fillId="0" borderId="50" xfId="0" applyFont="1" applyFill="1" applyBorder="1" applyAlignment="1" applyProtection="1">
      <alignment horizontal="center" vertical="center"/>
      <protection locked="0"/>
    </xf>
    <xf numFmtId="0" fontId="5" fillId="0" borderId="43" xfId="0" applyFont="1" applyFill="1" applyBorder="1" applyAlignment="1" applyProtection="1">
      <alignment horizontal="center" vertical="center" wrapText="1"/>
      <protection locked="0"/>
    </xf>
    <xf numFmtId="0" fontId="5" fillId="0" borderId="5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0" fontId="5" fillId="0" borderId="5" xfId="0" applyFont="1" applyFill="1" applyBorder="1" applyAlignment="1" applyProtection="1">
      <alignment horizontal="center" vertical="center" wrapText="1"/>
      <protection locked="0"/>
    </xf>
    <xf numFmtId="0" fontId="5" fillId="0" borderId="50" xfId="0" applyFont="1" applyFill="1" applyBorder="1" applyAlignment="1" applyProtection="1">
      <alignment horizontal="center" vertical="center" wrapText="1"/>
      <protection locked="0"/>
    </xf>
    <xf numFmtId="0" fontId="5" fillId="0" borderId="26" xfId="0" applyFont="1" applyFill="1" applyBorder="1" applyAlignment="1" applyProtection="1">
      <alignment horizontal="center" vertical="center" wrapText="1"/>
      <protection locked="0"/>
    </xf>
    <xf numFmtId="0" fontId="5" fillId="0" borderId="26" xfId="0" applyFont="1" applyFill="1" applyBorder="1" applyAlignment="1" applyProtection="1">
      <alignment horizontal="center" vertical="center"/>
      <protection locked="0"/>
    </xf>
    <xf numFmtId="0" fontId="4" fillId="5" borderId="2" xfId="0" applyFont="1" applyFill="1" applyBorder="1" applyAlignment="1" applyProtection="1">
      <alignment horizontal="left" vertical="center"/>
      <protection hidden="1"/>
    </xf>
    <xf numFmtId="0" fontId="4" fillId="5" borderId="4" xfId="0" applyFont="1" applyFill="1" applyBorder="1" applyAlignment="1" applyProtection="1">
      <alignment horizontal="left" vertical="center"/>
      <protection hidden="1"/>
    </xf>
    <xf numFmtId="0" fontId="3" fillId="0" borderId="5" xfId="287" applyFont="1" applyBorder="1" applyAlignment="1" applyProtection="1">
      <alignment horizontal="center" vertical="center" wrapText="1"/>
      <protection locked="0"/>
    </xf>
    <xf numFmtId="0" fontId="3" fillId="0" borderId="50" xfId="287" applyFont="1" applyBorder="1" applyAlignment="1" applyProtection="1">
      <alignment horizontal="center" vertical="center" wrapText="1"/>
      <protection locked="0"/>
    </xf>
    <xf numFmtId="17" fontId="15" fillId="5" borderId="31" xfId="287" applyNumberFormat="1" applyFont="1" applyFill="1" applyBorder="1" applyAlignment="1">
      <alignment horizontal="center" vertical="center" wrapText="1"/>
    </xf>
    <xf numFmtId="0" fontId="15" fillId="5" borderId="32" xfId="287" applyFont="1" applyFill="1" applyBorder="1" applyAlignment="1">
      <alignment horizontal="center" vertical="center" wrapText="1"/>
    </xf>
    <xf numFmtId="0" fontId="15" fillId="5" borderId="33" xfId="287" applyFont="1" applyFill="1" applyBorder="1" applyAlignment="1">
      <alignment horizontal="center" vertical="center" wrapText="1"/>
    </xf>
    <xf numFmtId="0" fontId="3" fillId="7" borderId="16" xfId="287" applyFont="1" applyFill="1" applyBorder="1" applyAlignment="1" applyProtection="1">
      <alignment vertical="center"/>
      <protection locked="0"/>
    </xf>
    <xf numFmtId="0" fontId="3" fillId="7" borderId="17" xfId="287" applyFont="1" applyFill="1" applyBorder="1" applyAlignment="1" applyProtection="1">
      <alignment vertical="center"/>
      <protection locked="0"/>
    </xf>
    <xf numFmtId="0" fontId="3" fillId="7" borderId="18" xfId="287" applyFont="1" applyFill="1" applyBorder="1" applyAlignment="1" applyProtection="1">
      <alignment vertical="center"/>
      <protection locked="0"/>
    </xf>
    <xf numFmtId="0" fontId="3" fillId="0" borderId="26" xfId="287" applyFont="1" applyBorder="1" applyAlignment="1" applyProtection="1">
      <alignment horizontal="center" vertical="center" wrapText="1"/>
      <protection locked="0"/>
    </xf>
    <xf numFmtId="0" fontId="3" fillId="0" borderId="5" xfId="290" applyFont="1" applyBorder="1" applyAlignment="1" applyProtection="1">
      <alignment horizontal="center" vertical="center"/>
      <protection locked="0"/>
    </xf>
    <xf numFmtId="0" fontId="3" fillId="0" borderId="26" xfId="290" applyFont="1" applyBorder="1" applyAlignment="1" applyProtection="1">
      <alignment horizontal="center" vertical="center"/>
      <protection locked="0"/>
    </xf>
    <xf numFmtId="0" fontId="3" fillId="0" borderId="6" xfId="287" applyFont="1" applyBorder="1" applyAlignment="1">
      <alignment horizontal="center" vertical="center"/>
    </xf>
    <xf numFmtId="0" fontId="3" fillId="0" borderId="7" xfId="287" applyFont="1" applyBorder="1" applyAlignment="1">
      <alignment horizontal="center" vertical="center"/>
    </xf>
    <xf numFmtId="0" fontId="3" fillId="0" borderId="12" xfId="287" applyFont="1" applyBorder="1" applyAlignment="1">
      <alignment horizontal="center" vertical="center"/>
    </xf>
    <xf numFmtId="0" fontId="3" fillId="0" borderId="10" xfId="287" applyFont="1" applyBorder="1" applyAlignment="1">
      <alignment horizontal="center" vertical="center"/>
    </xf>
    <xf numFmtId="0" fontId="3" fillId="0" borderId="15" xfId="287" applyFont="1" applyBorder="1" applyAlignment="1">
      <alignment horizontal="center" vertical="center"/>
    </xf>
    <xf numFmtId="0" fontId="3" fillId="0" borderId="13" xfId="287" applyFont="1" applyBorder="1" applyAlignment="1">
      <alignment horizontal="center" vertical="center"/>
    </xf>
    <xf numFmtId="0" fontId="17" fillId="0" borderId="6" xfId="287" applyFont="1" applyBorder="1" applyAlignment="1">
      <alignment horizontal="center" vertical="center" wrapText="1"/>
    </xf>
    <xf numFmtId="0" fontId="17" fillId="0" borderId="7" xfId="287" applyFont="1" applyBorder="1" applyAlignment="1">
      <alignment horizontal="center" vertical="center" wrapText="1"/>
    </xf>
    <xf numFmtId="0" fontId="17" fillId="0" borderId="12" xfId="287" applyFont="1" applyBorder="1" applyAlignment="1">
      <alignment horizontal="center" vertical="center" wrapText="1"/>
    </xf>
    <xf numFmtId="0" fontId="17" fillId="0" borderId="10" xfId="287" applyFont="1" applyBorder="1" applyAlignment="1">
      <alignment horizontal="center" vertical="center" wrapText="1"/>
    </xf>
    <xf numFmtId="0" fontId="17" fillId="0" borderId="15" xfId="287" applyFont="1" applyBorder="1" applyAlignment="1">
      <alignment horizontal="center" vertical="center" wrapText="1"/>
    </xf>
    <xf numFmtId="0" fontId="17" fillId="0" borderId="13" xfId="287" applyFont="1" applyBorder="1" applyAlignment="1">
      <alignment horizontal="center" vertical="center" wrapText="1"/>
    </xf>
    <xf numFmtId="169" fontId="15" fillId="0" borderId="1" xfId="287" applyNumberFormat="1" applyFont="1" applyBorder="1" applyAlignment="1" applyProtection="1">
      <alignment horizontal="center" vertical="center"/>
      <protection locked="0"/>
    </xf>
    <xf numFmtId="0" fontId="15" fillId="5" borderId="30" xfId="287" applyFont="1" applyFill="1" applyBorder="1" applyAlignment="1">
      <alignment horizontal="center" vertical="center" wrapText="1"/>
    </xf>
    <xf numFmtId="0" fontId="15" fillId="5" borderId="24" xfId="287" applyFont="1" applyFill="1" applyBorder="1" applyAlignment="1">
      <alignment horizontal="center" vertical="center" wrapText="1"/>
    </xf>
    <xf numFmtId="166" fontId="5" fillId="0" borderId="2" xfId="290" applyNumberFormat="1" applyFont="1" applyBorder="1" applyAlignment="1" applyProtection="1">
      <alignment horizontal="center" vertical="center"/>
      <protection locked="0"/>
    </xf>
    <xf numFmtId="166" fontId="5" fillId="0" borderId="3" xfId="290" applyNumberFormat="1" applyFont="1" applyBorder="1" applyAlignment="1" applyProtection="1">
      <alignment horizontal="center" vertical="center"/>
      <protection locked="0"/>
    </xf>
    <xf numFmtId="166" fontId="5" fillId="0" borderId="4" xfId="290" applyNumberFormat="1" applyFont="1" applyBorder="1" applyAlignment="1" applyProtection="1">
      <alignment horizontal="center" vertical="center"/>
      <protection locked="0"/>
    </xf>
    <xf numFmtId="0" fontId="15" fillId="5" borderId="27" xfId="287" applyFont="1" applyFill="1" applyBorder="1" applyAlignment="1">
      <alignment horizontal="center" vertical="center" wrapText="1"/>
    </xf>
    <xf numFmtId="0" fontId="15" fillId="5" borderId="22" xfId="287" applyFont="1" applyFill="1" applyBorder="1" applyAlignment="1">
      <alignment horizontal="center" vertical="center" wrapText="1"/>
    </xf>
    <xf numFmtId="0" fontId="18" fillId="0" borderId="9" xfId="287" applyFont="1" applyBorder="1" applyAlignment="1">
      <alignment horizontal="left" vertical="center" wrapText="1"/>
    </xf>
    <xf numFmtId="0" fontId="18" fillId="0" borderId="11" xfId="287" applyFont="1" applyBorder="1" applyAlignment="1">
      <alignment horizontal="left" vertical="center" wrapText="1"/>
    </xf>
    <xf numFmtId="0" fontId="18" fillId="0" borderId="14" xfId="287" applyFont="1" applyBorder="1" applyAlignment="1">
      <alignment horizontal="left" vertical="center" wrapText="1"/>
    </xf>
    <xf numFmtId="0" fontId="19" fillId="0" borderId="0" xfId="287" applyFont="1" applyAlignment="1">
      <alignment horizontal="center" vertical="center"/>
    </xf>
    <xf numFmtId="0" fontId="19" fillId="0" borderId="1" xfId="287" applyFont="1" applyBorder="1" applyAlignment="1" applyProtection="1">
      <alignment horizontal="center" vertical="center" wrapText="1"/>
      <protection locked="0"/>
    </xf>
    <xf numFmtId="0" fontId="19" fillId="0" borderId="1" xfId="287" applyFont="1" applyBorder="1" applyAlignment="1" applyProtection="1">
      <alignment horizontal="center" vertical="center"/>
      <protection locked="0"/>
    </xf>
    <xf numFmtId="168" fontId="19" fillId="0" borderId="1" xfId="287" applyNumberFormat="1" applyFont="1" applyBorder="1" applyAlignment="1" applyProtection="1">
      <alignment horizontal="center" vertical="center"/>
      <protection locked="0"/>
    </xf>
    <xf numFmtId="0" fontId="15" fillId="5" borderId="28" xfId="287" applyFont="1" applyFill="1" applyBorder="1" applyAlignment="1">
      <alignment horizontal="center" vertical="center" wrapText="1"/>
    </xf>
    <xf numFmtId="0" fontId="15" fillId="5" borderId="23" xfId="287" applyFont="1" applyFill="1" applyBorder="1" applyAlignment="1">
      <alignment horizontal="center" vertical="center" wrapText="1"/>
    </xf>
    <xf numFmtId="0" fontId="15" fillId="5" borderId="29" xfId="287" applyFont="1" applyFill="1" applyBorder="1" applyAlignment="1">
      <alignment horizontal="center" vertical="center" wrapText="1"/>
    </xf>
    <xf numFmtId="0" fontId="15" fillId="5" borderId="35" xfId="287" applyFont="1" applyFill="1" applyBorder="1" applyAlignment="1">
      <alignment horizontal="center" vertical="center" wrapText="1"/>
    </xf>
    <xf numFmtId="166" fontId="5" fillId="3" borderId="2" xfId="290" applyNumberFormat="1" applyFont="1" applyFill="1" applyBorder="1" applyAlignment="1" applyProtection="1">
      <alignment horizontal="center" vertical="center"/>
      <protection locked="0"/>
    </xf>
    <xf numFmtId="166" fontId="5" fillId="3" borderId="3" xfId="290" applyNumberFormat="1" applyFont="1" applyFill="1" applyBorder="1" applyAlignment="1" applyProtection="1">
      <alignment horizontal="center" vertical="center"/>
      <protection locked="0"/>
    </xf>
    <xf numFmtId="166" fontId="5" fillId="3" borderId="4" xfId="290" applyNumberFormat="1" applyFont="1" applyFill="1" applyBorder="1" applyAlignment="1" applyProtection="1">
      <alignment horizontal="center" vertical="center"/>
      <protection locked="0"/>
    </xf>
    <xf numFmtId="10" fontId="6" fillId="2" borderId="2" xfId="288" applyNumberFormat="1" applyFont="1" applyFill="1" applyBorder="1" applyAlignment="1" applyProtection="1">
      <alignment horizontal="center" vertical="center"/>
      <protection hidden="1"/>
    </xf>
    <xf numFmtId="10" fontId="6" fillId="2" borderId="3" xfId="288" applyNumberFormat="1" applyFont="1" applyFill="1" applyBorder="1" applyAlignment="1" applyProtection="1">
      <alignment horizontal="center" vertical="center"/>
      <protection hidden="1"/>
    </xf>
    <xf numFmtId="10" fontId="6" fillId="2" borderId="4" xfId="288" applyNumberFormat="1" applyFont="1" applyFill="1" applyBorder="1" applyAlignment="1" applyProtection="1">
      <alignment horizontal="center" vertical="center"/>
      <protection hidden="1"/>
    </xf>
    <xf numFmtId="0" fontId="3" fillId="0" borderId="1" xfId="287" applyFont="1" applyBorder="1" applyAlignment="1" applyProtection="1">
      <alignment horizontal="center" vertical="center" wrapText="1"/>
      <protection locked="0"/>
    </xf>
    <xf numFmtId="0" fontId="3" fillId="7" borderId="48" xfId="287" applyFont="1" applyFill="1" applyBorder="1" applyAlignment="1" applyProtection="1">
      <alignment vertical="center"/>
      <protection locked="0"/>
    </xf>
    <xf numFmtId="0" fontId="3" fillId="7" borderId="46" xfId="287" applyFont="1" applyFill="1" applyBorder="1" applyAlignment="1" applyProtection="1">
      <alignment vertical="center"/>
      <protection locked="0"/>
    </xf>
    <xf numFmtId="0" fontId="3" fillId="7" borderId="47" xfId="287" applyFont="1" applyFill="1" applyBorder="1" applyAlignment="1" applyProtection="1">
      <alignment vertical="center"/>
      <protection locked="0"/>
    </xf>
    <xf numFmtId="0" fontId="15" fillId="5" borderId="34" xfId="287" applyFont="1" applyFill="1" applyBorder="1" applyAlignment="1">
      <alignment horizontal="center" vertical="center" wrapText="1"/>
    </xf>
    <xf numFmtId="168" fontId="19" fillId="5" borderId="9" xfId="287" applyNumberFormat="1" applyFont="1" applyFill="1" applyBorder="1" applyAlignment="1" applyProtection="1">
      <alignment horizontal="center" vertical="center"/>
      <protection hidden="1"/>
    </xf>
    <xf numFmtId="168" fontId="19" fillId="5" borderId="11" xfId="287" applyNumberFormat="1" applyFont="1" applyFill="1" applyBorder="1" applyAlignment="1" applyProtection="1">
      <alignment horizontal="center" vertical="center"/>
      <protection hidden="1"/>
    </xf>
    <xf numFmtId="168" fontId="19" fillId="5" borderId="14" xfId="287" applyNumberFormat="1" applyFont="1" applyFill="1" applyBorder="1" applyAlignment="1" applyProtection="1">
      <alignment horizontal="center" vertical="center"/>
      <protection hidden="1"/>
    </xf>
    <xf numFmtId="0" fontId="3" fillId="7" borderId="38" xfId="287" applyFont="1" applyFill="1" applyBorder="1" applyAlignment="1" applyProtection="1">
      <alignment vertical="center"/>
      <protection locked="0"/>
    </xf>
    <xf numFmtId="0" fontId="3" fillId="7" borderId="28" xfId="287" applyFont="1" applyFill="1" applyBorder="1" applyAlignment="1" applyProtection="1">
      <alignment vertical="center"/>
      <protection locked="0"/>
    </xf>
    <xf numFmtId="0" fontId="3" fillId="7" borderId="30" xfId="287" applyFont="1" applyFill="1" applyBorder="1" applyAlignment="1" applyProtection="1">
      <alignment vertical="center"/>
      <protection locked="0"/>
    </xf>
    <xf numFmtId="0" fontId="3" fillId="7" borderId="41" xfId="287" applyFont="1" applyFill="1" applyBorder="1" applyAlignment="1" applyProtection="1">
      <alignment vertical="center"/>
      <protection locked="0"/>
    </xf>
    <xf numFmtId="0" fontId="3" fillId="7" borderId="26" xfId="287" applyFont="1" applyFill="1" applyBorder="1" applyAlignment="1" applyProtection="1">
      <alignment vertical="center"/>
      <protection locked="0"/>
    </xf>
    <xf numFmtId="0" fontId="3" fillId="7" borderId="40" xfId="287" applyFont="1" applyFill="1" applyBorder="1" applyAlignment="1" applyProtection="1">
      <alignment vertical="center"/>
      <protection locked="0"/>
    </xf>
    <xf numFmtId="10" fontId="15" fillId="0" borderId="34" xfId="96" applyNumberFormat="1" applyFont="1" applyBorder="1" applyAlignment="1" applyProtection="1">
      <alignment vertical="center"/>
      <protection hidden="1"/>
    </xf>
    <xf numFmtId="10" fontId="15" fillId="0" borderId="32" xfId="96" applyNumberFormat="1" applyFont="1" applyBorder="1" applyAlignment="1" applyProtection="1">
      <alignment vertical="center"/>
      <protection hidden="1"/>
    </xf>
    <xf numFmtId="10" fontId="15" fillId="0" borderId="33" xfId="96" applyNumberFormat="1" applyFont="1" applyBorder="1" applyAlignment="1" applyProtection="1">
      <alignment vertical="center"/>
      <protection hidden="1"/>
    </xf>
    <xf numFmtId="0" fontId="16" fillId="5" borderId="2" xfId="290" applyFont="1" applyFill="1" applyBorder="1" applyAlignment="1" applyProtection="1">
      <alignment horizontal="left" vertical="center"/>
      <protection hidden="1"/>
    </xf>
    <xf numFmtId="0" fontId="16" fillId="5" borderId="4" xfId="290" applyFont="1" applyFill="1" applyBorder="1" applyAlignment="1" applyProtection="1">
      <alignment horizontal="left" vertical="center"/>
      <protection hidden="1"/>
    </xf>
    <xf numFmtId="0" fontId="3" fillId="0" borderId="50" xfId="290" applyFont="1" applyBorder="1" applyAlignment="1" applyProtection="1">
      <alignment horizontal="center" vertical="center"/>
      <protection locked="0"/>
    </xf>
    <xf numFmtId="0" fontId="3" fillId="0" borderId="5" xfId="290" applyFont="1" applyBorder="1" applyAlignment="1" applyProtection="1">
      <alignment horizontal="center" vertical="center" wrapText="1"/>
      <protection locked="0"/>
    </xf>
    <xf numFmtId="0" fontId="3" fillId="0" borderId="50" xfId="290" applyFont="1" applyBorder="1" applyAlignment="1" applyProtection="1">
      <alignment horizontal="center" vertical="center" wrapText="1"/>
      <protection locked="0"/>
    </xf>
    <xf numFmtId="0" fontId="5" fillId="0" borderId="5" xfId="290" applyFont="1" applyBorder="1" applyAlignment="1" applyProtection="1">
      <alignment horizontal="center" vertical="center"/>
      <protection locked="0"/>
    </xf>
    <xf numFmtId="0" fontId="5" fillId="0" borderId="50" xfId="290" applyFont="1" applyBorder="1" applyAlignment="1" applyProtection="1">
      <alignment horizontal="center" vertical="center"/>
      <protection locked="0"/>
    </xf>
    <xf numFmtId="0" fontId="15" fillId="5" borderId="2" xfId="287" applyFont="1" applyFill="1" applyBorder="1" applyAlignment="1" applyProtection="1">
      <alignment horizontal="left" vertical="center"/>
      <protection hidden="1"/>
    </xf>
    <xf numFmtId="0" fontId="15" fillId="5" borderId="4" xfId="287" applyFont="1" applyFill="1" applyBorder="1" applyAlignment="1" applyProtection="1">
      <alignment horizontal="left" vertical="center"/>
      <protection hidden="1"/>
    </xf>
    <xf numFmtId="0" fontId="15" fillId="5" borderId="1" xfId="287" applyFont="1" applyFill="1" applyBorder="1" applyAlignment="1" applyProtection="1">
      <alignment horizontal="left" vertical="center"/>
      <protection hidden="1"/>
    </xf>
    <xf numFmtId="0" fontId="3" fillId="0" borderId="0" xfId="264" applyFont="1" applyAlignment="1" applyProtection="1">
      <alignment vertical="top" wrapText="1"/>
      <protection locked="0"/>
    </xf>
    <xf numFmtId="0" fontId="34" fillId="0" borderId="9" xfId="264" applyFont="1" applyBorder="1" applyAlignment="1" applyProtection="1">
      <alignment horizontal="center" vertical="center"/>
      <protection locked="0"/>
    </xf>
    <xf numFmtId="0" fontId="34" fillId="0" borderId="11" xfId="264" applyFont="1" applyBorder="1" applyAlignment="1" applyProtection="1">
      <alignment horizontal="center" vertical="center"/>
      <protection locked="0"/>
    </xf>
    <xf numFmtId="0" fontId="34" fillId="0" borderId="14" xfId="264" applyFont="1" applyBorder="1" applyAlignment="1" applyProtection="1">
      <alignment horizontal="center" vertical="center"/>
      <protection locked="0"/>
    </xf>
    <xf numFmtId="0" fontId="3" fillId="0" borderId="27" xfId="275" applyBorder="1" applyAlignment="1">
      <alignment vertical="top" wrapText="1"/>
    </xf>
    <xf numFmtId="0" fontId="3" fillId="0" borderId="28" xfId="275" applyBorder="1" applyAlignment="1">
      <alignment vertical="top" wrapText="1"/>
    </xf>
    <xf numFmtId="0" fontId="3" fillId="0" borderId="28" xfId="275" applyBorder="1" applyAlignment="1">
      <alignment horizontal="center" vertical="center" wrapText="1"/>
    </xf>
    <xf numFmtId="0" fontId="38" fillId="0" borderId="1" xfId="264" applyFont="1" applyBorder="1" applyAlignment="1" applyProtection="1">
      <alignment horizontal="center"/>
      <protection locked="0"/>
    </xf>
    <xf numFmtId="0" fontId="37" fillId="0" borderId="1" xfId="264" applyFont="1" applyBorder="1" applyAlignment="1" applyProtection="1">
      <alignment horizontal="center" wrapText="1"/>
      <protection locked="0"/>
    </xf>
    <xf numFmtId="0" fontId="36" fillId="2" borderId="9" xfId="264" applyFont="1" applyFill="1" applyBorder="1" applyAlignment="1" applyProtection="1">
      <alignment horizontal="center" vertical="center" wrapText="1"/>
      <protection locked="0"/>
    </xf>
    <xf numFmtId="0" fontId="36" fillId="2" borderId="11" xfId="264" applyFont="1" applyFill="1" applyBorder="1" applyAlignment="1" applyProtection="1">
      <alignment horizontal="center" vertical="center" wrapText="1"/>
      <protection locked="0"/>
    </xf>
    <xf numFmtId="0" fontId="36" fillId="2" borderId="14" xfId="264" applyFont="1" applyFill="1" applyBorder="1" applyAlignment="1" applyProtection="1">
      <alignment horizontal="center" vertical="center" wrapText="1"/>
      <protection locked="0"/>
    </xf>
    <xf numFmtId="0" fontId="34" fillId="0" borderId="16" xfId="264" applyFont="1" applyBorder="1" applyAlignment="1" applyProtection="1">
      <alignment horizontal="center" vertical="center"/>
      <protection locked="0"/>
    </xf>
    <xf numFmtId="0" fontId="34" fillId="0" borderId="17" xfId="264" applyFont="1" applyBorder="1" applyAlignment="1" applyProtection="1">
      <alignment horizontal="center" vertical="center"/>
      <protection locked="0"/>
    </xf>
    <xf numFmtId="0" fontId="34" fillId="0" borderId="18" xfId="264" applyFont="1" applyBorder="1" applyAlignment="1" applyProtection="1">
      <alignment horizontal="center" vertical="center"/>
      <protection locked="0"/>
    </xf>
    <xf numFmtId="0" fontId="34" fillId="0" borderId="10" xfId="264" applyFont="1" applyBorder="1" applyAlignment="1" applyProtection="1">
      <alignment horizontal="right" vertical="center"/>
      <protection locked="0"/>
    </xf>
    <xf numFmtId="0" fontId="34" fillId="0" borderId="15" xfId="264" applyFont="1" applyBorder="1" applyAlignment="1" applyProtection="1">
      <alignment horizontal="right" vertical="center"/>
      <protection locked="0"/>
    </xf>
    <xf numFmtId="0" fontId="3" fillId="0" borderId="15" xfId="264" applyFont="1" applyBorder="1" applyAlignment="1" applyProtection="1">
      <alignment horizontal="right" vertical="center"/>
      <protection locked="0"/>
    </xf>
    <xf numFmtId="0" fontId="3" fillId="0" borderId="59" xfId="264" applyFont="1" applyBorder="1" applyAlignment="1" applyProtection="1">
      <alignment horizontal="right" vertical="center"/>
      <protection locked="0"/>
    </xf>
    <xf numFmtId="0" fontId="3" fillId="0" borderId="1" xfId="275" applyBorder="1" applyAlignment="1">
      <alignment horizontal="center" vertical="center" wrapText="1"/>
    </xf>
    <xf numFmtId="0" fontId="3" fillId="0" borderId="23" xfId="275" applyBorder="1" applyAlignment="1">
      <alignment horizontal="center" vertical="center" wrapText="1"/>
    </xf>
    <xf numFmtId="0" fontId="3" fillId="0" borderId="8" xfId="275" applyBorder="1" applyAlignment="1">
      <alignment horizontal="left" vertical="top" wrapText="1"/>
    </xf>
    <xf numFmtId="0" fontId="3" fillId="0" borderId="1" xfId="275" applyBorder="1" applyAlignment="1">
      <alignment horizontal="left" vertical="top" wrapText="1"/>
    </xf>
    <xf numFmtId="0" fontId="3" fillId="0" borderId="8" xfId="275" applyBorder="1" applyAlignment="1">
      <alignment vertical="top" wrapText="1"/>
    </xf>
    <xf numFmtId="0" fontId="3" fillId="0" borderId="1" xfId="275" applyBorder="1" applyAlignment="1">
      <alignment vertical="top" wrapText="1"/>
    </xf>
    <xf numFmtId="0" fontId="34" fillId="0" borderId="58" xfId="264" applyFont="1" applyBorder="1" applyAlignment="1" applyProtection="1">
      <alignment horizontal="right" vertical="center"/>
      <protection locked="0"/>
    </xf>
    <xf numFmtId="0" fontId="34" fillId="0" borderId="57" xfId="264" applyFont="1" applyBorder="1" applyAlignment="1" applyProtection="1">
      <alignment horizontal="right" vertical="center"/>
      <protection locked="0"/>
    </xf>
    <xf numFmtId="0" fontId="3" fillId="0" borderId="57" xfId="264" applyFont="1" applyBorder="1" applyAlignment="1" applyProtection="1">
      <alignment horizontal="right" vertical="center"/>
      <protection locked="0"/>
    </xf>
    <xf numFmtId="0" fontId="3" fillId="0" borderId="56" xfId="264" applyFont="1" applyBorder="1" applyAlignment="1" applyProtection="1">
      <alignment horizontal="right" vertical="center"/>
      <protection locked="0"/>
    </xf>
    <xf numFmtId="0" fontId="35" fillId="0" borderId="6" xfId="264" applyFont="1" applyBorder="1" applyAlignment="1" applyProtection="1">
      <alignment horizontal="center" vertical="center" wrapText="1"/>
      <protection locked="0"/>
    </xf>
    <xf numFmtId="0" fontId="35" fillId="0" borderId="7" xfId="264" applyFont="1" applyBorder="1" applyAlignment="1" applyProtection="1">
      <alignment horizontal="center" vertical="center" wrapText="1"/>
      <protection locked="0"/>
    </xf>
    <xf numFmtId="0" fontId="35" fillId="0" borderId="54" xfId="264" applyFont="1" applyBorder="1" applyAlignment="1" applyProtection="1">
      <alignment horizontal="center" vertical="center" wrapText="1"/>
      <protection locked="0"/>
    </xf>
    <xf numFmtId="0" fontId="35" fillId="0" borderId="55" xfId="264" applyFont="1" applyBorder="1" applyAlignment="1" applyProtection="1">
      <alignment horizontal="center" vertical="center" wrapText="1"/>
      <protection locked="0"/>
    </xf>
    <xf numFmtId="0" fontId="34" fillId="0" borderId="8" xfId="264" applyFont="1" applyBorder="1" applyAlignment="1" applyProtection="1">
      <alignment horizontal="right"/>
      <protection locked="0"/>
    </xf>
    <xf numFmtId="0" fontId="34" fillId="0" borderId="1" xfId="264" applyFont="1" applyBorder="1" applyAlignment="1" applyProtection="1">
      <alignment horizontal="right"/>
      <protection locked="0"/>
    </xf>
    <xf numFmtId="0" fontId="3" fillId="0" borderId="22" xfId="275" applyBorder="1" applyAlignment="1">
      <alignment vertical="top" wrapText="1"/>
    </xf>
    <xf numFmtId="0" fontId="3" fillId="0" borderId="23" xfId="275" applyBorder="1" applyAlignment="1">
      <alignment vertical="top" wrapText="1"/>
    </xf>
    <xf numFmtId="0" fontId="31" fillId="0" borderId="0" xfId="264" applyFont="1" applyAlignment="1" applyProtection="1">
      <alignment horizontal="justify" vertical="top" wrapText="1"/>
      <protection locked="0"/>
    </xf>
    <xf numFmtId="0" fontId="25" fillId="0" borderId="0" xfId="264" applyAlignment="1" applyProtection="1">
      <alignment horizontal="justify" vertical="top" wrapText="1"/>
      <protection locked="0"/>
    </xf>
    <xf numFmtId="0" fontId="25" fillId="0" borderId="0" xfId="264" applyAlignment="1" applyProtection="1">
      <alignment horizontal="justify" vertical="top"/>
      <protection locked="0"/>
    </xf>
    <xf numFmtId="0" fontId="32" fillId="0" borderId="36" xfId="264" applyFont="1" applyBorder="1" applyAlignment="1" applyProtection="1">
      <alignment horizontal="right"/>
      <protection locked="0"/>
    </xf>
    <xf numFmtId="0" fontId="19" fillId="0" borderId="35" xfId="264" applyFont="1" applyBorder="1" applyAlignment="1" applyProtection="1">
      <alignment horizontal="right"/>
      <protection locked="0"/>
    </xf>
    <xf numFmtId="0" fontId="34" fillId="0" borderId="52" xfId="264" applyFont="1" applyBorder="1" applyAlignment="1" applyProtection="1">
      <alignment horizontal="right" wrapText="1"/>
      <protection locked="0"/>
    </xf>
    <xf numFmtId="0" fontId="3" fillId="0" borderId="26" xfId="264" applyFont="1" applyBorder="1" applyAlignment="1" applyProtection="1">
      <alignment horizontal="right"/>
      <protection locked="0"/>
    </xf>
    <xf numFmtId="0" fontId="3" fillId="0" borderId="1" xfId="264" applyFont="1" applyBorder="1" applyAlignment="1" applyProtection="1">
      <alignment horizontal="right"/>
      <protection locked="0"/>
    </xf>
    <xf numFmtId="9" fontId="34" fillId="0" borderId="22" xfId="264" applyNumberFormat="1" applyFont="1" applyBorder="1" applyAlignment="1" applyProtection="1">
      <alignment horizontal="right"/>
      <protection locked="0"/>
    </xf>
    <xf numFmtId="9" fontId="34" fillId="0" borderId="23" xfId="264" applyNumberFormat="1" applyFont="1" applyBorder="1" applyAlignment="1" applyProtection="1">
      <alignment horizontal="right"/>
      <protection locked="0"/>
    </xf>
    <xf numFmtId="0" fontId="44" fillId="0" borderId="9" xfId="274" applyFont="1" applyBorder="1" applyAlignment="1">
      <alignment horizontal="center" vertical="center"/>
    </xf>
    <xf numFmtId="0" fontId="44" fillId="0" borderId="11" xfId="274" applyFont="1" applyBorder="1" applyAlignment="1">
      <alignment horizontal="center" vertical="center"/>
    </xf>
    <xf numFmtId="0" fontId="44" fillId="0" borderId="14" xfId="274" applyFont="1" applyBorder="1" applyAlignment="1">
      <alignment horizontal="center" vertical="center"/>
    </xf>
    <xf numFmtId="0" fontId="3" fillId="0" borderId="0" xfId="274" applyFont="1" applyAlignment="1">
      <alignment horizontal="justify" vertical="center" wrapText="1"/>
    </xf>
    <xf numFmtId="0" fontId="39" fillId="0" borderId="27" xfId="274" applyFont="1" applyBorder="1" applyAlignment="1">
      <alignment horizontal="center" vertical="center" wrapText="1"/>
    </xf>
    <xf numFmtId="0" fontId="39" fillId="0" borderId="28" xfId="274" applyFont="1" applyBorder="1" applyAlignment="1">
      <alignment horizontal="center" vertical="center" wrapText="1"/>
    </xf>
    <xf numFmtId="0" fontId="39" fillId="0" borderId="30" xfId="274" applyFont="1" applyBorder="1" applyAlignment="1">
      <alignment horizontal="center" vertical="center" wrapText="1"/>
    </xf>
    <xf numFmtId="0" fontId="40" fillId="0" borderId="36" xfId="274" applyFont="1" applyBorder="1" applyAlignment="1">
      <alignment horizontal="center" vertical="center"/>
    </xf>
    <xf numFmtId="0" fontId="40" fillId="0" borderId="35" xfId="274" applyFont="1" applyBorder="1" applyAlignment="1">
      <alignment horizontal="center" vertical="center"/>
    </xf>
    <xf numFmtId="0" fontId="4" fillId="5" borderId="43" xfId="290" applyFont="1" applyFill="1" applyBorder="1" applyAlignment="1">
      <alignment horizontal="center" vertical="center" wrapText="1"/>
    </xf>
    <xf numFmtId="0" fontId="4" fillId="5" borderId="45" xfId="290" applyFont="1" applyFill="1" applyBorder="1" applyAlignment="1">
      <alignment horizontal="center" vertical="center" wrapText="1"/>
    </xf>
    <xf numFmtId="0" fontId="4" fillId="5" borderId="44" xfId="290" applyFont="1" applyFill="1" applyBorder="1" applyAlignment="1">
      <alignment horizontal="center" vertical="center" wrapText="1"/>
    </xf>
    <xf numFmtId="0" fontId="4" fillId="5" borderId="39" xfId="290" applyFont="1" applyFill="1" applyBorder="1" applyAlignment="1">
      <alignment horizontal="center" vertical="center" wrapText="1"/>
    </xf>
    <xf numFmtId="0" fontId="4" fillId="5" borderId="46" xfId="290" applyFont="1" applyFill="1" applyBorder="1" applyAlignment="1">
      <alignment horizontal="center" vertical="center" wrapText="1"/>
    </xf>
    <xf numFmtId="0" fontId="4" fillId="5" borderId="41" xfId="290" applyFont="1" applyFill="1" applyBorder="1" applyAlignment="1">
      <alignment horizontal="center" vertical="center" wrapText="1"/>
    </xf>
    <xf numFmtId="0" fontId="4" fillId="5" borderId="5" xfId="290" applyFont="1" applyFill="1" applyBorder="1" applyAlignment="1">
      <alignment horizontal="center" vertical="center" wrapText="1"/>
    </xf>
    <xf numFmtId="0" fontId="4" fillId="5" borderId="26" xfId="290" applyFont="1" applyFill="1" applyBorder="1" applyAlignment="1">
      <alignment horizontal="center" vertical="center" wrapText="1"/>
    </xf>
    <xf numFmtId="0" fontId="36" fillId="0" borderId="9" xfId="264" applyFont="1" applyBorder="1" applyAlignment="1" applyProtection="1">
      <alignment horizontal="center"/>
      <protection locked="0"/>
    </xf>
    <xf numFmtId="0" fontId="36" fillId="0" borderId="11" xfId="264" applyFont="1" applyBorder="1" applyAlignment="1" applyProtection="1">
      <alignment horizontal="center"/>
      <protection locked="0"/>
    </xf>
    <xf numFmtId="0" fontId="36" fillId="0" borderId="14" xfId="264" applyFont="1" applyBorder="1" applyAlignment="1" applyProtection="1">
      <alignment horizontal="center"/>
      <protection locked="0"/>
    </xf>
    <xf numFmtId="0" fontId="15" fillId="0" borderId="10" xfId="274" applyFont="1" applyBorder="1" applyAlignment="1">
      <alignment horizontal="right" vertical="center" wrapText="1"/>
    </xf>
    <xf numFmtId="0" fontId="15" fillId="0" borderId="15" xfId="274" applyFont="1" applyBorder="1" applyAlignment="1">
      <alignment horizontal="right" vertical="center" wrapText="1"/>
    </xf>
    <xf numFmtId="0" fontId="15" fillId="0" borderId="59" xfId="274" applyFont="1" applyBorder="1" applyAlignment="1">
      <alignment horizontal="right" vertical="center" wrapText="1"/>
    </xf>
    <xf numFmtId="0" fontId="15" fillId="0" borderId="8" xfId="274" applyFont="1" applyBorder="1" applyAlignment="1">
      <alignment horizontal="right" vertical="center" wrapText="1"/>
    </xf>
    <xf numFmtId="0" fontId="15" fillId="0" borderId="1" xfId="274" applyFont="1" applyBorder="1" applyAlignment="1">
      <alignment horizontal="right" vertical="center" wrapText="1"/>
    </xf>
    <xf numFmtId="0" fontId="15" fillId="0" borderId="1" xfId="274" applyFont="1" applyBorder="1" applyAlignment="1">
      <alignment horizontal="center" vertical="center" wrapText="1"/>
    </xf>
    <xf numFmtId="0" fontId="15" fillId="0" borderId="19" xfId="274" applyFont="1" applyBorder="1" applyAlignment="1">
      <alignment horizontal="center" vertical="center" wrapText="1"/>
    </xf>
    <xf numFmtId="0" fontId="15" fillId="0" borderId="8" xfId="274" applyFont="1" applyBorder="1" applyAlignment="1" applyProtection="1">
      <alignment horizontal="right" vertical="center" wrapText="1"/>
      <protection locked="0"/>
    </xf>
    <xf numFmtId="0" fontId="15" fillId="0" borderId="1" xfId="274" applyFont="1" applyBorder="1" applyAlignment="1" applyProtection="1">
      <alignment horizontal="right" vertical="center" wrapText="1"/>
      <protection locked="0"/>
    </xf>
    <xf numFmtId="0" fontId="15" fillId="0" borderId="9" xfId="274" applyFont="1" applyBorder="1" applyAlignment="1">
      <alignment horizontal="right" vertical="center" wrapText="1"/>
    </xf>
    <xf numFmtId="0" fontId="15" fillId="0" borderId="11" xfId="274" applyFont="1" applyBorder="1" applyAlignment="1">
      <alignment horizontal="right" vertical="center" wrapText="1"/>
    </xf>
    <xf numFmtId="0" fontId="34" fillId="0" borderId="9" xfId="264" applyFont="1" applyBorder="1" applyAlignment="1">
      <alignment horizontal="center" vertical="center"/>
    </xf>
    <xf numFmtId="0" fontId="34" fillId="0" borderId="11" xfId="264" applyFont="1" applyBorder="1" applyAlignment="1">
      <alignment horizontal="center" vertical="center"/>
    </xf>
    <xf numFmtId="0" fontId="34" fillId="0" borderId="14" xfId="264" applyFont="1" applyBorder="1" applyAlignment="1">
      <alignment horizontal="center" vertical="center"/>
    </xf>
    <xf numFmtId="0" fontId="34" fillId="0" borderId="10" xfId="264" applyFont="1" applyBorder="1" applyAlignment="1">
      <alignment horizontal="right" vertical="center"/>
    </xf>
    <xf numFmtId="0" fontId="34" fillId="0" borderId="15" xfId="264" applyFont="1" applyBorder="1" applyAlignment="1">
      <alignment horizontal="right" vertical="center"/>
    </xf>
    <xf numFmtId="0" fontId="3" fillId="0" borderId="15" xfId="264" applyFont="1" applyBorder="1" applyAlignment="1">
      <alignment horizontal="right" vertical="center"/>
    </xf>
    <xf numFmtId="0" fontId="3" fillId="0" borderId="59" xfId="264" applyFont="1" applyBorder="1" applyAlignment="1">
      <alignment horizontal="right" vertical="center"/>
    </xf>
    <xf numFmtId="0" fontId="34" fillId="0" borderId="58" xfId="264" applyFont="1" applyBorder="1" applyAlignment="1">
      <alignment horizontal="right" vertical="center"/>
    </xf>
    <xf numFmtId="0" fontId="34" fillId="0" borderId="57" xfId="264" applyFont="1" applyBorder="1" applyAlignment="1">
      <alignment horizontal="right" vertical="center"/>
    </xf>
    <xf numFmtId="0" fontId="3" fillId="0" borderId="57" xfId="264" applyFont="1" applyBorder="1" applyAlignment="1">
      <alignment horizontal="right" vertical="center"/>
    </xf>
    <xf numFmtId="0" fontId="3" fillId="0" borderId="56" xfId="264" applyFont="1" applyBorder="1" applyAlignment="1">
      <alignment horizontal="right" vertical="center"/>
    </xf>
    <xf numFmtId="0" fontId="15" fillId="0" borderId="27" xfId="274" applyFont="1" applyBorder="1" applyAlignment="1">
      <alignment horizontal="center" vertical="center" wrapText="1"/>
    </xf>
    <xf numFmtId="0" fontId="15" fillId="0" borderId="28" xfId="274" applyFont="1" applyBorder="1" applyAlignment="1">
      <alignment horizontal="center" vertical="center" wrapText="1"/>
    </xf>
    <xf numFmtId="0" fontId="15" fillId="0" borderId="30" xfId="274" applyFont="1" applyBorder="1" applyAlignment="1">
      <alignment horizontal="center" vertical="center" wrapText="1"/>
    </xf>
    <xf numFmtId="0" fontId="34" fillId="0" borderId="16" xfId="264" applyFont="1" applyBorder="1" applyAlignment="1">
      <alignment horizontal="center" vertical="center"/>
    </xf>
    <xf numFmtId="0" fontId="34" fillId="0" borderId="17" xfId="264" applyFont="1" applyBorder="1" applyAlignment="1">
      <alignment horizontal="center" vertical="center"/>
    </xf>
    <xf numFmtId="0" fontId="34" fillId="0" borderId="18" xfId="264" applyFont="1" applyBorder="1" applyAlignment="1">
      <alignment horizontal="center" vertical="center"/>
    </xf>
    <xf numFmtId="0" fontId="36" fillId="0" borderId="9" xfId="264" applyFont="1" applyBorder="1" applyAlignment="1">
      <alignment horizontal="center"/>
    </xf>
    <xf numFmtId="0" fontId="36" fillId="0" borderId="11" xfId="264" applyFont="1" applyBorder="1" applyAlignment="1">
      <alignment horizontal="center"/>
    </xf>
    <xf numFmtId="0" fontId="36" fillId="0" borderId="14" xfId="264" applyFont="1" applyBorder="1" applyAlignment="1">
      <alignment horizontal="center"/>
    </xf>
    <xf numFmtId="0" fontId="15" fillId="0" borderId="22" xfId="274" applyFont="1" applyBorder="1" applyAlignment="1">
      <alignment horizontal="right" vertical="center" wrapText="1"/>
    </xf>
    <xf numFmtId="0" fontId="15" fillId="0" borderId="23" xfId="274" applyFont="1" applyBorder="1" applyAlignment="1">
      <alignment horizontal="right" vertical="center" wrapText="1"/>
    </xf>
    <xf numFmtId="0" fontId="15" fillId="0" borderId="7" xfId="274" applyFont="1" applyBorder="1" applyAlignment="1" applyProtection="1">
      <alignment horizontal="justify" vertical="top" wrapText="1"/>
      <protection locked="0"/>
    </xf>
    <xf numFmtId="0" fontId="15" fillId="0" borderId="9" xfId="274" applyFont="1" applyBorder="1" applyAlignment="1" applyProtection="1">
      <alignment horizontal="justify" vertical="top" wrapText="1"/>
      <protection locked="0"/>
    </xf>
    <xf numFmtId="0" fontId="15" fillId="0" borderId="11" xfId="274" applyFont="1" applyBorder="1" applyAlignment="1" applyProtection="1">
      <alignment horizontal="justify" vertical="top" wrapText="1"/>
      <protection locked="0"/>
    </xf>
    <xf numFmtId="0" fontId="15" fillId="0" borderId="14" xfId="274" applyFont="1" applyBorder="1" applyAlignment="1" applyProtection="1">
      <alignment horizontal="justify" vertical="top" wrapText="1"/>
      <protection locked="0"/>
    </xf>
    <xf numFmtId="0" fontId="15" fillId="0" borderId="16" xfId="274" applyFont="1" applyBorder="1" applyAlignment="1" applyProtection="1">
      <alignment horizontal="center" vertical="center" wrapText="1"/>
      <protection locked="0"/>
    </xf>
    <xf numFmtId="0" fontId="15" fillId="0" borderId="17" xfId="274" applyFont="1" applyBorder="1" applyAlignment="1" applyProtection="1">
      <alignment horizontal="center" vertical="center" wrapText="1"/>
      <protection locked="0"/>
    </xf>
    <xf numFmtId="0" fontId="15" fillId="0" borderId="2" xfId="274" applyFont="1" applyBorder="1" applyAlignment="1" applyProtection="1">
      <alignment horizontal="center" vertical="center" wrapText="1"/>
      <protection locked="0"/>
    </xf>
    <xf numFmtId="0" fontId="15" fillId="0" borderId="3" xfId="274" applyFont="1" applyBorder="1" applyAlignment="1" applyProtection="1">
      <alignment horizontal="center" vertical="center" wrapText="1"/>
      <protection locked="0"/>
    </xf>
    <xf numFmtId="0" fontId="15" fillId="0" borderId="15" xfId="274" applyFont="1" applyBorder="1" applyAlignment="1" applyProtection="1">
      <alignment horizontal="center" vertical="top" wrapText="1"/>
      <protection locked="0"/>
    </xf>
    <xf numFmtId="0" fontId="15" fillId="0" borderId="8" xfId="274" applyFont="1" applyBorder="1" applyAlignment="1">
      <alignment horizontal="center" vertical="center" wrapText="1"/>
    </xf>
    <xf numFmtId="0" fontId="15" fillId="0" borderId="10" xfId="274" applyFont="1" applyBorder="1" applyAlignment="1">
      <alignment horizontal="right" vertical="center"/>
    </xf>
    <xf numFmtId="0" fontId="15" fillId="0" borderId="15" xfId="274" applyFont="1" applyBorder="1" applyAlignment="1">
      <alignment horizontal="right" vertical="center"/>
    </xf>
    <xf numFmtId="0" fontId="15" fillId="0" borderId="59" xfId="274" applyFont="1" applyBorder="1" applyAlignment="1">
      <alignment horizontal="right" vertical="center"/>
    </xf>
    <xf numFmtId="0" fontId="15" fillId="0" borderId="8" xfId="264" applyFont="1" applyBorder="1" applyAlignment="1">
      <alignment horizontal="right" vertical="center" wrapText="1"/>
    </xf>
    <xf numFmtId="0" fontId="15" fillId="0" borderId="1" xfId="264" applyFont="1" applyBorder="1" applyAlignment="1">
      <alignment horizontal="right" vertical="center" wrapText="1"/>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4" borderId="1" xfId="0" applyFont="1" applyFill="1" applyBorder="1" applyAlignment="1" applyProtection="1">
      <alignment horizontal="justify" vertical="center" wrapText="1"/>
      <protection locked="0"/>
    </xf>
    <xf numFmtId="0" fontId="4" fillId="5" borderId="25" xfId="0" applyFont="1" applyFill="1" applyBorder="1" applyAlignment="1" applyProtection="1">
      <alignment horizontal="center" vertical="center" wrapText="1"/>
      <protection locked="0"/>
    </xf>
    <xf numFmtId="0" fontId="4" fillId="5" borderId="16"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5" fillId="6" borderId="25" xfId="0" applyFont="1" applyFill="1" applyBorder="1" applyAlignment="1" applyProtection="1">
      <alignment horizontal="center" vertical="center"/>
      <protection locked="0"/>
    </xf>
    <xf numFmtId="0" fontId="5" fillId="6" borderId="20" xfId="0" applyFont="1" applyFill="1" applyBorder="1" applyAlignment="1" applyProtection="1">
      <alignment horizontal="center" vertical="center"/>
      <protection locked="0"/>
    </xf>
    <xf numFmtId="0" fontId="5" fillId="0" borderId="5" xfId="0" applyFont="1" applyFill="1" applyBorder="1" applyAlignment="1" applyProtection="1">
      <alignment horizontal="left" vertical="center" wrapText="1"/>
      <protection locked="0"/>
    </xf>
    <xf numFmtId="0" fontId="5" fillId="0" borderId="26" xfId="0" applyFont="1" applyFill="1" applyBorder="1" applyAlignment="1" applyProtection="1">
      <alignment horizontal="left" vertical="center" wrapText="1"/>
      <protection locked="0"/>
    </xf>
    <xf numFmtId="0" fontId="5" fillId="0" borderId="5" xfId="0" applyFont="1" applyBorder="1" applyAlignment="1" applyProtection="1">
      <alignment horizontal="center" vertical="center" wrapText="1"/>
      <protection locked="0"/>
    </xf>
    <xf numFmtId="0" fontId="5" fillId="0" borderId="26" xfId="0" applyFont="1" applyBorder="1" applyAlignment="1" applyProtection="1">
      <alignment horizontal="center" vertical="center" wrapText="1"/>
      <protection locked="0"/>
    </xf>
  </cellXfs>
  <cellStyles count="29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Millares [0] 2" xfId="3" xr:uid="{00000000-0005-0000-0000-0000FE000000}"/>
    <cellStyle name="Millares 2" xfId="266" xr:uid="{D9545C66-0756-42B4-9356-AFBB11659E6C}"/>
    <cellStyle name="Millares 3" xfId="267" xr:uid="{FF958AAD-1D94-42C4-BE74-078F507F4C95}"/>
    <cellStyle name="Millares 4" xfId="268" xr:uid="{D5F5EB7A-C178-4746-9CA8-BD586D2FFA15}"/>
    <cellStyle name="Millares 5" xfId="265" xr:uid="{EC5DDB77-3AE2-4E09-9610-62C7DC8142E8}"/>
    <cellStyle name="Millares 8" xfId="269" xr:uid="{178AC400-9A8B-4865-BF0A-8F51F76E55D3}"/>
    <cellStyle name="Moneda [0]" xfId="263" builtinId="7"/>
    <cellStyle name="Moneda [0] 2" xfId="284" xr:uid="{36C2AB19-3DF2-4D41-B3AA-14CF314EB652}"/>
    <cellStyle name="Moneda [0] 3" xfId="271" xr:uid="{B48DDDEE-3507-433B-BD53-CED0E172E5A1}"/>
    <cellStyle name="Moneda [0] 3 2" xfId="289" xr:uid="{09AC7809-1BFB-4CBF-A94E-8A74B72A2665}"/>
    <cellStyle name="Moneda 2" xfId="2" xr:uid="{00000000-0005-0000-0000-0000FF000000}"/>
    <cellStyle name="Moneda 2 2" xfId="272" xr:uid="{0C3841FA-BCC9-4FBB-9D4D-B5FEBE81D5DF}"/>
    <cellStyle name="Moneda 3" xfId="270" xr:uid="{AB2C688B-3CB0-4164-9467-4375F052D8B4}"/>
    <cellStyle name="Moneda 4" xfId="273" xr:uid="{BB164053-0C41-46A1-8F37-D13A42D9AC6E}"/>
    <cellStyle name="Moneda 5" xfId="285" xr:uid="{4AA5B137-CB03-4A24-A1EB-1520F1C78A18}"/>
    <cellStyle name="Moneda 6" xfId="286" xr:uid="{44D1E17D-671F-4033-8C85-3661D2A62006}"/>
    <cellStyle name="Normal" xfId="0" builtinId="0"/>
    <cellStyle name="Normal 2" xfId="1" xr:uid="{00000000-0005-0000-0000-000001010000}"/>
    <cellStyle name="Normal 2 2" xfId="275" xr:uid="{3DAE1084-36A4-4833-9077-FCE571F62C38}"/>
    <cellStyle name="Normal 2 3" xfId="274" xr:uid="{7EEB10DD-B335-495F-91F5-D84BCC1A67EC}"/>
    <cellStyle name="Normal 2 4" xfId="276" xr:uid="{B6D14FF6-4B39-4A7E-B87D-8D79A007F150}"/>
    <cellStyle name="Normal 3" xfId="5" xr:uid="{00000000-0005-0000-0000-000002010000}"/>
    <cellStyle name="Normal 3 2" xfId="277" xr:uid="{E4B7B809-4FE2-4603-A399-F3008D2BAB69}"/>
    <cellStyle name="Normal 4" xfId="26" xr:uid="{00000000-0005-0000-0000-000003010000}"/>
    <cellStyle name="Normal 4 2" xfId="278" xr:uid="{D21C3C0B-5038-416D-B74E-B6DA15CCF8A9}"/>
    <cellStyle name="Normal 4 2 2" xfId="287" xr:uid="{28FE444B-7585-4272-9842-CED7D7DD739F}"/>
    <cellStyle name="Normal 5" xfId="279" xr:uid="{BEDB0237-2545-4B6E-AC76-74A2C7A21A2F}"/>
    <cellStyle name="Normal 6" xfId="264" xr:uid="{8E1A7AD3-709E-4561-9A06-33C4BBAA6FA9}"/>
    <cellStyle name="Normal 6 2" xfId="290" xr:uid="{344C43C3-63E9-4EB4-98CF-752F82157476}"/>
    <cellStyle name="Normal 7" xfId="280" xr:uid="{166BD293-77D3-4971-BE6A-BD969C9D61D1}"/>
    <cellStyle name="Normal 9" xfId="281" xr:uid="{478785B9-32A4-43F0-A9DD-D7214EBAA503}"/>
    <cellStyle name="Porcentaje" xfId="4" builtinId="5"/>
    <cellStyle name="Porcentaje 2" xfId="27" xr:uid="{00000000-0005-0000-0000-000005010000}"/>
    <cellStyle name="Porcentaje 2 2" xfId="96" xr:uid="{00000000-0005-0000-0000-000006010000}"/>
    <cellStyle name="Porcentaje 2 3" xfId="282" xr:uid="{9952AC53-FE2E-4D7E-95B2-0DCE4C8AB87B}"/>
    <cellStyle name="Porcentaje 3" xfId="288" xr:uid="{F59D2484-B627-4CB9-AD46-E8B10DC22BD9}"/>
    <cellStyle name="Porcentual 2" xfId="283" xr:uid="{AB76AF8A-CB19-41A6-82BD-C327B0E9F259}"/>
  </cellStyles>
  <dxfs count="1691">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3"/>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3"/>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0"/>
        </patternFill>
      </fill>
    </dxf>
    <dxf>
      <fill>
        <patternFill>
          <bgColor indexed="13"/>
        </patternFill>
      </fill>
    </dxf>
    <dxf>
      <fill>
        <patternFill>
          <bgColor indexed="11"/>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s>
  <tableStyles count="0" defaultTableStyle="TableStyleMedium2" defaultPivotStyle="PivotStyleLight16"/>
  <colors>
    <mruColors>
      <color rgb="FF00FA00"/>
      <color rgb="FF8EFA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3</xdr:col>
      <xdr:colOff>177800</xdr:colOff>
      <xdr:row>1</xdr:row>
      <xdr:rowOff>137212</xdr:rowOff>
    </xdr:from>
    <xdr:to>
      <xdr:col>3</xdr:col>
      <xdr:colOff>1861422</xdr:colOff>
      <xdr:row>2</xdr:row>
      <xdr:rowOff>316902</xdr:rowOff>
    </xdr:to>
    <xdr:pic>
      <xdr:nvPicPr>
        <xdr:cNvPr id="3" name="Imagen 2">
          <a:extLst>
            <a:ext uri="{FF2B5EF4-FFF2-40B4-BE49-F238E27FC236}">
              <a16:creationId xmlns:a16="http://schemas.microsoft.com/office/drawing/2014/main" id="{8D30D028-ABF6-483E-9956-F02C5054A09B}"/>
            </a:ext>
          </a:extLst>
        </xdr:cNvPr>
        <xdr:cNvPicPr>
          <a:picLocks noChangeAspect="1"/>
        </xdr:cNvPicPr>
      </xdr:nvPicPr>
      <xdr:blipFill>
        <a:blip xmlns:r="http://schemas.openxmlformats.org/officeDocument/2006/relationships" r:embed="rId1"/>
        <a:stretch>
          <a:fillRect/>
        </a:stretch>
      </xdr:blipFill>
      <xdr:spPr>
        <a:xfrm>
          <a:off x="2336800" y="340412"/>
          <a:ext cx="1683622" cy="6749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257902</xdr:colOff>
      <xdr:row>1</xdr:row>
      <xdr:rowOff>167107</xdr:rowOff>
    </xdr:from>
    <xdr:ext cx="1906203" cy="765738"/>
    <xdr:pic>
      <xdr:nvPicPr>
        <xdr:cNvPr id="2" name="Imagen 1">
          <a:extLst>
            <a:ext uri="{FF2B5EF4-FFF2-40B4-BE49-F238E27FC236}">
              <a16:creationId xmlns:a16="http://schemas.microsoft.com/office/drawing/2014/main" id="{1A33AA79-4395-4A7D-BED0-957DC4DB3A30}"/>
            </a:ext>
          </a:extLst>
        </xdr:cNvPr>
        <xdr:cNvPicPr>
          <a:picLocks noChangeAspect="1"/>
        </xdr:cNvPicPr>
      </xdr:nvPicPr>
      <xdr:blipFill>
        <a:blip xmlns:r="http://schemas.openxmlformats.org/officeDocument/2006/relationships" r:embed="rId1"/>
        <a:stretch>
          <a:fillRect/>
        </a:stretch>
      </xdr:blipFill>
      <xdr:spPr>
        <a:xfrm>
          <a:off x="1705702" y="319507"/>
          <a:ext cx="1906203" cy="765738"/>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2</xdr:col>
      <xdr:colOff>1958340</xdr:colOff>
      <xdr:row>1</xdr:row>
      <xdr:rowOff>68580</xdr:rowOff>
    </xdr:from>
    <xdr:ext cx="1798320" cy="852077"/>
    <xdr:pic>
      <xdr:nvPicPr>
        <xdr:cNvPr id="2" name="2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8790" y="268605"/>
          <a:ext cx="1798320" cy="852077"/>
        </a:xfrm>
        <a:prstGeom prst="rect">
          <a:avLst/>
        </a:prstGeom>
        <a:noFill/>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3.%20EMPRESAS%20LABORADAS\14.%20CORANTIOQUIA\SEGUIM%20POMCAS\ESTUDIOS%20PREVIOS%20IMPLEMENTAC%20POMCAS\EP%20Interventor&#237;a%20POMCAS\2020-06-16%20POI%20Interventoria%20Fortalecimiento%20POMCAS%20-%2010.%20R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ejecución"/>
      <sheetName val="Presupuesto Contrato"/>
      <sheetName val="MDC Alcance 1"/>
      <sheetName val="MDC Alcance 2 "/>
      <sheetName val="MDC Alcance 3"/>
      <sheetName val="MDC Alcance 4"/>
      <sheetName val="MDC Alcance 5"/>
      <sheetName val="FP"/>
      <sheetName val="Tabla de Honorarios 2020 FP"/>
      <sheetName val="Honorarios Corporativos 2020"/>
      <sheetName val="Tabla transporte 2020"/>
      <sheetName val="Administracion"/>
      <sheetName val="Dotacion uniformes"/>
      <sheetName val="Costo aplicativo reun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9" tint="-0.249977111117893"/>
    <pageSetUpPr fitToPage="1"/>
  </sheetPr>
  <dimension ref="A1:CF53"/>
  <sheetViews>
    <sheetView tabSelected="1" topLeftCell="A42" zoomScaleNormal="100" workbookViewId="0">
      <selection activeCell="F17" sqref="F17"/>
    </sheetView>
  </sheetViews>
  <sheetFormatPr baseColWidth="10" defaultColWidth="10.85546875" defaultRowHeight="15.75" customHeight="1" x14ac:dyDescent="0.25"/>
  <cols>
    <col min="1" max="1" width="4.85546875" style="2" customWidth="1"/>
    <col min="2" max="2" width="5.28515625" style="8" customWidth="1"/>
    <col min="3" max="3" width="22.140625" style="2" customWidth="1"/>
    <col min="4" max="4" width="44" style="36" customWidth="1"/>
    <col min="5" max="5" width="10.28515625" style="5" bestFit="1" customWidth="1"/>
    <col min="6" max="6" width="14.42578125" style="5" customWidth="1"/>
    <col min="7" max="7" width="11.28515625" style="78" customWidth="1"/>
    <col min="8" max="8" width="5.85546875" style="5" customWidth="1"/>
    <col min="9" max="9" width="6" style="5" customWidth="1"/>
    <col min="10" max="10" width="10" style="5" customWidth="1"/>
    <col min="11" max="11" width="9.85546875" style="5" customWidth="1"/>
    <col min="12" max="12" width="21.42578125" style="5" customWidth="1"/>
    <col min="13" max="14" width="5.140625" style="5" customWidth="1"/>
    <col min="15" max="16" width="10.42578125" style="5" customWidth="1"/>
    <col min="17" max="17" width="21.7109375" style="5" customWidth="1"/>
    <col min="18" max="19" width="4.7109375" style="5" customWidth="1"/>
    <col min="20" max="20" width="10.28515625" style="5" customWidth="1"/>
    <col min="21" max="21" width="21.140625" style="5" customWidth="1"/>
    <col min="22" max="22" width="16.42578125" style="5" customWidth="1"/>
    <col min="23" max="23" width="4.28515625" style="5" customWidth="1"/>
    <col min="24" max="24" width="6.140625" style="5" customWidth="1"/>
    <col min="25" max="25" width="9.28515625" style="5" customWidth="1"/>
    <col min="26" max="26" width="14.140625" style="5" customWidth="1"/>
    <col min="27" max="27" width="12.85546875" style="5" customWidth="1"/>
    <col min="28" max="29" width="4" style="5" customWidth="1"/>
    <col min="30" max="30" width="9.28515625" style="5" customWidth="1"/>
    <col min="31" max="31" width="9.42578125" style="5" customWidth="1"/>
    <col min="32" max="32" width="13.42578125" style="5" customWidth="1"/>
    <col min="33" max="34" width="4" style="5" customWidth="1"/>
    <col min="35" max="35" width="9.28515625" style="5" customWidth="1"/>
    <col min="36" max="36" width="9.42578125" style="5" customWidth="1"/>
    <col min="37" max="37" width="13.42578125" style="5" customWidth="1"/>
    <col min="38" max="39" width="4" style="5" customWidth="1"/>
    <col min="40" max="40" width="9.28515625" style="5" customWidth="1"/>
    <col min="41" max="41" width="9.42578125" style="5" customWidth="1"/>
    <col min="42" max="42" width="13.42578125" style="5" customWidth="1"/>
    <col min="43" max="44" width="4" style="5" customWidth="1"/>
    <col min="45" max="45" width="9.28515625" style="5" customWidth="1"/>
    <col min="46" max="46" width="9.42578125" style="5" customWidth="1"/>
    <col min="47" max="47" width="13.42578125" style="5" customWidth="1"/>
    <col min="48" max="49" width="4" style="5" customWidth="1"/>
    <col min="50" max="50" width="9.28515625" style="5" customWidth="1"/>
    <col min="51" max="51" width="9.42578125" style="5" customWidth="1"/>
    <col min="52" max="52" width="13.42578125" style="5" customWidth="1"/>
    <col min="53" max="54" width="4" style="5" customWidth="1"/>
    <col min="55" max="55" width="9.28515625" style="5" customWidth="1"/>
    <col min="56" max="56" width="9.42578125" style="5" customWidth="1"/>
    <col min="57" max="57" width="13.42578125" style="5" customWidth="1"/>
    <col min="58" max="59" width="4" style="5" customWidth="1"/>
    <col min="60" max="60" width="9.28515625" style="5" customWidth="1"/>
    <col min="61" max="61" width="9.42578125" style="5" customWidth="1"/>
    <col min="62" max="62" width="13.42578125" style="5" customWidth="1"/>
    <col min="63" max="64" width="4" style="5" customWidth="1"/>
    <col min="65" max="65" width="9.28515625" style="5" customWidth="1"/>
    <col min="66" max="66" width="9.42578125" style="5" customWidth="1"/>
    <col min="67" max="67" width="13.42578125" style="5" customWidth="1"/>
    <col min="68" max="69" width="4" style="5" customWidth="1"/>
    <col min="70" max="70" width="9.28515625" style="5" customWidth="1"/>
    <col min="71" max="71" width="9.42578125" style="5" customWidth="1"/>
    <col min="72" max="72" width="13.42578125" style="5" customWidth="1"/>
    <col min="73" max="74" width="4" style="5" customWidth="1"/>
    <col min="75" max="75" width="9.28515625" style="5" customWidth="1"/>
    <col min="76" max="76" width="9.42578125" style="5" customWidth="1"/>
    <col min="77" max="77" width="13.42578125" style="5" customWidth="1"/>
    <col min="78" max="79" width="11.42578125" style="5" customWidth="1"/>
    <col min="80" max="80" width="14.42578125" style="5" customWidth="1"/>
    <col min="81" max="81" width="13" style="5" customWidth="1"/>
    <col min="82" max="16384" width="10.85546875" style="2"/>
  </cols>
  <sheetData>
    <row r="1" spans="2:82" ht="15.75" customHeight="1" thickBot="1" x14ac:dyDescent="0.3">
      <c r="B1" s="1"/>
      <c r="D1" s="3"/>
      <c r="E1" s="4"/>
      <c r="F1" s="3"/>
      <c r="G1" s="77"/>
      <c r="H1" s="3"/>
      <c r="I1" s="3"/>
      <c r="J1" s="3"/>
      <c r="K1" s="3"/>
      <c r="L1" s="3"/>
      <c r="M1" s="3"/>
      <c r="N1" s="3"/>
      <c r="O1" s="3"/>
      <c r="P1" s="3"/>
      <c r="Q1" s="3"/>
      <c r="R1" s="4"/>
      <c r="U1" s="3"/>
      <c r="Z1" s="3"/>
      <c r="AE1" s="3"/>
      <c r="AJ1" s="3"/>
      <c r="AO1" s="3"/>
      <c r="AT1" s="3"/>
      <c r="AY1" s="3"/>
      <c r="BD1" s="3"/>
      <c r="BI1" s="3"/>
      <c r="BN1" s="3"/>
      <c r="BS1" s="3"/>
      <c r="BX1" s="3"/>
    </row>
    <row r="2" spans="2:82" s="7" customFormat="1" ht="39" customHeight="1" thickBot="1" x14ac:dyDescent="0.3">
      <c r="B2" s="6"/>
      <c r="C2" s="451"/>
      <c r="D2" s="452"/>
      <c r="E2" s="453"/>
      <c r="F2" s="457" t="s">
        <v>0</v>
      </c>
      <c r="G2" s="458"/>
      <c r="H2" s="458"/>
      <c r="I2" s="458"/>
      <c r="J2" s="458"/>
      <c r="K2" s="458"/>
      <c r="L2" s="461" t="s">
        <v>1</v>
      </c>
      <c r="M2" s="462"/>
      <c r="N2" s="462"/>
      <c r="O2" s="463"/>
    </row>
    <row r="3" spans="2:82" s="7" customFormat="1" ht="39" customHeight="1" thickBot="1" x14ac:dyDescent="0.3">
      <c r="B3" s="6"/>
      <c r="C3" s="454"/>
      <c r="D3" s="455"/>
      <c r="E3" s="456"/>
      <c r="F3" s="459"/>
      <c r="G3" s="460"/>
      <c r="H3" s="460"/>
      <c r="I3" s="460"/>
      <c r="J3" s="460"/>
      <c r="K3" s="460"/>
      <c r="L3" s="461" t="s">
        <v>2</v>
      </c>
      <c r="M3" s="462"/>
      <c r="N3" s="462"/>
      <c r="O3" s="463"/>
    </row>
    <row r="4" spans="2:82" s="7" customFormat="1" ht="39" customHeight="1" x14ac:dyDescent="0.25">
      <c r="B4" s="6"/>
      <c r="C4" s="60"/>
      <c r="D4" s="60"/>
      <c r="E4" s="60"/>
      <c r="F4" s="61"/>
      <c r="G4" s="61"/>
      <c r="H4" s="61"/>
      <c r="I4" s="61"/>
      <c r="J4" s="61"/>
      <c r="K4" s="61"/>
      <c r="L4" s="62"/>
      <c r="M4" s="62"/>
      <c r="N4" s="62"/>
      <c r="O4" s="62"/>
      <c r="AB4" s="63"/>
      <c r="AG4" s="63"/>
      <c r="AL4" s="63"/>
      <c r="AQ4" s="63"/>
      <c r="AV4" s="63"/>
      <c r="BA4" s="63"/>
      <c r="BF4" s="63"/>
      <c r="BK4" s="63"/>
      <c r="BP4" s="63"/>
      <c r="BU4" s="63"/>
    </row>
    <row r="5" spans="2:82" s="7" customFormat="1" ht="39" hidden="1" customHeight="1" x14ac:dyDescent="0.25">
      <c r="B5" s="6"/>
      <c r="C5" s="60"/>
      <c r="D5" s="60"/>
      <c r="E5" s="60"/>
      <c r="F5" s="61"/>
      <c r="G5" s="61"/>
      <c r="H5" s="61"/>
      <c r="I5" s="61"/>
      <c r="J5" s="61"/>
      <c r="K5" s="61"/>
      <c r="L5" s="62"/>
      <c r="M5" s="62"/>
      <c r="N5" s="62"/>
      <c r="O5" s="62"/>
      <c r="AB5" s="63"/>
      <c r="AG5" s="63"/>
      <c r="AL5" s="63"/>
      <c r="AQ5" s="63"/>
      <c r="AV5" s="63"/>
      <c r="BA5" s="63"/>
      <c r="BF5" s="63"/>
      <c r="BK5" s="63"/>
      <c r="BP5" s="63"/>
      <c r="BU5" s="63"/>
    </row>
    <row r="6" spans="2:82" ht="15.75" hidden="1" customHeight="1" x14ac:dyDescent="0.25">
      <c r="C6" s="480" t="s">
        <v>109</v>
      </c>
      <c r="D6" s="481"/>
      <c r="E6" s="482"/>
      <c r="AB6" s="64"/>
      <c r="AG6" s="64"/>
      <c r="AL6" s="64"/>
      <c r="AQ6" s="64"/>
      <c r="AV6" s="64"/>
      <c r="BA6" s="64"/>
      <c r="BF6" s="64"/>
      <c r="BK6" s="64"/>
      <c r="BP6" s="64"/>
      <c r="BU6" s="64"/>
    </row>
    <row r="7" spans="2:82" ht="41.25" hidden="1" customHeight="1" x14ac:dyDescent="0.25">
      <c r="C7" s="9" t="s">
        <v>3</v>
      </c>
      <c r="D7" s="475" t="s">
        <v>110</v>
      </c>
      <c r="E7" s="475"/>
      <c r="AB7" s="64"/>
      <c r="AG7" s="64"/>
      <c r="AL7" s="64"/>
      <c r="AQ7" s="64"/>
      <c r="AV7" s="64"/>
      <c r="BA7" s="64"/>
      <c r="BF7" s="64"/>
      <c r="BK7" s="64"/>
      <c r="BP7" s="64"/>
      <c r="BU7" s="64"/>
    </row>
    <row r="8" spans="2:82" ht="15.75" hidden="1" customHeight="1" x14ac:dyDescent="0.25">
      <c r="C8" s="9" t="s">
        <v>4</v>
      </c>
      <c r="D8" s="476">
        <v>44152</v>
      </c>
      <c r="E8" s="476"/>
      <c r="AB8" s="64"/>
      <c r="AG8" s="64"/>
      <c r="AL8" s="64"/>
      <c r="AQ8" s="64"/>
      <c r="AV8" s="64"/>
      <c r="BA8" s="64"/>
      <c r="BF8" s="64"/>
      <c r="BK8" s="64"/>
      <c r="BP8" s="64"/>
      <c r="BU8" s="64"/>
    </row>
    <row r="9" spans="2:82" ht="15.75" hidden="1" customHeight="1" x14ac:dyDescent="0.25">
      <c r="C9" s="9" t="s">
        <v>5</v>
      </c>
      <c r="D9" s="477">
        <v>44912</v>
      </c>
      <c r="E9" s="477"/>
      <c r="H9" s="2"/>
      <c r="AB9" s="64"/>
      <c r="AG9" s="64"/>
      <c r="AL9" s="64"/>
      <c r="AQ9" s="64"/>
      <c r="AV9" s="64"/>
      <c r="BA9" s="64"/>
      <c r="BF9" s="64"/>
      <c r="BK9" s="64"/>
      <c r="BP9" s="64"/>
      <c r="BU9" s="64"/>
    </row>
    <row r="10" spans="2:82" ht="15.75" hidden="1" customHeight="1" x14ac:dyDescent="0.25">
      <c r="C10" s="9" t="s">
        <v>6</v>
      </c>
      <c r="D10" s="476">
        <v>44152</v>
      </c>
      <c r="E10" s="476"/>
      <c r="H10" s="2"/>
      <c r="AB10" s="64"/>
      <c r="AG10" s="64"/>
      <c r="AL10" s="64"/>
      <c r="AQ10" s="64"/>
      <c r="AV10" s="64"/>
      <c r="BA10" s="64"/>
      <c r="BF10" s="64"/>
      <c r="BK10" s="64"/>
      <c r="BP10" s="64"/>
      <c r="BU10" s="64"/>
    </row>
    <row r="11" spans="2:82" ht="15.75" hidden="1" customHeight="1" x14ac:dyDescent="0.25">
      <c r="C11" s="9" t="s">
        <v>7</v>
      </c>
      <c r="D11" s="478">
        <f>+(D10-D8)/(D9-D8)</f>
        <v>0</v>
      </c>
      <c r="E11" s="478"/>
      <c r="H11" s="10"/>
      <c r="AB11" s="64"/>
      <c r="AG11" s="64"/>
      <c r="AL11" s="64"/>
      <c r="AQ11" s="64"/>
      <c r="AV11" s="64"/>
      <c r="BA11" s="64"/>
      <c r="BF11" s="64"/>
      <c r="BK11" s="64"/>
      <c r="BP11" s="64"/>
      <c r="BU11" s="64"/>
    </row>
    <row r="12" spans="2:82" ht="21" hidden="1" customHeight="1" x14ac:dyDescent="0.25">
      <c r="C12" s="74" t="s">
        <v>8</v>
      </c>
      <c r="D12" s="479"/>
      <c r="E12" s="479"/>
      <c r="H12" s="10"/>
      <c r="AB12" s="64"/>
      <c r="AG12" s="64"/>
      <c r="AL12" s="64"/>
      <c r="AQ12" s="64"/>
      <c r="AV12" s="64"/>
      <c r="BA12" s="64"/>
      <c r="BF12" s="64"/>
      <c r="BK12" s="64"/>
      <c r="BP12" s="64"/>
      <c r="BU12" s="64"/>
      <c r="CA12" s="43"/>
    </row>
    <row r="13" spans="2:82" s="11" customFormat="1" ht="18" hidden="1" customHeight="1" x14ac:dyDescent="0.2">
      <c r="C13" s="12" t="s">
        <v>9</v>
      </c>
      <c r="E13" s="13"/>
      <c r="G13" s="79"/>
      <c r="AB13" s="65"/>
      <c r="AG13" s="65"/>
      <c r="AL13" s="65"/>
      <c r="AQ13" s="65"/>
      <c r="AV13" s="65"/>
      <c r="BA13" s="65"/>
      <c r="BF13" s="65"/>
      <c r="BK13" s="65"/>
      <c r="BP13" s="65"/>
      <c r="BU13" s="65"/>
      <c r="CB13" s="5"/>
      <c r="CC13" s="5"/>
      <c r="CD13" s="2"/>
    </row>
    <row r="14" spans="2:82" s="7" customFormat="1" ht="39" hidden="1" customHeight="1" x14ac:dyDescent="0.25">
      <c r="B14" s="6"/>
      <c r="C14" s="60"/>
      <c r="D14" s="60"/>
      <c r="E14" s="60"/>
      <c r="F14" s="61"/>
      <c r="G14" s="61"/>
      <c r="H14" s="61"/>
      <c r="I14" s="61"/>
      <c r="J14" s="61"/>
      <c r="K14" s="61"/>
      <c r="L14" s="62"/>
      <c r="M14" s="62"/>
      <c r="N14" s="62"/>
      <c r="O14" s="62"/>
      <c r="AB14" s="63"/>
      <c r="AG14" s="63"/>
      <c r="AL14" s="63"/>
      <c r="AQ14" s="63"/>
      <c r="AV14" s="63"/>
      <c r="BA14" s="63"/>
      <c r="BF14" s="63"/>
      <c r="BK14" s="63"/>
      <c r="BP14" s="63"/>
      <c r="BU14" s="63"/>
      <c r="CC14" s="71"/>
    </row>
    <row r="15" spans="2:82" s="14" customFormat="1" ht="30" customHeight="1" x14ac:dyDescent="0.25">
      <c r="B15" s="466" t="s">
        <v>10</v>
      </c>
      <c r="C15" s="467"/>
      <c r="D15" s="468"/>
      <c r="E15" s="464" t="s">
        <v>54</v>
      </c>
      <c r="F15" s="464" t="s">
        <v>98</v>
      </c>
      <c r="G15" s="464" t="s">
        <v>11</v>
      </c>
      <c r="H15" s="472" t="s">
        <v>113</v>
      </c>
      <c r="I15" s="473"/>
      <c r="J15" s="473"/>
      <c r="K15" s="473"/>
      <c r="L15" s="474"/>
      <c r="M15" s="472" t="s">
        <v>114</v>
      </c>
      <c r="N15" s="473"/>
      <c r="O15" s="473"/>
      <c r="P15" s="473"/>
      <c r="Q15" s="474"/>
      <c r="R15" s="472" t="s">
        <v>115</v>
      </c>
      <c r="S15" s="473"/>
      <c r="T15" s="473"/>
      <c r="U15" s="473"/>
      <c r="V15" s="474"/>
      <c r="W15" s="472" t="s">
        <v>116</v>
      </c>
      <c r="X15" s="473"/>
      <c r="Y15" s="473"/>
      <c r="Z15" s="473"/>
      <c r="AA15" s="474"/>
      <c r="AB15" s="472" t="s">
        <v>117</v>
      </c>
      <c r="AC15" s="473"/>
      <c r="AD15" s="473"/>
      <c r="AE15" s="473"/>
      <c r="AF15" s="473"/>
      <c r="AG15" s="472" t="s">
        <v>118</v>
      </c>
      <c r="AH15" s="473"/>
      <c r="AI15" s="473"/>
      <c r="AJ15" s="473"/>
      <c r="AK15" s="473"/>
      <c r="AL15" s="472" t="s">
        <v>119</v>
      </c>
      <c r="AM15" s="473"/>
      <c r="AN15" s="473"/>
      <c r="AO15" s="473"/>
      <c r="AP15" s="473"/>
      <c r="AQ15" s="472" t="s">
        <v>120</v>
      </c>
      <c r="AR15" s="473"/>
      <c r="AS15" s="473"/>
      <c r="AT15" s="473"/>
      <c r="AU15" s="473"/>
      <c r="AV15" s="472" t="s">
        <v>121</v>
      </c>
      <c r="AW15" s="473"/>
      <c r="AX15" s="473"/>
      <c r="AY15" s="473"/>
      <c r="AZ15" s="473"/>
      <c r="BA15" s="472" t="s">
        <v>122</v>
      </c>
      <c r="BB15" s="473"/>
      <c r="BC15" s="473"/>
      <c r="BD15" s="473"/>
      <c r="BE15" s="473"/>
      <c r="BF15" s="472" t="s">
        <v>123</v>
      </c>
      <c r="BG15" s="473"/>
      <c r="BH15" s="473"/>
      <c r="BI15" s="473"/>
      <c r="BJ15" s="473"/>
      <c r="BK15" s="472" t="s">
        <v>124</v>
      </c>
      <c r="BL15" s="473"/>
      <c r="BM15" s="473"/>
      <c r="BN15" s="473"/>
      <c r="BO15" s="473"/>
      <c r="BP15" s="472" t="s">
        <v>125</v>
      </c>
      <c r="BQ15" s="473"/>
      <c r="BR15" s="473"/>
      <c r="BS15" s="473"/>
      <c r="BT15" s="473"/>
      <c r="BU15" s="472" t="s">
        <v>126</v>
      </c>
      <c r="BV15" s="473"/>
      <c r="BW15" s="473"/>
      <c r="BX15" s="473"/>
      <c r="BY15" s="473"/>
      <c r="BZ15" s="486" t="s">
        <v>12</v>
      </c>
      <c r="CA15" s="486"/>
      <c r="CB15" s="486"/>
      <c r="CC15" s="486"/>
    </row>
    <row r="16" spans="2:82" s="14" customFormat="1" ht="30" customHeight="1" x14ac:dyDescent="0.25">
      <c r="B16" s="469"/>
      <c r="C16" s="470"/>
      <c r="D16" s="471"/>
      <c r="E16" s="465"/>
      <c r="F16" s="465"/>
      <c r="G16" s="465"/>
      <c r="H16" s="45" t="s">
        <v>13</v>
      </c>
      <c r="I16" s="45" t="s">
        <v>14</v>
      </c>
      <c r="J16" s="45" t="s">
        <v>15</v>
      </c>
      <c r="K16" s="45" t="s">
        <v>16</v>
      </c>
      <c r="L16" s="45" t="s">
        <v>17</v>
      </c>
      <c r="M16" s="45" t="s">
        <v>13</v>
      </c>
      <c r="N16" s="45" t="s">
        <v>14</v>
      </c>
      <c r="O16" s="45" t="s">
        <v>15</v>
      </c>
      <c r="P16" s="45" t="s">
        <v>16</v>
      </c>
      <c r="Q16" s="45" t="s">
        <v>17</v>
      </c>
      <c r="R16" s="45" t="s">
        <v>13</v>
      </c>
      <c r="S16" s="45" t="s">
        <v>14</v>
      </c>
      <c r="T16" s="45" t="s">
        <v>18</v>
      </c>
      <c r="U16" s="45" t="s">
        <v>16</v>
      </c>
      <c r="V16" s="45" t="s">
        <v>17</v>
      </c>
      <c r="W16" s="45" t="s">
        <v>13</v>
      </c>
      <c r="X16" s="45" t="s">
        <v>14</v>
      </c>
      <c r="Y16" s="45" t="s">
        <v>18</v>
      </c>
      <c r="Z16" s="45" t="s">
        <v>16</v>
      </c>
      <c r="AA16" s="45" t="s">
        <v>17</v>
      </c>
      <c r="AB16" s="45" t="s">
        <v>13</v>
      </c>
      <c r="AC16" s="45" t="s">
        <v>14</v>
      </c>
      <c r="AD16" s="45" t="s">
        <v>18</v>
      </c>
      <c r="AE16" s="45" t="s">
        <v>16</v>
      </c>
      <c r="AF16" s="70" t="s">
        <v>17</v>
      </c>
      <c r="AG16" s="83" t="s">
        <v>13</v>
      </c>
      <c r="AH16" s="83" t="s">
        <v>14</v>
      </c>
      <c r="AI16" s="83" t="s">
        <v>18</v>
      </c>
      <c r="AJ16" s="83" t="s">
        <v>16</v>
      </c>
      <c r="AK16" s="70" t="s">
        <v>17</v>
      </c>
      <c r="AL16" s="83" t="s">
        <v>13</v>
      </c>
      <c r="AM16" s="83" t="s">
        <v>14</v>
      </c>
      <c r="AN16" s="83" t="s">
        <v>18</v>
      </c>
      <c r="AO16" s="83" t="s">
        <v>16</v>
      </c>
      <c r="AP16" s="70" t="s">
        <v>17</v>
      </c>
      <c r="AQ16" s="83" t="s">
        <v>13</v>
      </c>
      <c r="AR16" s="83" t="s">
        <v>14</v>
      </c>
      <c r="AS16" s="83" t="s">
        <v>18</v>
      </c>
      <c r="AT16" s="83" t="s">
        <v>16</v>
      </c>
      <c r="AU16" s="70" t="s">
        <v>17</v>
      </c>
      <c r="AV16" s="83" t="s">
        <v>13</v>
      </c>
      <c r="AW16" s="83" t="s">
        <v>14</v>
      </c>
      <c r="AX16" s="83" t="s">
        <v>18</v>
      </c>
      <c r="AY16" s="83" t="s">
        <v>16</v>
      </c>
      <c r="AZ16" s="70" t="s">
        <v>17</v>
      </c>
      <c r="BA16" s="83" t="s">
        <v>13</v>
      </c>
      <c r="BB16" s="83" t="s">
        <v>14</v>
      </c>
      <c r="BC16" s="83" t="s">
        <v>18</v>
      </c>
      <c r="BD16" s="83" t="s">
        <v>16</v>
      </c>
      <c r="BE16" s="70" t="s">
        <v>17</v>
      </c>
      <c r="BF16" s="83" t="s">
        <v>13</v>
      </c>
      <c r="BG16" s="83" t="s">
        <v>14</v>
      </c>
      <c r="BH16" s="83" t="s">
        <v>18</v>
      </c>
      <c r="BI16" s="83" t="s">
        <v>16</v>
      </c>
      <c r="BJ16" s="70" t="s">
        <v>17</v>
      </c>
      <c r="BK16" s="83" t="s">
        <v>13</v>
      </c>
      <c r="BL16" s="83" t="s">
        <v>14</v>
      </c>
      <c r="BM16" s="83" t="s">
        <v>18</v>
      </c>
      <c r="BN16" s="83" t="s">
        <v>16</v>
      </c>
      <c r="BO16" s="70" t="s">
        <v>17</v>
      </c>
      <c r="BP16" s="83" t="s">
        <v>13</v>
      </c>
      <c r="BQ16" s="83" t="s">
        <v>14</v>
      </c>
      <c r="BR16" s="83" t="s">
        <v>18</v>
      </c>
      <c r="BS16" s="83" t="s">
        <v>16</v>
      </c>
      <c r="BT16" s="70" t="s">
        <v>17</v>
      </c>
      <c r="BU16" s="83" t="s">
        <v>13</v>
      </c>
      <c r="BV16" s="83" t="s">
        <v>14</v>
      </c>
      <c r="BW16" s="83" t="s">
        <v>18</v>
      </c>
      <c r="BX16" s="83" t="s">
        <v>16</v>
      </c>
      <c r="BY16" s="70" t="s">
        <v>17</v>
      </c>
      <c r="BZ16" s="57" t="s">
        <v>19</v>
      </c>
      <c r="CA16" s="57" t="s">
        <v>20</v>
      </c>
      <c r="CB16" s="57" t="s">
        <v>21</v>
      </c>
      <c r="CC16" s="57" t="s">
        <v>16</v>
      </c>
    </row>
    <row r="17" spans="1:84" s="21" customFormat="1" ht="32.25" customHeight="1" x14ac:dyDescent="0.25">
      <c r="B17" s="17">
        <v>1</v>
      </c>
      <c r="C17" s="18" t="s">
        <v>30</v>
      </c>
      <c r="D17" s="37" t="s">
        <v>111</v>
      </c>
      <c r="E17" s="17">
        <f>SUM(E18:E20)</f>
        <v>112</v>
      </c>
      <c r="F17" s="91" t="s">
        <v>147</v>
      </c>
      <c r="G17" s="88">
        <v>0.1</v>
      </c>
      <c r="H17" s="483"/>
      <c r="I17" s="484"/>
      <c r="J17" s="484"/>
      <c r="K17" s="484"/>
      <c r="L17" s="485"/>
      <c r="M17" s="483"/>
      <c r="N17" s="484"/>
      <c r="O17" s="484"/>
      <c r="P17" s="484"/>
      <c r="Q17" s="485"/>
      <c r="R17" s="483"/>
      <c r="S17" s="484"/>
      <c r="T17" s="484"/>
      <c r="U17" s="484"/>
      <c r="V17" s="485"/>
      <c r="W17" s="483"/>
      <c r="X17" s="484"/>
      <c r="Y17" s="484"/>
      <c r="Z17" s="484"/>
      <c r="AA17" s="485"/>
      <c r="AB17" s="484"/>
      <c r="AC17" s="484"/>
      <c r="AD17" s="484"/>
      <c r="AE17" s="484"/>
      <c r="AF17" s="484"/>
      <c r="AG17" s="484"/>
      <c r="AH17" s="484"/>
      <c r="AI17" s="484"/>
      <c r="AJ17" s="484"/>
      <c r="AK17" s="484"/>
      <c r="AL17" s="484"/>
      <c r="AM17" s="484"/>
      <c r="AN17" s="484"/>
      <c r="AO17" s="484"/>
      <c r="AP17" s="484"/>
      <c r="AQ17" s="484"/>
      <c r="AR17" s="484"/>
      <c r="AS17" s="484"/>
      <c r="AT17" s="484"/>
      <c r="AU17" s="484"/>
      <c r="AV17" s="484"/>
      <c r="AW17" s="484"/>
      <c r="AX17" s="484"/>
      <c r="AY17" s="484"/>
      <c r="AZ17" s="484"/>
      <c r="BA17" s="484"/>
      <c r="BB17" s="484"/>
      <c r="BC17" s="484"/>
      <c r="BD17" s="484"/>
      <c r="BE17" s="484"/>
      <c r="BF17" s="484"/>
      <c r="BG17" s="484"/>
      <c r="BH17" s="484"/>
      <c r="BI17" s="484"/>
      <c r="BJ17" s="484"/>
      <c r="BK17" s="484"/>
      <c r="BL17" s="484"/>
      <c r="BM17" s="484"/>
      <c r="BN17" s="484"/>
      <c r="BO17" s="484"/>
      <c r="BP17" s="484"/>
      <c r="BQ17" s="484"/>
      <c r="BR17" s="484"/>
      <c r="BS17" s="484"/>
      <c r="BT17" s="484"/>
      <c r="BU17" s="484"/>
      <c r="BV17" s="484"/>
      <c r="BW17" s="484"/>
      <c r="BX17" s="484"/>
      <c r="BY17" s="484"/>
      <c r="BZ17" s="487"/>
      <c r="CA17" s="487"/>
      <c r="CB17" s="487"/>
      <c r="CC17" s="487"/>
    </row>
    <row r="18" spans="1:84" ht="37.5" customHeight="1" x14ac:dyDescent="0.25">
      <c r="B18" s="23" t="s">
        <v>22</v>
      </c>
      <c r="C18" s="32" t="s">
        <v>41</v>
      </c>
      <c r="D18" s="38" t="s">
        <v>112</v>
      </c>
      <c r="E18" s="40">
        <v>5</v>
      </c>
      <c r="F18" s="40" t="s">
        <v>143</v>
      </c>
      <c r="G18" s="89">
        <v>0.3</v>
      </c>
      <c r="H18" s="23">
        <v>5</v>
      </c>
      <c r="I18" s="23"/>
      <c r="J18" s="24">
        <f>IF(H18="",0,I18/H18)</f>
        <v>0</v>
      </c>
      <c r="K18" s="24">
        <f>IFERROR(IF(H18="",0,($G18*(I18/$E18))),0)</f>
        <v>0</v>
      </c>
      <c r="L18" s="40"/>
      <c r="M18" s="23"/>
      <c r="N18" s="23"/>
      <c r="O18" s="24">
        <f>IF(M18="",0,N18/M18)</f>
        <v>0</v>
      </c>
      <c r="P18" s="24">
        <f>IFERROR(IF(M18="",0,($G18*(N18/$E18))),0)</f>
        <v>0</v>
      </c>
      <c r="Q18" s="26"/>
      <c r="R18" s="23"/>
      <c r="S18" s="23"/>
      <c r="T18" s="24">
        <f>IF(R18="",0,S18/R18)</f>
        <v>0</v>
      </c>
      <c r="U18" s="24">
        <f>IFERROR(IF(R18="",0,($G18*(S18/$E18))),0)</f>
        <v>0</v>
      </c>
      <c r="V18" s="25"/>
      <c r="W18" s="25"/>
      <c r="X18" s="25"/>
      <c r="Y18" s="24">
        <f>IF(W18="",0,X18/W18)</f>
        <v>0</v>
      </c>
      <c r="Z18" s="24">
        <f>IFERROR(IF(W18="",0,($G18*(X18/$E18))),0)</f>
        <v>0</v>
      </c>
      <c r="AA18" s="25"/>
      <c r="AB18" s="25"/>
      <c r="AC18" s="25"/>
      <c r="AD18" s="24">
        <f>IF(AB18="",0,AC18/AB18)</f>
        <v>0</v>
      </c>
      <c r="AE18" s="24">
        <f>IFERROR(IF(AB18="",0,($G18*(AC18/$E18))),0)</f>
        <v>0</v>
      </c>
      <c r="AF18" s="58"/>
      <c r="AG18" s="25"/>
      <c r="AH18" s="25"/>
      <c r="AI18" s="24">
        <f>IF(AG18="",0,AH18/AG18)</f>
        <v>0</v>
      </c>
      <c r="AJ18" s="24">
        <f>IFERROR(IF(AG18="",0,($G18*(AH18/$E18))),0)</f>
        <v>0</v>
      </c>
      <c r="AK18" s="58"/>
      <c r="AL18" s="25"/>
      <c r="AM18" s="25"/>
      <c r="AN18" s="24">
        <f>IF(AL18="",0,AM18/AL18)</f>
        <v>0</v>
      </c>
      <c r="AO18" s="24">
        <f>IFERROR(IF(AL18="",0,($G18*(AM18/$E18))),0)</f>
        <v>0</v>
      </c>
      <c r="AP18" s="58"/>
      <c r="AQ18" s="25"/>
      <c r="AR18" s="25"/>
      <c r="AS18" s="24">
        <f>IF(AQ18="",0,AR18/AQ18)</f>
        <v>0</v>
      </c>
      <c r="AT18" s="24">
        <f>IFERROR(IF(AQ18="",0,($G18*(AR18/$E18))),0)</f>
        <v>0</v>
      </c>
      <c r="AU18" s="58"/>
      <c r="AV18" s="25"/>
      <c r="AW18" s="25"/>
      <c r="AX18" s="24">
        <f>IF(AV18="",0,AW18/AV18)</f>
        <v>0</v>
      </c>
      <c r="AY18" s="24">
        <f>IFERROR(IF(AV18="",0,($G18*(AW18/$E18))),0)</f>
        <v>0</v>
      </c>
      <c r="AZ18" s="58"/>
      <c r="BA18" s="25"/>
      <c r="BB18" s="25"/>
      <c r="BC18" s="24">
        <f>IF(BA18="",0,BB18/BA18)</f>
        <v>0</v>
      </c>
      <c r="BD18" s="24">
        <f>IFERROR(IF(BA18="",0,($G18*(BB18/$E18))),0)</f>
        <v>0</v>
      </c>
      <c r="BE18" s="58"/>
      <c r="BF18" s="25"/>
      <c r="BG18" s="25"/>
      <c r="BH18" s="24">
        <f>IF(BF18="",0,BG18/BF18)</f>
        <v>0</v>
      </c>
      <c r="BI18" s="24">
        <f>IFERROR(IF(BF18="",0,($G18*(BG18/$E18))),0)</f>
        <v>0</v>
      </c>
      <c r="BJ18" s="58"/>
      <c r="BK18" s="25"/>
      <c r="BL18" s="25"/>
      <c r="BM18" s="24">
        <f>IF(BK18="",0,BL18/BK18)</f>
        <v>0</v>
      </c>
      <c r="BN18" s="24">
        <f>IFERROR(IF(BK18="",0,($G18*(BL18/$E18))),0)</f>
        <v>0</v>
      </c>
      <c r="BO18" s="58"/>
      <c r="BP18" s="25"/>
      <c r="BQ18" s="25"/>
      <c r="BR18" s="24">
        <f>IF(BP18="",0,BQ18/BP18)</f>
        <v>0</v>
      </c>
      <c r="BS18" s="24">
        <f>IFERROR(IF(BP18="",0,($G18*(BQ18/$E18))),0)</f>
        <v>0</v>
      </c>
      <c r="BT18" s="58"/>
      <c r="BU18" s="25"/>
      <c r="BV18" s="25"/>
      <c r="BW18" s="24">
        <f>IF(BU18="",0,BV18/BU18)</f>
        <v>0</v>
      </c>
      <c r="BX18" s="24">
        <f>IFERROR(IF(BU18="",0,($G18*(BV18/$E18))),0)</f>
        <v>0</v>
      </c>
      <c r="BY18" s="58"/>
      <c r="BZ18" s="59">
        <f>H18+M18+R18+W18+AB18+AG18+AL18+AQ18+AV18+BA18+BF18+BK18+BP18+BU18</f>
        <v>5</v>
      </c>
      <c r="CA18" s="59">
        <f>I18+N18+S18+X18+AC18+AH18+AM18+AR18+AW18+BB18+BG18+BL18+BQ18+BV18</f>
        <v>0</v>
      </c>
      <c r="CB18" s="24">
        <f>IF(BZ18="",0,CA18/BZ18)</f>
        <v>0</v>
      </c>
      <c r="CC18" s="24">
        <f>IFERROR(IF(BZ18="",0,($G18*(CA18/$E18))),0)</f>
        <v>0</v>
      </c>
      <c r="CD18" s="27"/>
      <c r="CE18" s="41"/>
      <c r="CF18" s="41"/>
    </row>
    <row r="19" spans="1:84" ht="49.5" customHeight="1" x14ac:dyDescent="0.25">
      <c r="B19" s="23" t="s">
        <v>23</v>
      </c>
      <c r="C19" s="32" t="s">
        <v>42</v>
      </c>
      <c r="D19" s="38" t="s">
        <v>162</v>
      </c>
      <c r="E19" s="40">
        <v>7</v>
      </c>
      <c r="F19" s="40" t="s">
        <v>144</v>
      </c>
      <c r="G19" s="89">
        <v>0.1</v>
      </c>
      <c r="H19" s="90"/>
      <c r="I19" s="23"/>
      <c r="J19" s="24">
        <f>IF(H19="",0,I19/H19)</f>
        <v>0</v>
      </c>
      <c r="K19" s="24">
        <f>IFERROR(IF(H19="",0,($G19*(I19/$E19))),0)</f>
        <v>0</v>
      </c>
      <c r="L19" s="40"/>
      <c r="M19" s="75">
        <v>7</v>
      </c>
      <c r="N19" s="23"/>
      <c r="O19" s="24">
        <f>IF(M19="",0,N19/M19)</f>
        <v>0</v>
      </c>
      <c r="P19" s="24">
        <f>IFERROR(IF(M19="",0,($G19*(N19/$E19))),0)</f>
        <v>0</v>
      </c>
      <c r="Q19" s="26"/>
      <c r="R19" s="75"/>
      <c r="S19" s="23"/>
      <c r="T19" s="24">
        <f>IF(R19="",0,S19/R19)</f>
        <v>0</v>
      </c>
      <c r="U19" s="24">
        <f>IFERROR(IF(R19="",0,($G19*(S19/$E19))),0)</f>
        <v>0</v>
      </c>
      <c r="V19" s="25"/>
      <c r="W19" s="75"/>
      <c r="X19" s="25"/>
      <c r="Y19" s="24">
        <f>IF(W19="",0,X19/W19)</f>
        <v>0</v>
      </c>
      <c r="Z19" s="24">
        <f>IFERROR(IF(W19="",0,($G19*(X19/$E19))),0)</f>
        <v>0</v>
      </c>
      <c r="AA19" s="25"/>
      <c r="AB19" s="25"/>
      <c r="AC19" s="25"/>
      <c r="AD19" s="24">
        <f t="shared" ref="AD19:AD20" si="0">IF(AB19="",0,AC19/AB19)</f>
        <v>0</v>
      </c>
      <c r="AE19" s="24">
        <f>IFERROR(IF(AB19="",0,($G19*(AC19/$E19))),0)</f>
        <v>0</v>
      </c>
      <c r="AF19" s="58"/>
      <c r="AG19" s="25"/>
      <c r="AH19" s="25"/>
      <c r="AI19" s="24">
        <f t="shared" ref="AI19:AI20" si="1">IF(AG19="",0,AH19/AG19)</f>
        <v>0</v>
      </c>
      <c r="AJ19" s="24">
        <f>IFERROR(IF(AG19="",0,($G19*(AH19/$E19))),0)</f>
        <v>0</v>
      </c>
      <c r="AK19" s="58"/>
      <c r="AL19" s="25"/>
      <c r="AM19" s="25"/>
      <c r="AN19" s="24">
        <f t="shared" ref="AN19:AN20" si="2">IF(AL19="",0,AM19/AL19)</f>
        <v>0</v>
      </c>
      <c r="AO19" s="24">
        <f>IFERROR(IF(AL19="",0,($G19*(AM19/$E19))),0)</f>
        <v>0</v>
      </c>
      <c r="AP19" s="58"/>
      <c r="AQ19" s="25"/>
      <c r="AR19" s="25"/>
      <c r="AS19" s="24">
        <f t="shared" ref="AS19:AS20" si="3">IF(AQ19="",0,AR19/AQ19)</f>
        <v>0</v>
      </c>
      <c r="AT19" s="24">
        <f>IFERROR(IF(AQ19="",0,($G19*(AR19/$E19))),0)</f>
        <v>0</v>
      </c>
      <c r="AU19" s="58"/>
      <c r="AV19" s="25"/>
      <c r="AW19" s="25"/>
      <c r="AX19" s="24">
        <f t="shared" ref="AX19:AX20" si="4">IF(AV19="",0,AW19/AV19)</f>
        <v>0</v>
      </c>
      <c r="AY19" s="24">
        <f>IFERROR(IF(AV19="",0,($G19*(AW19/$E19))),0)</f>
        <v>0</v>
      </c>
      <c r="AZ19" s="58"/>
      <c r="BA19" s="25"/>
      <c r="BB19" s="25"/>
      <c r="BC19" s="24">
        <f t="shared" ref="BC19:BC20" si="5">IF(BA19="",0,BB19/BA19)</f>
        <v>0</v>
      </c>
      <c r="BD19" s="24">
        <f>IFERROR(IF(BA19="",0,($G19*(BB19/$E19))),0)</f>
        <v>0</v>
      </c>
      <c r="BE19" s="58"/>
      <c r="BF19" s="25"/>
      <c r="BG19" s="25"/>
      <c r="BH19" s="24">
        <f t="shared" ref="BH19:BH20" si="6">IF(BF19="",0,BG19/BF19)</f>
        <v>0</v>
      </c>
      <c r="BI19" s="24">
        <f>IFERROR(IF(BF19="",0,($G19*(BG19/$E19))),0)</f>
        <v>0</v>
      </c>
      <c r="BJ19" s="58"/>
      <c r="BK19" s="25"/>
      <c r="BL19" s="25"/>
      <c r="BM19" s="24">
        <f t="shared" ref="BM19:BM20" si="7">IF(BK19="",0,BL19/BK19)</f>
        <v>0</v>
      </c>
      <c r="BN19" s="24">
        <f>IFERROR(IF(BK19="",0,($G19*(BL19/$E19))),0)</f>
        <v>0</v>
      </c>
      <c r="BO19" s="58"/>
      <c r="BP19" s="25"/>
      <c r="BQ19" s="25"/>
      <c r="BR19" s="24">
        <f t="shared" ref="BR19:BR20" si="8">IF(BP19="",0,BQ19/BP19)</f>
        <v>0</v>
      </c>
      <c r="BS19" s="24">
        <f>IFERROR(IF(BP19="",0,($G19*(BQ19/$E19))),0)</f>
        <v>0</v>
      </c>
      <c r="BT19" s="58"/>
      <c r="BU19" s="25"/>
      <c r="BV19" s="25"/>
      <c r="BW19" s="24">
        <f t="shared" ref="BW19:BW20" si="9">IF(BU19="",0,BV19/BU19)</f>
        <v>0</v>
      </c>
      <c r="BX19" s="24">
        <f>IFERROR(IF(BU19="",0,($G19*(BV19/$E19))),0)</f>
        <v>0</v>
      </c>
      <c r="BY19" s="58"/>
      <c r="BZ19" s="59">
        <f t="shared" ref="BZ19:BZ20" si="10">H19+M19+R19+W19+AB19+AG19+AL19+AQ19+AV19+BA19+BF19+BK19+BP19+BU19</f>
        <v>7</v>
      </c>
      <c r="CA19" s="59">
        <f t="shared" ref="CA19:CA20" si="11">I19+N19+S19+X19+AC19+AH19+AM19+AR19+AW19+BB19+BG19+BL19+BQ19+BV19</f>
        <v>0</v>
      </c>
      <c r="CB19" s="24">
        <f t="shared" ref="CB19:CB21" si="12">IF(BZ19="",0,CA19/BZ19)</f>
        <v>0</v>
      </c>
      <c r="CC19" s="24">
        <f>IFERROR(IF(BZ19="",0,($G19*(CA19/$E19))),0)</f>
        <v>0</v>
      </c>
      <c r="CD19" s="27"/>
      <c r="CE19" s="41"/>
      <c r="CF19" s="41"/>
    </row>
    <row r="20" spans="1:84" ht="42" customHeight="1" x14ac:dyDescent="0.25">
      <c r="A20" s="2">
        <v>0</v>
      </c>
      <c r="B20" s="80" t="s">
        <v>25</v>
      </c>
      <c r="C20" s="32" t="s">
        <v>43</v>
      </c>
      <c r="D20" s="84" t="s">
        <v>163</v>
      </c>
      <c r="E20" s="40">
        <v>100</v>
      </c>
      <c r="F20" s="40" t="s">
        <v>129</v>
      </c>
      <c r="G20" s="89">
        <v>0.6</v>
      </c>
      <c r="H20" s="90">
        <v>20</v>
      </c>
      <c r="I20" s="80"/>
      <c r="J20" s="24">
        <f>IF(H20="",0,I20/H20)</f>
        <v>0</v>
      </c>
      <c r="K20" s="24">
        <f>IFERROR(IF(H20="",0,($G20*(I20/$E20))),0)</f>
        <v>0</v>
      </c>
      <c r="L20" s="40"/>
      <c r="M20" s="90">
        <v>80</v>
      </c>
      <c r="N20" s="80"/>
      <c r="O20" s="24">
        <f>IF(M20="",0,N20/M20)</f>
        <v>0</v>
      </c>
      <c r="P20" s="24">
        <f>IFERROR(IF(M20="",0,($G20*(N20/$E20))),0)</f>
        <v>0</v>
      </c>
      <c r="Q20" s="26"/>
      <c r="R20" s="75"/>
      <c r="S20" s="80"/>
      <c r="T20" s="24">
        <f>IF(R20="",0,S20/R20)</f>
        <v>0</v>
      </c>
      <c r="U20" s="24">
        <f>IFERROR(IF(R20="",0,($G20*(S20/$E20))),0)</f>
        <v>0</v>
      </c>
      <c r="V20" s="25"/>
      <c r="W20" s="75"/>
      <c r="X20" s="25"/>
      <c r="Y20" s="24">
        <f>IF(W20="",0,X20/W20)</f>
        <v>0</v>
      </c>
      <c r="Z20" s="24">
        <f>IFERROR(IF(W20="",0,($G20*(X20/$E20))),0)</f>
        <v>0</v>
      </c>
      <c r="AA20" s="25"/>
      <c r="AB20" s="25"/>
      <c r="AC20" s="25"/>
      <c r="AD20" s="24">
        <f t="shared" si="0"/>
        <v>0</v>
      </c>
      <c r="AE20" s="24">
        <f>IFERROR(IF(AB20="",0,($G20*(AC20/$E20))),0)</f>
        <v>0</v>
      </c>
      <c r="AF20" s="58"/>
      <c r="AG20" s="25"/>
      <c r="AH20" s="25"/>
      <c r="AI20" s="24">
        <f t="shared" si="1"/>
        <v>0</v>
      </c>
      <c r="AJ20" s="24">
        <f>IFERROR(IF(AG20="",0,($G20*(AH20/$E20))),0)</f>
        <v>0</v>
      </c>
      <c r="AK20" s="58"/>
      <c r="AL20" s="25"/>
      <c r="AM20" s="25"/>
      <c r="AN20" s="24">
        <f t="shared" si="2"/>
        <v>0</v>
      </c>
      <c r="AO20" s="24">
        <f>IFERROR(IF(AL20="",0,($G20*(AM20/$E20))),0)</f>
        <v>0</v>
      </c>
      <c r="AP20" s="58"/>
      <c r="AQ20" s="25"/>
      <c r="AR20" s="25"/>
      <c r="AS20" s="24">
        <f t="shared" si="3"/>
        <v>0</v>
      </c>
      <c r="AT20" s="24">
        <f>IFERROR(IF(AQ20="",0,($G20*(AR20/$E20))),0)</f>
        <v>0</v>
      </c>
      <c r="AU20" s="58"/>
      <c r="AV20" s="25"/>
      <c r="AW20" s="25"/>
      <c r="AX20" s="24">
        <f t="shared" si="4"/>
        <v>0</v>
      </c>
      <c r="AY20" s="24">
        <f>IFERROR(IF(AV20="",0,($G20*(AW20/$E20))),0)</f>
        <v>0</v>
      </c>
      <c r="AZ20" s="58"/>
      <c r="BA20" s="25"/>
      <c r="BB20" s="25"/>
      <c r="BC20" s="24">
        <f t="shared" si="5"/>
        <v>0</v>
      </c>
      <c r="BD20" s="24">
        <f>IFERROR(IF(BA20="",0,($G20*(BB20/$E20))),0)</f>
        <v>0</v>
      </c>
      <c r="BE20" s="58"/>
      <c r="BF20" s="25"/>
      <c r="BG20" s="25"/>
      <c r="BH20" s="24">
        <f t="shared" si="6"/>
        <v>0</v>
      </c>
      <c r="BI20" s="24">
        <f>IFERROR(IF(BF20="",0,($G20*(BG20/$E20))),0)</f>
        <v>0</v>
      </c>
      <c r="BJ20" s="58"/>
      <c r="BK20" s="25"/>
      <c r="BL20" s="25"/>
      <c r="BM20" s="24">
        <f t="shared" si="7"/>
        <v>0</v>
      </c>
      <c r="BN20" s="24">
        <f>IFERROR(IF(BK20="",0,($G20*(BL20/$E20))),0)</f>
        <v>0</v>
      </c>
      <c r="BO20" s="58"/>
      <c r="BP20" s="25"/>
      <c r="BQ20" s="25"/>
      <c r="BR20" s="24">
        <f t="shared" si="8"/>
        <v>0</v>
      </c>
      <c r="BS20" s="24">
        <f>IFERROR(IF(BP20="",0,($G20*(BQ20/$E20))),0)</f>
        <v>0</v>
      </c>
      <c r="BT20" s="58"/>
      <c r="BU20" s="25"/>
      <c r="BV20" s="25"/>
      <c r="BW20" s="24">
        <f t="shared" si="9"/>
        <v>0</v>
      </c>
      <c r="BX20" s="24">
        <f>IFERROR(IF(BU20="",0,($G20*(BV20/$E20))),0)</f>
        <v>0</v>
      </c>
      <c r="BY20" s="58"/>
      <c r="BZ20" s="59">
        <f t="shared" si="10"/>
        <v>100</v>
      </c>
      <c r="CA20" s="59">
        <f t="shared" si="11"/>
        <v>0</v>
      </c>
      <c r="CB20" s="24">
        <f t="shared" si="12"/>
        <v>0</v>
      </c>
      <c r="CC20" s="24">
        <f>IFERROR(IF(BZ20="",0,($G20*(CA20/$E20))),0)</f>
        <v>0</v>
      </c>
      <c r="CD20" s="27"/>
      <c r="CE20" s="41"/>
      <c r="CF20" s="41"/>
    </row>
    <row r="21" spans="1:84" ht="30" customHeight="1" x14ac:dyDescent="0.25">
      <c r="B21" s="28"/>
      <c r="C21" s="29" t="s">
        <v>107</v>
      </c>
      <c r="D21" s="30"/>
      <c r="E21" s="28">
        <f>SUM(E18:E20)</f>
        <v>112</v>
      </c>
      <c r="F21" s="28"/>
      <c r="G21" s="34">
        <f>SUM(G18:G20)</f>
        <v>1</v>
      </c>
      <c r="H21" s="72">
        <f>SUM(H18:H20)</f>
        <v>25</v>
      </c>
      <c r="I21" s="72">
        <f>SUM(I18:I20)</f>
        <v>0</v>
      </c>
      <c r="J21" s="73">
        <f>IFERROR(IF(H21="",0,I21/H21),0)</f>
        <v>0</v>
      </c>
      <c r="K21" s="31">
        <f>SUM(K18:K19)*$G17</f>
        <v>0</v>
      </c>
      <c r="L21" s="28"/>
      <c r="M21" s="28">
        <f>SUM(M18:M20)</f>
        <v>87</v>
      </c>
      <c r="N21" s="28">
        <f>SUM(N18:N20)</f>
        <v>0</v>
      </c>
      <c r="O21" s="31">
        <f>IFERROR(IF(M21="",0,N21/M21),0)</f>
        <v>0</v>
      </c>
      <c r="P21" s="73">
        <f>SUM(P18:P20)*$G17</f>
        <v>0</v>
      </c>
      <c r="Q21" s="28"/>
      <c r="R21" s="72">
        <f>SUM(R18:R20)</f>
        <v>0</v>
      </c>
      <c r="S21" s="28">
        <f>SUM(S18:S20)</f>
        <v>0</v>
      </c>
      <c r="T21" s="31">
        <f>IFERROR(IF(R21="",0,S21/R21),0)</f>
        <v>0</v>
      </c>
      <c r="U21" s="73">
        <f>SUM(U18:U20)*$G17</f>
        <v>0</v>
      </c>
      <c r="V21" s="28"/>
      <c r="W21" s="72">
        <f>SUM(W18:W20)</f>
        <v>0</v>
      </c>
      <c r="X21" s="72">
        <f>SUM(X18:X20)</f>
        <v>0</v>
      </c>
      <c r="Y21" s="31">
        <f>IFERROR(IF(W21="",0,X21/W21),0)</f>
        <v>0</v>
      </c>
      <c r="Z21" s="73">
        <f>SUM(Z18:Z20)*$G17</f>
        <v>0</v>
      </c>
      <c r="AA21" s="28"/>
      <c r="AB21" s="72">
        <f>SUM(AB18:AB20)</f>
        <v>0</v>
      </c>
      <c r="AC21" s="72">
        <f>SUM(AC18:AC20)</f>
        <v>0</v>
      </c>
      <c r="AD21" s="73">
        <f>IFERROR(IF(AB21="",0,AC21/AB21),0)</f>
        <v>0</v>
      </c>
      <c r="AE21" s="73">
        <f>SUM(AE18:AE20)*$G17</f>
        <v>0</v>
      </c>
      <c r="AF21" s="66"/>
      <c r="AG21" s="72">
        <f>SUM(AG18:AG20)</f>
        <v>0</v>
      </c>
      <c r="AH21" s="72">
        <f>SUM(AH18:AH20)</f>
        <v>0</v>
      </c>
      <c r="AI21" s="73">
        <f>IFERROR(IF(AG21="",0,AH21/AG21),0)</f>
        <v>0</v>
      </c>
      <c r="AJ21" s="73">
        <f>SUM(AJ18:AJ20)*$G17</f>
        <v>0</v>
      </c>
      <c r="AK21" s="66"/>
      <c r="AL21" s="72">
        <f>SUM(AL18:AL20)</f>
        <v>0</v>
      </c>
      <c r="AM21" s="72">
        <f>SUM(AM18:AM20)</f>
        <v>0</v>
      </c>
      <c r="AN21" s="73">
        <f>IFERROR(IF(AL21="",0,AM21/AL21),0)</f>
        <v>0</v>
      </c>
      <c r="AO21" s="73">
        <f>SUM(AO18:AO20)*$G17</f>
        <v>0</v>
      </c>
      <c r="AP21" s="66"/>
      <c r="AQ21" s="72">
        <f>SUM(AQ18:AQ20)</f>
        <v>0</v>
      </c>
      <c r="AR21" s="72">
        <f>SUM(AR18:AR20)</f>
        <v>0</v>
      </c>
      <c r="AS21" s="73">
        <f>IFERROR(IF(AQ21="",0,AR21/AQ21),0)</f>
        <v>0</v>
      </c>
      <c r="AT21" s="73">
        <f>SUM(AT18:AT20)*$G17</f>
        <v>0</v>
      </c>
      <c r="AU21" s="66"/>
      <c r="AV21" s="72">
        <f>SUM(AV18:AV20)</f>
        <v>0</v>
      </c>
      <c r="AW21" s="72">
        <f>SUM(AW18:AW20)</f>
        <v>0</v>
      </c>
      <c r="AX21" s="73">
        <f>IFERROR(IF(AV21="",0,AW21/AV21),0)</f>
        <v>0</v>
      </c>
      <c r="AY21" s="73">
        <f>SUM(AY18:AY20)*$G17</f>
        <v>0</v>
      </c>
      <c r="AZ21" s="66"/>
      <c r="BA21" s="72">
        <f>SUM(BA18:BA20)</f>
        <v>0</v>
      </c>
      <c r="BB21" s="72">
        <f>SUM(BB18:BB20)</f>
        <v>0</v>
      </c>
      <c r="BC21" s="73">
        <f>IFERROR(IF(BA21="",0,BB21/BA21),0)</f>
        <v>0</v>
      </c>
      <c r="BD21" s="73">
        <f>SUM(BD18:BD20)*$G17</f>
        <v>0</v>
      </c>
      <c r="BE21" s="66"/>
      <c r="BF21" s="72">
        <f>SUM(BF18:BF20)</f>
        <v>0</v>
      </c>
      <c r="BG21" s="72">
        <f>SUM(BG18:BG20)</f>
        <v>0</v>
      </c>
      <c r="BH21" s="73">
        <f>IFERROR(IF(BF21="",0,BG21/BF21),0)</f>
        <v>0</v>
      </c>
      <c r="BI21" s="73">
        <f>SUM(BI18:BI20)*$G17</f>
        <v>0</v>
      </c>
      <c r="BJ21" s="66"/>
      <c r="BK21" s="72">
        <f>SUM(BK18:BK20)</f>
        <v>0</v>
      </c>
      <c r="BL21" s="72">
        <f>SUM(BL18:BL20)</f>
        <v>0</v>
      </c>
      <c r="BM21" s="73">
        <f>IFERROR(IF(BK21="",0,BL21/BK21),0)</f>
        <v>0</v>
      </c>
      <c r="BN21" s="73">
        <f>SUM(BN18:BN20)*$G17</f>
        <v>0</v>
      </c>
      <c r="BO21" s="66"/>
      <c r="BP21" s="72">
        <f>SUM(BP18:BP20)</f>
        <v>0</v>
      </c>
      <c r="BQ21" s="72">
        <f>SUM(BQ18:BQ20)</f>
        <v>0</v>
      </c>
      <c r="BR21" s="73">
        <f>IFERROR(IF(BP21="",0,BQ21/BP21),0)</f>
        <v>0</v>
      </c>
      <c r="BS21" s="73">
        <f>SUM(BS18:BS20)*$G17</f>
        <v>0</v>
      </c>
      <c r="BT21" s="66"/>
      <c r="BU21" s="72">
        <f>SUM(BU18:BU20)</f>
        <v>0</v>
      </c>
      <c r="BV21" s="72">
        <f>SUM(BV18:BV20)</f>
        <v>0</v>
      </c>
      <c r="BW21" s="73">
        <f>IFERROR(IF(BU21="",0,BV21/BU21),0)</f>
        <v>0</v>
      </c>
      <c r="BX21" s="73">
        <f>SUM(BX18:BX20)*$G17</f>
        <v>0</v>
      </c>
      <c r="BY21" s="66"/>
      <c r="BZ21" s="68">
        <f>SUM(BZ18:BZ20)</f>
        <v>112</v>
      </c>
      <c r="CA21" s="69">
        <f>SUM(CA18:CA20)</f>
        <v>0</v>
      </c>
      <c r="CB21" s="24">
        <f t="shared" si="12"/>
        <v>0</v>
      </c>
      <c r="CC21" s="73">
        <f>SUM(CC18:CC20)*$G17</f>
        <v>0</v>
      </c>
      <c r="CD21" s="27"/>
      <c r="CE21" s="41"/>
      <c r="CF21" s="41"/>
    </row>
    <row r="22" spans="1:84" s="21" customFormat="1" ht="42" customHeight="1" x14ac:dyDescent="0.25">
      <c r="B22" s="17">
        <v>2</v>
      </c>
      <c r="C22" s="18" t="s">
        <v>32</v>
      </c>
      <c r="D22" s="37" t="s">
        <v>128</v>
      </c>
      <c r="E22" s="17"/>
      <c r="F22" s="46"/>
      <c r="G22" s="19">
        <v>0.25</v>
      </c>
      <c r="H22" s="483"/>
      <c r="I22" s="484"/>
      <c r="J22" s="484"/>
      <c r="K22" s="484"/>
      <c r="L22" s="485"/>
      <c r="M22" s="483"/>
      <c r="N22" s="484"/>
      <c r="O22" s="484"/>
      <c r="P22" s="484"/>
      <c r="Q22" s="485"/>
      <c r="R22" s="483"/>
      <c r="S22" s="484"/>
      <c r="T22" s="484"/>
      <c r="U22" s="484"/>
      <c r="V22" s="485"/>
      <c r="W22" s="483"/>
      <c r="X22" s="484"/>
      <c r="Y22" s="484"/>
      <c r="Z22" s="484"/>
      <c r="AA22" s="485"/>
      <c r="AB22" s="483"/>
      <c r="AC22" s="484"/>
      <c r="AD22" s="484"/>
      <c r="AE22" s="484"/>
      <c r="AF22" s="485"/>
      <c r="AG22" s="483"/>
      <c r="AH22" s="484"/>
      <c r="AI22" s="484"/>
      <c r="AJ22" s="484"/>
      <c r="AK22" s="485"/>
      <c r="AL22" s="483"/>
      <c r="AM22" s="484"/>
      <c r="AN22" s="484"/>
      <c r="AO22" s="484"/>
      <c r="AP22" s="485"/>
      <c r="AQ22" s="483"/>
      <c r="AR22" s="484"/>
      <c r="AS22" s="484"/>
      <c r="AT22" s="484"/>
      <c r="AU22" s="485"/>
      <c r="AV22" s="483"/>
      <c r="AW22" s="484"/>
      <c r="AX22" s="484"/>
      <c r="AY22" s="484"/>
      <c r="AZ22" s="485"/>
      <c r="BA22" s="483"/>
      <c r="BB22" s="484"/>
      <c r="BC22" s="484"/>
      <c r="BD22" s="484"/>
      <c r="BE22" s="485"/>
      <c r="BF22" s="483"/>
      <c r="BG22" s="484"/>
      <c r="BH22" s="484"/>
      <c r="BI22" s="484"/>
      <c r="BJ22" s="485"/>
      <c r="BK22" s="483"/>
      <c r="BL22" s="484"/>
      <c r="BM22" s="484"/>
      <c r="BN22" s="484"/>
      <c r="BO22" s="485"/>
      <c r="BP22" s="483"/>
      <c r="BQ22" s="484"/>
      <c r="BR22" s="484"/>
      <c r="BS22" s="484"/>
      <c r="BT22" s="485"/>
      <c r="BU22" s="483"/>
      <c r="BV22" s="484"/>
      <c r="BW22" s="484"/>
      <c r="BX22" s="484"/>
      <c r="BY22" s="485"/>
      <c r="BZ22" s="487"/>
      <c r="CA22" s="487"/>
      <c r="CB22" s="487"/>
      <c r="CC22" s="56"/>
      <c r="CD22" s="27"/>
    </row>
    <row r="23" spans="1:84" ht="41.25" customHeight="1" x14ac:dyDescent="0.25">
      <c r="B23" s="488" t="s">
        <v>26</v>
      </c>
      <c r="C23" s="494" t="s">
        <v>44</v>
      </c>
      <c r="D23" s="51" t="s">
        <v>153</v>
      </c>
      <c r="E23" s="40">
        <v>5</v>
      </c>
      <c r="F23" s="40" t="s">
        <v>146</v>
      </c>
      <c r="G23" s="89">
        <v>0.3</v>
      </c>
      <c r="H23" s="80">
        <v>5</v>
      </c>
      <c r="I23" s="80"/>
      <c r="J23" s="24">
        <f>IF(H23="",0,I23/H23)</f>
        <v>0</v>
      </c>
      <c r="K23" s="24">
        <f>IFERROR(IF(H23="",0,($G23*(I23/$E23))),0)</f>
        <v>0</v>
      </c>
      <c r="L23" s="40"/>
      <c r="M23" s="80"/>
      <c r="N23" s="80"/>
      <c r="O23" s="24">
        <f>IF(M23="",0,N23/M23)</f>
        <v>0</v>
      </c>
      <c r="P23" s="24">
        <f>IFERROR(IF(M23="",0,($G23*(N23/$E23))),0)</f>
        <v>0</v>
      </c>
      <c r="Q23" s="26"/>
      <c r="R23" s="80"/>
      <c r="S23" s="80"/>
      <c r="T23" s="24">
        <f>IF(R23="",0,S23/R23)</f>
        <v>0</v>
      </c>
      <c r="U23" s="24">
        <f>IFERROR(IF(R23="",0,($G23*(S23/$E23))),0)</f>
        <v>0</v>
      </c>
      <c r="V23" s="25"/>
      <c r="W23" s="25"/>
      <c r="X23" s="25"/>
      <c r="Y23" s="24">
        <f>IF(W23="",0,X23/W23)</f>
        <v>0</v>
      </c>
      <c r="Z23" s="24">
        <f>IFERROR(IF(W23="",0,($G23*(X23/$E23))),0)</f>
        <v>0</v>
      </c>
      <c r="AA23" s="25"/>
      <c r="AB23" s="25"/>
      <c r="AC23" s="25"/>
      <c r="AD23" s="24">
        <f>IF(AB23="",0,AC23/AB23)</f>
        <v>0</v>
      </c>
      <c r="AE23" s="24">
        <f>IFERROR(IF(AB23="",0,($G23*(AC23/$E23))),0)</f>
        <v>0</v>
      </c>
      <c r="AF23" s="58"/>
      <c r="AG23" s="25"/>
      <c r="AH23" s="25"/>
      <c r="AI23" s="24">
        <f>IF(AG23="",0,AH23/AG23)</f>
        <v>0</v>
      </c>
      <c r="AJ23" s="24">
        <f>IFERROR(IF(AG23="",0,($G23*(AH23/$E23))),0)</f>
        <v>0</v>
      </c>
      <c r="AK23" s="58"/>
      <c r="AL23" s="25"/>
      <c r="AM23" s="25"/>
      <c r="AN23" s="24">
        <f>IF(AL23="",0,AM23/AL23)</f>
        <v>0</v>
      </c>
      <c r="AO23" s="24">
        <f>IFERROR(IF(AL23="",0,($G23*(AM23/$E23))),0)</f>
        <v>0</v>
      </c>
      <c r="AP23" s="58"/>
      <c r="AQ23" s="25"/>
      <c r="AR23" s="25"/>
      <c r="AS23" s="24">
        <f>IF(AQ23="",0,AR23/AQ23)</f>
        <v>0</v>
      </c>
      <c r="AT23" s="24">
        <f>IFERROR(IF(AQ23="",0,($G23*(AR23/$E23))),0)</f>
        <v>0</v>
      </c>
      <c r="AU23" s="58"/>
      <c r="AV23" s="25"/>
      <c r="AW23" s="25"/>
      <c r="AX23" s="24">
        <f>IF(AV23="",0,AW23/AV23)</f>
        <v>0</v>
      </c>
      <c r="AY23" s="24">
        <f>IFERROR(IF(AV23="",0,($G23*(AW23/$E23))),0)</f>
        <v>0</v>
      </c>
      <c r="AZ23" s="58"/>
      <c r="BA23" s="25"/>
      <c r="BB23" s="25"/>
      <c r="BC23" s="24">
        <f>IF(BA23="",0,BB23/BA23)</f>
        <v>0</v>
      </c>
      <c r="BD23" s="24">
        <f>IFERROR(IF(BA23="",0,($G23*(BB23/$E23))),0)</f>
        <v>0</v>
      </c>
      <c r="BE23" s="58"/>
      <c r="BF23" s="25"/>
      <c r="BG23" s="25"/>
      <c r="BH23" s="24">
        <f>IF(BF23="",0,BG23/BF23)</f>
        <v>0</v>
      </c>
      <c r="BI23" s="24">
        <f>IFERROR(IF(BF23="",0,($G23*(BG23/$E23))),0)</f>
        <v>0</v>
      </c>
      <c r="BJ23" s="58"/>
      <c r="BK23" s="25"/>
      <c r="BL23" s="25"/>
      <c r="BM23" s="24">
        <f>IF(BK23="",0,BL23/BK23)</f>
        <v>0</v>
      </c>
      <c r="BN23" s="24">
        <f>IFERROR(IF(BK23="",0,($G23*(BL23/$E23))),0)</f>
        <v>0</v>
      </c>
      <c r="BO23" s="58"/>
      <c r="BP23" s="25"/>
      <c r="BQ23" s="25"/>
      <c r="BR23" s="24">
        <f>IF(BP23="",0,BQ23/BP23)</f>
        <v>0</v>
      </c>
      <c r="BS23" s="24">
        <f>IFERROR(IF(BP23="",0,($G23*(BQ23/$E23))),0)</f>
        <v>0</v>
      </c>
      <c r="BT23" s="58"/>
      <c r="BU23" s="25"/>
      <c r="BV23" s="25"/>
      <c r="BW23" s="24">
        <f>IF(BU23="",0,BV23/BU23)</f>
        <v>0</v>
      </c>
      <c r="BX23" s="24">
        <f>IFERROR(IF(BU23="",0,($G23*(BV23/$E23))),0)</f>
        <v>0</v>
      </c>
      <c r="BY23" s="58"/>
      <c r="BZ23" s="59">
        <f t="shared" ref="BZ23" si="13">H23+M23+R23+W23+AB23+AG23+AL23+AQ23+AV23+BA23+BF23+BK23+BP23+BU23</f>
        <v>5</v>
      </c>
      <c r="CA23" s="59">
        <f t="shared" ref="CA23" si="14">I23+N23+S23+X23+AC23+AH23+AM23+AR23+AW23+BB23+BG23+BL23+BQ23+BV23</f>
        <v>0</v>
      </c>
      <c r="CB23" s="24">
        <f>IF(BZ23="",0,CA23/BZ23)</f>
        <v>0</v>
      </c>
      <c r="CC23" s="24">
        <f>IFERROR(IF(BZ23="",0,($G23*(CA23/$E23))),0)</f>
        <v>0</v>
      </c>
      <c r="CD23" s="27"/>
      <c r="CE23" s="41"/>
      <c r="CF23" s="41"/>
    </row>
    <row r="24" spans="1:84" ht="41.25" customHeight="1" x14ac:dyDescent="0.25">
      <c r="B24" s="489"/>
      <c r="C24" s="495"/>
      <c r="D24" s="51" t="s">
        <v>164</v>
      </c>
      <c r="E24" s="40">
        <v>15</v>
      </c>
      <c r="F24" s="40" t="s">
        <v>159</v>
      </c>
      <c r="G24" s="89">
        <v>0.3</v>
      </c>
      <c r="H24" s="23"/>
      <c r="I24" s="23"/>
      <c r="J24" s="24">
        <f t="shared" ref="J24" si="15">IF(H24="",0,I24/H24)</f>
        <v>0</v>
      </c>
      <c r="K24" s="24">
        <f>IFERROR(IF(H24="",0,($G24*(I24/$E24))),0)</f>
        <v>0</v>
      </c>
      <c r="L24" s="38"/>
      <c r="M24" s="23"/>
      <c r="N24" s="80"/>
      <c r="O24" s="24">
        <f t="shared" ref="O24:O27" si="16">IF(M24="",0,N24/M24)</f>
        <v>0</v>
      </c>
      <c r="P24" s="24">
        <f>IFERROR(IF(M24="",0,($G24*(N24/$E24))),0)</f>
        <v>0</v>
      </c>
      <c r="Q24" s="26"/>
      <c r="R24" s="23">
        <v>15</v>
      </c>
      <c r="S24" s="23"/>
      <c r="T24" s="24">
        <f t="shared" ref="T24:T27" si="17">IF(R24="",0,S24/R24)</f>
        <v>0</v>
      </c>
      <c r="U24" s="24">
        <f>IFERROR(IF(R24="",0,($G24*(S24/$E24))),0)</f>
        <v>0</v>
      </c>
      <c r="V24" s="25"/>
      <c r="W24" s="23"/>
      <c r="X24" s="23"/>
      <c r="Y24" s="24">
        <f t="shared" ref="Y24" si="18">IF(W24="",0,X24/W24)</f>
        <v>0</v>
      </c>
      <c r="Z24" s="24">
        <f>IFERROR(IF(W24="",0,($G24*(X24/$E24))),0)</f>
        <v>0</v>
      </c>
      <c r="AA24" s="25"/>
      <c r="AB24" s="25"/>
      <c r="AC24" s="25"/>
      <c r="AD24" s="24">
        <f t="shared" ref="AD24:AD25" si="19">IF(AB24="",0,AC24/AB24)</f>
        <v>0</v>
      </c>
      <c r="AE24" s="24">
        <f>IFERROR(IF(AB24="",0,($G24*(AC24/$E24))),0)</f>
        <v>0</v>
      </c>
      <c r="AF24" s="58"/>
      <c r="AG24" s="25"/>
      <c r="AH24" s="25"/>
      <c r="AI24" s="24">
        <f t="shared" ref="AI24:AI25" si="20">IF(AG24="",0,AH24/AG24)</f>
        <v>0</v>
      </c>
      <c r="AJ24" s="24">
        <f>IFERROR(IF(AG24="",0,($G24*(AH24/$E24))),0)</f>
        <v>0</v>
      </c>
      <c r="AK24" s="58"/>
      <c r="AL24" s="25"/>
      <c r="AM24" s="25"/>
      <c r="AN24" s="24">
        <f t="shared" ref="AN24:AN25" si="21">IF(AL24="",0,AM24/AL24)</f>
        <v>0</v>
      </c>
      <c r="AO24" s="24">
        <f>IFERROR(IF(AL24="",0,($G24*(AM24/$E24))),0)</f>
        <v>0</v>
      </c>
      <c r="AP24" s="58"/>
      <c r="AQ24" s="25"/>
      <c r="AR24" s="25"/>
      <c r="AS24" s="24">
        <f t="shared" ref="AS24:AS25" si="22">IF(AQ24="",0,AR24/AQ24)</f>
        <v>0</v>
      </c>
      <c r="AT24" s="24">
        <f>IFERROR(IF(AQ24="",0,($G24*(AR24/$E24))),0)</f>
        <v>0</v>
      </c>
      <c r="AU24" s="58"/>
      <c r="AV24" s="25"/>
      <c r="AW24" s="25"/>
      <c r="AX24" s="24">
        <f t="shared" ref="AX24" si="23">IF(AV24="",0,AW24/AV24)</f>
        <v>0</v>
      </c>
      <c r="AY24" s="24">
        <f>IFERROR(IF(AV24="",0,($G24*(AW24/$E24))),0)</f>
        <v>0</v>
      </c>
      <c r="AZ24" s="58"/>
      <c r="BA24" s="25"/>
      <c r="BB24" s="25"/>
      <c r="BC24" s="24">
        <f t="shared" ref="BC24" si="24">IF(BA24="",0,BB24/BA24)</f>
        <v>0</v>
      </c>
      <c r="BD24" s="24">
        <f>IFERROR(IF(BA24="",0,($G24*(BB24/$E24))),0)</f>
        <v>0</v>
      </c>
      <c r="BE24" s="58"/>
      <c r="BF24" s="25"/>
      <c r="BG24" s="25"/>
      <c r="BH24" s="24">
        <f t="shared" ref="BH24" si="25">IF(BF24="",0,BG24/BF24)</f>
        <v>0</v>
      </c>
      <c r="BI24" s="24">
        <f>IFERROR(IF(BF24="",0,($G24*(BG24/$E24))),0)</f>
        <v>0</v>
      </c>
      <c r="BJ24" s="58"/>
      <c r="BK24" s="25"/>
      <c r="BL24" s="25"/>
      <c r="BM24" s="24">
        <f t="shared" ref="BM24" si="26">IF(BK24="",0,BL24/BK24)</f>
        <v>0</v>
      </c>
      <c r="BN24" s="24">
        <f>IFERROR(IF(BK24="",0,($G24*(BL24/$E24))),0)</f>
        <v>0</v>
      </c>
      <c r="BO24" s="58"/>
      <c r="BP24" s="25"/>
      <c r="BQ24" s="25"/>
      <c r="BR24" s="24">
        <f t="shared" ref="BR24" si="27">IF(BP24="",0,BQ24/BP24)</f>
        <v>0</v>
      </c>
      <c r="BS24" s="24">
        <f>IFERROR(IF(BP24="",0,($G24*(BQ24/$E24))),0)</f>
        <v>0</v>
      </c>
      <c r="BT24" s="58"/>
      <c r="BU24" s="25"/>
      <c r="BV24" s="25"/>
      <c r="BW24" s="24">
        <f t="shared" ref="BW24" si="28">IF(BU24="",0,BV24/BU24)</f>
        <v>0</v>
      </c>
      <c r="BX24" s="24">
        <f>IFERROR(IF(BU24="",0,($G24*(BV24/$E24))),0)</f>
        <v>0</v>
      </c>
      <c r="BY24" s="58"/>
      <c r="BZ24" s="59">
        <f>H24+M24+R24+W24+AB24+AG24+AL24+AQ24+AV24+BA24+BF24+BK24+BP24+BU24</f>
        <v>15</v>
      </c>
      <c r="CA24" s="59">
        <f>I24+N24+S24+X24+AC24+AH24+AM24+AR24+AW24+BB24+BG24+BL24+BQ24+BV24</f>
        <v>0</v>
      </c>
      <c r="CB24" s="24">
        <f t="shared" ref="CB24" si="29">IF(BZ24=0,0,CA24/BZ24)</f>
        <v>0</v>
      </c>
      <c r="CC24" s="24">
        <f t="shared" ref="CC24" si="30">IFERROR(IF(BZ24="",0,($G24*(CA24/$E24))),0)</f>
        <v>0</v>
      </c>
      <c r="CD24" s="27"/>
      <c r="CE24" s="41"/>
      <c r="CF24" s="41"/>
    </row>
    <row r="25" spans="1:84" ht="50.25" customHeight="1" x14ac:dyDescent="0.25">
      <c r="B25" s="488" t="s">
        <v>27</v>
      </c>
      <c r="C25" s="490" t="s">
        <v>45</v>
      </c>
      <c r="D25" s="85" t="s">
        <v>160</v>
      </c>
      <c r="E25" s="40">
        <v>150</v>
      </c>
      <c r="F25" s="40" t="s">
        <v>129</v>
      </c>
      <c r="G25" s="89">
        <v>0.3</v>
      </c>
      <c r="H25" s="23"/>
      <c r="I25" s="23"/>
      <c r="J25" s="24">
        <f t="shared" ref="J25" si="31">IF(H25="",0,I25/H25)</f>
        <v>0</v>
      </c>
      <c r="K25" s="24">
        <f t="shared" ref="K25" si="32">IFERROR(IF(H25="",0,($G25*(I25/$E25))),0)</f>
        <v>0</v>
      </c>
      <c r="L25" s="38"/>
      <c r="M25" s="23"/>
      <c r="N25" s="23"/>
      <c r="O25" s="24">
        <f t="shared" ref="O25" si="33">IF(M25="",0,N25/M25)</f>
        <v>0</v>
      </c>
      <c r="P25" s="24">
        <f t="shared" ref="P25" si="34">IFERROR(IF(M25="",0,($G25*(N25/$E25))),0)</f>
        <v>0</v>
      </c>
      <c r="Q25" s="38"/>
      <c r="R25" s="23">
        <v>50</v>
      </c>
      <c r="S25" s="23"/>
      <c r="T25" s="24">
        <f t="shared" ref="T25" si="35">IF(R25="",0,S25/R25)</f>
        <v>0</v>
      </c>
      <c r="U25" s="24">
        <f t="shared" ref="U25" si="36">IFERROR(IF(R25="",0,($G25*(S25/$E25))),0)</f>
        <v>0</v>
      </c>
      <c r="V25" s="38"/>
      <c r="W25" s="23">
        <v>100</v>
      </c>
      <c r="X25" s="23"/>
      <c r="Y25" s="24">
        <f t="shared" ref="Y25" si="37">IF(W25="",0,X25/W25)</f>
        <v>0</v>
      </c>
      <c r="Z25" s="24">
        <f t="shared" ref="Z25" si="38">IFERROR(IF(W25="",0,($G25*(X25/$E25))),0)</f>
        <v>0</v>
      </c>
      <c r="AA25" s="40"/>
      <c r="AB25" s="25"/>
      <c r="AC25" s="25"/>
      <c r="AD25" s="24">
        <f t="shared" si="19"/>
        <v>0</v>
      </c>
      <c r="AE25" s="24">
        <f>IFERROR(IF(AB25="",0,($G25*(AC25/$E25))),0)</f>
        <v>0</v>
      </c>
      <c r="AF25" s="58"/>
      <c r="AG25" s="25"/>
      <c r="AH25" s="25"/>
      <c r="AI25" s="24">
        <f t="shared" si="20"/>
        <v>0</v>
      </c>
      <c r="AJ25" s="24">
        <f>IFERROR(IF(AG25="",0,($G25*(AH25/$E25))),0)</f>
        <v>0</v>
      </c>
      <c r="AK25" s="58"/>
      <c r="AL25" s="25"/>
      <c r="AM25" s="25"/>
      <c r="AN25" s="24">
        <f t="shared" si="21"/>
        <v>0</v>
      </c>
      <c r="AO25" s="24">
        <f>IFERROR(IF(AL25="",0,($G25*(AM25/$E25))),0)</f>
        <v>0</v>
      </c>
      <c r="AP25" s="58"/>
      <c r="AQ25" s="25"/>
      <c r="AR25" s="25"/>
      <c r="AS25" s="24">
        <f t="shared" si="22"/>
        <v>0</v>
      </c>
      <c r="AT25" s="24">
        <f>IFERROR(IF(AQ25="",0,($G25*(AR25/$E25))),0)</f>
        <v>0</v>
      </c>
      <c r="AU25" s="58"/>
      <c r="AV25" s="25"/>
      <c r="AW25" s="25"/>
      <c r="AX25" s="24">
        <f t="shared" ref="AX25" si="39">IF(AV25="",0,AW25/AV25)</f>
        <v>0</v>
      </c>
      <c r="AY25" s="24">
        <f t="shared" ref="AY25" si="40">IFERROR(IF(AV25="",0,($G25*(AW25/$E25))),0)</f>
        <v>0</v>
      </c>
      <c r="AZ25" s="58"/>
      <c r="BA25" s="25"/>
      <c r="BB25" s="25"/>
      <c r="BC25" s="24">
        <f t="shared" ref="BC25" si="41">IF(BA25="",0,BB25/BA25)</f>
        <v>0</v>
      </c>
      <c r="BD25" s="24">
        <f t="shared" ref="BD25" si="42">IFERROR(IF(BA25="",0,($G25*(BB25/$E25))),0)</f>
        <v>0</v>
      </c>
      <c r="BE25" s="58"/>
      <c r="BF25" s="25"/>
      <c r="BG25" s="25"/>
      <c r="BH25" s="24">
        <f t="shared" ref="BH25" si="43">IF(BF25="",0,BG25/BF25)</f>
        <v>0</v>
      </c>
      <c r="BI25" s="24">
        <f t="shared" ref="BI25" si="44">IFERROR(IF(BF25="",0,($G25*(BG25/$E25))),0)</f>
        <v>0</v>
      </c>
      <c r="BJ25" s="58"/>
      <c r="BK25" s="25"/>
      <c r="BL25" s="25"/>
      <c r="BM25" s="24">
        <f t="shared" ref="BM25" si="45">IF(BK25="",0,BL25/BK25)</f>
        <v>0</v>
      </c>
      <c r="BN25" s="24">
        <f t="shared" ref="BN25" si="46">IFERROR(IF(BK25="",0,($G25*(BL25/$E25))),0)</f>
        <v>0</v>
      </c>
      <c r="BO25" s="58"/>
      <c r="BP25" s="25"/>
      <c r="BQ25" s="25"/>
      <c r="BR25" s="24">
        <f t="shared" ref="BR25" si="47">IF(BP25="",0,BQ25/BP25)</f>
        <v>0</v>
      </c>
      <c r="BS25" s="24">
        <f t="shared" ref="BS25" si="48">IFERROR(IF(BP25="",0,($G25*(BQ25/$E25))),0)</f>
        <v>0</v>
      </c>
      <c r="BT25" s="58"/>
      <c r="BU25" s="25"/>
      <c r="BV25" s="25"/>
      <c r="BW25" s="24">
        <f t="shared" ref="BW25" si="49">IF(BU25="",0,BV25/BU25)</f>
        <v>0</v>
      </c>
      <c r="BX25" s="24">
        <f t="shared" ref="BX25" si="50">IFERROR(IF(BU25="",0,($G25*(BV25/$E25))),0)</f>
        <v>0</v>
      </c>
      <c r="BY25" s="58"/>
      <c r="BZ25" s="59">
        <f t="shared" ref="BZ25" si="51">H25+M25+R25+W25+AB25+AG25+AL25+AQ25+AV25+BA25+BF25+BK25+BP25+BU25</f>
        <v>150</v>
      </c>
      <c r="CA25" s="59">
        <f t="shared" ref="CA25" si="52">I25+N25+S25+X25+AC25+AH25+AM25+AR25+AW25+BB25+BG25+BL25+BQ25+BV25</f>
        <v>0</v>
      </c>
      <c r="CB25" s="24">
        <f t="shared" ref="CB25" si="53">IF(BZ25=0,0,CA25/BZ25)</f>
        <v>0</v>
      </c>
      <c r="CC25" s="24">
        <f t="shared" ref="CC25" si="54">IFERROR(IF(BZ25="",0,($G25*(CA25/$E25))),0)</f>
        <v>0</v>
      </c>
      <c r="CD25" s="27"/>
      <c r="CE25" s="41"/>
    </row>
    <row r="26" spans="1:84" ht="35.25" customHeight="1" x14ac:dyDescent="0.25">
      <c r="B26" s="489"/>
      <c r="C26" s="491"/>
      <c r="D26" s="85" t="s">
        <v>161</v>
      </c>
      <c r="E26" s="40">
        <v>5</v>
      </c>
      <c r="F26" s="40" t="s">
        <v>146</v>
      </c>
      <c r="G26" s="89">
        <v>0.1</v>
      </c>
      <c r="H26" s="80"/>
      <c r="I26" s="80"/>
      <c r="J26" s="24">
        <f t="shared" ref="J26" si="55">IF(H26="",0,I26/H26)</f>
        <v>0</v>
      </c>
      <c r="K26" s="24">
        <f t="shared" ref="K26" si="56">IFERROR(IF(H26="",0,($G26*(I26/$E26))),0)</f>
        <v>0</v>
      </c>
      <c r="L26" s="38"/>
      <c r="M26" s="80"/>
      <c r="N26" s="80"/>
      <c r="O26" s="24">
        <f t="shared" ref="O26" si="57">IF(M26="",0,N26/M26)</f>
        <v>0</v>
      </c>
      <c r="P26" s="24">
        <f t="shared" ref="P26" si="58">IFERROR(IF(M26="",0,($G26*(N26/$E26))),0)</f>
        <v>0</v>
      </c>
      <c r="Q26" s="38"/>
      <c r="R26" s="80"/>
      <c r="S26" s="80"/>
      <c r="T26" s="24">
        <f t="shared" ref="T26" si="59">IF(R26="",0,S26/R26)</f>
        <v>0</v>
      </c>
      <c r="U26" s="24">
        <f t="shared" ref="U26" si="60">IFERROR(IF(R26="",0,($G26*(S26/$E26))),0)</f>
        <v>0</v>
      </c>
      <c r="V26" s="38"/>
      <c r="W26" s="80">
        <v>5</v>
      </c>
      <c r="X26" s="80"/>
      <c r="Y26" s="24">
        <f t="shared" ref="Y26" si="61">IF(W26="",0,X26/W26)</f>
        <v>0</v>
      </c>
      <c r="Z26" s="24">
        <f t="shared" ref="Z26" si="62">IFERROR(IF(W26="",0,($G26*(X26/$E26))),0)</f>
        <v>0</v>
      </c>
      <c r="AA26" s="40"/>
      <c r="AB26" s="25"/>
      <c r="AC26" s="25"/>
      <c r="AD26" s="24">
        <f t="shared" ref="AD26" si="63">IF(AB26="",0,AC26/AB26)</f>
        <v>0</v>
      </c>
      <c r="AE26" s="24">
        <f>IFERROR(IF(AB26="",0,($G26*(AC26/$E26))),0)</f>
        <v>0</v>
      </c>
      <c r="AF26" s="58"/>
      <c r="AG26" s="25"/>
      <c r="AH26" s="25"/>
      <c r="AI26" s="24">
        <f t="shared" ref="AI26" si="64">IF(AG26="",0,AH26/AG26)</f>
        <v>0</v>
      </c>
      <c r="AJ26" s="24">
        <f>IFERROR(IF(AG26="",0,($G26*(AH26/$E26))),0)</f>
        <v>0</v>
      </c>
      <c r="AK26" s="58"/>
      <c r="AL26" s="25"/>
      <c r="AM26" s="25"/>
      <c r="AN26" s="24">
        <f t="shared" ref="AN26" si="65">IF(AL26="",0,AM26/AL26)</f>
        <v>0</v>
      </c>
      <c r="AO26" s="24">
        <f>IFERROR(IF(AL26="",0,($G26*(AM26/$E26))),0)</f>
        <v>0</v>
      </c>
      <c r="AP26" s="58"/>
      <c r="AQ26" s="25"/>
      <c r="AR26" s="25"/>
      <c r="AS26" s="24">
        <f t="shared" ref="AS26" si="66">IF(AQ26="",0,AR26/AQ26)</f>
        <v>0</v>
      </c>
      <c r="AT26" s="24">
        <f>IFERROR(IF(AQ26="",0,($G26*(AR26/$E26))),0)</f>
        <v>0</v>
      </c>
      <c r="AU26" s="58"/>
      <c r="AV26" s="25"/>
      <c r="AW26" s="25"/>
      <c r="AX26" s="24">
        <f t="shared" ref="AX26" si="67">IF(AV26="",0,AW26/AV26)</f>
        <v>0</v>
      </c>
      <c r="AY26" s="24">
        <f t="shared" ref="AY26" si="68">IFERROR(IF(AV26="",0,($G26*(AW26/$E26))),0)</f>
        <v>0</v>
      </c>
      <c r="AZ26" s="58"/>
      <c r="BA26" s="25"/>
      <c r="BB26" s="25"/>
      <c r="BC26" s="24">
        <f t="shared" ref="BC26" si="69">IF(BA26="",0,BB26/BA26)</f>
        <v>0</v>
      </c>
      <c r="BD26" s="24">
        <f t="shared" ref="BD26" si="70">IFERROR(IF(BA26="",0,($G26*(BB26/$E26))),0)</f>
        <v>0</v>
      </c>
      <c r="BE26" s="58"/>
      <c r="BF26" s="25"/>
      <c r="BG26" s="25"/>
      <c r="BH26" s="24">
        <f t="shared" ref="BH26" si="71">IF(BF26="",0,BG26/BF26)</f>
        <v>0</v>
      </c>
      <c r="BI26" s="24">
        <f t="shared" ref="BI26" si="72">IFERROR(IF(BF26="",0,($G26*(BG26/$E26))),0)</f>
        <v>0</v>
      </c>
      <c r="BJ26" s="58"/>
      <c r="BK26" s="25"/>
      <c r="BL26" s="25"/>
      <c r="BM26" s="24">
        <f t="shared" ref="BM26" si="73">IF(BK26="",0,BL26/BK26)</f>
        <v>0</v>
      </c>
      <c r="BN26" s="24">
        <f t="shared" ref="BN26" si="74">IFERROR(IF(BK26="",0,($G26*(BL26/$E26))),0)</f>
        <v>0</v>
      </c>
      <c r="BO26" s="58"/>
      <c r="BP26" s="25"/>
      <c r="BQ26" s="25"/>
      <c r="BR26" s="24">
        <f t="shared" ref="BR26" si="75">IF(BP26="",0,BQ26/BP26)</f>
        <v>0</v>
      </c>
      <c r="BS26" s="24">
        <f t="shared" ref="BS26" si="76">IFERROR(IF(BP26="",0,($G26*(BQ26/$E26))),0)</f>
        <v>0</v>
      </c>
      <c r="BT26" s="58"/>
      <c r="BU26" s="25"/>
      <c r="BV26" s="25"/>
      <c r="BW26" s="24">
        <f t="shared" ref="BW26" si="77">IF(BU26="",0,BV26/BU26)</f>
        <v>0</v>
      </c>
      <c r="BX26" s="24">
        <f t="shared" ref="BX26" si="78">IFERROR(IF(BU26="",0,($G26*(BV26/$E26))),0)</f>
        <v>0</v>
      </c>
      <c r="BY26" s="58"/>
      <c r="BZ26" s="59">
        <f t="shared" ref="BZ26" si="79">H26+M26+R26+W26+AB26+AG26+AL26+AQ26+AV26+BA26+BF26+BK26+BP26+BU26</f>
        <v>5</v>
      </c>
      <c r="CA26" s="59">
        <f t="shared" ref="CA26" si="80">I26+N26+S26+X26+AC26+AH26+AM26+AR26+AW26+BB26+BG26+BL26+BQ26+BV26</f>
        <v>0</v>
      </c>
      <c r="CB26" s="24">
        <f t="shared" ref="CB26" si="81">IF(BZ26=0,0,CA26/BZ26)</f>
        <v>0</v>
      </c>
      <c r="CC26" s="24">
        <f t="shared" ref="CC26" si="82">IFERROR(IF(BZ26="",0,($G26*(CA26/$E26))),0)</f>
        <v>0</v>
      </c>
      <c r="CD26" s="27"/>
      <c r="CE26" s="41"/>
    </row>
    <row r="27" spans="1:84" ht="30" customHeight="1" x14ac:dyDescent="0.25">
      <c r="B27" s="28"/>
      <c r="C27" s="29" t="s">
        <v>33</v>
      </c>
      <c r="D27" s="30"/>
      <c r="E27" s="28">
        <f>SUM(E23:E26)</f>
        <v>175</v>
      </c>
      <c r="F27" s="28"/>
      <c r="G27" s="73">
        <f>SUM(G23:G26)</f>
        <v>0.99999999999999989</v>
      </c>
      <c r="H27" s="28">
        <f>SUM(H24:H25)</f>
        <v>0</v>
      </c>
      <c r="I27" s="28">
        <f>SUM(I24:I25)</f>
        <v>0</v>
      </c>
      <c r="J27" s="73">
        <f>IFERROR(IF(H27="",0,I27/H27),0)</f>
        <v>0</v>
      </c>
      <c r="K27" s="31">
        <f>SUM(K24:K25)*$G22</f>
        <v>0</v>
      </c>
      <c r="L27" s="28"/>
      <c r="M27" s="28">
        <f>SUM(M24:M25)</f>
        <v>0</v>
      </c>
      <c r="N27" s="28">
        <f>SUM(N24:N25)</f>
        <v>0</v>
      </c>
      <c r="O27" s="73">
        <f>IFERROR(IF(M27="",0,N27/M27),0)</f>
        <v>0</v>
      </c>
      <c r="P27" s="73">
        <f>SUM(P24:P25)*$G$22</f>
        <v>0</v>
      </c>
      <c r="Q27" s="28"/>
      <c r="R27" s="72">
        <f>SUM(R24:R26)</f>
        <v>65</v>
      </c>
      <c r="S27" s="72">
        <f>SUM(S24:S25)</f>
        <v>0</v>
      </c>
      <c r="T27" s="24">
        <f t="shared" si="17"/>
        <v>0</v>
      </c>
      <c r="U27" s="73">
        <f>SUM(U24:U25)*$G$22</f>
        <v>0</v>
      </c>
      <c r="V27" s="28"/>
      <c r="W27" s="72">
        <f>SUM(W24:W26)</f>
        <v>105</v>
      </c>
      <c r="X27" s="72">
        <f>SUM(X24:X26)</f>
        <v>0</v>
      </c>
      <c r="Y27" s="73">
        <f>IFERROR(IF(W27="",0,X27/W27),0)</f>
        <v>0</v>
      </c>
      <c r="Z27" s="73">
        <f>SUM(Z24:Z25)*$G$22</f>
        <v>0</v>
      </c>
      <c r="AA27" s="28"/>
      <c r="AB27" s="72">
        <f>SUM(AB24:AB25)</f>
        <v>0</v>
      </c>
      <c r="AC27" s="72">
        <f>SUM(AC24:AC25)</f>
        <v>0</v>
      </c>
      <c r="AD27" s="73">
        <f>IFERROR(IF(AB27="",0,AC27/AB27),0)</f>
        <v>0</v>
      </c>
      <c r="AE27" s="73">
        <f>SUM(AE24:AE25)*$G$22</f>
        <v>0</v>
      </c>
      <c r="AF27" s="66"/>
      <c r="AG27" s="72">
        <f>SUM(AG24:AG25)</f>
        <v>0</v>
      </c>
      <c r="AH27" s="72">
        <f>SUM(AH24:AH25)</f>
        <v>0</v>
      </c>
      <c r="AI27" s="73">
        <f>IFERROR(IF(AG27="",0,AH27/AG27),0)</f>
        <v>0</v>
      </c>
      <c r="AJ27" s="73">
        <f>SUM(AJ24:AJ25)*$G$22</f>
        <v>0</v>
      </c>
      <c r="AK27" s="66"/>
      <c r="AL27" s="72">
        <f>SUM(AL24:AL25)</f>
        <v>0</v>
      </c>
      <c r="AM27" s="72">
        <f>SUM(AM24:AM25)</f>
        <v>0</v>
      </c>
      <c r="AN27" s="73">
        <f>IFERROR(IF(AL27="",0,AM27/AL27),0)</f>
        <v>0</v>
      </c>
      <c r="AO27" s="73">
        <f>SUM(AO24:AO25)*$G$22</f>
        <v>0</v>
      </c>
      <c r="AP27" s="66"/>
      <c r="AQ27" s="72">
        <f>SUM(AQ24:AQ26)</f>
        <v>0</v>
      </c>
      <c r="AR27" s="72">
        <f>SUM(AR24:AR26)</f>
        <v>0</v>
      </c>
      <c r="AS27" s="73">
        <f>IFERROR(IF(AQ27="",0,AR27/AQ27),0)</f>
        <v>0</v>
      </c>
      <c r="AT27" s="72">
        <f>SUM(AT24:AT26)</f>
        <v>0</v>
      </c>
      <c r="AU27" s="66"/>
      <c r="AV27" s="72">
        <f>SUM(AV24:AV26)</f>
        <v>0</v>
      </c>
      <c r="AW27" s="72">
        <f>SUM(AW24:AW26)</f>
        <v>0</v>
      </c>
      <c r="AX27" s="73">
        <f>IFERROR(IF(AV27="",0,AW27/AV27),0)</f>
        <v>0</v>
      </c>
      <c r="AY27" s="73">
        <f>SUM(AY24:AY26)*$G$22</f>
        <v>0</v>
      </c>
      <c r="AZ27" s="66"/>
      <c r="BA27" s="72">
        <f>SUM(BA24:BA26)</f>
        <v>0</v>
      </c>
      <c r="BB27" s="72">
        <f>SUM(BB24:BB26)</f>
        <v>0</v>
      </c>
      <c r="BC27" s="73">
        <f>IFERROR(IF(BA27="",0,BB27/BA27),0)</f>
        <v>0</v>
      </c>
      <c r="BD27" s="73">
        <f>SUM(BD24:BD26)*$G$22</f>
        <v>0</v>
      </c>
      <c r="BE27" s="66"/>
      <c r="BF27" s="72">
        <f>SUM(BF24:BF26)</f>
        <v>0</v>
      </c>
      <c r="BG27" s="72">
        <f>SUM(BG24:BG26)</f>
        <v>0</v>
      </c>
      <c r="BH27" s="73">
        <f>IFERROR(IF(BF27="",0,BG27/BF27),0)</f>
        <v>0</v>
      </c>
      <c r="BI27" s="73">
        <f>SUM(BI24:BI26)*$G$22</f>
        <v>0</v>
      </c>
      <c r="BJ27" s="66"/>
      <c r="BK27" s="72">
        <f>SUM(BK24:BK26)</f>
        <v>0</v>
      </c>
      <c r="BL27" s="72">
        <f>SUM(BL24:BL26)</f>
        <v>0</v>
      </c>
      <c r="BM27" s="73">
        <f>IFERROR(IF(BK27="",0,BL27/BK27),0)</f>
        <v>0</v>
      </c>
      <c r="BN27" s="73">
        <f>SUM(BN24:BN26)*$G$22</f>
        <v>0</v>
      </c>
      <c r="BO27" s="66"/>
      <c r="BP27" s="72">
        <f>SUM(BP24:BP26)</f>
        <v>0</v>
      </c>
      <c r="BQ27" s="72">
        <f>SUM(BQ24:BQ26)</f>
        <v>0</v>
      </c>
      <c r="BR27" s="73">
        <f>IFERROR(IF(BP27="",0,BQ27/BP27),0)</f>
        <v>0</v>
      </c>
      <c r="BS27" s="73">
        <f>SUM(BS24:BS26)*$G$22</f>
        <v>0</v>
      </c>
      <c r="BT27" s="66"/>
      <c r="BU27" s="72">
        <f>SUM(BU24:BU26)</f>
        <v>0</v>
      </c>
      <c r="BV27" s="72">
        <f>SUM(BV24:BV26)</f>
        <v>0</v>
      </c>
      <c r="BW27" s="73">
        <f>IFERROR(IF(BU27="",0,BV27/BU27),0)</f>
        <v>0</v>
      </c>
      <c r="BX27" s="73">
        <f>SUM(BX24:BX26)*$G$22</f>
        <v>0</v>
      </c>
      <c r="BY27" s="66"/>
      <c r="BZ27" s="69">
        <f>SUM(BZ23:BZ26)</f>
        <v>175</v>
      </c>
      <c r="CA27" s="69">
        <f>SUM(CA24:CA26)</f>
        <v>0</v>
      </c>
      <c r="CB27" s="24">
        <f>IF(BZ27=0,0,CA27/BZ27)</f>
        <v>0</v>
      </c>
      <c r="CC27" s="31">
        <f>SUM(CC24:CC26)*$G22</f>
        <v>0</v>
      </c>
      <c r="CD27" s="27"/>
      <c r="CE27" s="41"/>
    </row>
    <row r="28" spans="1:84" s="21" customFormat="1" ht="30" customHeight="1" x14ac:dyDescent="0.25">
      <c r="B28" s="17">
        <v>3</v>
      </c>
      <c r="C28" s="18" t="s">
        <v>34</v>
      </c>
      <c r="D28" s="37" t="s">
        <v>130</v>
      </c>
      <c r="E28" s="17"/>
      <c r="F28" s="46" t="s">
        <v>145</v>
      </c>
      <c r="G28" s="19">
        <v>0.25</v>
      </c>
      <c r="H28" s="483"/>
      <c r="I28" s="484"/>
      <c r="J28" s="484"/>
      <c r="K28" s="484"/>
      <c r="L28" s="485"/>
      <c r="M28" s="483"/>
      <c r="N28" s="484"/>
      <c r="O28" s="484"/>
      <c r="P28" s="484"/>
      <c r="Q28" s="485"/>
      <c r="R28" s="483"/>
      <c r="S28" s="484"/>
      <c r="T28" s="484"/>
      <c r="U28" s="484"/>
      <c r="V28" s="485"/>
      <c r="W28" s="483"/>
      <c r="X28" s="484"/>
      <c r="Y28" s="484"/>
      <c r="Z28" s="484"/>
      <c r="AA28" s="485"/>
      <c r="AB28" s="44"/>
      <c r="AC28" s="44"/>
      <c r="AD28" s="44"/>
      <c r="AE28" s="44"/>
      <c r="AF28" s="44"/>
      <c r="AG28" s="81"/>
      <c r="AH28" s="81"/>
      <c r="AI28" s="81"/>
      <c r="AJ28" s="81"/>
      <c r="AK28" s="81"/>
      <c r="AL28" s="81"/>
      <c r="AM28" s="81"/>
      <c r="AN28" s="81"/>
      <c r="AO28" s="81"/>
      <c r="AP28" s="81"/>
      <c r="AQ28" s="81"/>
      <c r="AR28" s="81"/>
      <c r="AS28" s="81"/>
      <c r="AT28" s="81"/>
      <c r="AU28" s="81"/>
      <c r="AV28" s="81"/>
      <c r="AW28" s="81"/>
      <c r="AX28" s="81"/>
      <c r="AY28" s="81"/>
      <c r="AZ28" s="81"/>
      <c r="BA28" s="81"/>
      <c r="BB28" s="81"/>
      <c r="BC28" s="81"/>
      <c r="BD28" s="81"/>
      <c r="BE28" s="81"/>
      <c r="BF28" s="81"/>
      <c r="BG28" s="81"/>
      <c r="BH28" s="81"/>
      <c r="BI28" s="81"/>
      <c r="BJ28" s="81"/>
      <c r="BK28" s="81"/>
      <c r="BL28" s="81"/>
      <c r="BM28" s="81"/>
      <c r="BN28" s="81"/>
      <c r="BO28" s="81"/>
      <c r="BP28" s="81"/>
      <c r="BQ28" s="81"/>
      <c r="BR28" s="81"/>
      <c r="BS28" s="81"/>
      <c r="BT28" s="81"/>
      <c r="BU28" s="81"/>
      <c r="BV28" s="81"/>
      <c r="BW28" s="81"/>
      <c r="BX28" s="81"/>
      <c r="BY28" s="81"/>
      <c r="BZ28" s="487"/>
      <c r="CA28" s="487"/>
      <c r="CB28" s="487"/>
      <c r="CC28" s="487"/>
      <c r="CD28" s="27"/>
    </row>
    <row r="29" spans="1:84" ht="41.25" customHeight="1" x14ac:dyDescent="0.25">
      <c r="B29" s="488" t="s">
        <v>28</v>
      </c>
      <c r="C29" s="494" t="s">
        <v>46</v>
      </c>
      <c r="D29" s="51" t="s">
        <v>154</v>
      </c>
      <c r="E29" s="40">
        <v>5</v>
      </c>
      <c r="F29" s="40" t="s">
        <v>146</v>
      </c>
      <c r="G29" s="89">
        <v>0.2</v>
      </c>
      <c r="H29" s="80">
        <v>5</v>
      </c>
      <c r="I29" s="80"/>
      <c r="J29" s="24">
        <f>IF(H29="",0,I29/H29)</f>
        <v>0</v>
      </c>
      <c r="K29" s="24">
        <f>IFERROR(IF(H29="",0,($G29*(I29/$E29))),0)</f>
        <v>0</v>
      </c>
      <c r="L29" s="40"/>
      <c r="M29" s="80"/>
      <c r="N29" s="80"/>
      <c r="O29" s="24">
        <f>IF(M29="",0,N29/M29)</f>
        <v>0</v>
      </c>
      <c r="P29" s="24">
        <f>IFERROR(IF(M29="",0,($G29*(N29/$E29))),0)</f>
        <v>0</v>
      </c>
      <c r="Q29" s="26"/>
      <c r="R29" s="80"/>
      <c r="S29" s="80"/>
      <c r="T29" s="24">
        <f>IF(R29="",0,S29/R29)</f>
        <v>0</v>
      </c>
      <c r="U29" s="24">
        <f>IFERROR(IF(R29="",0,($G29*(S29/$E29))),0)</f>
        <v>0</v>
      </c>
      <c r="V29" s="25"/>
      <c r="W29" s="25"/>
      <c r="X29" s="25"/>
      <c r="Y29" s="24">
        <f>IF(W29="",0,X29/W29)</f>
        <v>0</v>
      </c>
      <c r="Z29" s="24">
        <f>IFERROR(IF(W29="",0,($G29*(X29/$E29))),0)</f>
        <v>0</v>
      </c>
      <c r="AA29" s="25"/>
      <c r="AB29" s="25"/>
      <c r="AC29" s="25"/>
      <c r="AD29" s="24">
        <f>IF(AB29="",0,AC29/AB29)</f>
        <v>0</v>
      </c>
      <c r="AE29" s="24">
        <f>IFERROR(IF(AB29="",0,($G29*(AC29/$E29))),0)</f>
        <v>0</v>
      </c>
      <c r="AF29" s="58"/>
      <c r="AG29" s="25"/>
      <c r="AH29" s="25"/>
      <c r="AI29" s="24">
        <f>IF(AG29="",0,AH29/AG29)</f>
        <v>0</v>
      </c>
      <c r="AJ29" s="24">
        <f>IFERROR(IF(AG29="",0,($G29*(AH29/$E29))),0)</f>
        <v>0</v>
      </c>
      <c r="AK29" s="58"/>
      <c r="AL29" s="25"/>
      <c r="AM29" s="25"/>
      <c r="AN29" s="24">
        <f>IF(AL29="",0,AM29/AL29)</f>
        <v>0</v>
      </c>
      <c r="AO29" s="24">
        <f>IFERROR(IF(AL29="",0,($G29*(AM29/$E29))),0)</f>
        <v>0</v>
      </c>
      <c r="AP29" s="58"/>
      <c r="AQ29" s="25"/>
      <c r="AR29" s="25"/>
      <c r="AS29" s="24">
        <f>IF(AQ29="",0,AR29/AQ29)</f>
        <v>0</v>
      </c>
      <c r="AT29" s="24">
        <f>IFERROR(IF(AQ29="",0,($G29*(AR29/$E29))),0)</f>
        <v>0</v>
      </c>
      <c r="AU29" s="58"/>
      <c r="AV29" s="25"/>
      <c r="AW29" s="25"/>
      <c r="AX29" s="24">
        <f>IF(AV29="",0,AW29/AV29)</f>
        <v>0</v>
      </c>
      <c r="AY29" s="24">
        <f>IFERROR(IF(AV29="",0,($G29*(AW29/$E29))),0)</f>
        <v>0</v>
      </c>
      <c r="AZ29" s="58"/>
      <c r="BA29" s="25"/>
      <c r="BB29" s="25"/>
      <c r="BC29" s="24">
        <f>IF(BA29="",0,BB29/BA29)</f>
        <v>0</v>
      </c>
      <c r="BD29" s="24">
        <f>IFERROR(IF(BA29="",0,($G29*(BB29/$E29))),0)</f>
        <v>0</v>
      </c>
      <c r="BE29" s="58"/>
      <c r="BF29" s="25"/>
      <c r="BG29" s="25"/>
      <c r="BH29" s="24">
        <f>IF(BF29="",0,BG29/BF29)</f>
        <v>0</v>
      </c>
      <c r="BI29" s="24">
        <f>IFERROR(IF(BF29="",0,($G29*(BG29/$E29))),0)</f>
        <v>0</v>
      </c>
      <c r="BJ29" s="58"/>
      <c r="BK29" s="25"/>
      <c r="BL29" s="25"/>
      <c r="BM29" s="24">
        <f>IF(BK29="",0,BL29/BK29)</f>
        <v>0</v>
      </c>
      <c r="BN29" s="24">
        <f>IFERROR(IF(BK29="",0,($G29*(BL29/$E29))),0)</f>
        <v>0</v>
      </c>
      <c r="BO29" s="58"/>
      <c r="BP29" s="25"/>
      <c r="BQ29" s="25"/>
      <c r="BR29" s="24">
        <f>IF(BP29="",0,BQ29/BP29)</f>
        <v>0</v>
      </c>
      <c r="BS29" s="24">
        <f>IFERROR(IF(BP29="",0,($G29*(BQ29/$E29))),0)</f>
        <v>0</v>
      </c>
      <c r="BT29" s="58"/>
      <c r="BU29" s="25"/>
      <c r="BV29" s="25"/>
      <c r="BW29" s="24">
        <f>IF(BU29="",0,BV29/BU29)</f>
        <v>0</v>
      </c>
      <c r="BX29" s="24">
        <f>IFERROR(IF(BU29="",0,($G29*(BV29/$E29))),0)</f>
        <v>0</v>
      </c>
      <c r="BY29" s="58"/>
      <c r="BZ29" s="59">
        <f t="shared" ref="BZ29" si="83">H29+M29+R29+W29+AB29+AG29+AL29+AQ29+AV29+BA29+BF29+BK29+BP29+BU29</f>
        <v>5</v>
      </c>
      <c r="CA29" s="59">
        <f t="shared" ref="CA29" si="84">I29+N29+S29+X29+AC29+AH29+AM29+AR29+AW29+BB29+BG29+BL29+BQ29+BV29</f>
        <v>0</v>
      </c>
      <c r="CB29" s="24">
        <f>IF(BZ29="",0,CA29/BZ29)</f>
        <v>0</v>
      </c>
      <c r="CC29" s="24">
        <f>IFERROR(IF(BZ29="",0,($G29*(CA29/$E29))),0)</f>
        <v>0</v>
      </c>
      <c r="CD29" s="27"/>
      <c r="CE29" s="41"/>
      <c r="CF29" s="41"/>
    </row>
    <row r="30" spans="1:84" s="21" customFormat="1" ht="56.25" x14ac:dyDescent="0.25">
      <c r="B30" s="497"/>
      <c r="C30" s="496"/>
      <c r="D30" s="38" t="s">
        <v>466</v>
      </c>
      <c r="E30" s="40">
        <v>10</v>
      </c>
      <c r="F30" s="25" t="s">
        <v>144</v>
      </c>
      <c r="G30" s="89">
        <v>0.1</v>
      </c>
      <c r="H30" s="80"/>
      <c r="I30" s="80"/>
      <c r="J30" s="24">
        <f>IF(H30="",0,I30/H30)</f>
        <v>0</v>
      </c>
      <c r="K30" s="24">
        <f>IFERROR(IF(H30="",0,($G30*(I30/$E30))),0)</f>
        <v>0</v>
      </c>
      <c r="L30" s="40"/>
      <c r="M30" s="80"/>
      <c r="N30" s="80"/>
      <c r="O30" s="24">
        <f>IF(M30="",0,N30/M30)</f>
        <v>0</v>
      </c>
      <c r="P30" s="24">
        <f>IFERROR(IF(M30="",0,($G30*(N30/$E30))),0)</f>
        <v>0</v>
      </c>
      <c r="Q30" s="26"/>
      <c r="R30" s="80"/>
      <c r="S30" s="80"/>
      <c r="T30" s="24">
        <f>IF(R30="",0,S30/R30)</f>
        <v>0</v>
      </c>
      <c r="U30" s="24">
        <f>IFERROR(IF(R30="",0,($G30*(S30/$E30))),0)</f>
        <v>0</v>
      </c>
      <c r="V30" s="25"/>
      <c r="W30" s="25"/>
      <c r="X30" s="25"/>
      <c r="Y30" s="24">
        <f>IF(W30="",0,X30/W30)</f>
        <v>0</v>
      </c>
      <c r="Z30" s="24">
        <f>IFERROR(IF(W30="",0,($G30*(X30/$E30))),0)</f>
        <v>0</v>
      </c>
      <c r="AA30" s="25"/>
      <c r="AB30" s="25"/>
      <c r="AC30" s="25"/>
      <c r="AD30" s="24">
        <f>IF(AB30="",0,AC30/AB30)</f>
        <v>0</v>
      </c>
      <c r="AE30" s="24">
        <f>IFERROR(IF(AB30="",0,($G30*(AC30/$E30))),0)</f>
        <v>0</v>
      </c>
      <c r="AF30" s="58"/>
      <c r="AG30" s="25"/>
      <c r="AH30" s="25"/>
      <c r="AI30" s="24">
        <f>IF(AG30="",0,AH30/AG30)</f>
        <v>0</v>
      </c>
      <c r="AJ30" s="24">
        <f>IFERROR(IF(AG30="",0,($G30*(AH30/$E30))),0)</f>
        <v>0</v>
      </c>
      <c r="AK30" s="58"/>
      <c r="AL30" s="25"/>
      <c r="AM30" s="25"/>
      <c r="AN30" s="24">
        <f>IF(AL30="",0,AM30/AL30)</f>
        <v>0</v>
      </c>
      <c r="AO30" s="24">
        <f>IFERROR(IF(AL30="",0,($G30*(AM30/$E30))),0)</f>
        <v>0</v>
      </c>
      <c r="AP30" s="58"/>
      <c r="AQ30" s="25"/>
      <c r="AR30" s="25"/>
      <c r="AS30" s="24">
        <f>IF(AQ30="",0,AR30/AQ30)</f>
        <v>0</v>
      </c>
      <c r="AT30" s="24">
        <f>IFERROR(IF(AQ30="",0,($G30*(AR30/$E30))),0)</f>
        <v>0</v>
      </c>
      <c r="AU30" s="58"/>
      <c r="AV30" s="25"/>
      <c r="AW30" s="25"/>
      <c r="AX30" s="24">
        <f>IF(AV30="",0,AW30/AV30)</f>
        <v>0</v>
      </c>
      <c r="AY30" s="24">
        <f>IFERROR(IF(AV30="",0,($G30*(AW30/$E30))),0)</f>
        <v>0</v>
      </c>
      <c r="AZ30" s="58"/>
      <c r="BA30" s="25">
        <v>6</v>
      </c>
      <c r="BB30" s="25"/>
      <c r="BC30" s="24">
        <f>IF(BA30="",0,BB30/BA30)</f>
        <v>0</v>
      </c>
      <c r="BD30" s="24">
        <f>IFERROR(IF(BA30="",0,($G30*(BB30/$E30))),0)</f>
        <v>0</v>
      </c>
      <c r="BE30" s="58"/>
      <c r="BF30" s="25">
        <v>4</v>
      </c>
      <c r="BG30" s="25"/>
      <c r="BH30" s="24">
        <f>IF(BF30="",0,BG30/BF30)</f>
        <v>0</v>
      </c>
      <c r="BI30" s="24">
        <f>IFERROR(IF(BF30="",0,($G30*(BG30/$E30))),0)</f>
        <v>0</v>
      </c>
      <c r="BJ30" s="58"/>
      <c r="BK30" s="25"/>
      <c r="BL30" s="25"/>
      <c r="BM30" s="24">
        <f>IF(BK30="",0,BL30/BK30)</f>
        <v>0</v>
      </c>
      <c r="BN30" s="24">
        <f>IFERROR(IF(BK30="",0,($G30*(BL30/$E30))),0)</f>
        <v>0</v>
      </c>
      <c r="BO30" s="58"/>
      <c r="BP30" s="25"/>
      <c r="BQ30" s="25"/>
      <c r="BR30" s="24">
        <f>IF(BP30="",0,BQ30/BP30)</f>
        <v>0</v>
      </c>
      <c r="BS30" s="24">
        <f>IFERROR(IF(BP30="",0,($G30*(BQ30/$E30))),0)</f>
        <v>0</v>
      </c>
      <c r="BT30" s="58"/>
      <c r="BU30" s="25"/>
      <c r="BV30" s="25"/>
      <c r="BW30" s="24">
        <f>IF(BU30="",0,BV30/BU30)</f>
        <v>0</v>
      </c>
      <c r="BX30" s="24">
        <f>IFERROR(IF(BU30="",0,($G30*(BV30/$E30))),0)</f>
        <v>0</v>
      </c>
      <c r="BY30" s="58"/>
      <c r="BZ30" s="59">
        <f>H30+M30+R30+W30+AB30+AG30+AL30+AQ30+AV30+BA30+BF30+BK30+BP30+BU30</f>
        <v>10</v>
      </c>
      <c r="CA30" s="59">
        <f t="shared" ref="CA30" si="85">I30+N30+S30+X30+AC30+AH30+AM30+AR30+AW30+BB30+BG30+BL30+BQ30+BV30</f>
        <v>0</v>
      </c>
      <c r="CB30" s="24">
        <f>IF(BZ30="",0,CA30/BZ30)</f>
        <v>0</v>
      </c>
      <c r="CC30" s="24">
        <f>IFERROR(IF(BZ30="",0,($G30*(CA30/$E30))),0)</f>
        <v>0</v>
      </c>
      <c r="CD30" s="27"/>
    </row>
    <row r="31" spans="1:84" ht="54.75" customHeight="1" x14ac:dyDescent="0.25">
      <c r="B31" s="99" t="s">
        <v>39</v>
      </c>
      <c r="C31" s="97" t="s">
        <v>108</v>
      </c>
      <c r="D31" s="51" t="s">
        <v>464</v>
      </c>
      <c r="E31" s="40">
        <v>15</v>
      </c>
      <c r="F31" s="25" t="s">
        <v>144</v>
      </c>
      <c r="G31" s="89">
        <v>0.2</v>
      </c>
      <c r="H31" s="75"/>
      <c r="I31" s="80"/>
      <c r="J31" s="24">
        <f>IF(H31="",0,I31/H31)</f>
        <v>0</v>
      </c>
      <c r="K31" s="24">
        <f>IFERROR(IF(H31="",0,($G31*(I31/$E31))),0)</f>
        <v>0</v>
      </c>
      <c r="L31" s="40"/>
      <c r="M31" s="75"/>
      <c r="N31" s="80"/>
      <c r="O31" s="24">
        <f t="shared" ref="O31:O33" si="86">IF(M31="",0,N31/M31)</f>
        <v>0</v>
      </c>
      <c r="P31" s="24">
        <f t="shared" ref="P31:P33" si="87">IFERROR(IF(M31="",0,($G31*(N31/$E31))),0)</f>
        <v>0</v>
      </c>
      <c r="Q31" s="26"/>
      <c r="R31" s="75"/>
      <c r="S31" s="80"/>
      <c r="T31" s="24">
        <f t="shared" ref="T31:T33" si="88">IF(R31="",0,S31/R31)</f>
        <v>0</v>
      </c>
      <c r="U31" s="24">
        <f t="shared" ref="U31:U33" si="89">IFERROR(IF(R31="",0,($G31*(S31/$E31))),0)</f>
        <v>0</v>
      </c>
      <c r="V31" s="25"/>
      <c r="W31" s="75"/>
      <c r="X31" s="25"/>
      <c r="Y31" s="24">
        <f t="shared" ref="Y31:Y33" si="90">IF(W31="",0,X31/W31)</f>
        <v>0</v>
      </c>
      <c r="Z31" s="24">
        <f t="shared" ref="Z31:Z33" si="91">IFERROR(IF(W31="",0,($G31*(X31/$E31))),0)</f>
        <v>0</v>
      </c>
      <c r="AA31" s="25"/>
      <c r="AB31" s="25">
        <v>15</v>
      </c>
      <c r="AC31" s="25"/>
      <c r="AD31" s="24">
        <f t="shared" ref="AD31:AD32" si="92">IF(AB31="",0,AC31/AB31)</f>
        <v>0</v>
      </c>
      <c r="AE31" s="24">
        <f>IFERROR(IF(AB31="",0,($G31*(AC31/$E31))),0)</f>
        <v>0</v>
      </c>
      <c r="AF31" s="58"/>
      <c r="AG31" s="25"/>
      <c r="AH31" s="25"/>
      <c r="AI31" s="24">
        <f t="shared" ref="AI31:AI32" si="93">IF(AG31="",0,AH31/AG31)</f>
        <v>0</v>
      </c>
      <c r="AJ31" s="24">
        <f>IFERROR(IF(AG31="",0,($G31*(AH31/$E31))),0)</f>
        <v>0</v>
      </c>
      <c r="AK31" s="58"/>
      <c r="AL31" s="25"/>
      <c r="AM31" s="25"/>
      <c r="AN31" s="24">
        <f t="shared" ref="AN31:AN32" si="94">IF(AL31="",0,AM31/AL31)</f>
        <v>0</v>
      </c>
      <c r="AO31" s="24">
        <f>IFERROR(IF(AL31="",0,($G31*(AM31/$E31))),0)</f>
        <v>0</v>
      </c>
      <c r="AP31" s="58"/>
      <c r="AQ31" s="25"/>
      <c r="AR31" s="25"/>
      <c r="AS31" s="24">
        <f t="shared" ref="AS31:AS32" si="95">IF(AQ31="",0,AR31/AQ31)</f>
        <v>0</v>
      </c>
      <c r="AT31" s="24">
        <f>IFERROR(IF(AQ31="",0,($G31*(AR31/$E31))),0)</f>
        <v>0</v>
      </c>
      <c r="AU31" s="58"/>
      <c r="AV31" s="25"/>
      <c r="AW31" s="25"/>
      <c r="AX31" s="24">
        <f t="shared" ref="AX31:AX32" si="96">IF(AV31="",0,AW31/AV31)</f>
        <v>0</v>
      </c>
      <c r="AY31" s="24">
        <f>IFERROR(IF(AV31="",0,($G31*(AW31/$E31))),0)</f>
        <v>0</v>
      </c>
      <c r="AZ31" s="58"/>
      <c r="BA31" s="25"/>
      <c r="BB31" s="25"/>
      <c r="BC31" s="24">
        <f t="shared" ref="BC31:BC32" si="97">IF(BA31="",0,BB31/BA31)</f>
        <v>0</v>
      </c>
      <c r="BD31" s="24">
        <f>IFERROR(IF(BA31="",0,($G31*(BB31/$E31))),0)</f>
        <v>0</v>
      </c>
      <c r="BE31" s="58"/>
      <c r="BF31" s="25"/>
      <c r="BG31" s="25"/>
      <c r="BH31" s="24">
        <f t="shared" ref="BH31:BH33" si="98">IF(BF31="",0,BG31/BF31)</f>
        <v>0</v>
      </c>
      <c r="BI31" s="24">
        <f t="shared" ref="BI31:BI33" si="99">IFERROR(IF(BF31="",0,($G31*(BG31/$E31))),0)</f>
        <v>0</v>
      </c>
      <c r="BJ31" s="58"/>
      <c r="BK31" s="25"/>
      <c r="BL31" s="25"/>
      <c r="BM31" s="24">
        <f t="shared" ref="BM31:BM33" si="100">IF(BK31="",0,BL31/BK31)</f>
        <v>0</v>
      </c>
      <c r="BN31" s="24">
        <f t="shared" ref="BN31:BN33" si="101">IFERROR(IF(BK31="",0,($G31*(BL31/$E31))),0)</f>
        <v>0</v>
      </c>
      <c r="BO31" s="58"/>
      <c r="BP31" s="25"/>
      <c r="BQ31" s="25"/>
      <c r="BR31" s="24">
        <f t="shared" ref="BR31:BR33" si="102">IF(BP31="",0,BQ31/BP31)</f>
        <v>0</v>
      </c>
      <c r="BS31" s="24">
        <f>IFERROR(IF(BP31="",0,($G31*(BQ31/$E31))),0)</f>
        <v>0</v>
      </c>
      <c r="BT31" s="58"/>
      <c r="BU31" s="25"/>
      <c r="BV31" s="25"/>
      <c r="BW31" s="24">
        <f t="shared" ref="BW31:BW32" si="103">IF(BU31="",0,BV31/BU31)</f>
        <v>0</v>
      </c>
      <c r="BX31" s="24">
        <f>IFERROR(IF(BU31="",0,($G31*(BV31/$E31))),0)</f>
        <v>0</v>
      </c>
      <c r="BY31" s="58"/>
      <c r="BZ31" s="59">
        <f t="shared" ref="BZ31:BZ32" si="104">H31+M31+R31+W31+AB31+AG31+AL31+AQ31+AV31+BA31+BF31+BK31+BP31+BU31</f>
        <v>15</v>
      </c>
      <c r="CA31" s="59">
        <f t="shared" ref="CA31:CA32" si="105">I31+N31+S31+X31+AC31+AH31+AM31+AR31+AW31+BB31+BG31+BL31+BQ31+BV31</f>
        <v>0</v>
      </c>
      <c r="CB31" s="24">
        <f t="shared" ref="CB31:CB33" si="106">IF(BZ31="",0,CA31/BZ31)</f>
        <v>0</v>
      </c>
      <c r="CC31" s="24">
        <f t="shared" ref="CC31:CC33" si="107">IFERROR(IF(BZ31="",0,($G31*(CA31/$E31))),0)</f>
        <v>0</v>
      </c>
      <c r="CD31" s="27"/>
      <c r="CE31" s="41"/>
    </row>
    <row r="32" spans="1:84" ht="38.25" customHeight="1" x14ac:dyDescent="0.25">
      <c r="B32" s="99" t="s">
        <v>131</v>
      </c>
      <c r="C32" s="98" t="s">
        <v>132</v>
      </c>
      <c r="D32" s="86" t="s">
        <v>165</v>
      </c>
      <c r="E32" s="40">
        <v>75</v>
      </c>
      <c r="F32" s="25" t="s">
        <v>129</v>
      </c>
      <c r="G32" s="89">
        <v>0.4</v>
      </c>
      <c r="H32" s="75"/>
      <c r="I32" s="80"/>
      <c r="J32" s="24">
        <f t="shared" ref="J32" si="108">IF(H32="",0,I32/H32)</f>
        <v>0</v>
      </c>
      <c r="K32" s="24">
        <f t="shared" ref="K32" si="109">IFERROR(IF(H32="",0,($G32*(I32/$E32))),0)</f>
        <v>0</v>
      </c>
      <c r="L32" s="40"/>
      <c r="M32" s="75"/>
      <c r="N32" s="80"/>
      <c r="O32" s="24">
        <f t="shared" ref="O32" si="110">IF(M32="",0,N32/M32)</f>
        <v>0</v>
      </c>
      <c r="P32" s="24">
        <f t="shared" ref="P32" si="111">IFERROR(IF(M32="",0,($G32*(N32/$E32))),0)</f>
        <v>0</v>
      </c>
      <c r="Q32" s="26"/>
      <c r="R32" s="75"/>
      <c r="S32" s="80"/>
      <c r="T32" s="24">
        <f t="shared" ref="T32" si="112">IF(R32="",0,S32/R32)</f>
        <v>0</v>
      </c>
      <c r="U32" s="24">
        <f t="shared" ref="U32" si="113">IFERROR(IF(R32="",0,($G32*(S32/$E32))),0)</f>
        <v>0</v>
      </c>
      <c r="V32" s="25"/>
      <c r="W32" s="75"/>
      <c r="X32" s="25"/>
      <c r="Y32" s="24">
        <f t="shared" ref="Y32" si="114">IF(W32="",0,X32/W32)</f>
        <v>0</v>
      </c>
      <c r="Z32" s="24">
        <f t="shared" ref="Z32" si="115">IFERROR(IF(W32="",0,($G32*(X32/$E32))),0)</f>
        <v>0</v>
      </c>
      <c r="AA32" s="25"/>
      <c r="AB32" s="25"/>
      <c r="AC32" s="25"/>
      <c r="AD32" s="24">
        <f t="shared" si="92"/>
        <v>0</v>
      </c>
      <c r="AE32" s="24">
        <f t="shared" ref="AE32" si="116">IFERROR(IF(AB32="",0,($G32*(AC32/$E32))),0)</f>
        <v>0</v>
      </c>
      <c r="AF32" s="58"/>
      <c r="AG32" s="25">
        <v>45</v>
      </c>
      <c r="AH32" s="25"/>
      <c r="AI32" s="24">
        <f t="shared" si="93"/>
        <v>0</v>
      </c>
      <c r="AJ32" s="24">
        <f t="shared" ref="AJ32" si="117">IFERROR(IF(AG32="",0,($G32*(AH32/$E32))),0)</f>
        <v>0</v>
      </c>
      <c r="AK32" s="58"/>
      <c r="AL32" s="25">
        <v>30</v>
      </c>
      <c r="AM32" s="25"/>
      <c r="AN32" s="24">
        <f t="shared" si="94"/>
        <v>0</v>
      </c>
      <c r="AO32" s="24">
        <f t="shared" ref="AO32" si="118">IFERROR(IF(AL32="",0,($G32*(AM32/$E32))),0)</f>
        <v>0</v>
      </c>
      <c r="AP32" s="58"/>
      <c r="AQ32" s="25"/>
      <c r="AR32" s="25"/>
      <c r="AS32" s="24">
        <f t="shared" si="95"/>
        <v>0</v>
      </c>
      <c r="AT32" s="24">
        <f t="shared" ref="AT32" si="119">IFERROR(IF(AQ32="",0,($G32*(AR32/$E32))),0)</f>
        <v>0</v>
      </c>
      <c r="AU32" s="58"/>
      <c r="AV32" s="25"/>
      <c r="AW32" s="25"/>
      <c r="AX32" s="24">
        <f t="shared" si="96"/>
        <v>0</v>
      </c>
      <c r="AY32" s="24">
        <f t="shared" ref="AY32" si="120">IFERROR(IF(AV32="",0,($G32*(AW32/$E32))),0)</f>
        <v>0</v>
      </c>
      <c r="AZ32" s="58"/>
      <c r="BA32" s="25"/>
      <c r="BB32" s="25"/>
      <c r="BC32" s="24">
        <f t="shared" si="97"/>
        <v>0</v>
      </c>
      <c r="BD32" s="24">
        <f t="shared" ref="BD32" si="121">IFERROR(IF(BA32="",0,($G32*(BB32/$E32))),0)</f>
        <v>0</v>
      </c>
      <c r="BE32" s="58"/>
      <c r="BF32" s="25"/>
      <c r="BG32" s="25"/>
      <c r="BH32" s="24">
        <f t="shared" ref="BH32" si="122">IF(BF32="",0,BG32/BF32)</f>
        <v>0</v>
      </c>
      <c r="BI32" s="24">
        <f t="shared" ref="BI32" si="123">IFERROR(IF(BF32="",0,($G32*(BG32/$E32))),0)</f>
        <v>0</v>
      </c>
      <c r="BJ32" s="58"/>
      <c r="BK32" s="25"/>
      <c r="BL32" s="25"/>
      <c r="BM32" s="24">
        <f t="shared" ref="BM32" si="124">IF(BK32="",0,BL32/BK32)</f>
        <v>0</v>
      </c>
      <c r="BN32" s="24">
        <f t="shared" ref="BN32" si="125">IFERROR(IF(BK32="",0,($G32*(BL32/$E32))),0)</f>
        <v>0</v>
      </c>
      <c r="BO32" s="58"/>
      <c r="BP32" s="25"/>
      <c r="BQ32" s="25"/>
      <c r="BR32" s="24"/>
      <c r="BS32" s="24"/>
      <c r="BT32" s="58"/>
      <c r="BU32" s="25"/>
      <c r="BV32" s="25"/>
      <c r="BW32" s="24">
        <f t="shared" si="103"/>
        <v>0</v>
      </c>
      <c r="BX32" s="24">
        <f t="shared" ref="BX32" si="126">IFERROR(IF(BU32="",0,($G32*(BV32/$E32))),0)</f>
        <v>0</v>
      </c>
      <c r="BY32" s="58"/>
      <c r="BZ32" s="59">
        <f t="shared" si="104"/>
        <v>75</v>
      </c>
      <c r="CA32" s="59">
        <f t="shared" si="105"/>
        <v>0</v>
      </c>
      <c r="CB32" s="24">
        <f t="shared" ref="CB32" si="127">IF(BZ32="",0,CA32/BZ32)</f>
        <v>0</v>
      </c>
      <c r="CC32" s="24">
        <f t="shared" ref="CC32" si="128">IFERROR(IF(BZ32="",0,($G32*(CA32/$E32))),0)</f>
        <v>0</v>
      </c>
      <c r="CD32" s="27"/>
      <c r="CE32" s="41"/>
    </row>
    <row r="33" spans="2:84" ht="21.75" customHeight="1" x14ac:dyDescent="0.25">
      <c r="B33" s="99" t="s">
        <v>166</v>
      </c>
      <c r="C33" s="98" t="s">
        <v>465</v>
      </c>
      <c r="D33" s="100" t="s">
        <v>167</v>
      </c>
      <c r="E33" s="40">
        <v>5</v>
      </c>
      <c r="F33" s="40" t="s">
        <v>146</v>
      </c>
      <c r="G33" s="89">
        <v>0.1</v>
      </c>
      <c r="H33" s="75"/>
      <c r="I33" s="80"/>
      <c r="J33" s="24">
        <f t="shared" ref="J33" si="129">IF(H33="",0,I33/H33)</f>
        <v>0</v>
      </c>
      <c r="K33" s="24">
        <f t="shared" ref="K33" si="130">IFERROR(IF(H33="",0,($G33*(I33/$E33))),0)</f>
        <v>0</v>
      </c>
      <c r="L33" s="40"/>
      <c r="M33" s="75"/>
      <c r="N33" s="80"/>
      <c r="O33" s="24">
        <f t="shared" si="86"/>
        <v>0</v>
      </c>
      <c r="P33" s="24">
        <f t="shared" si="87"/>
        <v>0</v>
      </c>
      <c r="Q33" s="26"/>
      <c r="R33" s="75"/>
      <c r="S33" s="80"/>
      <c r="T33" s="24">
        <f t="shared" si="88"/>
        <v>0</v>
      </c>
      <c r="U33" s="24">
        <f t="shared" si="89"/>
        <v>0</v>
      </c>
      <c r="V33" s="25"/>
      <c r="W33" s="75"/>
      <c r="X33" s="25"/>
      <c r="Y33" s="24">
        <f t="shared" si="90"/>
        <v>0</v>
      </c>
      <c r="Z33" s="24">
        <f t="shared" si="91"/>
        <v>0</v>
      </c>
      <c r="AA33" s="25"/>
      <c r="AB33" s="25"/>
      <c r="AC33" s="25"/>
      <c r="AD33" s="24">
        <f t="shared" ref="AD33" si="131">IF(AB33="",0,AC33/AB33)</f>
        <v>0</v>
      </c>
      <c r="AE33" s="24">
        <f t="shared" ref="AE33" si="132">IFERROR(IF(AB33="",0,($G33*(AC33/$E33))),0)</f>
        <v>0</v>
      </c>
      <c r="AF33" s="58"/>
      <c r="AG33" s="25"/>
      <c r="AH33" s="25"/>
      <c r="AI33" s="24">
        <f t="shared" ref="AI33" si="133">IF(AG33="",0,AH33/AG33)</f>
        <v>0</v>
      </c>
      <c r="AJ33" s="24">
        <f t="shared" ref="AJ33" si="134">IFERROR(IF(AG33="",0,($G33*(AH33/$E33))),0)</f>
        <v>0</v>
      </c>
      <c r="AK33" s="58"/>
      <c r="AL33" s="25"/>
      <c r="AM33" s="25"/>
      <c r="AN33" s="24">
        <f t="shared" ref="AN33" si="135">IF(AL33="",0,AM33/AL33)</f>
        <v>0</v>
      </c>
      <c r="AO33" s="24">
        <f t="shared" ref="AO33" si="136">IFERROR(IF(AL33="",0,($G33*(AM33/$E33))),0)</f>
        <v>0</v>
      </c>
      <c r="AP33" s="58"/>
      <c r="AQ33" s="25"/>
      <c r="AR33" s="25"/>
      <c r="AS33" s="24">
        <f t="shared" ref="AS33" si="137">IF(AQ33="",0,AR33/AQ33)</f>
        <v>0</v>
      </c>
      <c r="AT33" s="24">
        <f t="shared" ref="AT33" si="138">IFERROR(IF(AQ33="",0,($G33*(AR33/$E33))),0)</f>
        <v>0</v>
      </c>
      <c r="AU33" s="58"/>
      <c r="AV33" s="25"/>
      <c r="AW33" s="25"/>
      <c r="AX33" s="24">
        <f t="shared" ref="AX33" si="139">IF(AV33="",0,AW33/AV33)</f>
        <v>0</v>
      </c>
      <c r="AY33" s="24">
        <f t="shared" ref="AY33" si="140">IFERROR(IF(AV33="",0,($G33*(AW33/$E33))),0)</f>
        <v>0</v>
      </c>
      <c r="AZ33" s="58"/>
      <c r="BA33" s="25"/>
      <c r="BB33" s="25"/>
      <c r="BC33" s="24">
        <f t="shared" ref="BC33" si="141">IF(BA33="",0,BB33/BA33)</f>
        <v>0</v>
      </c>
      <c r="BD33" s="24">
        <f t="shared" ref="BD33" si="142">IFERROR(IF(BA33="",0,($G33*(BB33/$E33))),0)</f>
        <v>0</v>
      </c>
      <c r="BE33" s="58"/>
      <c r="BF33" s="25">
        <v>5</v>
      </c>
      <c r="BG33" s="25"/>
      <c r="BH33" s="24">
        <f t="shared" si="98"/>
        <v>0</v>
      </c>
      <c r="BI33" s="24">
        <f t="shared" si="99"/>
        <v>0</v>
      </c>
      <c r="BJ33" s="58"/>
      <c r="BK33" s="25"/>
      <c r="BL33" s="25"/>
      <c r="BM33" s="24">
        <f t="shared" si="100"/>
        <v>0</v>
      </c>
      <c r="BN33" s="24">
        <f t="shared" si="101"/>
        <v>0</v>
      </c>
      <c r="BO33" s="58"/>
      <c r="BP33" s="25"/>
      <c r="BQ33" s="25"/>
      <c r="BR33" s="24">
        <f t="shared" si="102"/>
        <v>0</v>
      </c>
      <c r="BS33" s="24">
        <f>IFERROR(IF(BP33="",0,($G33*(BQ33/$E33))),0)</f>
        <v>0</v>
      </c>
      <c r="BT33" s="58"/>
      <c r="BU33" s="25"/>
      <c r="BV33" s="25"/>
      <c r="BW33" s="24">
        <f t="shared" ref="BW33" si="143">IF(BU33="",0,BV33/BU33)</f>
        <v>0</v>
      </c>
      <c r="BX33" s="24">
        <f t="shared" ref="BX33" si="144">IFERROR(IF(BU33="",0,($G33*(BV33/$E33))),0)</f>
        <v>0</v>
      </c>
      <c r="BY33" s="58"/>
      <c r="BZ33" s="59">
        <f t="shared" ref="BZ33" si="145">H33+M33+R33+W33+AB33+AG33+AL33+AQ33+AV33+BA33+BF33+BK33+BP33+BU33</f>
        <v>5</v>
      </c>
      <c r="CA33" s="59">
        <f t="shared" ref="CA33" si="146">I33+N33+S33+X33+AC33+AH33+AM33+AR33+AW33+BB33+BG33+BL33+BQ33+BV33</f>
        <v>0</v>
      </c>
      <c r="CB33" s="24">
        <f t="shared" si="106"/>
        <v>0</v>
      </c>
      <c r="CC33" s="24">
        <f t="shared" si="107"/>
        <v>0</v>
      </c>
      <c r="CD33" s="27"/>
      <c r="CE33" s="41"/>
    </row>
    <row r="34" spans="2:84" s="21" customFormat="1" ht="30" customHeight="1" x14ac:dyDescent="0.25">
      <c r="B34" s="28"/>
      <c r="C34" s="29" t="s">
        <v>35</v>
      </c>
      <c r="D34" s="30"/>
      <c r="E34" s="28">
        <f>SUM(E29:E33)</f>
        <v>110</v>
      </c>
      <c r="F34" s="28"/>
      <c r="G34" s="73">
        <f>SUM(G29:G33)</f>
        <v>1</v>
      </c>
      <c r="H34" s="72">
        <f>SUM(H30:H33)</f>
        <v>0</v>
      </c>
      <c r="I34" s="72">
        <f>SUM(I30:I33)</f>
        <v>0</v>
      </c>
      <c r="J34" s="73">
        <f>IFERROR(IF(H34="",0,I34/H34),0)</f>
        <v>0</v>
      </c>
      <c r="K34" s="73">
        <f>SUM(K30:K33)*$G28</f>
        <v>0</v>
      </c>
      <c r="L34" s="72"/>
      <c r="M34" s="72">
        <f>SUM(M30:M33)</f>
        <v>0</v>
      </c>
      <c r="N34" s="72">
        <f>SUM(N30:N33)</f>
        <v>0</v>
      </c>
      <c r="O34" s="73">
        <f>IFERROR(IF(M34="",0,N34/M34),0)</f>
        <v>0</v>
      </c>
      <c r="P34" s="73">
        <f>SUM(P30:P33)*$G28</f>
        <v>0</v>
      </c>
      <c r="Q34" s="72"/>
      <c r="R34" s="72">
        <f>SUM(R30:R33)</f>
        <v>0</v>
      </c>
      <c r="S34" s="72">
        <f>SUM(S30:S33)</f>
        <v>0</v>
      </c>
      <c r="T34" s="73">
        <f>IFERROR(IF(R34="",0,S34/R34),0)</f>
        <v>0</v>
      </c>
      <c r="U34" s="73">
        <f>SUM(U30:U33)*$G28</f>
        <v>0</v>
      </c>
      <c r="V34" s="72"/>
      <c r="W34" s="72">
        <f>SUM(W30:W33)</f>
        <v>0</v>
      </c>
      <c r="X34" s="72">
        <f>SUM(X30:X33)</f>
        <v>0</v>
      </c>
      <c r="Y34" s="73">
        <f>IFERROR(IF(W34="",0,X34/W34),0)</f>
        <v>0</v>
      </c>
      <c r="Z34" s="73">
        <f>SUM(Z30:Z33)*$G28</f>
        <v>0</v>
      </c>
      <c r="AA34" s="72"/>
      <c r="AB34" s="72">
        <f>SUM(AB30:AB33)</f>
        <v>15</v>
      </c>
      <c r="AC34" s="72">
        <f>SUM(AC30:AC33)</f>
        <v>0</v>
      </c>
      <c r="AD34" s="73">
        <f>IFERROR(IF(AB34="",0,AC34/AB34),0)</f>
        <v>0</v>
      </c>
      <c r="AE34" s="73">
        <f>SUM(AE30:AE33)*$G28</f>
        <v>0</v>
      </c>
      <c r="AF34" s="66"/>
      <c r="AG34" s="72">
        <f>SUM(AG30:AG33)</f>
        <v>45</v>
      </c>
      <c r="AH34" s="72">
        <f>SUM(AH30:AH33)</f>
        <v>0</v>
      </c>
      <c r="AI34" s="73">
        <f>IFERROR(IF(AG34="",0,AH34/AG34),0)</f>
        <v>0</v>
      </c>
      <c r="AJ34" s="73">
        <f>SUM(AJ30:AJ33)*$G28</f>
        <v>0</v>
      </c>
      <c r="AK34" s="66"/>
      <c r="AL34" s="72">
        <f>SUM(AL30:AL33)</f>
        <v>30</v>
      </c>
      <c r="AM34" s="72">
        <f>SUM(AM30:AM33)</f>
        <v>0</v>
      </c>
      <c r="AN34" s="73">
        <f>IFERROR(IF(AL34="",0,AM34/AL34),0)</f>
        <v>0</v>
      </c>
      <c r="AO34" s="73">
        <f>SUM(AO30:AO33)*$G28</f>
        <v>0</v>
      </c>
      <c r="AP34" s="66"/>
      <c r="AQ34" s="72">
        <f>SUM(AQ30:AQ33)</f>
        <v>0</v>
      </c>
      <c r="AR34" s="72">
        <f>SUM(AR30:AR33)</f>
        <v>0</v>
      </c>
      <c r="AS34" s="73">
        <f>IFERROR(IF(AQ34="",0,AR34/AQ34),0)</f>
        <v>0</v>
      </c>
      <c r="AT34" s="73">
        <f>SUM(AT30:AT33)*$G28</f>
        <v>0</v>
      </c>
      <c r="AU34" s="66"/>
      <c r="AV34" s="72">
        <f>SUM(AV30:AV33)</f>
        <v>0</v>
      </c>
      <c r="AW34" s="72">
        <f>SUM(AW30:AW33)</f>
        <v>0</v>
      </c>
      <c r="AX34" s="73">
        <f>IFERROR(IF(AV34="",0,AW34/AV34),0)</f>
        <v>0</v>
      </c>
      <c r="AY34" s="73">
        <f>SUM(AY30:AY33)*$G28</f>
        <v>0</v>
      </c>
      <c r="AZ34" s="66"/>
      <c r="BA34" s="72">
        <f>SUM(BA30:BA33)</f>
        <v>6</v>
      </c>
      <c r="BB34" s="72">
        <f>SUM(BB30:BB33)</f>
        <v>0</v>
      </c>
      <c r="BC34" s="73">
        <f>IFERROR(IF(BA34="",0,BB34/BA34),0)</f>
        <v>0</v>
      </c>
      <c r="BD34" s="73">
        <f>SUM(BD30:BD33)*$G28</f>
        <v>0</v>
      </c>
      <c r="BE34" s="66"/>
      <c r="BF34" s="72">
        <f>SUM(BF30:BF33)</f>
        <v>9</v>
      </c>
      <c r="BG34" s="72">
        <f>SUM(BG30:BG33)</f>
        <v>0</v>
      </c>
      <c r="BH34" s="73">
        <f>IFERROR(IF(BF34="",0,BG34/BF34),0)</f>
        <v>0</v>
      </c>
      <c r="BI34" s="73">
        <f>SUM(BI30:BI33)*$G28</f>
        <v>0</v>
      </c>
      <c r="BJ34" s="66"/>
      <c r="BK34" s="72">
        <f>SUM(BK30:BK33)</f>
        <v>0</v>
      </c>
      <c r="BL34" s="72">
        <f>SUM(BL30:BL33)</f>
        <v>0</v>
      </c>
      <c r="BM34" s="73">
        <f>IFERROR(IF(BK34="",0,BL34/BK34),0)</f>
        <v>0</v>
      </c>
      <c r="BN34" s="73">
        <f>SUM(BN30:BN33)*$G28</f>
        <v>0</v>
      </c>
      <c r="BO34" s="66"/>
      <c r="BP34" s="72">
        <f>SUM(BP30:BP33)</f>
        <v>0</v>
      </c>
      <c r="BQ34" s="72">
        <f>SUM(BQ30:BQ33)</f>
        <v>0</v>
      </c>
      <c r="BR34" s="73">
        <f>IFERROR(IF(BP34="",0,BQ34/BP34),0)</f>
        <v>0</v>
      </c>
      <c r="BS34" s="73">
        <f>SUM(BS30:BS33)*$G28</f>
        <v>0</v>
      </c>
      <c r="BT34" s="66"/>
      <c r="BU34" s="72">
        <f>SUM(BU30:BU33)</f>
        <v>0</v>
      </c>
      <c r="BV34" s="72">
        <f>SUM(BV30:BV33)</f>
        <v>0</v>
      </c>
      <c r="BW34" s="73">
        <f>IFERROR(IF(BU34="",0,BV34/BU34),0)</f>
        <v>0</v>
      </c>
      <c r="BX34" s="73">
        <f>SUM(BX30:BX33)*$G28</f>
        <v>0</v>
      </c>
      <c r="BY34" s="66"/>
      <c r="BZ34" s="69">
        <f>SUM(BZ29:BZ33)</f>
        <v>110</v>
      </c>
      <c r="CA34" s="69">
        <f>SUM(CA30:CA33)</f>
        <v>0</v>
      </c>
      <c r="CB34" s="73">
        <f>IFERROR(IF(BZ34="",0,CA34/BZ34),0)</f>
        <v>0</v>
      </c>
      <c r="CC34" s="73">
        <f>SUM(CC30:CC33)</f>
        <v>0</v>
      </c>
      <c r="CD34" s="27"/>
    </row>
    <row r="35" spans="2:84" s="21" customFormat="1" ht="30" customHeight="1" x14ac:dyDescent="0.25">
      <c r="B35" s="17">
        <v>4</v>
      </c>
      <c r="C35" s="18" t="s">
        <v>40</v>
      </c>
      <c r="D35" s="37" t="s">
        <v>133</v>
      </c>
      <c r="E35" s="17">
        <v>5</v>
      </c>
      <c r="F35" s="46"/>
      <c r="G35" s="19">
        <v>0.22</v>
      </c>
      <c r="H35" s="483"/>
      <c r="I35" s="484"/>
      <c r="J35" s="484"/>
      <c r="K35" s="484"/>
      <c r="L35" s="485"/>
      <c r="M35" s="483"/>
      <c r="N35" s="484"/>
      <c r="O35" s="484"/>
      <c r="P35" s="484"/>
      <c r="Q35" s="485"/>
      <c r="R35" s="483"/>
      <c r="S35" s="484"/>
      <c r="T35" s="484"/>
      <c r="U35" s="484"/>
      <c r="V35" s="485"/>
      <c r="W35" s="483"/>
      <c r="X35" s="484"/>
      <c r="Y35" s="484"/>
      <c r="Z35" s="484"/>
      <c r="AA35" s="485"/>
      <c r="AB35" s="44"/>
      <c r="AC35" s="44"/>
      <c r="AD35" s="44"/>
      <c r="AE35" s="44"/>
      <c r="AF35" s="44"/>
      <c r="AG35" s="81"/>
      <c r="AH35" s="81"/>
      <c r="AI35" s="81"/>
      <c r="AJ35" s="81"/>
      <c r="AK35" s="81"/>
      <c r="AL35" s="81"/>
      <c r="AM35" s="81"/>
      <c r="AN35" s="81"/>
      <c r="AO35" s="81"/>
      <c r="AP35" s="81"/>
      <c r="AQ35" s="81"/>
      <c r="AR35" s="81"/>
      <c r="AS35" s="81"/>
      <c r="AT35" s="81"/>
      <c r="AU35" s="81"/>
      <c r="AV35" s="81"/>
      <c r="AW35" s="81"/>
      <c r="AX35" s="81"/>
      <c r="AY35" s="81"/>
      <c r="AZ35" s="81"/>
      <c r="BA35" s="81"/>
      <c r="BB35" s="81"/>
      <c r="BC35" s="81"/>
      <c r="BD35" s="81"/>
      <c r="BE35" s="81"/>
      <c r="BF35" s="81"/>
      <c r="BG35" s="81"/>
      <c r="BH35" s="81"/>
      <c r="BI35" s="81"/>
      <c r="BJ35" s="81"/>
      <c r="BK35" s="81"/>
      <c r="BL35" s="81"/>
      <c r="BM35" s="81"/>
      <c r="BN35" s="81"/>
      <c r="BO35" s="81"/>
      <c r="BP35" s="81"/>
      <c r="BQ35" s="81"/>
      <c r="BR35" s="81"/>
      <c r="BS35" s="81"/>
      <c r="BT35" s="81"/>
      <c r="BU35" s="81"/>
      <c r="BV35" s="81"/>
      <c r="BW35" s="81"/>
      <c r="BX35" s="81"/>
      <c r="BY35" s="81"/>
      <c r="BZ35" s="487"/>
      <c r="CA35" s="487"/>
      <c r="CB35" s="487"/>
      <c r="CC35" s="56"/>
      <c r="CD35" s="27"/>
    </row>
    <row r="36" spans="2:84" ht="41.25" customHeight="1" x14ac:dyDescent="0.25">
      <c r="B36" s="493" t="s">
        <v>60</v>
      </c>
      <c r="C36" s="492" t="s">
        <v>47</v>
      </c>
      <c r="D36" s="51" t="s">
        <v>155</v>
      </c>
      <c r="E36" s="40">
        <v>5</v>
      </c>
      <c r="F36" s="40" t="s">
        <v>146</v>
      </c>
      <c r="G36" s="89">
        <v>0.2</v>
      </c>
      <c r="H36" s="80">
        <v>5</v>
      </c>
      <c r="I36" s="80"/>
      <c r="J36" s="24">
        <f t="shared" ref="J36:J39" si="147">IF(H36="",0,I36/H36)</f>
        <v>0</v>
      </c>
      <c r="K36" s="24">
        <f>IFERROR(IF(H36="",0,($G36*(I36/$E36))),0)</f>
        <v>0</v>
      </c>
      <c r="L36" s="38"/>
      <c r="M36" s="80"/>
      <c r="N36" s="80"/>
      <c r="O36" s="24">
        <f t="shared" ref="O36" si="148">IF(M36="",0,N36/M36)</f>
        <v>0</v>
      </c>
      <c r="P36" s="24">
        <f t="shared" ref="P36:P39" si="149">IFERROR(IF(M36="",0,($G36*(N36/$E36))),0)</f>
        <v>0</v>
      </c>
      <c r="Q36" s="26"/>
      <c r="R36" s="80"/>
      <c r="S36" s="80"/>
      <c r="T36" s="24">
        <f t="shared" ref="T36" si="150">IF(R36="",0,S36/R36)</f>
        <v>0</v>
      </c>
      <c r="U36" s="24">
        <f t="shared" ref="U36:U39" si="151">IFERROR(IF(R36="",0,($G36*(S36/$E36))),0)</f>
        <v>0</v>
      </c>
      <c r="V36" s="25"/>
      <c r="W36" s="80"/>
      <c r="X36" s="80"/>
      <c r="Y36" s="24">
        <f t="shared" ref="Y36" si="152">IF(W36="",0,X36/W36)</f>
        <v>0</v>
      </c>
      <c r="Z36" s="24">
        <f t="shared" ref="Z36:Z39" si="153">IFERROR(IF(W36="",0,($G36*(X36/$E36))),0)</f>
        <v>0</v>
      </c>
      <c r="AA36" s="25"/>
      <c r="AB36" s="25"/>
      <c r="AC36" s="25"/>
      <c r="AD36" s="24">
        <f t="shared" ref="AD36" si="154">IF(AB36="",0,AC36/AB36)</f>
        <v>0</v>
      </c>
      <c r="AE36" s="24">
        <f t="shared" ref="AE36:AE39" si="155">IFERROR(IF(AB36="",0,($G36*(AC36/$E36))),0)</f>
        <v>0</v>
      </c>
      <c r="AF36" s="58"/>
      <c r="AG36" s="25"/>
      <c r="AH36" s="25"/>
      <c r="AI36" s="24">
        <f t="shared" ref="AI36" si="156">IF(AG36="",0,AH36/AG36)</f>
        <v>0</v>
      </c>
      <c r="AJ36" s="24">
        <f t="shared" ref="AJ36:AJ39" si="157">IFERROR(IF(AG36="",0,($G36*(AH36/$E36))),0)</f>
        <v>0</v>
      </c>
      <c r="AK36" s="58"/>
      <c r="AL36" s="25"/>
      <c r="AM36" s="25"/>
      <c r="AN36" s="24">
        <f t="shared" ref="AN36" si="158">IF(AL36="",0,AM36/AL36)</f>
        <v>0</v>
      </c>
      <c r="AO36" s="24">
        <f t="shared" ref="AO36:AO39" si="159">IFERROR(IF(AL36="",0,($G36*(AM36/$E36))),0)</f>
        <v>0</v>
      </c>
      <c r="AP36" s="58"/>
      <c r="AQ36" s="25"/>
      <c r="AR36" s="25"/>
      <c r="AS36" s="24">
        <f t="shared" ref="AS36" si="160">IF(AQ36="",0,AR36/AQ36)</f>
        <v>0</v>
      </c>
      <c r="AT36" s="24">
        <f t="shared" ref="AT36:AT39" si="161">IFERROR(IF(AQ36="",0,($G36*(AR36/$E36))),0)</f>
        <v>0</v>
      </c>
      <c r="AU36" s="58"/>
      <c r="AV36" s="25"/>
      <c r="AW36" s="25"/>
      <c r="AX36" s="24">
        <f t="shared" ref="AX36" si="162">IF(AV36="",0,AW36/AV36)</f>
        <v>0</v>
      </c>
      <c r="AY36" s="24">
        <f t="shared" ref="AY36:AY39" si="163">IFERROR(IF(AV36="",0,($G36*(AW36/$E36))),0)</f>
        <v>0</v>
      </c>
      <c r="AZ36" s="58"/>
      <c r="BA36" s="25"/>
      <c r="BB36" s="25"/>
      <c r="BC36" s="24">
        <f t="shared" ref="BC36" si="164">IF(BA36="",0,BB36/BA36)</f>
        <v>0</v>
      </c>
      <c r="BD36" s="24">
        <f t="shared" ref="BD36:BD39" si="165">IFERROR(IF(BA36="",0,($G36*(BB36/$E36))),0)</f>
        <v>0</v>
      </c>
      <c r="BE36" s="58"/>
      <c r="BF36" s="25"/>
      <c r="BG36" s="25"/>
      <c r="BH36" s="24">
        <f t="shared" ref="BH36" si="166">IF(BF36="",0,BG36/BF36)</f>
        <v>0</v>
      </c>
      <c r="BI36" s="24">
        <f t="shared" ref="BI36:BI39" si="167">IFERROR(IF(BF36="",0,($G36*(BG36/$E36))),0)</f>
        <v>0</v>
      </c>
      <c r="BJ36" s="58"/>
      <c r="BK36" s="25"/>
      <c r="BL36" s="25"/>
      <c r="BM36" s="24">
        <f t="shared" ref="BM36" si="168">IF(BK36="",0,BL36/BK36)</f>
        <v>0</v>
      </c>
      <c r="BN36" s="24">
        <f t="shared" ref="BN36:BN39" si="169">IFERROR(IF(BK36="",0,($G36*(BL36/$E36))),0)</f>
        <v>0</v>
      </c>
      <c r="BO36" s="58"/>
      <c r="BP36" s="25"/>
      <c r="BQ36" s="25"/>
      <c r="BR36" s="24">
        <f t="shared" ref="BR36" si="170">IF(BP36="",0,BQ36/BP36)</f>
        <v>0</v>
      </c>
      <c r="BS36" s="24">
        <f t="shared" ref="BS36:BS39" si="171">IFERROR(IF(BP36="",0,($G36*(BQ36/$E36))),0)</f>
        <v>0</v>
      </c>
      <c r="BT36" s="58"/>
      <c r="BU36" s="25"/>
      <c r="BV36" s="25"/>
      <c r="BW36" s="24">
        <f t="shared" ref="BW36" si="172">IF(BU36="",0,BV36/BU36)</f>
        <v>0</v>
      </c>
      <c r="BX36" s="24">
        <f t="shared" ref="BX36:BX39" si="173">IFERROR(IF(BU36="",0,($G36*(BV36/$E36))),0)</f>
        <v>0</v>
      </c>
      <c r="BY36" s="58"/>
      <c r="BZ36" s="59">
        <f t="shared" ref="BZ36" si="174">H36+M36+R36+W36+AB36+AG36+AL36+AQ36+AV36+BA36+BF36+BK36+BP36+BU36</f>
        <v>5</v>
      </c>
      <c r="CA36" s="59">
        <f t="shared" ref="CA36" si="175">I36+N36+S36+X36+AC36+AH36+AM36+AR36+AW36+BB36+BG36+BL36+BQ36+BV36</f>
        <v>0</v>
      </c>
      <c r="CB36" s="24">
        <f t="shared" ref="CB36" si="176">IF(BZ36=0,0,CA36/BZ36)</f>
        <v>0</v>
      </c>
      <c r="CC36" s="24">
        <f t="shared" ref="CC36" si="177">IFERROR(IF(BZ36="",0,($G36*(CA36/$E36))),0)</f>
        <v>0</v>
      </c>
      <c r="CD36" s="27"/>
      <c r="CE36" s="41"/>
      <c r="CF36" s="41"/>
    </row>
    <row r="37" spans="2:84" ht="41.25" customHeight="1" x14ac:dyDescent="0.25">
      <c r="B37" s="493"/>
      <c r="C37" s="492"/>
      <c r="D37" s="51" t="s">
        <v>168</v>
      </c>
      <c r="E37" s="40">
        <v>5</v>
      </c>
      <c r="F37" s="40" t="s">
        <v>144</v>
      </c>
      <c r="G37" s="89">
        <v>0.1</v>
      </c>
      <c r="H37" s="80"/>
      <c r="I37" s="80"/>
      <c r="J37" s="24">
        <f t="shared" si="147"/>
        <v>0</v>
      </c>
      <c r="K37" s="24">
        <f>IFERROR(IF(H37="",0,($G37*(I37/$E37))),0)</f>
        <v>0</v>
      </c>
      <c r="L37" s="38"/>
      <c r="M37" s="80"/>
      <c r="N37" s="80"/>
      <c r="O37" s="24">
        <f t="shared" ref="O37:O39" si="178">IF(M37="",0,N37/M37)</f>
        <v>0</v>
      </c>
      <c r="P37" s="24">
        <f t="shared" si="149"/>
        <v>0</v>
      </c>
      <c r="Q37" s="26"/>
      <c r="R37" s="80"/>
      <c r="S37" s="80"/>
      <c r="T37" s="24">
        <f t="shared" ref="T37:T39" si="179">IF(R37="",0,S37/R37)</f>
        <v>0</v>
      </c>
      <c r="U37" s="24">
        <f t="shared" si="151"/>
        <v>0</v>
      </c>
      <c r="V37" s="25"/>
      <c r="W37" s="80"/>
      <c r="X37" s="80"/>
      <c r="Y37" s="24">
        <f t="shared" ref="Y37:Y39" si="180">IF(W37="",0,X37/W37)</f>
        <v>0</v>
      </c>
      <c r="Z37" s="24">
        <f t="shared" si="153"/>
        <v>0</v>
      </c>
      <c r="AA37" s="25"/>
      <c r="AB37" s="25"/>
      <c r="AC37" s="25"/>
      <c r="AD37" s="24">
        <f t="shared" ref="AD37:AD39" si="181">IF(AB37="",0,AC37/AB37)</f>
        <v>0</v>
      </c>
      <c r="AE37" s="24">
        <f t="shared" si="155"/>
        <v>0</v>
      </c>
      <c r="AF37" s="58"/>
      <c r="AG37" s="25"/>
      <c r="AH37" s="25"/>
      <c r="AI37" s="24">
        <f t="shared" ref="AI37:AI39" si="182">IF(AG37="",0,AH37/AG37)</f>
        <v>0</v>
      </c>
      <c r="AJ37" s="24">
        <f t="shared" si="157"/>
        <v>0</v>
      </c>
      <c r="AK37" s="58"/>
      <c r="AL37" s="25"/>
      <c r="AM37" s="25"/>
      <c r="AN37" s="24">
        <f t="shared" ref="AN37:AN39" si="183">IF(AL37="",0,AM37/AL37)</f>
        <v>0</v>
      </c>
      <c r="AO37" s="24">
        <f t="shared" si="159"/>
        <v>0</v>
      </c>
      <c r="AP37" s="58"/>
      <c r="AQ37" s="25"/>
      <c r="AR37" s="25"/>
      <c r="AS37" s="24">
        <f t="shared" ref="AS37:AS39" si="184">IF(AQ37="",0,AR37/AQ37)</f>
        <v>0</v>
      </c>
      <c r="AT37" s="24">
        <f t="shared" si="161"/>
        <v>0</v>
      </c>
      <c r="AU37" s="58"/>
      <c r="AV37" s="25"/>
      <c r="AW37" s="25"/>
      <c r="AX37" s="24">
        <f t="shared" ref="AX37:AX39" si="185">IF(AV37="",0,AW37/AV37)</f>
        <v>0</v>
      </c>
      <c r="AY37" s="24">
        <f t="shared" si="163"/>
        <v>0</v>
      </c>
      <c r="AZ37" s="58"/>
      <c r="BA37" s="25"/>
      <c r="BB37" s="25"/>
      <c r="BC37" s="24">
        <f t="shared" ref="BC37:BC39" si="186">IF(BA37="",0,BB37/BA37)</f>
        <v>0</v>
      </c>
      <c r="BD37" s="24">
        <f t="shared" si="165"/>
        <v>0</v>
      </c>
      <c r="BE37" s="58"/>
      <c r="BF37" s="25"/>
      <c r="BG37" s="25"/>
      <c r="BH37" s="24">
        <f t="shared" ref="BH37:BH39" si="187">IF(BF37="",0,BG37/BF37)</f>
        <v>0</v>
      </c>
      <c r="BI37" s="24">
        <f t="shared" si="167"/>
        <v>0</v>
      </c>
      <c r="BJ37" s="58"/>
      <c r="BK37" s="25">
        <v>5</v>
      </c>
      <c r="BL37" s="25"/>
      <c r="BM37" s="24">
        <f t="shared" ref="BM37:BM39" si="188">IF(BK37="",0,BL37/BK37)</f>
        <v>0</v>
      </c>
      <c r="BN37" s="24">
        <f t="shared" si="169"/>
        <v>0</v>
      </c>
      <c r="BO37" s="58"/>
      <c r="BP37" s="25"/>
      <c r="BQ37" s="25"/>
      <c r="BR37" s="24">
        <f t="shared" ref="BR37:BR39" si="189">IF(BP37="",0,BQ37/BP37)</f>
        <v>0</v>
      </c>
      <c r="BS37" s="24">
        <f t="shared" si="171"/>
        <v>0</v>
      </c>
      <c r="BT37" s="58"/>
      <c r="BU37" s="25"/>
      <c r="BV37" s="25"/>
      <c r="BW37" s="24">
        <f t="shared" ref="BW37:BW39" si="190">IF(BU37="",0,BV37/BU37)</f>
        <v>0</v>
      </c>
      <c r="BX37" s="24">
        <f t="shared" si="173"/>
        <v>0</v>
      </c>
      <c r="BY37" s="58"/>
      <c r="BZ37" s="59">
        <f t="shared" ref="BZ37:CA39" si="191">H37+M37+R37+W37+AB37+AG37+AL37+AQ37+AV37+BA37+BF37+BK37+BP37+BU37</f>
        <v>5</v>
      </c>
      <c r="CA37" s="59">
        <f t="shared" si="191"/>
        <v>0</v>
      </c>
      <c r="CB37" s="24">
        <f t="shared" ref="CB37:CB39" si="192">IF(BZ37=0,0,CA37/BZ37)</f>
        <v>0</v>
      </c>
      <c r="CC37" s="24">
        <f t="shared" ref="CC37:CC39" si="193">IFERROR(IF(BZ37="",0,($G37*(CA37/$E37))),0)</f>
        <v>0</v>
      </c>
      <c r="CD37" s="27"/>
      <c r="CE37" s="41"/>
      <c r="CF37" s="41"/>
    </row>
    <row r="38" spans="2:84" ht="41.25" customHeight="1" x14ac:dyDescent="0.25">
      <c r="B38" s="80" t="s">
        <v>61</v>
      </c>
      <c r="C38" s="95" t="s">
        <v>134</v>
      </c>
      <c r="D38" s="51" t="s">
        <v>172</v>
      </c>
      <c r="E38" s="40">
        <v>75</v>
      </c>
      <c r="F38" s="40" t="s">
        <v>129</v>
      </c>
      <c r="G38" s="89">
        <v>0.5</v>
      </c>
      <c r="H38" s="80"/>
      <c r="I38" s="80"/>
      <c r="J38" s="24">
        <f t="shared" ref="J38" si="194">IF(H38="",0,I38/H38)</f>
        <v>0</v>
      </c>
      <c r="K38" s="24">
        <f>IFERROR(IF(H38="",0,($G38*(I38/$E38))),0)</f>
        <v>0</v>
      </c>
      <c r="L38" s="38"/>
      <c r="M38" s="80"/>
      <c r="N38" s="80"/>
      <c r="O38" s="24">
        <f t="shared" ref="O38" si="195">IF(M38="",0,N38/M38)</f>
        <v>0</v>
      </c>
      <c r="P38" s="24">
        <f t="shared" si="149"/>
        <v>0</v>
      </c>
      <c r="Q38" s="26"/>
      <c r="R38" s="80"/>
      <c r="S38" s="80"/>
      <c r="T38" s="24">
        <f t="shared" ref="T38" si="196">IF(R38="",0,S38/R38)</f>
        <v>0</v>
      </c>
      <c r="U38" s="24">
        <f t="shared" si="151"/>
        <v>0</v>
      </c>
      <c r="V38" s="25"/>
      <c r="W38" s="80"/>
      <c r="X38" s="80"/>
      <c r="Y38" s="24">
        <f t="shared" ref="Y38" si="197">IF(W38="",0,X38/W38)</f>
        <v>0</v>
      </c>
      <c r="Z38" s="24">
        <f t="shared" si="153"/>
        <v>0</v>
      </c>
      <c r="AA38" s="25"/>
      <c r="AB38" s="25"/>
      <c r="AC38" s="25"/>
      <c r="AD38" s="24">
        <f t="shared" ref="AD38" si="198">IF(AB38="",0,AC38/AB38)</f>
        <v>0</v>
      </c>
      <c r="AE38" s="24">
        <f t="shared" si="155"/>
        <v>0</v>
      </c>
      <c r="AF38" s="58"/>
      <c r="AG38" s="25"/>
      <c r="AH38" s="25"/>
      <c r="AI38" s="24">
        <f t="shared" ref="AI38" si="199">IF(AG38="",0,AH38/AG38)</f>
        <v>0</v>
      </c>
      <c r="AJ38" s="24">
        <f t="shared" si="157"/>
        <v>0</v>
      </c>
      <c r="AK38" s="58"/>
      <c r="AL38" s="25"/>
      <c r="AM38" s="25"/>
      <c r="AN38" s="24">
        <f t="shared" ref="AN38" si="200">IF(AL38="",0,AM38/AL38)</f>
        <v>0</v>
      </c>
      <c r="AO38" s="24">
        <f t="shared" si="159"/>
        <v>0</v>
      </c>
      <c r="AP38" s="58"/>
      <c r="AQ38" s="25"/>
      <c r="AR38" s="25"/>
      <c r="AS38" s="24">
        <f t="shared" ref="AS38" si="201">IF(AQ38="",0,AR38/AQ38)</f>
        <v>0</v>
      </c>
      <c r="AT38" s="24">
        <f t="shared" si="161"/>
        <v>0</v>
      </c>
      <c r="AU38" s="58"/>
      <c r="AV38" s="25"/>
      <c r="AW38" s="25"/>
      <c r="AX38" s="24">
        <f t="shared" ref="AX38" si="202">IF(AV38="",0,AW38/AV38)</f>
        <v>0</v>
      </c>
      <c r="AY38" s="24">
        <f t="shared" si="163"/>
        <v>0</v>
      </c>
      <c r="AZ38" s="58"/>
      <c r="BA38" s="25"/>
      <c r="BB38" s="25"/>
      <c r="BC38" s="24">
        <f t="shared" ref="BC38" si="203">IF(BA38="",0,BB38/BA38)</f>
        <v>0</v>
      </c>
      <c r="BD38" s="24">
        <f t="shared" si="165"/>
        <v>0</v>
      </c>
      <c r="BE38" s="58"/>
      <c r="BF38" s="25">
        <v>45</v>
      </c>
      <c r="BG38" s="25"/>
      <c r="BH38" s="24">
        <f t="shared" ref="BH38" si="204">IF(BF38="",0,BG38/BF38)</f>
        <v>0</v>
      </c>
      <c r="BI38" s="24">
        <f t="shared" si="167"/>
        <v>0</v>
      </c>
      <c r="BJ38" s="58"/>
      <c r="BK38" s="25">
        <v>30</v>
      </c>
      <c r="BL38" s="25"/>
      <c r="BM38" s="24">
        <f t="shared" ref="BM38" si="205">IF(BK38="",0,BL38/BK38)</f>
        <v>0</v>
      </c>
      <c r="BN38" s="24">
        <f t="shared" si="169"/>
        <v>0</v>
      </c>
      <c r="BO38" s="58"/>
      <c r="BP38" s="25"/>
      <c r="BQ38" s="25"/>
      <c r="BR38" s="24">
        <f t="shared" ref="BR38" si="206">IF(BP38="",0,BQ38/BP38)</f>
        <v>0</v>
      </c>
      <c r="BS38" s="24">
        <f t="shared" si="171"/>
        <v>0</v>
      </c>
      <c r="BT38" s="58"/>
      <c r="BU38" s="25"/>
      <c r="BV38" s="25"/>
      <c r="BW38" s="24">
        <f t="shared" ref="BW38" si="207">IF(BU38="",0,BV38/BU38)</f>
        <v>0</v>
      </c>
      <c r="BX38" s="24">
        <f t="shared" si="173"/>
        <v>0</v>
      </c>
      <c r="BY38" s="58"/>
      <c r="BZ38" s="59">
        <f t="shared" si="191"/>
        <v>75</v>
      </c>
      <c r="CA38" s="59">
        <f t="shared" si="191"/>
        <v>0</v>
      </c>
      <c r="CB38" s="24">
        <f t="shared" ref="CB38" si="208">IF(BZ38=0,0,CA38/BZ38)</f>
        <v>0</v>
      </c>
      <c r="CC38" s="24">
        <f t="shared" ref="CC38" si="209">IFERROR(IF(BZ38="",0,($G38*(CA38/$E38))),0)</f>
        <v>0</v>
      </c>
      <c r="CD38" s="27"/>
      <c r="CE38" s="41"/>
      <c r="CF38" s="41"/>
    </row>
    <row r="39" spans="2:84" ht="35.25" customHeight="1" x14ac:dyDescent="0.25">
      <c r="B39" s="93" t="s">
        <v>170</v>
      </c>
      <c r="C39" s="94" t="s">
        <v>169</v>
      </c>
      <c r="D39" s="85" t="s">
        <v>171</v>
      </c>
      <c r="E39" s="40">
        <v>5</v>
      </c>
      <c r="F39" s="40" t="s">
        <v>146</v>
      </c>
      <c r="G39" s="89">
        <v>0.2</v>
      </c>
      <c r="H39" s="80"/>
      <c r="I39" s="80"/>
      <c r="J39" s="24">
        <f t="shared" si="147"/>
        <v>0</v>
      </c>
      <c r="K39" s="24">
        <f t="shared" ref="K39" si="210">IFERROR(IF(H39="",0,($G39*(I39/$E39))),0)</f>
        <v>0</v>
      </c>
      <c r="L39" s="38"/>
      <c r="M39" s="80"/>
      <c r="N39" s="80"/>
      <c r="O39" s="24">
        <f t="shared" si="178"/>
        <v>0</v>
      </c>
      <c r="P39" s="24">
        <f t="shared" si="149"/>
        <v>0</v>
      </c>
      <c r="Q39" s="38"/>
      <c r="R39" s="80"/>
      <c r="S39" s="80"/>
      <c r="T39" s="24">
        <f t="shared" si="179"/>
        <v>0</v>
      </c>
      <c r="U39" s="24">
        <f t="shared" si="151"/>
        <v>0</v>
      </c>
      <c r="V39" s="38"/>
      <c r="W39" s="80"/>
      <c r="X39" s="80"/>
      <c r="Y39" s="24">
        <f t="shared" si="180"/>
        <v>0</v>
      </c>
      <c r="Z39" s="24">
        <f t="shared" si="153"/>
        <v>0</v>
      </c>
      <c r="AA39" s="40"/>
      <c r="AB39" s="25"/>
      <c r="AC39" s="25"/>
      <c r="AD39" s="24">
        <f t="shared" si="181"/>
        <v>0</v>
      </c>
      <c r="AE39" s="24">
        <f t="shared" si="155"/>
        <v>0</v>
      </c>
      <c r="AF39" s="58"/>
      <c r="AG39" s="25"/>
      <c r="AH39" s="25"/>
      <c r="AI39" s="24">
        <f t="shared" si="182"/>
        <v>0</v>
      </c>
      <c r="AJ39" s="24">
        <f t="shared" si="157"/>
        <v>0</v>
      </c>
      <c r="AK39" s="58"/>
      <c r="AL39" s="25"/>
      <c r="AM39" s="25"/>
      <c r="AN39" s="24">
        <f t="shared" si="183"/>
        <v>0</v>
      </c>
      <c r="AO39" s="24">
        <f t="shared" si="159"/>
        <v>0</v>
      </c>
      <c r="AP39" s="58"/>
      <c r="AQ39" s="25"/>
      <c r="AR39" s="25"/>
      <c r="AS39" s="24">
        <f t="shared" si="184"/>
        <v>0</v>
      </c>
      <c r="AT39" s="24">
        <f t="shared" si="161"/>
        <v>0</v>
      </c>
      <c r="AU39" s="58"/>
      <c r="AV39" s="25"/>
      <c r="AW39" s="25"/>
      <c r="AX39" s="24">
        <f t="shared" si="185"/>
        <v>0</v>
      </c>
      <c r="AY39" s="24">
        <f t="shared" si="163"/>
        <v>0</v>
      </c>
      <c r="AZ39" s="58"/>
      <c r="BA39" s="25"/>
      <c r="BB39" s="25"/>
      <c r="BC39" s="24">
        <f t="shared" si="186"/>
        <v>0</v>
      </c>
      <c r="BD39" s="24">
        <f t="shared" si="165"/>
        <v>0</v>
      </c>
      <c r="BE39" s="58"/>
      <c r="BF39" s="25"/>
      <c r="BG39" s="25"/>
      <c r="BH39" s="24">
        <f t="shared" si="187"/>
        <v>0</v>
      </c>
      <c r="BI39" s="24">
        <f t="shared" si="167"/>
        <v>0</v>
      </c>
      <c r="BJ39" s="58"/>
      <c r="BK39" s="25"/>
      <c r="BL39" s="25"/>
      <c r="BM39" s="24">
        <f t="shared" si="188"/>
        <v>0</v>
      </c>
      <c r="BN39" s="24">
        <f t="shared" si="169"/>
        <v>0</v>
      </c>
      <c r="BO39" s="58"/>
      <c r="BP39" s="25"/>
      <c r="BQ39" s="25"/>
      <c r="BR39" s="24">
        <f t="shared" si="189"/>
        <v>0</v>
      </c>
      <c r="BS39" s="24">
        <f t="shared" si="171"/>
        <v>0</v>
      </c>
      <c r="BT39" s="58"/>
      <c r="BU39" s="25">
        <v>5</v>
      </c>
      <c r="BV39" s="25"/>
      <c r="BW39" s="24">
        <f t="shared" si="190"/>
        <v>0</v>
      </c>
      <c r="BX39" s="24">
        <f t="shared" si="173"/>
        <v>0</v>
      </c>
      <c r="BY39" s="58"/>
      <c r="BZ39" s="59">
        <f t="shared" si="191"/>
        <v>5</v>
      </c>
      <c r="CA39" s="59">
        <f t="shared" si="191"/>
        <v>0</v>
      </c>
      <c r="CB39" s="24">
        <f t="shared" si="192"/>
        <v>0</v>
      </c>
      <c r="CC39" s="24">
        <f t="shared" si="193"/>
        <v>0</v>
      </c>
      <c r="CD39" s="27"/>
      <c r="CE39" s="41"/>
    </row>
    <row r="40" spans="2:84" s="21" customFormat="1" ht="30" customHeight="1" x14ac:dyDescent="0.25">
      <c r="B40" s="28"/>
      <c r="C40" s="29" t="s">
        <v>48</v>
      </c>
      <c r="D40" s="30"/>
      <c r="E40" s="28">
        <f>SUM(E37:E39)</f>
        <v>85</v>
      </c>
      <c r="F40" s="28"/>
      <c r="G40" s="73">
        <f>SUM(G36:G39)</f>
        <v>1</v>
      </c>
      <c r="H40" s="72">
        <f>SUM(H37:H39)</f>
        <v>0</v>
      </c>
      <c r="I40" s="72">
        <f>SUM(I37:I39)</f>
        <v>0</v>
      </c>
      <c r="J40" s="31">
        <f>IFERROR(IF(H40="",0,I40/H40),0)</f>
        <v>0</v>
      </c>
      <c r="K40" s="73">
        <f>SUM(K37:K39)*$G35</f>
        <v>0</v>
      </c>
      <c r="L40" s="28"/>
      <c r="M40" s="72">
        <f>SUM(M37:M39)</f>
        <v>0</v>
      </c>
      <c r="N40" s="72">
        <f>SUM(N37:N39)</f>
        <v>0</v>
      </c>
      <c r="O40" s="73">
        <f>IFERROR(IF(M40="",0,N40/M40),0)</f>
        <v>0</v>
      </c>
      <c r="P40" s="73">
        <f>SUM(P37:P39)*$G35</f>
        <v>0</v>
      </c>
      <c r="Q40" s="28"/>
      <c r="R40" s="72">
        <f>SUM(R37:R39)</f>
        <v>0</v>
      </c>
      <c r="S40" s="72">
        <f>SUM(S37:S39)</f>
        <v>0</v>
      </c>
      <c r="T40" s="73">
        <f>IFERROR(IF(R40="",0,S40/R40),0)</f>
        <v>0</v>
      </c>
      <c r="U40" s="73">
        <f>SUM(U37:U39)*$G35</f>
        <v>0</v>
      </c>
      <c r="V40" s="28"/>
      <c r="W40" s="72">
        <f>SUM(W37:W39)</f>
        <v>0</v>
      </c>
      <c r="X40" s="72">
        <f>SUM(X37:X39)</f>
        <v>0</v>
      </c>
      <c r="Y40" s="73">
        <f>IFERROR(IF(W40="",0,X40/W40),0)</f>
        <v>0</v>
      </c>
      <c r="Z40" s="73">
        <f>SUM(Z37:Z39)*$G35</f>
        <v>0</v>
      </c>
      <c r="AA40" s="28"/>
      <c r="AB40" s="72">
        <f>SUM(AB37:AB39)</f>
        <v>0</v>
      </c>
      <c r="AC40" s="72">
        <f>SUM(AC37:AC39)</f>
        <v>0</v>
      </c>
      <c r="AD40" s="73">
        <f>IFERROR(IF(AB40="",0,AC40/AB40),0)</f>
        <v>0</v>
      </c>
      <c r="AE40" s="73">
        <f>SUM(AE37:AE39)*$G35</f>
        <v>0</v>
      </c>
      <c r="AF40" s="66"/>
      <c r="AG40" s="72">
        <f>SUM(AG37:AG39)</f>
        <v>0</v>
      </c>
      <c r="AH40" s="72">
        <f>SUM(AH37:AH39)</f>
        <v>0</v>
      </c>
      <c r="AI40" s="73">
        <f>IFERROR(IF(AG40="",0,AH40/AG40),0)</f>
        <v>0</v>
      </c>
      <c r="AJ40" s="73">
        <f>SUM(AJ37:AJ39)*$G35</f>
        <v>0</v>
      </c>
      <c r="AK40" s="66"/>
      <c r="AL40" s="69">
        <f>SUM(AL37:AL39)</f>
        <v>0</v>
      </c>
      <c r="AM40" s="69">
        <f>SUM(AM37:AM39)</f>
        <v>0</v>
      </c>
      <c r="AN40" s="73">
        <f>IFERROR(IF(AL40="",0,AM40/AL40),0)</f>
        <v>0</v>
      </c>
      <c r="AO40" s="73">
        <f>SUM(AO37:AO39)*$G35</f>
        <v>0</v>
      </c>
      <c r="AP40" s="66"/>
      <c r="AQ40" s="69">
        <f>SUM(AQ37:AQ39)</f>
        <v>0</v>
      </c>
      <c r="AR40" s="69">
        <f>SUM(AR37:AR39)</f>
        <v>0</v>
      </c>
      <c r="AS40" s="73">
        <f>IFERROR(IF(AQ40="",0,AR40/AQ40),0)</f>
        <v>0</v>
      </c>
      <c r="AT40" s="73">
        <f>SUM(AT37:AT39)*$G35</f>
        <v>0</v>
      </c>
      <c r="AU40" s="66"/>
      <c r="AV40" s="69">
        <f>SUM(AV37:AV39)</f>
        <v>0</v>
      </c>
      <c r="AW40" s="69">
        <f>SUM(AW37:AW39)</f>
        <v>0</v>
      </c>
      <c r="AX40" s="73">
        <f>IFERROR(IF(AV40="",0,AW40/AV40),0)</f>
        <v>0</v>
      </c>
      <c r="AY40" s="73">
        <f>SUM(AY37:AY39)*$G35</f>
        <v>0</v>
      </c>
      <c r="AZ40" s="66"/>
      <c r="BA40" s="69">
        <f>SUM(BA37:BA39)</f>
        <v>0</v>
      </c>
      <c r="BB40" s="69">
        <f>SUM(BB37:BB39)</f>
        <v>0</v>
      </c>
      <c r="BC40" s="73">
        <f>IFERROR(IF(BA40="",0,BB40/BA40),0)</f>
        <v>0</v>
      </c>
      <c r="BD40" s="73">
        <f>SUM(BD37:BD39)*$G35</f>
        <v>0</v>
      </c>
      <c r="BE40" s="66"/>
      <c r="BF40" s="69">
        <f>SUM(BF37:BF39)</f>
        <v>45</v>
      </c>
      <c r="BG40" s="69">
        <f>SUM(BG37:BG39)</f>
        <v>0</v>
      </c>
      <c r="BH40" s="73">
        <f>IFERROR(IF(BF40="",0,BG40/BF40),0)</f>
        <v>0</v>
      </c>
      <c r="BI40" s="73">
        <f>SUM(BI37:BI39)*$G35</f>
        <v>0</v>
      </c>
      <c r="BJ40" s="66"/>
      <c r="BK40" s="69">
        <f>SUM(BK37:BK39)</f>
        <v>35</v>
      </c>
      <c r="BL40" s="69">
        <f>SUM(BL37:BL39)</f>
        <v>0</v>
      </c>
      <c r="BM40" s="73">
        <f>IFERROR(IF(BK40="",0,BL40/BK40),0)</f>
        <v>0</v>
      </c>
      <c r="BN40" s="73">
        <f>SUM(BN37:BN39)*$G35</f>
        <v>0</v>
      </c>
      <c r="BO40" s="66"/>
      <c r="BP40" s="69">
        <f>SUM(BP37:BP39)</f>
        <v>0</v>
      </c>
      <c r="BQ40" s="69">
        <f>SUM(BQ37:BQ39)</f>
        <v>0</v>
      </c>
      <c r="BR40" s="73">
        <f>IFERROR(IF(BP40="",0,BQ40/BP40),0)</f>
        <v>0</v>
      </c>
      <c r="BS40" s="73">
        <f>SUM(BS37:BS39)*$G35</f>
        <v>0</v>
      </c>
      <c r="BT40" s="66"/>
      <c r="BU40" s="69">
        <f>SUM(BU37:BU39)</f>
        <v>5</v>
      </c>
      <c r="BV40" s="69">
        <f>SUM(BV37:BV39)</f>
        <v>0</v>
      </c>
      <c r="BW40" s="73">
        <f>IFERROR(IF(BU40="",0,BV40/BU40),0)</f>
        <v>0</v>
      </c>
      <c r="BX40" s="73">
        <f>SUM(BX37:BX39)*$G35</f>
        <v>0</v>
      </c>
      <c r="BY40" s="66"/>
      <c r="BZ40" s="69">
        <f>SUM(BZ37:BZ39)</f>
        <v>85</v>
      </c>
      <c r="CA40" s="69">
        <f>SUM(CA37:CA39)</f>
        <v>0</v>
      </c>
      <c r="CB40" s="24">
        <f>IF(BZ40=0,0,CA40/BZ40)</f>
        <v>0</v>
      </c>
      <c r="CC40" s="73">
        <f>SUM(CC37:CC39)</f>
        <v>0</v>
      </c>
      <c r="CD40" s="27"/>
    </row>
    <row r="41" spans="2:84" s="21" customFormat="1" ht="30" customHeight="1" x14ac:dyDescent="0.25">
      <c r="B41" s="17">
        <v>5</v>
      </c>
      <c r="C41" s="18" t="s">
        <v>74</v>
      </c>
      <c r="D41" s="37" t="s">
        <v>136</v>
      </c>
      <c r="E41" s="17"/>
      <c r="F41" s="82"/>
      <c r="G41" s="19">
        <v>0.15</v>
      </c>
      <c r="H41" s="483"/>
      <c r="I41" s="484"/>
      <c r="J41" s="484"/>
      <c r="K41" s="484"/>
      <c r="L41" s="485"/>
      <c r="M41" s="483"/>
      <c r="N41" s="484"/>
      <c r="O41" s="484"/>
      <c r="P41" s="484"/>
      <c r="Q41" s="485"/>
      <c r="R41" s="483"/>
      <c r="S41" s="484"/>
      <c r="T41" s="484"/>
      <c r="U41" s="484"/>
      <c r="V41" s="485"/>
      <c r="W41" s="483"/>
      <c r="X41" s="484"/>
      <c r="Y41" s="484"/>
      <c r="Z41" s="484"/>
      <c r="AA41" s="485"/>
      <c r="AB41" s="81"/>
      <c r="AC41" s="81"/>
      <c r="AD41" s="81"/>
      <c r="AE41" s="81"/>
      <c r="AF41" s="81"/>
      <c r="AG41" s="81"/>
      <c r="AH41" s="81"/>
      <c r="AI41" s="81"/>
      <c r="AJ41" s="81"/>
      <c r="AK41" s="81"/>
      <c r="AL41" s="81"/>
      <c r="AM41" s="81"/>
      <c r="AN41" s="81"/>
      <c r="AO41" s="81"/>
      <c r="AP41" s="81"/>
      <c r="AQ41" s="81"/>
      <c r="AR41" s="81"/>
      <c r="AS41" s="81"/>
      <c r="AT41" s="81"/>
      <c r="AU41" s="81"/>
      <c r="AV41" s="81"/>
      <c r="AW41" s="81"/>
      <c r="AX41" s="81"/>
      <c r="AY41" s="81"/>
      <c r="AZ41" s="81"/>
      <c r="BA41" s="81"/>
      <c r="BB41" s="81"/>
      <c r="BC41" s="81"/>
      <c r="BD41" s="81"/>
      <c r="BE41" s="81"/>
      <c r="BF41" s="81"/>
      <c r="BG41" s="81"/>
      <c r="BH41" s="81"/>
      <c r="BI41" s="81"/>
      <c r="BJ41" s="81"/>
      <c r="BK41" s="81"/>
      <c r="BL41" s="81"/>
      <c r="BM41" s="81"/>
      <c r="BN41" s="81"/>
      <c r="BO41" s="81"/>
      <c r="BP41" s="81"/>
      <c r="BQ41" s="81"/>
      <c r="BR41" s="81"/>
      <c r="BS41" s="81"/>
      <c r="BT41" s="81"/>
      <c r="BU41" s="81"/>
      <c r="BV41" s="81"/>
      <c r="BW41" s="81"/>
      <c r="BX41" s="81"/>
      <c r="BY41" s="81"/>
      <c r="BZ41" s="487"/>
      <c r="CA41" s="487"/>
      <c r="CB41" s="487"/>
      <c r="CC41" s="82"/>
      <c r="CD41" s="27"/>
    </row>
    <row r="42" spans="2:84" ht="41.25" customHeight="1" x14ac:dyDescent="0.25">
      <c r="B42" s="99" t="s">
        <v>62</v>
      </c>
      <c r="C42" s="97" t="s">
        <v>77</v>
      </c>
      <c r="D42" s="51" t="s">
        <v>173</v>
      </c>
      <c r="E42" s="40">
        <v>1</v>
      </c>
      <c r="F42" s="40" t="s">
        <v>145</v>
      </c>
      <c r="G42" s="89">
        <v>0.2</v>
      </c>
      <c r="H42" s="80">
        <v>1</v>
      </c>
      <c r="I42" s="80"/>
      <c r="J42" s="24">
        <f t="shared" ref="J42:J44" si="211">IF(H42="",0,I42/H42)</f>
        <v>0</v>
      </c>
      <c r="K42" s="24"/>
      <c r="L42" s="38"/>
      <c r="M42" s="80"/>
      <c r="N42" s="80"/>
      <c r="O42" s="73">
        <f t="shared" ref="O42:O43" si="212">IFERROR(IF(M42="",0,N42/M42),0)</f>
        <v>0</v>
      </c>
      <c r="P42" s="24"/>
      <c r="Q42" s="26"/>
      <c r="R42" s="80"/>
      <c r="S42" s="80"/>
      <c r="T42" s="24">
        <f t="shared" ref="T42" si="213">IF(R42="",0,S42/R42)</f>
        <v>0</v>
      </c>
      <c r="U42" s="24"/>
      <c r="V42" s="25"/>
      <c r="W42" s="80"/>
      <c r="X42" s="80"/>
      <c r="Y42" s="24">
        <f t="shared" ref="Y42" si="214">IF(W42="",0,X42/W42)</f>
        <v>0</v>
      </c>
      <c r="Z42" s="24"/>
      <c r="AA42" s="25"/>
      <c r="AB42" s="25"/>
      <c r="AC42" s="25"/>
      <c r="AD42" s="24">
        <f t="shared" ref="AD42" si="215">IF(AB42="",0,AC42/AB42)</f>
        <v>0</v>
      </c>
      <c r="AE42" s="24"/>
      <c r="AF42" s="25"/>
      <c r="AG42" s="25"/>
      <c r="AH42" s="25"/>
      <c r="AI42" s="24">
        <f t="shared" ref="AI42" si="216">IF(AG42="",0,AH42/AG42)</f>
        <v>0</v>
      </c>
      <c r="AJ42" s="24"/>
      <c r="AK42" s="25"/>
      <c r="AL42" s="25"/>
      <c r="AM42" s="25"/>
      <c r="AN42" s="24">
        <f t="shared" ref="AN42" si="217">IF(AL42="",0,AM42/AL42)</f>
        <v>0</v>
      </c>
      <c r="AO42" s="24"/>
      <c r="AP42" s="25"/>
      <c r="AQ42" s="25"/>
      <c r="AR42" s="25"/>
      <c r="AS42" s="24">
        <f t="shared" ref="AS42" si="218">IF(AQ42="",0,AR42/AQ42)</f>
        <v>0</v>
      </c>
      <c r="AT42" s="24"/>
      <c r="AU42" s="25"/>
      <c r="AV42" s="25"/>
      <c r="AW42" s="25"/>
      <c r="AX42" s="24">
        <f t="shared" ref="AX42" si="219">IF(AV42="",0,AW42/AV42)</f>
        <v>0</v>
      </c>
      <c r="AY42" s="24">
        <f>IFERROR(IF(AV42="",0,($G42*(AW42/$E42))),0)</f>
        <v>0</v>
      </c>
      <c r="AZ42" s="25"/>
      <c r="BA42" s="25"/>
      <c r="BB42" s="25"/>
      <c r="BC42" s="24">
        <f t="shared" ref="BC42" si="220">IF(BA42="",0,BB42/BA42)</f>
        <v>0</v>
      </c>
      <c r="BD42" s="24">
        <f>IFERROR(IF(BA42="",0,($G42*(BB42/$E42))),0)</f>
        <v>0</v>
      </c>
      <c r="BE42" s="25"/>
      <c r="BF42" s="25"/>
      <c r="BG42" s="25"/>
      <c r="BH42" s="24">
        <f t="shared" ref="BH42" si="221">IF(BF42="",0,BG42/BF42)</f>
        <v>0</v>
      </c>
      <c r="BI42" s="24">
        <f>IFERROR(IF(BF42="",0,($G42*(BG42/$E42))),0)</f>
        <v>0</v>
      </c>
      <c r="BJ42" s="25"/>
      <c r="BK42" s="25"/>
      <c r="BL42" s="25"/>
      <c r="BM42" s="24">
        <f t="shared" ref="BM42" si="222">IF(BK42="",0,BL42/BK42)</f>
        <v>0</v>
      </c>
      <c r="BN42" s="24">
        <f>IFERROR(IF(BK42="",0,($G42*(BL42/$E42))),0)</f>
        <v>0</v>
      </c>
      <c r="BO42" s="25"/>
      <c r="BP42" s="25"/>
      <c r="BQ42" s="25"/>
      <c r="BR42" s="24">
        <f t="shared" ref="BR42:BR44" si="223">IF(BP42="",0,BQ42/BP42)</f>
        <v>0</v>
      </c>
      <c r="BS42" s="24">
        <f>IFERROR(IF(BP42="",0,($G42*(BQ42/$E42))),0)</f>
        <v>0</v>
      </c>
      <c r="BT42" s="25"/>
      <c r="BU42" s="25"/>
      <c r="BV42" s="25"/>
      <c r="BW42" s="24">
        <f t="shared" ref="BW42" si="224">IF(BU42="",0,BV42/BU42)</f>
        <v>0</v>
      </c>
      <c r="BX42" s="24">
        <f>IFERROR(IF(BU42="",0,($G42*(BV42/$E42))),0)</f>
        <v>0</v>
      </c>
      <c r="BY42" s="25"/>
      <c r="BZ42" s="59">
        <f>H42+M42+R42+W42+AB42+AG42+AL42+AQ42+AV42+BA42+BF42+BK42+BP42+BU42</f>
        <v>1</v>
      </c>
      <c r="CA42" s="59">
        <f>I42+N42+S42+X42+AC42+AH42+AM42+AR42+AW42+BB42+BG42+BL42+BQ42+BV42</f>
        <v>0</v>
      </c>
      <c r="CB42" s="24">
        <f t="shared" ref="CB42" si="225">IF(BZ42=0,0,CA42/BZ42)</f>
        <v>0</v>
      </c>
      <c r="CC42" s="24">
        <f t="shared" ref="CC42" si="226">IFERROR(IF(BZ42="",0,($G42*(CA42/$E42))),0)</f>
        <v>0</v>
      </c>
      <c r="CD42" s="27"/>
      <c r="CE42" s="41"/>
      <c r="CF42" s="41"/>
    </row>
    <row r="43" spans="2:84" ht="74.25" customHeight="1" x14ac:dyDescent="0.25">
      <c r="B43" s="99" t="s">
        <v>177</v>
      </c>
      <c r="C43" s="97" t="s">
        <v>174</v>
      </c>
      <c r="D43" s="51" t="s">
        <v>468</v>
      </c>
      <c r="E43" s="40">
        <v>12</v>
      </c>
      <c r="F43" s="40" t="s">
        <v>135</v>
      </c>
      <c r="G43" s="22">
        <v>0.8</v>
      </c>
      <c r="H43" s="80"/>
      <c r="I43" s="80"/>
      <c r="J43" s="24">
        <f t="shared" si="211"/>
        <v>0</v>
      </c>
      <c r="K43" s="24">
        <f>IFERROR(IF(H43="",0,($G43*(I43/$E43))),0)</f>
        <v>0</v>
      </c>
      <c r="L43" s="38"/>
      <c r="M43" s="80"/>
      <c r="N43" s="80"/>
      <c r="O43" s="73">
        <f t="shared" si="212"/>
        <v>0</v>
      </c>
      <c r="P43" s="24">
        <f>IFERROR(IF(M43="",0,($G43*(N43/$E43))),0)</f>
        <v>0</v>
      </c>
      <c r="Q43" s="26"/>
      <c r="R43" s="80"/>
      <c r="S43" s="80"/>
      <c r="T43" s="24">
        <f t="shared" ref="T43:T44" si="227">IF(R43="",0,S43/R43)</f>
        <v>0</v>
      </c>
      <c r="U43" s="24">
        <f>IFERROR(IF(R43="",0,($G43*(S43/$E43))),0)</f>
        <v>0</v>
      </c>
      <c r="V43" s="25"/>
      <c r="W43" s="80">
        <v>2</v>
      </c>
      <c r="X43" s="80"/>
      <c r="Y43" s="24">
        <f t="shared" ref="Y43:Y44" si="228">IF(W43="",0,X43/W43)</f>
        <v>0</v>
      </c>
      <c r="Z43" s="24">
        <f>IFERROR(IF(W43="",0,($G43*(X43/$E43))),0)</f>
        <v>0</v>
      </c>
      <c r="AA43" s="25"/>
      <c r="AB43" s="25">
        <v>2</v>
      </c>
      <c r="AC43" s="25"/>
      <c r="AD43" s="24">
        <f t="shared" ref="AD43:AD44" si="229">IF(AB43="",0,AC43/AB43)</f>
        <v>0</v>
      </c>
      <c r="AE43" s="24">
        <f>IFERROR(IF(AB43="",0,($G43*(AC43/$E43))),0)</f>
        <v>0</v>
      </c>
      <c r="AF43" s="58"/>
      <c r="AG43" s="25"/>
      <c r="AH43" s="25"/>
      <c r="AI43" s="24">
        <f t="shared" ref="AI43:AI44" si="230">IF(AG43="",0,AH43/AG43)</f>
        <v>0</v>
      </c>
      <c r="AJ43" s="24">
        <f>IFERROR(IF(AG43="",0,($G43*(AH43/$E43))),0)</f>
        <v>0</v>
      </c>
      <c r="AK43" s="58"/>
      <c r="AL43" s="25"/>
      <c r="AM43" s="25"/>
      <c r="AN43" s="24">
        <f t="shared" ref="AN43:AN44" si="231">IF(AL43="",0,AM43/AL43)</f>
        <v>0</v>
      </c>
      <c r="AO43" s="24">
        <f>IFERROR(IF(AL43="",0,($G43*(AM43/$E43))),0)</f>
        <v>0</v>
      </c>
      <c r="AP43" s="58"/>
      <c r="AQ43" s="25"/>
      <c r="AR43" s="25"/>
      <c r="AS43" s="24">
        <f t="shared" ref="AS43:AS44" si="232">IF(AQ43="",0,AR43/AQ43)</f>
        <v>0</v>
      </c>
      <c r="AT43" s="24">
        <f>IFERROR(IF(AQ43="",0,($G43*(AR43/$E43))),0)</f>
        <v>0</v>
      </c>
      <c r="AU43" s="58"/>
      <c r="AV43" s="25">
        <v>2</v>
      </c>
      <c r="AW43" s="25"/>
      <c r="AX43" s="24">
        <f t="shared" ref="AX43:AX44" si="233">IF(AV43="",0,AW43/AV43)</f>
        <v>0</v>
      </c>
      <c r="AY43" s="24">
        <f>IFERROR(IF(AV43="",0,($G43*(AW43/$E43))),0)</f>
        <v>0</v>
      </c>
      <c r="AZ43" s="58"/>
      <c r="BA43" s="25">
        <v>2</v>
      </c>
      <c r="BB43" s="25"/>
      <c r="BC43" s="24">
        <f t="shared" ref="BC43:BC44" si="234">IF(BA43="",0,BB43/BA43)</f>
        <v>0</v>
      </c>
      <c r="BD43" s="24">
        <f>IFERROR(IF(BA43="",0,($G43*(BB43/$E43))),0)</f>
        <v>0</v>
      </c>
      <c r="BE43" s="67"/>
      <c r="BF43" s="25"/>
      <c r="BG43" s="25"/>
      <c r="BH43" s="24">
        <f t="shared" ref="BH43:BH44" si="235">IF(BF43="",0,BG43/BF43)</f>
        <v>0</v>
      </c>
      <c r="BI43" s="24">
        <f>IFERROR(IF(BF43="",0,($G43*(BG43/$E43))),0)</f>
        <v>0</v>
      </c>
      <c r="BJ43" s="58"/>
      <c r="BK43" s="25">
        <v>2</v>
      </c>
      <c r="BL43" s="25"/>
      <c r="BM43" s="24">
        <f t="shared" ref="BM43:BM44" si="236">IF(BK43="",0,BL43/BK43)</f>
        <v>0</v>
      </c>
      <c r="BN43" s="24">
        <f>IFERROR(IF(BK43="",0,($G43*(BL43/$E43))),0)</f>
        <v>0</v>
      </c>
      <c r="BO43" s="58"/>
      <c r="BP43" s="25">
        <v>2</v>
      </c>
      <c r="BQ43" s="25"/>
      <c r="BR43" s="24">
        <f t="shared" si="223"/>
        <v>0</v>
      </c>
      <c r="BS43" s="24">
        <f>IFERROR(IF(BP43="",0,($G43*(BQ43/$E43))),0)</f>
        <v>0</v>
      </c>
      <c r="BT43" s="58"/>
      <c r="BU43" s="25"/>
      <c r="BV43" s="25"/>
      <c r="BW43" s="24">
        <f t="shared" ref="BW43:BW44" si="237">IF(BU43="",0,BV43/BU43)</f>
        <v>0</v>
      </c>
      <c r="BX43" s="24">
        <f>IFERROR(IF(BU43="",0,($G43*(BV43/$E43))),0)</f>
        <v>0</v>
      </c>
      <c r="BY43" s="58"/>
      <c r="BZ43" s="59">
        <f>H43+M43+R43+W43+AB43+AG43+AL43+AQ43+AV43+BA43+BF43+BK43+BP43+BU43</f>
        <v>12</v>
      </c>
      <c r="CA43" s="59">
        <f>I43+N43+S43+X43+AC43+AH43+AM43+AR43+AW43+BB43+BG43+BL43+BQ43+BV43</f>
        <v>0</v>
      </c>
      <c r="CB43" s="24">
        <f t="shared" ref="CB43:CB44" si="238">IF(BZ43=0,0,CA43/BZ43)</f>
        <v>0</v>
      </c>
      <c r="CC43" s="24">
        <f t="shared" ref="CC43:CC44" si="239">IFERROR(IF(BZ43="",0,($G43*(CA43/$E43))),0)</f>
        <v>0</v>
      </c>
      <c r="CD43" s="27"/>
      <c r="CE43" s="41"/>
      <c r="CF43" s="41"/>
    </row>
    <row r="44" spans="2:84" ht="35.25" customHeight="1" x14ac:dyDescent="0.25">
      <c r="B44" s="99" t="s">
        <v>178</v>
      </c>
      <c r="C44" s="97" t="s">
        <v>175</v>
      </c>
      <c r="D44" s="85" t="s">
        <v>467</v>
      </c>
      <c r="E44" s="40">
        <v>12</v>
      </c>
      <c r="F44" s="40" t="s">
        <v>176</v>
      </c>
      <c r="G44" s="89">
        <v>0.1</v>
      </c>
      <c r="H44" s="80"/>
      <c r="I44" s="80"/>
      <c r="J44" s="24">
        <f t="shared" si="211"/>
        <v>0</v>
      </c>
      <c r="K44" s="24">
        <f t="shared" ref="K44" si="240">IFERROR(IF(H44="",0,($G44*(I44/$E44))),0)</f>
        <v>0</v>
      </c>
      <c r="L44" s="38"/>
      <c r="M44" s="80"/>
      <c r="N44" s="80"/>
      <c r="O44" s="24">
        <f t="shared" ref="O44" si="241">IF(M44="",0,N44/M44)</f>
        <v>0</v>
      </c>
      <c r="P44" s="24">
        <f t="shared" ref="P44" si="242">IFERROR(IF(M44="",0,($G44*(N44/$E44))),0)</f>
        <v>0</v>
      </c>
      <c r="Q44" s="38"/>
      <c r="R44" s="80"/>
      <c r="S44" s="80"/>
      <c r="T44" s="24">
        <f t="shared" si="227"/>
        <v>0</v>
      </c>
      <c r="U44" s="24">
        <f t="shared" ref="U44" si="243">IFERROR(IF(R44="",0,($G44*(S44/$E44))),0)</f>
        <v>0</v>
      </c>
      <c r="V44" s="38"/>
      <c r="W44" s="80">
        <v>2</v>
      </c>
      <c r="X44" s="80"/>
      <c r="Y44" s="24">
        <f t="shared" si="228"/>
        <v>0</v>
      </c>
      <c r="Z44" s="24">
        <f t="shared" ref="Z44" si="244">IFERROR(IF(W44="",0,($G44*(X44/$E44))),0)</f>
        <v>0</v>
      </c>
      <c r="AA44" s="40"/>
      <c r="AB44" s="25">
        <v>2</v>
      </c>
      <c r="AC44" s="25"/>
      <c r="AD44" s="24">
        <f t="shared" si="229"/>
        <v>0</v>
      </c>
      <c r="AE44" s="24">
        <f t="shared" ref="AE44" si="245">IFERROR(IF(AB44="",0,($G44*(AC44/$E44))),0)</f>
        <v>0</v>
      </c>
      <c r="AF44" s="58"/>
      <c r="AG44" s="25"/>
      <c r="AH44" s="25"/>
      <c r="AI44" s="24">
        <f t="shared" si="230"/>
        <v>0</v>
      </c>
      <c r="AJ44" s="24">
        <f t="shared" ref="AJ44" si="246">IFERROR(IF(AG44="",0,($G44*(AH44/$E44))),0)</f>
        <v>0</v>
      </c>
      <c r="AK44" s="58"/>
      <c r="AL44" s="25"/>
      <c r="AM44" s="25"/>
      <c r="AN44" s="24">
        <f t="shared" si="231"/>
        <v>0</v>
      </c>
      <c r="AO44" s="24">
        <f t="shared" ref="AO44" si="247">IFERROR(IF(AL44="",0,($G44*(AM44/$E44))),0)</f>
        <v>0</v>
      </c>
      <c r="AP44" s="58"/>
      <c r="AQ44" s="25"/>
      <c r="AR44" s="25"/>
      <c r="AS44" s="24">
        <f t="shared" si="232"/>
        <v>0</v>
      </c>
      <c r="AT44" s="24">
        <f t="shared" ref="AT44" si="248">IFERROR(IF(AQ44="",0,($G44*(AR44/$E44))),0)</f>
        <v>0</v>
      </c>
      <c r="AU44" s="58"/>
      <c r="AV44" s="25">
        <v>2</v>
      </c>
      <c r="AW44" s="25"/>
      <c r="AX44" s="24">
        <f t="shared" si="233"/>
        <v>0</v>
      </c>
      <c r="AY44" s="24">
        <f t="shared" ref="AY44" si="249">IFERROR(IF(AV44="",0,($G44*(AW44/$E44))),0)</f>
        <v>0</v>
      </c>
      <c r="AZ44" s="58"/>
      <c r="BA44" s="25">
        <v>2</v>
      </c>
      <c r="BB44" s="25"/>
      <c r="BC44" s="24">
        <f t="shared" si="234"/>
        <v>0</v>
      </c>
      <c r="BD44" s="24">
        <f t="shared" ref="BD44" si="250">IFERROR(IF(BA44="",0,($G44*(BB44/$E44))),0)</f>
        <v>0</v>
      </c>
      <c r="BE44" s="58"/>
      <c r="BF44" s="25"/>
      <c r="BG44" s="25"/>
      <c r="BH44" s="24">
        <f t="shared" si="235"/>
        <v>0</v>
      </c>
      <c r="BI44" s="24">
        <f t="shared" ref="BI44" si="251">IFERROR(IF(BF44="",0,($G44*(BG44/$E44))),0)</f>
        <v>0</v>
      </c>
      <c r="BJ44" s="58"/>
      <c r="BK44" s="25">
        <v>2</v>
      </c>
      <c r="BL44" s="25"/>
      <c r="BM44" s="24">
        <f t="shared" si="236"/>
        <v>0</v>
      </c>
      <c r="BN44" s="24">
        <f t="shared" ref="BN44" si="252">IFERROR(IF(BK44="",0,($G44*(BL44/$E44))),0)</f>
        <v>0</v>
      </c>
      <c r="BO44" s="58"/>
      <c r="BP44" s="25">
        <v>2</v>
      </c>
      <c r="BQ44" s="25"/>
      <c r="BR44" s="24">
        <f t="shared" si="223"/>
        <v>0</v>
      </c>
      <c r="BS44" s="24">
        <f t="shared" ref="BS44" si="253">IFERROR(IF(BP44="",0,($G44*(BQ44/$E44))),0)</f>
        <v>0</v>
      </c>
      <c r="BT44" s="58"/>
      <c r="BU44" s="25"/>
      <c r="BV44" s="25"/>
      <c r="BW44" s="24">
        <f t="shared" si="237"/>
        <v>0</v>
      </c>
      <c r="BX44" s="24">
        <f t="shared" ref="BX44" si="254">IFERROR(IF(BU44="",0,($G44*(BV44/$E44))),0)</f>
        <v>0</v>
      </c>
      <c r="BY44" s="58"/>
      <c r="BZ44" s="59">
        <f t="shared" ref="BZ44" si="255">H44+M44+R44+W44+AB44+AG44+AL44+AQ44+AV44+BA44+BF44+BK44+BP44+BU44</f>
        <v>12</v>
      </c>
      <c r="CA44" s="59">
        <f t="shared" ref="CA44" si="256">I44+N44+S44+X44+AC44+AH44+AM44+AR44+AW44+BB44+BG44+BL44+BQ44+BV44</f>
        <v>0</v>
      </c>
      <c r="CB44" s="24">
        <f t="shared" si="238"/>
        <v>0</v>
      </c>
      <c r="CC44" s="24">
        <f t="shared" si="239"/>
        <v>0</v>
      </c>
      <c r="CD44" s="27"/>
      <c r="CE44" s="41"/>
    </row>
    <row r="45" spans="2:84" s="21" customFormat="1" ht="30" customHeight="1" x14ac:dyDescent="0.25">
      <c r="B45" s="72"/>
      <c r="C45" s="29" t="s">
        <v>96</v>
      </c>
      <c r="D45" s="30"/>
      <c r="E45" s="72">
        <f>SUM(E42:E44)</f>
        <v>25</v>
      </c>
      <c r="F45" s="72"/>
      <c r="G45" s="73">
        <f>SUM(G42:G43)</f>
        <v>1</v>
      </c>
      <c r="H45" s="72">
        <f>SUM(H42:H44)</f>
        <v>1</v>
      </c>
      <c r="I45" s="72">
        <f>SUM(I42:I44)</f>
        <v>0</v>
      </c>
      <c r="J45" s="73">
        <f>IFERROR(IF(H45="",0,I45/H45),0)</f>
        <v>0</v>
      </c>
      <c r="K45" s="87">
        <f>SUM(K42:K44)</f>
        <v>0</v>
      </c>
      <c r="L45" s="96"/>
      <c r="M45" s="96">
        <f>SUM(M42:M44)</f>
        <v>0</v>
      </c>
      <c r="N45" s="96">
        <f>SUM(N42:N44)</f>
        <v>0</v>
      </c>
      <c r="O45" s="73">
        <f>IFERROR(IF(M45="",0,N45/M45),0)</f>
        <v>0</v>
      </c>
      <c r="P45" s="87">
        <f>SUM(P42:P44)</f>
        <v>0</v>
      </c>
      <c r="Q45" s="96"/>
      <c r="R45" s="96">
        <f>SUM(R42:R44)</f>
        <v>0</v>
      </c>
      <c r="S45" s="96">
        <f>SUM(S42:S44)</f>
        <v>0</v>
      </c>
      <c r="T45" s="73">
        <f>IFERROR(IF(R45="",0,S45/R45),0)</f>
        <v>0</v>
      </c>
      <c r="U45" s="87">
        <f>SUM(U42:U44)</f>
        <v>0</v>
      </c>
      <c r="V45" s="96"/>
      <c r="W45" s="96">
        <f>SUM(W42:W44)</f>
        <v>4</v>
      </c>
      <c r="X45" s="96">
        <f>SUM(X42:X44)</f>
        <v>0</v>
      </c>
      <c r="Y45" s="73">
        <f>IFERROR(IF(W45="",0,X45/W45),0)</f>
        <v>0</v>
      </c>
      <c r="Z45" s="87">
        <f>SUM(Z42:Z44)</f>
        <v>0</v>
      </c>
      <c r="AA45" s="96"/>
      <c r="AB45" s="96">
        <f>SUM(AB42:AB44)</f>
        <v>4</v>
      </c>
      <c r="AC45" s="96">
        <f>SUM(AC42:AC44)</f>
        <v>0</v>
      </c>
      <c r="AD45" s="73">
        <f>IFERROR(IF(AB45="",0,AC45/AB45),0)</f>
        <v>0</v>
      </c>
      <c r="AE45" s="87">
        <f>SUM(AE42:AE44)</f>
        <v>0</v>
      </c>
      <c r="AF45" s="96"/>
      <c r="AG45" s="96">
        <f>SUM(AG42:AG44)</f>
        <v>0</v>
      </c>
      <c r="AH45" s="96">
        <f>SUM(AH42:AH44)</f>
        <v>0</v>
      </c>
      <c r="AI45" s="73">
        <f>IFERROR(IF(AG45="",0,AH45/AG45),0)</f>
        <v>0</v>
      </c>
      <c r="AJ45" s="87">
        <f>SUM(AJ42:AJ44)</f>
        <v>0</v>
      </c>
      <c r="AK45" s="96"/>
      <c r="AL45" s="96">
        <f>SUM(AL42:AL44)</f>
        <v>0</v>
      </c>
      <c r="AM45" s="96">
        <f>SUM(AM42:AM44)</f>
        <v>0</v>
      </c>
      <c r="AN45" s="73">
        <f>IFERROR(IF(AL45="",0,AM45/AL45),0)</f>
        <v>0</v>
      </c>
      <c r="AO45" s="87">
        <f>SUM(AO42:AO44)</f>
        <v>0</v>
      </c>
      <c r="AP45" s="96"/>
      <c r="AQ45" s="96">
        <f>SUM(AQ42:AQ44)</f>
        <v>0</v>
      </c>
      <c r="AR45" s="96">
        <f>SUM(AR42:AR44)</f>
        <v>0</v>
      </c>
      <c r="AS45" s="73">
        <f>IFERROR(IF(AQ45="",0,AR45/AQ45),0)</f>
        <v>0</v>
      </c>
      <c r="AT45" s="87">
        <f>SUM(AT42:AT44)</f>
        <v>0</v>
      </c>
      <c r="AU45" s="96"/>
      <c r="AV45" s="96">
        <f>SUM(AV42:AV44)</f>
        <v>4</v>
      </c>
      <c r="AW45" s="96">
        <f>SUM(AW42:AW44)</f>
        <v>0</v>
      </c>
      <c r="AX45" s="73">
        <f>IFERROR(IF(AV45="",0,AW45/AV45),0)</f>
        <v>0</v>
      </c>
      <c r="AY45" s="87">
        <f>SUM(AY42:AY44)</f>
        <v>0</v>
      </c>
      <c r="AZ45" s="96"/>
      <c r="BA45" s="101">
        <f>SUM(BA42:BA44)</f>
        <v>4</v>
      </c>
      <c r="BB45" s="101">
        <f>SUM(BB42:BB44)</f>
        <v>0</v>
      </c>
      <c r="BC45" s="73">
        <f>IFERROR(IF(BA45="",0,BB45/BA45),0)</f>
        <v>0</v>
      </c>
      <c r="BD45" s="87">
        <f>SUM(BD42:BD44)</f>
        <v>0</v>
      </c>
      <c r="BE45" s="96"/>
      <c r="BF45" s="101">
        <f>SUM(BF42:BF44)</f>
        <v>0</v>
      </c>
      <c r="BG45" s="101">
        <f>SUM(BG42:BG44)</f>
        <v>0</v>
      </c>
      <c r="BH45" s="73">
        <f>IFERROR(IF(BF45="",0,BG45/BF45),0)</f>
        <v>0</v>
      </c>
      <c r="BI45" s="87">
        <f>SUM(BI42:BI44)</f>
        <v>0</v>
      </c>
      <c r="BJ45" s="96"/>
      <c r="BK45" s="101">
        <f>SUM(BK42:BK44)</f>
        <v>4</v>
      </c>
      <c r="BL45" s="101">
        <f>SUM(BL42:BL44)</f>
        <v>0</v>
      </c>
      <c r="BM45" s="73">
        <f>IFERROR(IF(BK45="",0,BL45/BK45),0)</f>
        <v>0</v>
      </c>
      <c r="BN45" s="87">
        <f>SUM(BN42:BN44)</f>
        <v>0</v>
      </c>
      <c r="BO45" s="96"/>
      <c r="BP45" s="101">
        <f>SUM(BP42:BP44)</f>
        <v>4</v>
      </c>
      <c r="BQ45" s="101">
        <f>SUM(BQ42:BQ44)</f>
        <v>0</v>
      </c>
      <c r="BR45" s="73">
        <f>IFERROR(IF(BP45="",0,BQ45/BP45),0)</f>
        <v>0</v>
      </c>
      <c r="BS45" s="87">
        <f>SUM(BS42:BS44)</f>
        <v>0</v>
      </c>
      <c r="BT45" s="96"/>
      <c r="BU45" s="101">
        <f>SUM(BU42:BU44)</f>
        <v>0</v>
      </c>
      <c r="BV45" s="101">
        <f>SUM(BV42:BV44)</f>
        <v>0</v>
      </c>
      <c r="BW45" s="73">
        <f>IFERROR(IF(BU45="",0,BV45/BU45),0)</f>
        <v>0</v>
      </c>
      <c r="BX45" s="87">
        <f>SUM(BX42:BX44)</f>
        <v>0</v>
      </c>
      <c r="BY45" s="96"/>
      <c r="BZ45" s="101">
        <f>SUM(BZ42:BZ44)</f>
        <v>25</v>
      </c>
      <c r="CA45" s="101">
        <f>SUM(CA42:CA44)</f>
        <v>0</v>
      </c>
      <c r="CB45" s="73">
        <f>IFERROR(IF(BZ45="",0,CA45/BZ45),0)</f>
        <v>0</v>
      </c>
      <c r="CC45" s="73">
        <f>SUM(CC42:CC44)*$G41</f>
        <v>0</v>
      </c>
      <c r="CD45" s="27"/>
    </row>
    <row r="46" spans="2:84" s="21" customFormat="1" ht="30" customHeight="1" x14ac:dyDescent="0.25">
      <c r="B46" s="17"/>
      <c r="C46" s="18"/>
      <c r="D46" s="37" t="s">
        <v>148</v>
      </c>
      <c r="E46" s="17"/>
      <c r="F46" s="82"/>
      <c r="G46" s="19">
        <v>0.03</v>
      </c>
      <c r="H46" s="447"/>
      <c r="I46" s="448"/>
      <c r="J46" s="448"/>
      <c r="K46" s="448"/>
      <c r="L46" s="449"/>
      <c r="M46" s="483"/>
      <c r="N46" s="484"/>
      <c r="O46" s="484"/>
      <c r="P46" s="484"/>
      <c r="Q46" s="485"/>
      <c r="R46" s="483"/>
      <c r="S46" s="484"/>
      <c r="T46" s="484"/>
      <c r="U46" s="484"/>
      <c r="V46" s="485"/>
      <c r="W46" s="483"/>
      <c r="X46" s="484"/>
      <c r="Y46" s="484"/>
      <c r="Z46" s="484"/>
      <c r="AA46" s="485"/>
      <c r="AB46" s="81"/>
      <c r="AC46" s="81"/>
      <c r="AD46" s="81"/>
      <c r="AE46" s="81"/>
      <c r="AF46" s="81"/>
      <c r="AG46" s="81"/>
      <c r="AH46" s="81"/>
      <c r="AI46" s="81"/>
      <c r="AJ46" s="81"/>
      <c r="AK46" s="81"/>
      <c r="AL46" s="81"/>
      <c r="AM46" s="81"/>
      <c r="AN46" s="81"/>
      <c r="AO46" s="81"/>
      <c r="AP46" s="81"/>
      <c r="AQ46" s="81"/>
      <c r="AR46" s="81"/>
      <c r="AS46" s="81"/>
      <c r="AT46" s="81"/>
      <c r="AU46" s="81"/>
      <c r="AV46" s="81"/>
      <c r="AW46" s="81"/>
      <c r="AX46" s="81"/>
      <c r="AY46" s="81"/>
      <c r="AZ46" s="81"/>
      <c r="BA46" s="81"/>
      <c r="BB46" s="81"/>
      <c r="BC46" s="81"/>
      <c r="BD46" s="81"/>
      <c r="BE46" s="81"/>
      <c r="BF46" s="81"/>
      <c r="BG46" s="81"/>
      <c r="BH46" s="81"/>
      <c r="BI46" s="81"/>
      <c r="BJ46" s="81"/>
      <c r="BK46" s="81"/>
      <c r="BL46" s="81"/>
      <c r="BM46" s="81"/>
      <c r="BN46" s="81"/>
      <c r="BO46" s="81"/>
      <c r="BP46" s="81"/>
      <c r="BQ46" s="81"/>
      <c r="BR46" s="81"/>
      <c r="BS46" s="81"/>
      <c r="BT46" s="81"/>
      <c r="BU46" s="81"/>
      <c r="BV46" s="81"/>
      <c r="BW46" s="81"/>
      <c r="BX46" s="81"/>
      <c r="BY46" s="81"/>
      <c r="BZ46" s="487"/>
      <c r="CA46" s="487"/>
      <c r="CB46" s="487"/>
      <c r="CC46" s="82"/>
      <c r="CD46" s="27"/>
    </row>
    <row r="47" spans="2:84" ht="57.75" customHeight="1" x14ac:dyDescent="0.25">
      <c r="B47" s="80" t="s">
        <v>63</v>
      </c>
      <c r="C47" s="32" t="s">
        <v>138</v>
      </c>
      <c r="D47" s="51" t="s">
        <v>150</v>
      </c>
      <c r="E47" s="40">
        <v>1</v>
      </c>
      <c r="F47" s="40" t="s">
        <v>145</v>
      </c>
      <c r="G47" s="22">
        <v>0.4</v>
      </c>
      <c r="H47" s="75">
        <f>1/13</f>
        <v>7.6923076923076927E-2</v>
      </c>
      <c r="I47" s="80"/>
      <c r="J47" s="24">
        <f t="shared" ref="J47:J49" si="257">IF(H47="",0,I47/H47)</f>
        <v>0</v>
      </c>
      <c r="K47" s="24">
        <f>IFERROR(IF(H47="",0,($G47*(I47/$E47))),0)</f>
        <v>0</v>
      </c>
      <c r="L47" s="38"/>
      <c r="M47" s="75">
        <f>1/13</f>
        <v>7.6923076923076927E-2</v>
      </c>
      <c r="N47" s="80"/>
      <c r="O47" s="24">
        <f t="shared" ref="O47:O49" si="258">IF(M47="",0,N47/M47)</f>
        <v>0</v>
      </c>
      <c r="P47" s="24">
        <f>IFERROR(IF(M47="",0,($G47*(N47/$E47))),0)</f>
        <v>0</v>
      </c>
      <c r="Q47" s="26"/>
      <c r="R47" s="75">
        <f>1/13</f>
        <v>7.6923076923076927E-2</v>
      </c>
      <c r="S47" s="80"/>
      <c r="T47" s="24">
        <f t="shared" ref="T47:T49" si="259">IF(R47="",0,S47/R47)</f>
        <v>0</v>
      </c>
      <c r="U47" s="24">
        <f>IFERROR(IF(R47="",0,($G47*(S47/$E47))),0)</f>
        <v>0</v>
      </c>
      <c r="V47" s="25"/>
      <c r="W47" s="75">
        <f>1/13</f>
        <v>7.6923076923076927E-2</v>
      </c>
      <c r="X47" s="80"/>
      <c r="Y47" s="24">
        <f t="shared" ref="Y47:Y49" si="260">IF(W47="",0,X47/W47)</f>
        <v>0</v>
      </c>
      <c r="Z47" s="24">
        <f>IFERROR(IF(W47="",0,($G47*(X47/$E47))),0)</f>
        <v>0</v>
      </c>
      <c r="AA47" s="25"/>
      <c r="AB47" s="450">
        <f>1/13</f>
        <v>7.6923076923076927E-2</v>
      </c>
      <c r="AC47" s="25"/>
      <c r="AD47" s="24">
        <f t="shared" ref="AD47:AD49" si="261">IF(AB47="",0,AC47/AB47)</f>
        <v>0</v>
      </c>
      <c r="AE47" s="24">
        <f>IFERROR(IF(AB47="",0,($G47*(AC47/$E47))),0)</f>
        <v>0</v>
      </c>
      <c r="AF47" s="58"/>
      <c r="AG47" s="450">
        <f>1/13</f>
        <v>7.6923076923076927E-2</v>
      </c>
      <c r="AH47" s="25"/>
      <c r="AI47" s="24">
        <f t="shared" ref="AI47:AI49" si="262">IF(AG47="",0,AH47/AG47)</f>
        <v>0</v>
      </c>
      <c r="AJ47" s="24">
        <f>IFERROR(IF(AG47="",0,($G47*(AH47/$E47))),0)</f>
        <v>0</v>
      </c>
      <c r="AK47" s="58"/>
      <c r="AL47" s="450">
        <f>1/13</f>
        <v>7.6923076923076927E-2</v>
      </c>
      <c r="AM47" s="25"/>
      <c r="AN47" s="24">
        <f t="shared" ref="AN47:AN49" si="263">IF(AL47="",0,AM47/AL47)</f>
        <v>0</v>
      </c>
      <c r="AO47" s="24">
        <f>IFERROR(IF(AL47="",0,($G47*(AM47/$E47))),0)</f>
        <v>0</v>
      </c>
      <c r="AP47" s="58"/>
      <c r="AQ47" s="450">
        <f>1/13</f>
        <v>7.6923076923076927E-2</v>
      </c>
      <c r="AR47" s="25"/>
      <c r="AS47" s="24">
        <f t="shared" ref="AS47:AS49" si="264">IF(AQ47="",0,AR47/AQ47)</f>
        <v>0</v>
      </c>
      <c r="AT47" s="24">
        <f>IFERROR(IF(AQ47="",0,($G47*(AR47/$E47))),0)</f>
        <v>0</v>
      </c>
      <c r="AU47" s="58"/>
      <c r="AV47" s="450">
        <f>1/13</f>
        <v>7.6923076923076927E-2</v>
      </c>
      <c r="AW47" s="25"/>
      <c r="AX47" s="24">
        <f t="shared" ref="AX47:AX49" si="265">IF(AV47="",0,AW47/AV47)</f>
        <v>0</v>
      </c>
      <c r="AY47" s="24">
        <f>IFERROR(IF(AV47="",0,($G47*(AW47/$E47))),0)</f>
        <v>0</v>
      </c>
      <c r="AZ47" s="58"/>
      <c r="BA47" s="450">
        <f>1/13</f>
        <v>7.6923076923076927E-2</v>
      </c>
      <c r="BB47" s="25"/>
      <c r="BC47" s="24">
        <f t="shared" ref="BC47:BC49" si="266">IF(BA47="",0,BB47/BA47)</f>
        <v>0</v>
      </c>
      <c r="BD47" s="24">
        <f>IFERROR(IF(BA47="",0,($G47*(BB47/$E47))),0)</f>
        <v>0</v>
      </c>
      <c r="BE47" s="58"/>
      <c r="BF47" s="450">
        <f>1/13</f>
        <v>7.6923076923076927E-2</v>
      </c>
      <c r="BG47" s="25"/>
      <c r="BH47" s="24">
        <f t="shared" ref="BH47:BH49" si="267">IF(BF47="",0,BG47/BF47)</f>
        <v>0</v>
      </c>
      <c r="BI47" s="24">
        <f>IFERROR(IF(BF47="",0,($G47*(BG47/$E47))),0)</f>
        <v>0</v>
      </c>
      <c r="BJ47" s="58"/>
      <c r="BK47" s="450">
        <f>1/13</f>
        <v>7.6923076923076927E-2</v>
      </c>
      <c r="BL47" s="25"/>
      <c r="BM47" s="24">
        <f t="shared" ref="BM47:BM49" si="268">IF(BK47="",0,BL47/BK47)</f>
        <v>0</v>
      </c>
      <c r="BN47" s="24">
        <f>IFERROR(IF(BK47="",0,($G47*(BL47/$E47))),0)</f>
        <v>0</v>
      </c>
      <c r="BO47" s="58"/>
      <c r="BP47" s="450">
        <f>1/13</f>
        <v>7.6923076923076927E-2</v>
      </c>
      <c r="BQ47" s="25"/>
      <c r="BR47" s="24">
        <f t="shared" ref="BR47:BR49" si="269">IF(BP47="",0,BQ47/BP47)</f>
        <v>0</v>
      </c>
      <c r="BS47" s="24">
        <f>IFERROR(IF(BP47="",0,($G47*(BQ47/$E47))),0)</f>
        <v>0</v>
      </c>
      <c r="BT47" s="58"/>
      <c r="BU47" s="25"/>
      <c r="BV47" s="25"/>
      <c r="BW47" s="24">
        <f t="shared" ref="BW47:BW49" si="270">IF(BU47="",0,BV47/BU47)</f>
        <v>0</v>
      </c>
      <c r="BX47" s="24">
        <f>IFERROR(IF(BU47="",0,($G47*(BV47/$E47))),0)</f>
        <v>0</v>
      </c>
      <c r="BY47" s="58"/>
      <c r="BZ47" s="59">
        <f t="shared" ref="BZ47:CA49" si="271">H47+M47+R47+W47+AB47+AG47+AL47+AQ47+AV47+BA47+BF47+BK47+BP47+BU47</f>
        <v>0.99999999999999978</v>
      </c>
      <c r="CA47" s="59">
        <f t="shared" si="271"/>
        <v>0</v>
      </c>
      <c r="CB47" s="24">
        <f t="shared" ref="CB47:CB49" si="272">IF(BZ47=0,0,CA47/BZ47)</f>
        <v>0</v>
      </c>
      <c r="CC47" s="24">
        <f t="shared" ref="CC47:CC49" si="273">IFERROR(IF(BZ47="",0,($G47*(CA47/$E47))),0)</f>
        <v>0</v>
      </c>
      <c r="CD47" s="27"/>
      <c r="CE47" s="41"/>
      <c r="CF47" s="41"/>
    </row>
    <row r="48" spans="2:84" ht="35.25" customHeight="1" x14ac:dyDescent="0.25">
      <c r="B48" s="80" t="s">
        <v>64</v>
      </c>
      <c r="C48" s="32" t="s">
        <v>139</v>
      </c>
      <c r="D48" s="85" t="s">
        <v>151</v>
      </c>
      <c r="E48" s="40">
        <v>1</v>
      </c>
      <c r="F48" s="40" t="s">
        <v>145</v>
      </c>
      <c r="G48" s="22">
        <v>0.3</v>
      </c>
      <c r="H48" s="75">
        <f>1/13</f>
        <v>7.6923076923076927E-2</v>
      </c>
      <c r="I48" s="80"/>
      <c r="J48" s="24">
        <f t="shared" ref="J48" si="274">IF(H48="",0,I48/H48)</f>
        <v>0</v>
      </c>
      <c r="K48" s="24">
        <f t="shared" ref="K48" si="275">IFERROR(IF(H48="",0,($G48*(I48/$E48))),0)</f>
        <v>0</v>
      </c>
      <c r="L48" s="38"/>
      <c r="M48" s="75">
        <f>1/13</f>
        <v>7.6923076923076927E-2</v>
      </c>
      <c r="N48" s="80"/>
      <c r="O48" s="24">
        <f t="shared" ref="O48" si="276">IF(M48="",0,N48/M48)</f>
        <v>0</v>
      </c>
      <c r="P48" s="24">
        <f>IFERROR(IF(M48="",0,($G48*(N48/$E48))),0)</f>
        <v>0</v>
      </c>
      <c r="Q48" s="38"/>
      <c r="R48" s="75">
        <f>1/13</f>
        <v>7.6923076923076927E-2</v>
      </c>
      <c r="S48" s="80"/>
      <c r="T48" s="24">
        <f t="shared" ref="T48" si="277">IF(R48="",0,S48/R48)</f>
        <v>0</v>
      </c>
      <c r="U48" s="24">
        <f>IFERROR(IF(R48="",0,($G48*(S48/$E48))),0)</f>
        <v>0</v>
      </c>
      <c r="V48" s="38"/>
      <c r="W48" s="75">
        <f>1/13</f>
        <v>7.6923076923076927E-2</v>
      </c>
      <c r="X48" s="80"/>
      <c r="Y48" s="24">
        <f t="shared" ref="Y48" si="278">IF(W48="",0,X48/W48)</f>
        <v>0</v>
      </c>
      <c r="Z48" s="24">
        <f>IFERROR(IF(W48="",0,($G48*(X48/$E48))),0)</f>
        <v>0</v>
      </c>
      <c r="AA48" s="40"/>
      <c r="AB48" s="75">
        <f>1/13</f>
        <v>7.6923076923076927E-2</v>
      </c>
      <c r="AC48" s="25"/>
      <c r="AD48" s="24">
        <f t="shared" ref="AD48" si="279">IF(AB48="",0,AC48/AB48)</f>
        <v>0</v>
      </c>
      <c r="AE48" s="24">
        <f>IFERROR(IF(AB48="",0,($G48*(AC48/$E48))),0)</f>
        <v>0</v>
      </c>
      <c r="AF48" s="58"/>
      <c r="AG48" s="75">
        <f>1/13</f>
        <v>7.6923076923076927E-2</v>
      </c>
      <c r="AH48" s="25"/>
      <c r="AI48" s="24">
        <f t="shared" ref="AI48" si="280">IF(AG48="",0,AH48/AG48)</f>
        <v>0</v>
      </c>
      <c r="AJ48" s="24">
        <f>IFERROR(IF(AG48="",0,($G48*(AH48/$E48))),0)</f>
        <v>0</v>
      </c>
      <c r="AK48" s="58"/>
      <c r="AL48" s="75">
        <f>1/13</f>
        <v>7.6923076923076927E-2</v>
      </c>
      <c r="AM48" s="25"/>
      <c r="AN48" s="24">
        <f t="shared" ref="AN48" si="281">IF(AL48="",0,AM48/AL48)</f>
        <v>0</v>
      </c>
      <c r="AO48" s="24">
        <f>IFERROR(IF(AL48="",0,($G48*(AM48/$E48))),0)</f>
        <v>0</v>
      </c>
      <c r="AP48" s="58"/>
      <c r="AQ48" s="75">
        <f>1/13</f>
        <v>7.6923076923076927E-2</v>
      </c>
      <c r="AR48" s="25"/>
      <c r="AS48" s="24">
        <f t="shared" ref="AS48" si="282">IF(AQ48="",0,AR48/AQ48)</f>
        <v>0</v>
      </c>
      <c r="AT48" s="24">
        <f>IFERROR(IF(AQ48="",0,($G48*(AR48/$E48))),0)</f>
        <v>0</v>
      </c>
      <c r="AU48" s="58"/>
      <c r="AV48" s="75">
        <f>1/13</f>
        <v>7.6923076923076927E-2</v>
      </c>
      <c r="AW48" s="25"/>
      <c r="AX48" s="24">
        <f t="shared" ref="AX48" si="283">IF(AV48="",0,AW48/AV48)</f>
        <v>0</v>
      </c>
      <c r="AY48" s="24">
        <f>IFERROR(IF(AV48="",0,($G48*(AW48/$E48))),0)</f>
        <v>0</v>
      </c>
      <c r="AZ48" s="58"/>
      <c r="BA48" s="75">
        <f>1/13</f>
        <v>7.6923076923076927E-2</v>
      </c>
      <c r="BB48" s="25"/>
      <c r="BC48" s="24">
        <f t="shared" ref="BC48" si="284">IF(BA48="",0,BB48/BA48)</f>
        <v>0</v>
      </c>
      <c r="BD48" s="24">
        <f>IFERROR(IF(BA48="",0,($G48*(BB48/$E48))),0)</f>
        <v>0</v>
      </c>
      <c r="BE48" s="58"/>
      <c r="BF48" s="75">
        <f>1/13</f>
        <v>7.6923076923076927E-2</v>
      </c>
      <c r="BG48" s="25"/>
      <c r="BH48" s="24">
        <f t="shared" ref="BH48" si="285">IF(BF48="",0,BG48/BF48)</f>
        <v>0</v>
      </c>
      <c r="BI48" s="24">
        <f>IFERROR(IF(BF48="",0,($G48*(BG48/$E48))),0)</f>
        <v>0</v>
      </c>
      <c r="BJ48" s="58"/>
      <c r="BK48" s="75">
        <f>1/13</f>
        <v>7.6923076923076927E-2</v>
      </c>
      <c r="BL48" s="25"/>
      <c r="BM48" s="24">
        <f t="shared" ref="BM48" si="286">IF(BK48="",0,BL48/BK48)</f>
        <v>0</v>
      </c>
      <c r="BN48" s="24">
        <f>IFERROR(IF(BK48="",0,($G48*(BL48/$E48))),0)</f>
        <v>0</v>
      </c>
      <c r="BO48" s="58"/>
      <c r="BP48" s="75">
        <f>1/13</f>
        <v>7.6923076923076927E-2</v>
      </c>
      <c r="BQ48" s="25"/>
      <c r="BR48" s="24">
        <f t="shared" ref="BR48" si="287">IF(BP48="",0,BQ48/BP48)</f>
        <v>0</v>
      </c>
      <c r="BS48" s="24">
        <f>IFERROR(IF(BP48="",0,($G48*(BQ48/$E48))),0)</f>
        <v>0</v>
      </c>
      <c r="BT48" s="58"/>
      <c r="BU48" s="25"/>
      <c r="BV48" s="25"/>
      <c r="BW48" s="24">
        <f t="shared" ref="BW48" si="288">IF(BU48="",0,BV48/BU48)</f>
        <v>0</v>
      </c>
      <c r="BX48" s="24">
        <f>IFERROR(IF(BU48="",0,($G48*(BV48/$E48))),0)</f>
        <v>0</v>
      </c>
      <c r="BY48" s="58"/>
      <c r="BZ48" s="59">
        <f t="shared" si="271"/>
        <v>0.99999999999999978</v>
      </c>
      <c r="CA48" s="59">
        <f t="shared" si="271"/>
        <v>0</v>
      </c>
      <c r="CB48" s="24">
        <f t="shared" ref="CB48" si="289">IF(BZ48=0,0,CA48/BZ48)</f>
        <v>0</v>
      </c>
      <c r="CC48" s="24">
        <f t="shared" ref="CC48" si="290">IFERROR(IF(BZ48="",0,($G48*(CA48/$E48))),0)</f>
        <v>0</v>
      </c>
      <c r="CD48" s="27"/>
      <c r="CE48" s="41"/>
    </row>
    <row r="49" spans="2:83" ht="35.25" customHeight="1" x14ac:dyDescent="0.25">
      <c r="B49" s="80" t="s">
        <v>137</v>
      </c>
      <c r="C49" s="32" t="s">
        <v>149</v>
      </c>
      <c r="D49" s="85" t="s">
        <v>140</v>
      </c>
      <c r="E49" s="40">
        <v>26</v>
      </c>
      <c r="F49" s="40" t="s">
        <v>179</v>
      </c>
      <c r="G49" s="22">
        <v>0.3</v>
      </c>
      <c r="H49" s="80">
        <v>26</v>
      </c>
      <c r="I49" s="80"/>
      <c r="J49" s="24">
        <f t="shared" si="257"/>
        <v>0</v>
      </c>
      <c r="K49" s="24">
        <f t="shared" ref="K49" si="291">IFERROR(IF(H49="",0,($G49*(I49/$E49))),0)</f>
        <v>0</v>
      </c>
      <c r="L49" s="38"/>
      <c r="M49" s="80"/>
      <c r="N49" s="80"/>
      <c r="O49" s="24">
        <f t="shared" si="258"/>
        <v>0</v>
      </c>
      <c r="P49" s="24">
        <f>IFERROR(IF(M49="",0,($G49*(N49/$E49))),0)</f>
        <v>0</v>
      </c>
      <c r="Q49" s="38"/>
      <c r="R49" s="80"/>
      <c r="S49" s="80"/>
      <c r="T49" s="24">
        <f t="shared" si="259"/>
        <v>0</v>
      </c>
      <c r="U49" s="24">
        <f>IFERROR(IF(R49="",0,($G49*(S49/$E49))),0)</f>
        <v>0</v>
      </c>
      <c r="V49" s="38"/>
      <c r="W49" s="80"/>
      <c r="X49" s="80"/>
      <c r="Y49" s="24">
        <f t="shared" si="260"/>
        <v>0</v>
      </c>
      <c r="Z49" s="24">
        <f>IFERROR(IF(W49="",0,($G49*(X49/$E49))),0)</f>
        <v>0</v>
      </c>
      <c r="AA49" s="40"/>
      <c r="AB49" s="25"/>
      <c r="AC49" s="25"/>
      <c r="AD49" s="24">
        <f t="shared" si="261"/>
        <v>0</v>
      </c>
      <c r="AE49" s="24">
        <f>IFERROR(IF(AB49="",0,($G49*(AC49/$E49))),0)</f>
        <v>0</v>
      </c>
      <c r="AF49" s="58"/>
      <c r="AG49" s="25"/>
      <c r="AH49" s="25"/>
      <c r="AI49" s="24">
        <f t="shared" si="262"/>
        <v>0</v>
      </c>
      <c r="AJ49" s="24">
        <f>IFERROR(IF(AG49="",0,($G49*(AH49/$E49))),0)</f>
        <v>0</v>
      </c>
      <c r="AK49" s="58"/>
      <c r="AL49" s="25"/>
      <c r="AM49" s="25"/>
      <c r="AN49" s="24">
        <f t="shared" si="263"/>
        <v>0</v>
      </c>
      <c r="AO49" s="24">
        <f>IFERROR(IF(AL49="",0,($G49*(AM49/$E49))),0)</f>
        <v>0</v>
      </c>
      <c r="AP49" s="58"/>
      <c r="AQ49" s="25"/>
      <c r="AR49" s="25"/>
      <c r="AS49" s="24">
        <f t="shared" si="264"/>
        <v>0</v>
      </c>
      <c r="AT49" s="24">
        <f>IFERROR(IF(AQ49="",0,($G49*(AR49/$E49))),0)</f>
        <v>0</v>
      </c>
      <c r="AU49" s="58"/>
      <c r="AV49" s="25"/>
      <c r="AW49" s="25"/>
      <c r="AX49" s="24">
        <f t="shared" si="265"/>
        <v>0</v>
      </c>
      <c r="AY49" s="24">
        <f>IFERROR(IF(AV49="",0,($G49*(AW49/$E49))),0)</f>
        <v>0</v>
      </c>
      <c r="AZ49" s="58"/>
      <c r="BA49" s="25"/>
      <c r="BB49" s="25"/>
      <c r="BC49" s="24">
        <f t="shared" si="266"/>
        <v>0</v>
      </c>
      <c r="BD49" s="24">
        <f>IFERROR(IF(BA49="",0,($G49*(BB49/$E49))),0)</f>
        <v>0</v>
      </c>
      <c r="BE49" s="58"/>
      <c r="BF49" s="25"/>
      <c r="BG49" s="25"/>
      <c r="BH49" s="24">
        <f t="shared" si="267"/>
        <v>0</v>
      </c>
      <c r="BI49" s="24">
        <f>IFERROR(IF(BF49="",0,($G49*(BG49/$E49))),0)</f>
        <v>0</v>
      </c>
      <c r="BJ49" s="58"/>
      <c r="BK49" s="25"/>
      <c r="BL49" s="25"/>
      <c r="BM49" s="24">
        <f t="shared" si="268"/>
        <v>0</v>
      </c>
      <c r="BN49" s="24">
        <f>IFERROR(IF(BK49="",0,($G49*(BL49/$E49))),0)</f>
        <v>0</v>
      </c>
      <c r="BO49" s="58"/>
      <c r="BP49" s="25"/>
      <c r="BQ49" s="25"/>
      <c r="BR49" s="24">
        <f t="shared" si="269"/>
        <v>0</v>
      </c>
      <c r="BS49" s="24">
        <f>IFERROR(IF(BP49="",0,($G49*(BQ49/$E49))),0)</f>
        <v>0</v>
      </c>
      <c r="BT49" s="58"/>
      <c r="BU49" s="25"/>
      <c r="BV49" s="25"/>
      <c r="BW49" s="24">
        <f t="shared" si="270"/>
        <v>0</v>
      </c>
      <c r="BX49" s="24">
        <f>IFERROR(IF(BU49="",0,($G49*(BV49/$E49))),0)</f>
        <v>0</v>
      </c>
      <c r="BY49" s="58"/>
      <c r="BZ49" s="59">
        <f t="shared" si="271"/>
        <v>26</v>
      </c>
      <c r="CA49" s="59">
        <f t="shared" si="271"/>
        <v>0</v>
      </c>
      <c r="CB49" s="24">
        <f t="shared" si="272"/>
        <v>0</v>
      </c>
      <c r="CC49" s="24">
        <f t="shared" si="273"/>
        <v>0</v>
      </c>
      <c r="CD49" s="27"/>
      <c r="CE49" s="41"/>
    </row>
    <row r="50" spans="2:83" s="21" customFormat="1" ht="30" customHeight="1" x14ac:dyDescent="0.25">
      <c r="B50" s="72"/>
      <c r="C50" s="29" t="s">
        <v>156</v>
      </c>
      <c r="D50" s="30"/>
      <c r="E50" s="72">
        <f>SUM(E47:E49)</f>
        <v>28</v>
      </c>
      <c r="F50" s="72"/>
      <c r="G50" s="73">
        <f>SUM(G47:G49)</f>
        <v>1</v>
      </c>
      <c r="H50" s="72">
        <f t="shared" ref="H50" si="292">SUM(H47:H49)</f>
        <v>26.153846153846153</v>
      </c>
      <c r="I50" s="72">
        <f t="shared" ref="I50" si="293">SUM(I47:I49)</f>
        <v>0</v>
      </c>
      <c r="J50" s="73">
        <f>IFERROR(IF(H50="",0,I50/H50),0)</f>
        <v>0</v>
      </c>
      <c r="K50" s="73">
        <f>SUM(K47:K49)*$G46</f>
        <v>0</v>
      </c>
      <c r="L50" s="72"/>
      <c r="M50" s="72">
        <f t="shared" ref="M50" si="294">SUM(M47:M49)</f>
        <v>0.15384615384615385</v>
      </c>
      <c r="N50" s="72">
        <f t="shared" ref="N50" si="295">SUM(N47:N49)</f>
        <v>0</v>
      </c>
      <c r="O50" s="73">
        <f>IFERROR(IF(M50="",0,N50/M50),0)</f>
        <v>0</v>
      </c>
      <c r="P50" s="73">
        <f>SUM(P47:P49)*$G46</f>
        <v>0</v>
      </c>
      <c r="Q50" s="72"/>
      <c r="R50" s="72">
        <f t="shared" ref="R50" si="296">SUM(R47:R49)</f>
        <v>0.15384615384615385</v>
      </c>
      <c r="S50" s="72">
        <f t="shared" ref="S50" si="297">SUM(S47:S49)</f>
        <v>0</v>
      </c>
      <c r="T50" s="73">
        <f>IFERROR(IF(R50="",0,S50/R50),0)</f>
        <v>0</v>
      </c>
      <c r="U50" s="73">
        <f>SUM(U47:U49)*$G46</f>
        <v>0</v>
      </c>
      <c r="V50" s="72"/>
      <c r="W50" s="72">
        <f t="shared" ref="W50" si="298">SUM(W47:W49)</f>
        <v>0.15384615384615385</v>
      </c>
      <c r="X50" s="72">
        <f t="shared" ref="X50" si="299">SUM(X47:X49)</f>
        <v>0</v>
      </c>
      <c r="Y50" s="73">
        <f>IFERROR(IF(W50="",0,X50/W50),0)</f>
        <v>0</v>
      </c>
      <c r="Z50" s="73">
        <f>SUM(Z47:Z49)*$G46</f>
        <v>0</v>
      </c>
      <c r="AA50" s="72"/>
      <c r="AB50" s="72">
        <f t="shared" ref="AB50" si="300">SUM(AB47:AB49)</f>
        <v>0.15384615384615385</v>
      </c>
      <c r="AC50" s="72">
        <f t="shared" ref="AC50" si="301">SUM(AC47:AC49)</f>
        <v>0</v>
      </c>
      <c r="AD50" s="73">
        <f>IFERROR(IF(AB50="",0,AC50/AB50),0)</f>
        <v>0</v>
      </c>
      <c r="AE50" s="73">
        <f>SUM(AE47:AE49)*$G46</f>
        <v>0</v>
      </c>
      <c r="AF50" s="66"/>
      <c r="AG50" s="72">
        <f t="shared" ref="AG50" si="302">SUM(AG47:AG49)</f>
        <v>0.15384615384615385</v>
      </c>
      <c r="AH50" s="72">
        <f t="shared" ref="AH50" si="303">SUM(AH47:AH49)</f>
        <v>0</v>
      </c>
      <c r="AI50" s="73">
        <f>IFERROR(IF(AG50="",0,AH50/AG50),0)</f>
        <v>0</v>
      </c>
      <c r="AJ50" s="73">
        <f>SUM(AJ47:AJ49)*$G46</f>
        <v>0</v>
      </c>
      <c r="AK50" s="66"/>
      <c r="AL50" s="72">
        <f t="shared" ref="AL50" si="304">SUM(AL47:AL49)</f>
        <v>0.15384615384615385</v>
      </c>
      <c r="AM50" s="72">
        <f t="shared" ref="AM50" si="305">SUM(AM47:AM49)</f>
        <v>0</v>
      </c>
      <c r="AN50" s="73">
        <f>IFERROR(IF(AL50="",0,AM50/AL50),0)</f>
        <v>0</v>
      </c>
      <c r="AO50" s="73">
        <f>SUM(AO47:AO49)*$G46</f>
        <v>0</v>
      </c>
      <c r="AP50" s="66"/>
      <c r="AQ50" s="72">
        <f t="shared" ref="AQ50" si="306">SUM(AQ47:AQ49)</f>
        <v>0.15384615384615385</v>
      </c>
      <c r="AR50" s="72">
        <f t="shared" ref="AR50" si="307">SUM(AR47:AR49)</f>
        <v>0</v>
      </c>
      <c r="AS50" s="73">
        <f>IFERROR(IF(AQ50="",0,AR50/AQ50),0)</f>
        <v>0</v>
      </c>
      <c r="AT50" s="73">
        <f>SUM(AT47:AT49)*$G46</f>
        <v>0</v>
      </c>
      <c r="AU50" s="66"/>
      <c r="AV50" s="72">
        <f t="shared" ref="AV50" si="308">SUM(AV47:AV49)</f>
        <v>0.15384615384615385</v>
      </c>
      <c r="AW50" s="72">
        <f t="shared" ref="AW50" si="309">SUM(AW47:AW49)</f>
        <v>0</v>
      </c>
      <c r="AX50" s="73">
        <f>IFERROR(IF(AV50="",0,AW50/AV50),0)</f>
        <v>0</v>
      </c>
      <c r="AY50" s="73">
        <f>SUM(AY47:AY49)*$G46</f>
        <v>0</v>
      </c>
      <c r="AZ50" s="66"/>
      <c r="BA50" s="72">
        <f t="shared" ref="BA50" si="310">SUM(BA47:BA49)</f>
        <v>0.15384615384615385</v>
      </c>
      <c r="BB50" s="72">
        <f t="shared" ref="BB50" si="311">SUM(BB47:BB49)</f>
        <v>0</v>
      </c>
      <c r="BC50" s="73">
        <f>IFERROR(IF(BA50="",0,BB50/BA50),0)</f>
        <v>0</v>
      </c>
      <c r="BD50" s="73">
        <f>SUM(BD47:BD49)*$G46</f>
        <v>0</v>
      </c>
      <c r="BE50" s="66"/>
      <c r="BF50" s="72">
        <f t="shared" ref="BF50" si="312">SUM(BF47:BF49)</f>
        <v>0.15384615384615385</v>
      </c>
      <c r="BG50" s="72">
        <f t="shared" ref="BG50" si="313">SUM(BG47:BG49)</f>
        <v>0</v>
      </c>
      <c r="BH50" s="73">
        <f>IFERROR(IF(BF50="",0,BG50/BF50),0)</f>
        <v>0</v>
      </c>
      <c r="BI50" s="73">
        <f>SUM(BI47:BI49)*$G46</f>
        <v>0</v>
      </c>
      <c r="BJ50" s="66"/>
      <c r="BK50" s="72">
        <f t="shared" ref="BK50" si="314">SUM(BK47:BK49)</f>
        <v>0.15384615384615385</v>
      </c>
      <c r="BL50" s="72">
        <f t="shared" ref="BL50" si="315">SUM(BL47:BL49)</f>
        <v>0</v>
      </c>
      <c r="BM50" s="73">
        <f>IFERROR(IF(BK50="",0,BL50/BK50),0)</f>
        <v>0</v>
      </c>
      <c r="BN50" s="73">
        <f>SUM(BN47:BN49)*$G46</f>
        <v>0</v>
      </c>
      <c r="BO50" s="66"/>
      <c r="BP50" s="72">
        <f t="shared" ref="BP50" si="316">SUM(BP47:BP49)</f>
        <v>0.15384615384615385</v>
      </c>
      <c r="BQ50" s="72">
        <f t="shared" ref="BQ50" si="317">SUM(BQ47:BQ49)</f>
        <v>0</v>
      </c>
      <c r="BR50" s="73">
        <f>IFERROR(IF(BP50="",0,BQ50/BP50),0)</f>
        <v>0</v>
      </c>
      <c r="BS50" s="73">
        <f>SUM(BS47:BS49)*$G46</f>
        <v>0</v>
      </c>
      <c r="BT50" s="66"/>
      <c r="BU50" s="72">
        <f t="shared" ref="BU50" si="318">SUM(BU47:BU49)</f>
        <v>0</v>
      </c>
      <c r="BV50" s="72">
        <f t="shared" ref="BV50" si="319">SUM(BV47:BV49)</f>
        <v>0</v>
      </c>
      <c r="BW50" s="73">
        <f>IFERROR(IF(BU50="",0,BV50/BU50),0)</f>
        <v>0</v>
      </c>
      <c r="BX50" s="73">
        <f>SUM(BX47:BX49)*$G46</f>
        <v>0</v>
      </c>
      <c r="BY50" s="66"/>
      <c r="BZ50" s="72">
        <f t="shared" ref="BZ50" si="320">SUM(BZ47:BZ49)</f>
        <v>28</v>
      </c>
      <c r="CA50" s="72">
        <f t="shared" ref="CA50" si="321">SUM(CA47:CA49)</f>
        <v>0</v>
      </c>
      <c r="CB50" s="24">
        <f>IF(BZ50=0,0,CA50/BZ50)</f>
        <v>0</v>
      </c>
      <c r="CC50" s="72">
        <f t="shared" ref="CC50" si="322">SUM(CC47:CC49)</f>
        <v>0</v>
      </c>
      <c r="CD50" s="27"/>
    </row>
    <row r="51" spans="2:83" ht="32.25" customHeight="1" x14ac:dyDescent="0.25">
      <c r="B51" s="72"/>
      <c r="C51" s="498" t="s">
        <v>141</v>
      </c>
      <c r="D51" s="499"/>
      <c r="E51" s="72"/>
      <c r="F51" s="72"/>
      <c r="G51" s="73">
        <f>G46+G41+G35+G28+G22+G17</f>
        <v>1</v>
      </c>
      <c r="H51" s="72">
        <f>H50+H45+H40+H34+H27+H21</f>
        <v>52.153846153846153</v>
      </c>
      <c r="I51" s="72">
        <f>I50+I45+I40+I34+I27+I21</f>
        <v>0</v>
      </c>
      <c r="J51" s="73">
        <f>IFERROR(IF(H51="",0,I51/H51),0)</f>
        <v>0</v>
      </c>
      <c r="K51" s="87">
        <f>K50+K45+K40+K34+K27+K21</f>
        <v>0</v>
      </c>
      <c r="L51" s="72"/>
      <c r="M51" s="72">
        <f>M50+M45+M40+M34+M27+M21</f>
        <v>87.15384615384616</v>
      </c>
      <c r="N51" s="72">
        <f>N50+N45+N40+N34+N27+N21</f>
        <v>0</v>
      </c>
      <c r="O51" s="73">
        <f>IFERROR(IF(M51="",0,N51/M51),0)</f>
        <v>0</v>
      </c>
      <c r="P51" s="87">
        <f>P50+P45+P40+P34+P27+P21</f>
        <v>0</v>
      </c>
      <c r="Q51" s="72"/>
      <c r="R51" s="72">
        <f>R50+R45+R40+R34+R27+R21</f>
        <v>65.15384615384616</v>
      </c>
      <c r="S51" s="72">
        <f>S50+S45+S40+S34+S27+S21</f>
        <v>0</v>
      </c>
      <c r="T51" s="73">
        <f>IFERROR(IF(R51="",0,S51/R51),0)</f>
        <v>0</v>
      </c>
      <c r="U51" s="87">
        <f>U50+U45+U40+U34+U27+U21</f>
        <v>0</v>
      </c>
      <c r="V51" s="72"/>
      <c r="W51" s="72">
        <f>W50+W45+W40+W34+W27+W21</f>
        <v>109.15384615384616</v>
      </c>
      <c r="X51" s="72">
        <f>X50+X45+X40+X34+X27+X21</f>
        <v>0</v>
      </c>
      <c r="Y51" s="73">
        <f>IFERROR(IF(W51="",0,X51/W51),0)</f>
        <v>0</v>
      </c>
      <c r="Z51" s="87">
        <f>Z50+Z45+Z40+Z34+Z27+Z21</f>
        <v>0</v>
      </c>
      <c r="AA51" s="72"/>
      <c r="AB51" s="72">
        <f>AB50+AB45+AB40+AB34+AB27+AB21</f>
        <v>19.153846153846153</v>
      </c>
      <c r="AC51" s="72">
        <f>AC50+AC45+AC40+AC34+AC27+AC21</f>
        <v>0</v>
      </c>
      <c r="AD51" s="73">
        <f>IFERROR(IF(AB51="",0,AC51/AB51),0)</f>
        <v>0</v>
      </c>
      <c r="AE51" s="87">
        <f>AE50+AE45+AE40+AE34+AE27+AE21</f>
        <v>0</v>
      </c>
      <c r="AF51" s="72"/>
      <c r="AG51" s="72">
        <f>AG50+AG45+AG40+AG34+AG27+AG21</f>
        <v>45.153846153846153</v>
      </c>
      <c r="AH51" s="72">
        <f>AH50+AH45+AH40+AH34+AH27+AH21</f>
        <v>0</v>
      </c>
      <c r="AI51" s="73">
        <f>IFERROR(IF(AG51="",0,AH51/AG51),0)</f>
        <v>0</v>
      </c>
      <c r="AJ51" s="87">
        <f>AJ50+AJ45+AJ40+AJ34+AJ27+AJ21</f>
        <v>0</v>
      </c>
      <c r="AK51" s="72"/>
      <c r="AL51" s="72"/>
      <c r="AM51" s="72">
        <f>AM50+AM45+AM40+AM34+AM27+AM21</f>
        <v>0</v>
      </c>
      <c r="AN51" s="72">
        <f>AN50+AN45+AN40+AN34+AN27+AN21</f>
        <v>0</v>
      </c>
      <c r="AO51" s="73">
        <f>IFERROR(IF(AM51="",0,AN51/AM51),0)</f>
        <v>0</v>
      </c>
      <c r="AP51" s="87">
        <f>AP50+AP45+AP40+AP34+AP27+AP21</f>
        <v>0</v>
      </c>
      <c r="AQ51" s="72">
        <f>AQ50+AQ45+AQ40+AQ34+AQ27+AQ21</f>
        <v>0.15384615384615385</v>
      </c>
      <c r="AR51" s="72">
        <f>AR50+AR45+AR40+AR34+AR27+AR21</f>
        <v>0</v>
      </c>
      <c r="AS51" s="73">
        <f>IFERROR(IF(AQ51="",0,AR51/AQ51),0)</f>
        <v>0</v>
      </c>
      <c r="AT51" s="87">
        <f>AT50+AT45+AT40+AT34+AT27+AT21</f>
        <v>0</v>
      </c>
      <c r="AU51" s="72"/>
      <c r="AV51" s="72">
        <f>AV50+AV45+AV40+AV34+AV27+AV21</f>
        <v>4.1538461538461542</v>
      </c>
      <c r="AW51" s="72">
        <f>AW50+AW45+AW40+AW34+AW27+AW21</f>
        <v>0</v>
      </c>
      <c r="AX51" s="73">
        <f>IFERROR(IF(AV51="",0,AW51/AV51),0)</f>
        <v>0</v>
      </c>
      <c r="AY51" s="87">
        <f>AY50+AY45+AY40+AY34+AY27+AY21</f>
        <v>0</v>
      </c>
      <c r="AZ51" s="72"/>
      <c r="BA51" s="72">
        <f>BA50+BA45+BA40+BA34+BA27+BA21</f>
        <v>10.153846153846153</v>
      </c>
      <c r="BB51" s="72">
        <f>BB50+BB45+BB40+BB34+BB27+BB21</f>
        <v>0</v>
      </c>
      <c r="BC51" s="73">
        <f>IFERROR(IF(BA51="",0,BB51/BA51),0)</f>
        <v>0</v>
      </c>
      <c r="BD51" s="87">
        <f>BD50+BD45+BD40+BD34+BD27+BD21</f>
        <v>0</v>
      </c>
      <c r="BE51" s="72"/>
      <c r="BF51" s="72">
        <f>BF50+BF45+BF40+BF34+BF27+BF21</f>
        <v>54.153846153846153</v>
      </c>
      <c r="BG51" s="72">
        <f>BG50+BG45+BG40+BG34+BG27+BG21</f>
        <v>0</v>
      </c>
      <c r="BH51" s="73">
        <f>IFERROR(IF(BF51="",0,BG51/BF51),0)</f>
        <v>0</v>
      </c>
      <c r="BI51" s="87">
        <f>BI50+BI45+BI40+BI34+BI27+BI21</f>
        <v>0</v>
      </c>
      <c r="BJ51" s="72"/>
      <c r="BK51" s="72">
        <f>BK50+BK45+BK40+BK34+BK27+BK21</f>
        <v>39.153846153846153</v>
      </c>
      <c r="BL51" s="72">
        <f>BL50+BL45+BL40+BL34+BL27+BL21</f>
        <v>0</v>
      </c>
      <c r="BM51" s="73">
        <f>IFERROR(IF(BK51="",0,BL51/BK51),0)</f>
        <v>0</v>
      </c>
      <c r="BN51" s="87">
        <f>BN50+BN45+BN40+BN34+BN27+BN21</f>
        <v>0</v>
      </c>
      <c r="BO51" s="72"/>
      <c r="BP51" s="72">
        <f>BP50+BP45+BP40+BP34+BP27+BP21</f>
        <v>4.1538461538461542</v>
      </c>
      <c r="BQ51" s="72">
        <f>BQ50+BQ45+BQ40+BQ34+BQ27+BQ21</f>
        <v>0</v>
      </c>
      <c r="BR51" s="73">
        <f>IFERROR(IF(BP51="",0,BQ51/BP51),0)</f>
        <v>0</v>
      </c>
      <c r="BS51" s="87">
        <f>BS50+BS45+BS40+BS34+BS27+BS21</f>
        <v>0</v>
      </c>
      <c r="BT51" s="72"/>
      <c r="BU51" s="72">
        <f>BU50+BU45+BU40+BU34+BU27+BU21</f>
        <v>5</v>
      </c>
      <c r="BV51" s="72">
        <f>BV50+BV45+BV40+BV34+BV27+BV21</f>
        <v>0</v>
      </c>
      <c r="BW51" s="73">
        <f>IFERROR(IF(BU51="",0,BV51/BU51),0)</f>
        <v>0</v>
      </c>
      <c r="BX51" s="87">
        <f>BX50+BX45+BX40+BX34+BX27+BX21</f>
        <v>0</v>
      </c>
      <c r="BY51" s="72"/>
      <c r="BZ51" s="72">
        <f>BZ50+BZ45+BZ40+BZ34+BZ27+BZ21</f>
        <v>535</v>
      </c>
      <c r="CA51" s="72">
        <f>CA50+CA45+CA40+CA34+CA27+CA21</f>
        <v>0</v>
      </c>
      <c r="CB51" s="73">
        <f>IFERROR(IF(BZ51="",0,CA51/BZ51),0)</f>
        <v>0</v>
      </c>
      <c r="CC51" s="87">
        <f>CC50+CC45+CC40+CC34+CC27+CC21</f>
        <v>0</v>
      </c>
    </row>
    <row r="53" spans="2:83" ht="15.75" customHeight="1" x14ac:dyDescent="0.25">
      <c r="L53" s="35"/>
    </row>
  </sheetData>
  <mergeCells count="88">
    <mergeCell ref="C51:D51"/>
    <mergeCell ref="B25:B26"/>
    <mergeCell ref="C25:C26"/>
    <mergeCell ref="C36:C37"/>
    <mergeCell ref="B36:B37"/>
    <mergeCell ref="B23:B24"/>
    <mergeCell ref="C23:C24"/>
    <mergeCell ref="C29:C30"/>
    <mergeCell ref="B29:B30"/>
    <mergeCell ref="BZ46:CB46"/>
    <mergeCell ref="H41:L41"/>
    <mergeCell ref="M41:Q41"/>
    <mergeCell ref="R41:V41"/>
    <mergeCell ref="W41:AA41"/>
    <mergeCell ref="BZ41:CB41"/>
    <mergeCell ref="M46:Q46"/>
    <mergeCell ref="R46:V46"/>
    <mergeCell ref="W46:AA46"/>
    <mergeCell ref="BF22:BJ22"/>
    <mergeCell ref="BK22:BO22"/>
    <mergeCell ref="BP15:BT15"/>
    <mergeCell ref="BU15:BY15"/>
    <mergeCell ref="BP17:BT17"/>
    <mergeCell ref="BU17:BY17"/>
    <mergeCell ref="BP22:BT22"/>
    <mergeCell ref="BU22:BY22"/>
    <mergeCell ref="BA15:BE15"/>
    <mergeCell ref="AV17:AZ17"/>
    <mergeCell ref="BA17:BE17"/>
    <mergeCell ref="AV22:AZ22"/>
    <mergeCell ref="BA22:BE22"/>
    <mergeCell ref="H22:L22"/>
    <mergeCell ref="M22:Q22"/>
    <mergeCell ref="R22:V22"/>
    <mergeCell ref="W22:AA22"/>
    <mergeCell ref="BZ35:CB35"/>
    <mergeCell ref="H28:L28"/>
    <mergeCell ref="M28:Q28"/>
    <mergeCell ref="H35:L35"/>
    <mergeCell ref="BZ28:CC28"/>
    <mergeCell ref="R28:V28"/>
    <mergeCell ref="W28:AA28"/>
    <mergeCell ref="M35:Q35"/>
    <mergeCell ref="R35:V35"/>
    <mergeCell ref="W35:AA35"/>
    <mergeCell ref="AB22:AF22"/>
    <mergeCell ref="BZ22:CB22"/>
    <mergeCell ref="AG15:AK15"/>
    <mergeCell ref="AG17:AK17"/>
    <mergeCell ref="AG22:AK22"/>
    <mergeCell ref="AL22:AP22"/>
    <mergeCell ref="BZ15:CC15"/>
    <mergeCell ref="BZ17:CC17"/>
    <mergeCell ref="AL15:AP15"/>
    <mergeCell ref="AQ15:AU15"/>
    <mergeCell ref="AL17:AP17"/>
    <mergeCell ref="AQ17:AU17"/>
    <mergeCell ref="BF15:BJ15"/>
    <mergeCell ref="BK15:BO15"/>
    <mergeCell ref="BF17:BJ17"/>
    <mergeCell ref="BK17:BO17"/>
    <mergeCell ref="AQ22:AU22"/>
    <mergeCell ref="AV15:AZ15"/>
    <mergeCell ref="C6:E6"/>
    <mergeCell ref="H17:L17"/>
    <mergeCell ref="M17:Q17"/>
    <mergeCell ref="R17:V17"/>
    <mergeCell ref="AB15:AF15"/>
    <mergeCell ref="R15:V15"/>
    <mergeCell ref="W15:AA15"/>
    <mergeCell ref="W17:AA17"/>
    <mergeCell ref="AB17:AF17"/>
    <mergeCell ref="C2:E3"/>
    <mergeCell ref="F2:K3"/>
    <mergeCell ref="L2:O2"/>
    <mergeCell ref="L3:O3"/>
    <mergeCell ref="G15:G16"/>
    <mergeCell ref="F15:F16"/>
    <mergeCell ref="E15:E16"/>
    <mergeCell ref="B15:D16"/>
    <mergeCell ref="H15:L15"/>
    <mergeCell ref="M15:Q15"/>
    <mergeCell ref="D7:E7"/>
    <mergeCell ref="D8:E8"/>
    <mergeCell ref="D9:E9"/>
    <mergeCell ref="D10:E10"/>
    <mergeCell ref="D11:E11"/>
    <mergeCell ref="D12:E12"/>
  </mergeCells>
  <phoneticPr fontId="24" type="noConversion"/>
  <conditionalFormatting sqref="BR33 AN33 BW33 AS33 AI33 AX33 BC33 CB33 BM33 AD33 Y33 T33 O33 J33 BH33 J24:J25 CB24:CB25 BC24:BC25 AX24:AX25 Y24:Y25 BM24:BM25 BW24:BW25 T24:T25 BR24:BR25 AN24:AN25 O24:O25 AS24:AS25 AI24:AI25 AD24:AD25 BH24:BH25 T27">
    <cfRule type="cellIs" dxfId="1690" priority="1548" stopIfTrue="1" operator="between">
      <formula>0</formula>
      <formula>0.4</formula>
    </cfRule>
    <cfRule type="cellIs" dxfId="1689" priority="1549" stopIfTrue="1" operator="between">
      <formula>0.4001</formula>
      <formula>0.65</formula>
    </cfRule>
    <cfRule type="cellIs" dxfId="1688" priority="1550" stopIfTrue="1" operator="between">
      <formula>0.6501</formula>
      <formula>1</formula>
    </cfRule>
  </conditionalFormatting>
  <conditionalFormatting sqref="J18 Y18 T18 O18 AD18:AD20">
    <cfRule type="cellIs" dxfId="1687" priority="1525" stopIfTrue="1" operator="between">
      <formula>0</formula>
      <formula>0.4</formula>
    </cfRule>
    <cfRule type="cellIs" dxfId="1686" priority="1526" stopIfTrue="1" operator="between">
      <formula>0.4001</formula>
      <formula>0.65</formula>
    </cfRule>
    <cfRule type="cellIs" dxfId="1685" priority="1527" stopIfTrue="1" operator="between">
      <formula>0.6501</formula>
      <formula>1</formula>
    </cfRule>
  </conditionalFormatting>
  <conditionalFormatting sqref="T19:T20 Y19:Y20 J19:J20 O19:O20">
    <cfRule type="cellIs" dxfId="1684" priority="1464" stopIfTrue="1" operator="between">
      <formula>0</formula>
      <formula>0.4</formula>
    </cfRule>
    <cfRule type="cellIs" dxfId="1683" priority="1465" stopIfTrue="1" operator="between">
      <formula>0.4001</formula>
      <formula>0.65</formula>
    </cfRule>
    <cfRule type="cellIs" dxfId="1682" priority="1466" stopIfTrue="1" operator="between">
      <formula>0.6501</formula>
      <formula>1</formula>
    </cfRule>
  </conditionalFormatting>
  <conditionalFormatting sqref="D11">
    <cfRule type="cellIs" dxfId="1681" priority="1423" stopIfTrue="1" operator="lessThan">
      <formula>0.5001</formula>
    </cfRule>
    <cfRule type="cellIs" dxfId="1680" priority="1424" stopIfTrue="1" operator="between">
      <formula>0.5001</formula>
      <formula>0.7</formula>
    </cfRule>
    <cfRule type="cellIs" dxfId="1679" priority="1425" stopIfTrue="1" operator="greaterThan">
      <formula>0.7</formula>
    </cfRule>
  </conditionalFormatting>
  <conditionalFormatting sqref="O21 T21 Y21">
    <cfRule type="cellIs" dxfId="1678" priority="1414" stopIfTrue="1" operator="between">
      <formula>0</formula>
      <formula>0.4</formula>
    </cfRule>
    <cfRule type="cellIs" dxfId="1677" priority="1415" stopIfTrue="1" operator="between">
      <formula>0.4001</formula>
      <formula>0.65</formula>
    </cfRule>
    <cfRule type="cellIs" dxfId="1676" priority="1416" stopIfTrue="1" operator="between">
      <formula>0.6501</formula>
      <formula>1</formula>
    </cfRule>
  </conditionalFormatting>
  <conditionalFormatting sqref="CB27">
    <cfRule type="cellIs" dxfId="1675" priority="1406" stopIfTrue="1" operator="between">
      <formula>0</formula>
      <formula>0.4</formula>
    </cfRule>
    <cfRule type="cellIs" dxfId="1674" priority="1407" stopIfTrue="1" operator="between">
      <formula>0.4001</formula>
      <formula>0.65</formula>
    </cfRule>
    <cfRule type="cellIs" dxfId="1673" priority="1408" stopIfTrue="1" operator="between">
      <formula>0.6501</formula>
      <formula>1</formula>
    </cfRule>
  </conditionalFormatting>
  <conditionalFormatting sqref="J40 CB40">
    <cfRule type="cellIs" dxfId="1672" priority="1390" stopIfTrue="1" operator="between">
      <formula>0</formula>
      <formula>0.4</formula>
    </cfRule>
    <cfRule type="cellIs" dxfId="1671" priority="1391" stopIfTrue="1" operator="between">
      <formula>0.4001</formula>
      <formula>0.65</formula>
    </cfRule>
    <cfRule type="cellIs" dxfId="1670" priority="1392" stopIfTrue="1" operator="between">
      <formula>0.6501</formula>
      <formula>1</formula>
    </cfRule>
  </conditionalFormatting>
  <conditionalFormatting sqref="J27">
    <cfRule type="cellIs" dxfId="1669" priority="1370" stopIfTrue="1" operator="between">
      <formula>0</formula>
      <formula>0.4</formula>
    </cfRule>
    <cfRule type="cellIs" dxfId="1668" priority="1371" stopIfTrue="1" operator="between">
      <formula>0.4001</formula>
      <formula>0.65</formula>
    </cfRule>
    <cfRule type="cellIs" dxfId="1667" priority="1372" stopIfTrue="1" operator="between">
      <formula>0.6501</formula>
      <formula>1</formula>
    </cfRule>
  </conditionalFormatting>
  <conditionalFormatting sqref="G27">
    <cfRule type="cellIs" dxfId="1666" priority="1353" stopIfTrue="1" operator="equal">
      <formula>1</formula>
    </cfRule>
    <cfRule type="cellIs" dxfId="1665" priority="1354" stopIfTrue="1" operator="notEqual">
      <formula>1</formula>
    </cfRule>
  </conditionalFormatting>
  <conditionalFormatting sqref="G34">
    <cfRule type="cellIs" dxfId="1664" priority="1351" stopIfTrue="1" operator="equal">
      <formula>1</formula>
    </cfRule>
    <cfRule type="cellIs" dxfId="1663" priority="1352" stopIfTrue="1" operator="notEqual">
      <formula>1</formula>
    </cfRule>
  </conditionalFormatting>
  <conditionalFormatting sqref="G21">
    <cfRule type="cellIs" dxfId="1662" priority="1344" stopIfTrue="1" operator="between">
      <formula>0</formula>
      <formula>0.4</formula>
    </cfRule>
    <cfRule type="cellIs" dxfId="1661" priority="1345" stopIfTrue="1" operator="between">
      <formula>0.4001</formula>
      <formula>0.65</formula>
    </cfRule>
    <cfRule type="cellIs" dxfId="1660" priority="1346" stopIfTrue="1" operator="between">
      <formula>0.6501</formula>
      <formula>1</formula>
    </cfRule>
  </conditionalFormatting>
  <conditionalFormatting sqref="BR30:BR31">
    <cfRule type="cellIs" dxfId="1659" priority="969" stopIfTrue="1" operator="between">
      <formula>0</formula>
      <formula>0.4</formula>
    </cfRule>
    <cfRule type="cellIs" dxfId="1658" priority="970" stopIfTrue="1" operator="between">
      <formula>0.4001</formula>
      <formula>0.65</formula>
    </cfRule>
    <cfRule type="cellIs" dxfId="1657" priority="971" stopIfTrue="1" operator="between">
      <formula>0.6501</formula>
      <formula>1</formula>
    </cfRule>
  </conditionalFormatting>
  <conditionalFormatting sqref="AS27">
    <cfRule type="cellIs" dxfId="1656" priority="918" stopIfTrue="1" operator="between">
      <formula>0</formula>
      <formula>0.4</formula>
    </cfRule>
    <cfRule type="cellIs" dxfId="1655" priority="919" stopIfTrue="1" operator="between">
      <formula>0.4001</formula>
      <formula>0.65</formula>
    </cfRule>
    <cfRule type="cellIs" dxfId="1654" priority="920" stopIfTrue="1" operator="between">
      <formula>0.6501</formula>
      <formula>1</formula>
    </cfRule>
  </conditionalFormatting>
  <conditionalFormatting sqref="AN30:AN31">
    <cfRule type="cellIs" dxfId="1653" priority="987" stopIfTrue="1" operator="between">
      <formula>0</formula>
      <formula>0.4</formula>
    </cfRule>
    <cfRule type="cellIs" dxfId="1652" priority="988" stopIfTrue="1" operator="between">
      <formula>0.4001</formula>
      <formula>0.65</formula>
    </cfRule>
    <cfRule type="cellIs" dxfId="1651" priority="989" stopIfTrue="1" operator="between">
      <formula>0.6501</formula>
      <formula>1</formula>
    </cfRule>
  </conditionalFormatting>
  <conditionalFormatting sqref="BH27">
    <cfRule type="cellIs" dxfId="1650" priority="909" stopIfTrue="1" operator="between">
      <formula>0</formula>
      <formula>0.4</formula>
    </cfRule>
    <cfRule type="cellIs" dxfId="1649" priority="910" stopIfTrue="1" operator="between">
      <formula>0.4001</formula>
      <formula>0.65</formula>
    </cfRule>
    <cfRule type="cellIs" dxfId="1648" priority="911" stopIfTrue="1" operator="between">
      <formula>0.6501</formula>
      <formula>1</formula>
    </cfRule>
  </conditionalFormatting>
  <conditionalFormatting sqref="AI18:AI20">
    <cfRule type="cellIs" dxfId="1647" priority="1071" stopIfTrue="1" operator="between">
      <formula>0</formula>
      <formula>0.4</formula>
    </cfRule>
    <cfRule type="cellIs" dxfId="1646" priority="1072" stopIfTrue="1" operator="between">
      <formula>0.4001</formula>
      <formula>0.65</formula>
    </cfRule>
    <cfRule type="cellIs" dxfId="1645" priority="1073" stopIfTrue="1" operator="between">
      <formula>0.6501</formula>
      <formula>1</formula>
    </cfRule>
  </conditionalFormatting>
  <conditionalFormatting sqref="AN21">
    <cfRule type="cellIs" dxfId="1644" priority="951" stopIfTrue="1" operator="between">
      <formula>0</formula>
      <formula>0.4</formula>
    </cfRule>
    <cfRule type="cellIs" dxfId="1643" priority="952" stopIfTrue="1" operator="between">
      <formula>0.4001</formula>
      <formula>0.65</formula>
    </cfRule>
    <cfRule type="cellIs" dxfId="1642" priority="953" stopIfTrue="1" operator="between">
      <formula>0.6501</formula>
      <formula>1</formula>
    </cfRule>
  </conditionalFormatting>
  <conditionalFormatting sqref="BW30:BW31">
    <cfRule type="cellIs" dxfId="1641" priority="966" stopIfTrue="1" operator="between">
      <formula>0</formula>
      <formula>0.4</formula>
    </cfRule>
    <cfRule type="cellIs" dxfId="1640" priority="967" stopIfTrue="1" operator="between">
      <formula>0.4001</formula>
      <formula>0.65</formula>
    </cfRule>
    <cfRule type="cellIs" dxfId="1639" priority="968" stopIfTrue="1" operator="between">
      <formula>0.6501</formula>
      <formula>1</formula>
    </cfRule>
  </conditionalFormatting>
  <conditionalFormatting sqref="BM21">
    <cfRule type="cellIs" dxfId="1638" priority="936" stopIfTrue="1" operator="between">
      <formula>0</formula>
      <formula>0.4</formula>
    </cfRule>
    <cfRule type="cellIs" dxfId="1637" priority="937" stopIfTrue="1" operator="between">
      <formula>0.4001</formula>
      <formula>0.65</formula>
    </cfRule>
    <cfRule type="cellIs" dxfId="1636" priority="938" stopIfTrue="1" operator="between">
      <formula>0.6501</formula>
      <formula>1</formula>
    </cfRule>
  </conditionalFormatting>
  <conditionalFormatting sqref="BH18:BH20">
    <cfRule type="cellIs" dxfId="1635" priority="1056" stopIfTrue="1" operator="between">
      <formula>0</formula>
      <formula>0.4</formula>
    </cfRule>
    <cfRule type="cellIs" dxfId="1634" priority="1057" stopIfTrue="1" operator="between">
      <formula>0.4001</formula>
      <formula>0.65</formula>
    </cfRule>
    <cfRule type="cellIs" dxfId="1633" priority="1058" stopIfTrue="1" operator="between">
      <formula>0.6501</formula>
      <formula>1</formula>
    </cfRule>
  </conditionalFormatting>
  <conditionalFormatting sqref="AD21">
    <cfRule type="cellIs" dxfId="1632" priority="957" stopIfTrue="1" operator="between">
      <formula>0</formula>
      <formula>0.4</formula>
    </cfRule>
    <cfRule type="cellIs" dxfId="1631" priority="958" stopIfTrue="1" operator="between">
      <formula>0.4001</formula>
      <formula>0.65</formula>
    </cfRule>
    <cfRule type="cellIs" dxfId="1630" priority="959" stopIfTrue="1" operator="between">
      <formula>0.6501</formula>
      <formula>1</formula>
    </cfRule>
  </conditionalFormatting>
  <conditionalFormatting sqref="BW18:BW20">
    <cfRule type="cellIs" dxfId="1629" priority="1047" stopIfTrue="1" operator="between">
      <formula>0</formula>
      <formula>0.4</formula>
    </cfRule>
    <cfRule type="cellIs" dxfId="1628" priority="1048" stopIfTrue="1" operator="between">
      <formula>0.4001</formula>
      <formula>0.65</formula>
    </cfRule>
    <cfRule type="cellIs" dxfId="1627" priority="1049" stopIfTrue="1" operator="between">
      <formula>0.6501</formula>
      <formula>1</formula>
    </cfRule>
  </conditionalFormatting>
  <conditionalFormatting sqref="CB18:CB21">
    <cfRule type="cellIs" dxfId="1626" priority="1044" stopIfTrue="1" operator="between">
      <formula>0</formula>
      <formula>0.4</formula>
    </cfRule>
    <cfRule type="cellIs" dxfId="1625" priority="1045" stopIfTrue="1" operator="between">
      <formula>0.4001</formula>
      <formula>0.65</formula>
    </cfRule>
    <cfRule type="cellIs" dxfId="1624" priority="1046" stopIfTrue="1" operator="between">
      <formula>0.6501</formula>
      <formula>1</formula>
    </cfRule>
  </conditionalFormatting>
  <conditionalFormatting sqref="AS30:AS31">
    <cfRule type="cellIs" dxfId="1623" priority="984" stopIfTrue="1" operator="between">
      <formula>0</formula>
      <formula>0.4</formula>
    </cfRule>
    <cfRule type="cellIs" dxfId="1622" priority="985" stopIfTrue="1" operator="between">
      <formula>0.4001</formula>
      <formula>0.65</formula>
    </cfRule>
    <cfRule type="cellIs" dxfId="1621" priority="986" stopIfTrue="1" operator="between">
      <formula>0.6501</formula>
      <formula>1</formula>
    </cfRule>
  </conditionalFormatting>
  <conditionalFormatting sqref="AN18:AN20">
    <cfRule type="cellIs" dxfId="1620" priority="1068" stopIfTrue="1" operator="between">
      <formula>0</formula>
      <formula>0.4</formula>
    </cfRule>
    <cfRule type="cellIs" dxfId="1619" priority="1069" stopIfTrue="1" operator="between">
      <formula>0.4001</formula>
      <formula>0.65</formula>
    </cfRule>
    <cfRule type="cellIs" dxfId="1618" priority="1070" stopIfTrue="1" operator="between">
      <formula>0.6501</formula>
      <formula>1</formula>
    </cfRule>
  </conditionalFormatting>
  <conditionalFormatting sqref="BM27">
    <cfRule type="cellIs" dxfId="1617" priority="906" stopIfTrue="1" operator="between">
      <formula>0</formula>
      <formula>0.4</formula>
    </cfRule>
    <cfRule type="cellIs" dxfId="1616" priority="907" stopIfTrue="1" operator="between">
      <formula>0.4001</formula>
      <formula>0.65</formula>
    </cfRule>
    <cfRule type="cellIs" dxfId="1615" priority="908" stopIfTrue="1" operator="between">
      <formula>0.6501</formula>
      <formula>1</formula>
    </cfRule>
  </conditionalFormatting>
  <conditionalFormatting sqref="AD27">
    <cfRule type="cellIs" dxfId="1614" priority="927" stopIfTrue="1" operator="between">
      <formula>0</formula>
      <formula>0.4</formula>
    </cfRule>
    <cfRule type="cellIs" dxfId="1613" priority="928" stopIfTrue="1" operator="between">
      <formula>0.4001</formula>
      <formula>0.65</formula>
    </cfRule>
    <cfRule type="cellIs" dxfId="1612" priority="929" stopIfTrue="1" operator="between">
      <formula>0.6501</formula>
      <formula>1</formula>
    </cfRule>
  </conditionalFormatting>
  <conditionalFormatting sqref="AX18:AX20">
    <cfRule type="cellIs" dxfId="1611" priority="1062" stopIfTrue="1" operator="between">
      <formula>0</formula>
      <formula>0.4</formula>
    </cfRule>
    <cfRule type="cellIs" dxfId="1610" priority="1063" stopIfTrue="1" operator="between">
      <formula>0.4001</formula>
      <formula>0.65</formula>
    </cfRule>
    <cfRule type="cellIs" dxfId="1609" priority="1064" stopIfTrue="1" operator="between">
      <formula>0.6501</formula>
      <formula>1</formula>
    </cfRule>
  </conditionalFormatting>
  <conditionalFormatting sqref="BC18:BC20">
    <cfRule type="cellIs" dxfId="1608" priority="1059" stopIfTrue="1" operator="between">
      <formula>0</formula>
      <formula>0.4</formula>
    </cfRule>
    <cfRule type="cellIs" dxfId="1607" priority="1060" stopIfTrue="1" operator="between">
      <formula>0.4001</formula>
      <formula>0.65</formula>
    </cfRule>
    <cfRule type="cellIs" dxfId="1606" priority="1061" stopIfTrue="1" operator="between">
      <formula>0.6501</formula>
      <formula>1</formula>
    </cfRule>
  </conditionalFormatting>
  <conditionalFormatting sqref="AI21">
    <cfRule type="cellIs" dxfId="1605" priority="954" stopIfTrue="1" operator="between">
      <formula>0</formula>
      <formula>0.4</formula>
    </cfRule>
    <cfRule type="cellIs" dxfId="1604" priority="955" stopIfTrue="1" operator="between">
      <formula>0.4001</formula>
      <formula>0.65</formula>
    </cfRule>
    <cfRule type="cellIs" dxfId="1603" priority="956" stopIfTrue="1" operator="between">
      <formula>0.6501</formula>
      <formula>1</formula>
    </cfRule>
  </conditionalFormatting>
  <conditionalFormatting sqref="BR18:BR20">
    <cfRule type="cellIs" dxfId="1602" priority="1050" stopIfTrue="1" operator="between">
      <formula>0</formula>
      <formula>0.4</formula>
    </cfRule>
    <cfRule type="cellIs" dxfId="1601" priority="1051" stopIfTrue="1" operator="between">
      <formula>0.4001</formula>
      <formula>0.65</formula>
    </cfRule>
    <cfRule type="cellIs" dxfId="1600" priority="1052" stopIfTrue="1" operator="between">
      <formula>0.6501</formula>
      <formula>1</formula>
    </cfRule>
  </conditionalFormatting>
  <conditionalFormatting sqref="BC27">
    <cfRule type="cellIs" dxfId="1599" priority="912" stopIfTrue="1" operator="between">
      <formula>0</formula>
      <formula>0.4</formula>
    </cfRule>
    <cfRule type="cellIs" dxfId="1598" priority="913" stopIfTrue="1" operator="between">
      <formula>0.4001</formula>
      <formula>0.65</formula>
    </cfRule>
    <cfRule type="cellIs" dxfId="1597" priority="914" stopIfTrue="1" operator="between">
      <formula>0.6501</formula>
      <formula>1</formula>
    </cfRule>
  </conditionalFormatting>
  <conditionalFormatting sqref="AX34">
    <cfRule type="cellIs" dxfId="1596" priority="879" stopIfTrue="1" operator="between">
      <formula>0</formula>
      <formula>0.4</formula>
    </cfRule>
    <cfRule type="cellIs" dxfId="1595" priority="880" stopIfTrue="1" operator="between">
      <formula>0.4001</formula>
      <formula>0.65</formula>
    </cfRule>
    <cfRule type="cellIs" dxfId="1594" priority="881" stopIfTrue="1" operator="between">
      <formula>0.6501</formula>
      <formula>1</formula>
    </cfRule>
  </conditionalFormatting>
  <conditionalFormatting sqref="J21">
    <cfRule type="cellIs" dxfId="1593" priority="897" stopIfTrue="1" operator="between">
      <formula>0</formula>
      <formula>0.4</formula>
    </cfRule>
    <cfRule type="cellIs" dxfId="1592" priority="898" stopIfTrue="1" operator="between">
      <formula>0.4001</formula>
      <formula>0.65</formula>
    </cfRule>
    <cfRule type="cellIs" dxfId="1591" priority="899" stopIfTrue="1" operator="between">
      <formula>0.6501</formula>
      <formula>1</formula>
    </cfRule>
  </conditionalFormatting>
  <conditionalFormatting sqref="AS34">
    <cfRule type="cellIs" dxfId="1590" priority="882" stopIfTrue="1" operator="between">
      <formula>0</formula>
      <formula>0.4</formula>
    </cfRule>
    <cfRule type="cellIs" dxfId="1589" priority="883" stopIfTrue="1" operator="between">
      <formula>0.4001</formula>
      <formula>0.65</formula>
    </cfRule>
    <cfRule type="cellIs" dxfId="1588" priority="884" stopIfTrue="1" operator="between">
      <formula>0.6501</formula>
      <formula>1</formula>
    </cfRule>
  </conditionalFormatting>
  <conditionalFormatting sqref="BH37 BH39">
    <cfRule type="cellIs" dxfId="1587" priority="852" stopIfTrue="1" operator="between">
      <formula>0</formula>
      <formula>0.4</formula>
    </cfRule>
    <cfRule type="cellIs" dxfId="1586" priority="853" stopIfTrue="1" operator="between">
      <formula>0.4001</formula>
      <formula>0.65</formula>
    </cfRule>
    <cfRule type="cellIs" dxfId="1585" priority="854" stopIfTrue="1" operator="between">
      <formula>0.6501</formula>
      <formula>1</formula>
    </cfRule>
  </conditionalFormatting>
  <conditionalFormatting sqref="BR34">
    <cfRule type="cellIs" dxfId="1584" priority="867" stopIfTrue="1" operator="between">
      <formula>0</formula>
      <formula>0.4</formula>
    </cfRule>
    <cfRule type="cellIs" dxfId="1583" priority="868" stopIfTrue="1" operator="between">
      <formula>0.4001</formula>
      <formula>0.65</formula>
    </cfRule>
    <cfRule type="cellIs" dxfId="1582" priority="869" stopIfTrue="1" operator="between">
      <formula>0.6501</formula>
      <formula>1</formula>
    </cfRule>
  </conditionalFormatting>
  <conditionalFormatting sqref="BM18:BM20">
    <cfRule type="cellIs" dxfId="1581" priority="1053" stopIfTrue="1" operator="between">
      <formula>0</formula>
      <formula>0.4</formula>
    </cfRule>
    <cfRule type="cellIs" dxfId="1580" priority="1054" stopIfTrue="1" operator="between">
      <formula>0.4001</formula>
      <formula>0.65</formula>
    </cfRule>
    <cfRule type="cellIs" dxfId="1579" priority="1055" stopIfTrue="1" operator="between">
      <formula>0.6501</formula>
      <formula>1</formula>
    </cfRule>
  </conditionalFormatting>
  <conditionalFormatting sqref="AI30:AI31">
    <cfRule type="cellIs" dxfId="1578" priority="990" stopIfTrue="1" operator="between">
      <formula>0</formula>
      <formula>0.4</formula>
    </cfRule>
    <cfRule type="cellIs" dxfId="1577" priority="991" stopIfTrue="1" operator="between">
      <formula>0.4001</formula>
      <formula>0.65</formula>
    </cfRule>
    <cfRule type="cellIs" dxfId="1576" priority="992" stopIfTrue="1" operator="between">
      <formula>0.6501</formula>
      <formula>1</formula>
    </cfRule>
  </conditionalFormatting>
  <conditionalFormatting sqref="AI37 AI39">
    <cfRule type="cellIs" dxfId="1575" priority="837" stopIfTrue="1" operator="between">
      <formula>0</formula>
      <formula>0.4</formula>
    </cfRule>
    <cfRule type="cellIs" dxfId="1574" priority="838" stopIfTrue="1" operator="between">
      <formula>0.4001</formula>
      <formula>0.65</formula>
    </cfRule>
    <cfRule type="cellIs" dxfId="1573" priority="839" stopIfTrue="1" operator="between">
      <formula>0.6501</formula>
      <formula>1</formula>
    </cfRule>
  </conditionalFormatting>
  <conditionalFormatting sqref="AX30:AX31">
    <cfRule type="cellIs" dxfId="1572" priority="981" stopIfTrue="1" operator="between">
      <formula>0</formula>
      <formula>0.4</formula>
    </cfRule>
    <cfRule type="cellIs" dxfId="1571" priority="982" stopIfTrue="1" operator="between">
      <formula>0.4001</formula>
      <formula>0.65</formula>
    </cfRule>
    <cfRule type="cellIs" dxfId="1570" priority="983" stopIfTrue="1" operator="between">
      <formula>0.6501</formula>
      <formula>1</formula>
    </cfRule>
  </conditionalFormatting>
  <conditionalFormatting sqref="BC30:BC31">
    <cfRule type="cellIs" dxfId="1569" priority="978" stopIfTrue="1" operator="between">
      <formula>0</formula>
      <formula>0.4</formula>
    </cfRule>
    <cfRule type="cellIs" dxfId="1568" priority="979" stopIfTrue="1" operator="between">
      <formula>0.4001</formula>
      <formula>0.65</formula>
    </cfRule>
    <cfRule type="cellIs" dxfId="1567" priority="980" stopIfTrue="1" operator="between">
      <formula>0.6501</formula>
      <formula>1</formula>
    </cfRule>
  </conditionalFormatting>
  <conditionalFormatting sqref="J34 O34 T34">
    <cfRule type="cellIs" dxfId="1566" priority="993" stopIfTrue="1" operator="between">
      <formula>0</formula>
      <formula>0.4</formula>
    </cfRule>
    <cfRule type="cellIs" dxfId="1565" priority="994" stopIfTrue="1" operator="between">
      <formula>0.4001</formula>
      <formula>0.65</formula>
    </cfRule>
    <cfRule type="cellIs" dxfId="1564" priority="995" stopIfTrue="1" operator="between">
      <formula>0.6501</formula>
      <formula>1</formula>
    </cfRule>
  </conditionalFormatting>
  <conditionalFormatting sqref="CB30:CB31">
    <cfRule type="cellIs" dxfId="1563" priority="963" stopIfTrue="1" operator="between">
      <formula>0</formula>
      <formula>0.4</formula>
    </cfRule>
    <cfRule type="cellIs" dxfId="1562" priority="964" stopIfTrue="1" operator="between">
      <formula>0.4001</formula>
      <formula>0.65</formula>
    </cfRule>
    <cfRule type="cellIs" dxfId="1561" priority="965" stopIfTrue="1" operator="between">
      <formula>0.6501</formula>
      <formula>1</formula>
    </cfRule>
  </conditionalFormatting>
  <conditionalFormatting sqref="BM30:BM31">
    <cfRule type="cellIs" dxfId="1560" priority="972" stopIfTrue="1" operator="between">
      <formula>0</formula>
      <formula>0.4</formula>
    </cfRule>
    <cfRule type="cellIs" dxfId="1559" priority="973" stopIfTrue="1" operator="between">
      <formula>0.4001</formula>
      <formula>0.65</formula>
    </cfRule>
    <cfRule type="cellIs" dxfId="1558" priority="974" stopIfTrue="1" operator="between">
      <formula>0.6501</formula>
      <formula>1</formula>
    </cfRule>
  </conditionalFormatting>
  <conditionalFormatting sqref="J30:J31 O30:O31 T30:T31 Y30:Y31 AD30:AD31">
    <cfRule type="cellIs" dxfId="1557" priority="999" stopIfTrue="1" operator="between">
      <formula>0</formula>
      <formula>0.4</formula>
    </cfRule>
    <cfRule type="cellIs" dxfId="1556" priority="1000" stopIfTrue="1" operator="between">
      <formula>0.4001</formula>
      <formula>0.65</formula>
    </cfRule>
    <cfRule type="cellIs" dxfId="1555" priority="1001" stopIfTrue="1" operator="between">
      <formula>0.6501</formula>
      <formula>1</formula>
    </cfRule>
  </conditionalFormatting>
  <conditionalFormatting sqref="BM40">
    <cfRule type="cellIs" dxfId="1554" priority="786" stopIfTrue="1" operator="between">
      <formula>0</formula>
      <formula>0.4</formula>
    </cfRule>
    <cfRule type="cellIs" dxfId="1553" priority="787" stopIfTrue="1" operator="between">
      <formula>0.4001</formula>
      <formula>0.65</formula>
    </cfRule>
    <cfRule type="cellIs" dxfId="1552" priority="788" stopIfTrue="1" operator="between">
      <formula>0.6501</formula>
      <formula>1</formula>
    </cfRule>
  </conditionalFormatting>
  <conditionalFormatting sqref="BM43">
    <cfRule type="cellIs" dxfId="1551" priority="771" stopIfTrue="1" operator="between">
      <formula>0</formula>
      <formula>0.4</formula>
    </cfRule>
    <cfRule type="cellIs" dxfId="1550" priority="772" stopIfTrue="1" operator="between">
      <formula>0.4001</formula>
      <formula>0.65</formula>
    </cfRule>
    <cfRule type="cellIs" dxfId="1549" priority="773" stopIfTrue="1" operator="between">
      <formula>0.6501</formula>
      <formula>1</formula>
    </cfRule>
  </conditionalFormatting>
  <conditionalFormatting sqref="BC21">
    <cfRule type="cellIs" dxfId="1548" priority="942" stopIfTrue="1" operator="between">
      <formula>0</formula>
      <formula>0.4</formula>
    </cfRule>
    <cfRule type="cellIs" dxfId="1547" priority="943" stopIfTrue="1" operator="between">
      <formula>0.4001</formula>
      <formula>0.65</formula>
    </cfRule>
    <cfRule type="cellIs" dxfId="1546" priority="944" stopIfTrue="1" operator="between">
      <formula>0.6501</formula>
      <formula>1</formula>
    </cfRule>
  </conditionalFormatting>
  <conditionalFormatting sqref="AI27">
    <cfRule type="cellIs" dxfId="1545" priority="924" stopIfTrue="1" operator="between">
      <formula>0</formula>
      <formula>0.4</formula>
    </cfRule>
    <cfRule type="cellIs" dxfId="1544" priority="925" stopIfTrue="1" operator="between">
      <formula>0.4001</formula>
      <formula>0.65</formula>
    </cfRule>
    <cfRule type="cellIs" dxfId="1543" priority="926" stopIfTrue="1" operator="between">
      <formula>0.6501</formula>
      <formula>1</formula>
    </cfRule>
  </conditionalFormatting>
  <conditionalFormatting sqref="AN27">
    <cfRule type="cellIs" dxfId="1542" priority="921" stopIfTrue="1" operator="between">
      <formula>0</formula>
      <formula>0.4</formula>
    </cfRule>
    <cfRule type="cellIs" dxfId="1541" priority="922" stopIfTrue="1" operator="between">
      <formula>0.4001</formula>
      <formula>0.65</formula>
    </cfRule>
    <cfRule type="cellIs" dxfId="1540" priority="923" stopIfTrue="1" operator="between">
      <formula>0.6501</formula>
      <formula>1</formula>
    </cfRule>
  </conditionalFormatting>
  <conditionalFormatting sqref="BW27">
    <cfRule type="cellIs" dxfId="1539" priority="900" stopIfTrue="1" operator="between">
      <formula>0</formula>
      <formula>0.4</formula>
    </cfRule>
    <cfRule type="cellIs" dxfId="1538" priority="901" stopIfTrue="1" operator="between">
      <formula>0.4001</formula>
      <formula>0.65</formula>
    </cfRule>
    <cfRule type="cellIs" dxfId="1537" priority="902" stopIfTrue="1" operator="between">
      <formula>0.6501</formula>
      <formula>1</formula>
    </cfRule>
  </conditionalFormatting>
  <conditionalFormatting sqref="BH21">
    <cfRule type="cellIs" dxfId="1536" priority="939" stopIfTrue="1" operator="between">
      <formula>0</formula>
      <formula>0.4</formula>
    </cfRule>
    <cfRule type="cellIs" dxfId="1535" priority="940" stopIfTrue="1" operator="between">
      <formula>0.4001</formula>
      <formula>0.65</formula>
    </cfRule>
    <cfRule type="cellIs" dxfId="1534" priority="941" stopIfTrue="1" operator="between">
      <formula>0.6501</formula>
      <formula>1</formula>
    </cfRule>
  </conditionalFormatting>
  <conditionalFormatting sqref="J45">
    <cfRule type="cellIs" dxfId="1533" priority="732" stopIfTrue="1" operator="between">
      <formula>0</formula>
      <formula>0.4</formula>
    </cfRule>
    <cfRule type="cellIs" dxfId="1532" priority="733" stopIfTrue="1" operator="between">
      <formula>0.4001</formula>
      <formula>0.65</formula>
    </cfRule>
    <cfRule type="cellIs" dxfId="1531" priority="734" stopIfTrue="1" operator="between">
      <formula>0.6501</formula>
      <formula>1</formula>
    </cfRule>
  </conditionalFormatting>
  <conditionalFormatting sqref="BM34">
    <cfRule type="cellIs" dxfId="1530" priority="870" stopIfTrue="1" operator="between">
      <formula>0</formula>
      <formula>0.4</formula>
    </cfRule>
    <cfRule type="cellIs" dxfId="1529" priority="871" stopIfTrue="1" operator="between">
      <formula>0.4001</formula>
      <formula>0.65</formula>
    </cfRule>
    <cfRule type="cellIs" dxfId="1528" priority="872" stopIfTrue="1" operator="between">
      <formula>0.6501</formula>
      <formula>1</formula>
    </cfRule>
  </conditionalFormatting>
  <conditionalFormatting sqref="BR21">
    <cfRule type="cellIs" dxfId="1527" priority="933" stopIfTrue="1" operator="between">
      <formula>0</formula>
      <formula>0.4</formula>
    </cfRule>
    <cfRule type="cellIs" dxfId="1526" priority="934" stopIfTrue="1" operator="between">
      <formula>0.4001</formula>
      <formula>0.65</formula>
    </cfRule>
    <cfRule type="cellIs" dxfId="1525" priority="935" stopIfTrue="1" operator="between">
      <formula>0.6501</formula>
      <formula>1</formula>
    </cfRule>
  </conditionalFormatting>
  <conditionalFormatting sqref="BW34">
    <cfRule type="cellIs" dxfId="1524" priority="864" stopIfTrue="1" operator="between">
      <formula>0</formula>
      <formula>0.4</formula>
    </cfRule>
    <cfRule type="cellIs" dxfId="1523" priority="865" stopIfTrue="1" operator="between">
      <formula>0.4001</formula>
      <formula>0.65</formula>
    </cfRule>
    <cfRule type="cellIs" dxfId="1522" priority="866" stopIfTrue="1" operator="between">
      <formula>0.6501</formula>
      <formula>1</formula>
    </cfRule>
  </conditionalFormatting>
  <conditionalFormatting sqref="BR27">
    <cfRule type="cellIs" dxfId="1521" priority="903" stopIfTrue="1" operator="between">
      <formula>0</formula>
      <formula>0.4</formula>
    </cfRule>
    <cfRule type="cellIs" dxfId="1520" priority="904" stopIfTrue="1" operator="between">
      <formula>0.4001</formula>
      <formula>0.65</formula>
    </cfRule>
    <cfRule type="cellIs" dxfId="1519" priority="905" stopIfTrue="1" operator="between">
      <formula>0.6501</formula>
      <formula>1</formula>
    </cfRule>
  </conditionalFormatting>
  <conditionalFormatting sqref="AS18:AS20">
    <cfRule type="cellIs" dxfId="1518" priority="1065" stopIfTrue="1" operator="between">
      <formula>0</formula>
      <formula>0.4</formula>
    </cfRule>
    <cfRule type="cellIs" dxfId="1517" priority="1066" stopIfTrue="1" operator="between">
      <formula>0.4001</formula>
      <formula>0.65</formula>
    </cfRule>
    <cfRule type="cellIs" dxfId="1516" priority="1067" stopIfTrue="1" operator="between">
      <formula>0.6501</formula>
      <formula>1</formula>
    </cfRule>
  </conditionalFormatting>
  <conditionalFormatting sqref="AD34">
    <cfRule type="cellIs" dxfId="1515" priority="891" stopIfTrue="1" operator="between">
      <formula>0</formula>
      <formula>0.4</formula>
    </cfRule>
    <cfRule type="cellIs" dxfId="1514" priority="892" stopIfTrue="1" operator="between">
      <formula>0.4001</formula>
      <formula>0.65</formula>
    </cfRule>
    <cfRule type="cellIs" dxfId="1513" priority="893" stopIfTrue="1" operator="between">
      <formula>0.6501</formula>
      <formula>1</formula>
    </cfRule>
  </conditionalFormatting>
  <conditionalFormatting sqref="AX37 AX39">
    <cfRule type="cellIs" dxfId="1512" priority="846" stopIfTrue="1" operator="between">
      <formula>0</formula>
      <formula>0.4</formula>
    </cfRule>
    <cfRule type="cellIs" dxfId="1511" priority="847" stopIfTrue="1" operator="between">
      <formula>0.4001</formula>
      <formula>0.65</formula>
    </cfRule>
    <cfRule type="cellIs" dxfId="1510" priority="848" stopIfTrue="1" operator="between">
      <formula>0.6501</formula>
      <formula>1</formula>
    </cfRule>
  </conditionalFormatting>
  <conditionalFormatting sqref="AN34">
    <cfRule type="cellIs" dxfId="1509" priority="885" stopIfTrue="1" operator="between">
      <formula>0</formula>
      <formula>0.4</formula>
    </cfRule>
    <cfRule type="cellIs" dxfId="1508" priority="886" stopIfTrue="1" operator="between">
      <formula>0.4001</formula>
      <formula>0.65</formula>
    </cfRule>
    <cfRule type="cellIs" dxfId="1507" priority="887" stopIfTrue="1" operator="between">
      <formula>0.6501</formula>
      <formula>1</formula>
    </cfRule>
  </conditionalFormatting>
  <conditionalFormatting sqref="BC34">
    <cfRule type="cellIs" dxfId="1506" priority="876" stopIfTrue="1" operator="between">
      <formula>0</formula>
      <formula>0.4</formula>
    </cfRule>
    <cfRule type="cellIs" dxfId="1505" priority="877" stopIfTrue="1" operator="between">
      <formula>0.4001</formula>
      <formula>0.65</formula>
    </cfRule>
    <cfRule type="cellIs" dxfId="1504" priority="878" stopIfTrue="1" operator="between">
      <formula>0.6501</formula>
      <formula>1</formula>
    </cfRule>
  </conditionalFormatting>
  <conditionalFormatting sqref="O37 O39">
    <cfRule type="cellIs" dxfId="1503" priority="828" stopIfTrue="1" operator="between">
      <formula>0</formula>
      <formula>0.4</formula>
    </cfRule>
    <cfRule type="cellIs" dxfId="1502" priority="829" stopIfTrue="1" operator="between">
      <formula>0.4001</formula>
      <formula>0.65</formula>
    </cfRule>
    <cfRule type="cellIs" dxfId="1501" priority="830" stopIfTrue="1" operator="between">
      <formula>0.6501</formula>
      <formula>1</formula>
    </cfRule>
  </conditionalFormatting>
  <conditionalFormatting sqref="T37 T39">
    <cfRule type="cellIs" dxfId="1500" priority="825" stopIfTrue="1" operator="between">
      <formula>0</formula>
      <formula>0.4</formula>
    </cfRule>
    <cfRule type="cellIs" dxfId="1499" priority="826" stopIfTrue="1" operator="between">
      <formula>0.4001</formula>
      <formula>0.65</formula>
    </cfRule>
    <cfRule type="cellIs" dxfId="1498" priority="827" stopIfTrue="1" operator="between">
      <formula>0.6501</formula>
      <formula>1</formula>
    </cfRule>
  </conditionalFormatting>
  <conditionalFormatting sqref="BW37 BW39">
    <cfRule type="cellIs" dxfId="1497" priority="819" stopIfTrue="1" operator="between">
      <formula>0</formula>
      <formula>0.4</formula>
    </cfRule>
    <cfRule type="cellIs" dxfId="1496" priority="820" stopIfTrue="1" operator="between">
      <formula>0.4001</formula>
      <formula>0.65</formula>
    </cfRule>
    <cfRule type="cellIs" dxfId="1495" priority="821" stopIfTrue="1" operator="between">
      <formula>0.6501</formula>
      <formula>1</formula>
    </cfRule>
  </conditionalFormatting>
  <conditionalFormatting sqref="O40">
    <cfRule type="cellIs" dxfId="1494" priority="816" stopIfTrue="1" operator="between">
      <formula>0</formula>
      <formula>0.4</formula>
    </cfRule>
    <cfRule type="cellIs" dxfId="1493" priority="817" stopIfTrue="1" operator="between">
      <formula>0.4001</formula>
      <formula>0.65</formula>
    </cfRule>
    <cfRule type="cellIs" dxfId="1492" priority="818" stopIfTrue="1" operator="between">
      <formula>0.6501</formula>
      <formula>1</formula>
    </cfRule>
  </conditionalFormatting>
  <conditionalFormatting sqref="BM37 BM39">
    <cfRule type="cellIs" dxfId="1491" priority="855" stopIfTrue="1" operator="between">
      <formula>0</formula>
      <formula>0.4</formula>
    </cfRule>
    <cfRule type="cellIs" dxfId="1490" priority="856" stopIfTrue="1" operator="between">
      <formula>0.4001</formula>
      <formula>0.65</formula>
    </cfRule>
    <cfRule type="cellIs" dxfId="1489" priority="857" stopIfTrue="1" operator="between">
      <formula>0.6501</formula>
      <formula>1</formula>
    </cfRule>
  </conditionalFormatting>
  <conditionalFormatting sqref="BH30:BH31">
    <cfRule type="cellIs" dxfId="1488" priority="975" stopIfTrue="1" operator="between">
      <formula>0</formula>
      <formula>0.4</formula>
    </cfRule>
    <cfRule type="cellIs" dxfId="1487" priority="976" stopIfTrue="1" operator="between">
      <formula>0.4001</formula>
      <formula>0.65</formula>
    </cfRule>
    <cfRule type="cellIs" dxfId="1486" priority="977" stopIfTrue="1" operator="between">
      <formula>0.6501</formula>
      <formula>1</formula>
    </cfRule>
  </conditionalFormatting>
  <conditionalFormatting sqref="AI40">
    <cfRule type="cellIs" dxfId="1485" priority="804" stopIfTrue="1" operator="between">
      <formula>0</formula>
      <formula>0.4</formula>
    </cfRule>
    <cfRule type="cellIs" dxfId="1484" priority="805" stopIfTrue="1" operator="between">
      <formula>0.4001</formula>
      <formula>0.65</formula>
    </cfRule>
    <cfRule type="cellIs" dxfId="1483" priority="806" stopIfTrue="1" operator="between">
      <formula>0.6501</formula>
      <formula>1</formula>
    </cfRule>
  </conditionalFormatting>
  <conditionalFormatting sqref="CB34">
    <cfRule type="cellIs" dxfId="1482" priority="861" stopIfTrue="1" operator="between">
      <formula>0</formula>
      <formula>0.4</formula>
    </cfRule>
    <cfRule type="cellIs" dxfId="1481" priority="862" stopIfTrue="1" operator="between">
      <formula>0.4001</formula>
      <formula>0.65</formula>
    </cfRule>
    <cfRule type="cellIs" dxfId="1480" priority="863" stopIfTrue="1" operator="between">
      <formula>0.6501</formula>
      <formula>1</formula>
    </cfRule>
  </conditionalFormatting>
  <conditionalFormatting sqref="AN40">
    <cfRule type="cellIs" dxfId="1479" priority="801" stopIfTrue="1" operator="between">
      <formula>0</formula>
      <formula>0.4</formula>
    </cfRule>
    <cfRule type="cellIs" dxfId="1478" priority="802" stopIfTrue="1" operator="between">
      <formula>0.4001</formula>
      <formula>0.65</formula>
    </cfRule>
    <cfRule type="cellIs" dxfId="1477" priority="803" stopIfTrue="1" operator="between">
      <formula>0.6501</formula>
      <formula>1</formula>
    </cfRule>
  </conditionalFormatting>
  <conditionalFormatting sqref="AS40">
    <cfRule type="cellIs" dxfId="1476" priority="798" stopIfTrue="1" operator="between">
      <formula>0</formula>
      <formula>0.4</formula>
    </cfRule>
    <cfRule type="cellIs" dxfId="1475" priority="799" stopIfTrue="1" operator="between">
      <formula>0.4001</formula>
      <formula>0.65</formula>
    </cfRule>
    <cfRule type="cellIs" dxfId="1474" priority="800" stopIfTrue="1" operator="between">
      <formula>0.6501</formula>
      <formula>1</formula>
    </cfRule>
  </conditionalFormatting>
  <conditionalFormatting sqref="BC40">
    <cfRule type="cellIs" dxfId="1473" priority="792" stopIfTrue="1" operator="between">
      <formula>0</formula>
      <formula>0.4</formula>
    </cfRule>
    <cfRule type="cellIs" dxfId="1472" priority="793" stopIfTrue="1" operator="between">
      <formula>0.4001</formula>
      <formula>0.65</formula>
    </cfRule>
    <cfRule type="cellIs" dxfId="1471" priority="794" stopIfTrue="1" operator="between">
      <formula>0.6501</formula>
      <formula>1</formula>
    </cfRule>
  </conditionalFormatting>
  <conditionalFormatting sqref="AX40">
    <cfRule type="cellIs" dxfId="1470" priority="795" stopIfTrue="1" operator="between">
      <formula>0</formula>
      <formula>0.4</formula>
    </cfRule>
    <cfRule type="cellIs" dxfId="1469" priority="796" stopIfTrue="1" operator="between">
      <formula>0.4001</formula>
      <formula>0.65</formula>
    </cfRule>
    <cfRule type="cellIs" dxfId="1468" priority="797" stopIfTrue="1" operator="between">
      <formula>0.6501</formula>
      <formula>1</formula>
    </cfRule>
  </conditionalFormatting>
  <conditionalFormatting sqref="AS21">
    <cfRule type="cellIs" dxfId="1467" priority="948" stopIfTrue="1" operator="between">
      <formula>0</formula>
      <formula>0.4</formula>
    </cfRule>
    <cfRule type="cellIs" dxfId="1466" priority="949" stopIfTrue="1" operator="between">
      <formula>0.4001</formula>
      <formula>0.65</formula>
    </cfRule>
    <cfRule type="cellIs" dxfId="1465" priority="950" stopIfTrue="1" operator="between">
      <formula>0.6501</formula>
      <formula>1</formula>
    </cfRule>
  </conditionalFormatting>
  <conditionalFormatting sqref="BR37 BR39">
    <cfRule type="cellIs" dxfId="1464" priority="822" stopIfTrue="1" operator="between">
      <formula>0</formula>
      <formula>0.4</formula>
    </cfRule>
    <cfRule type="cellIs" dxfId="1463" priority="823" stopIfTrue="1" operator="between">
      <formula>0.4001</formula>
      <formula>0.65</formula>
    </cfRule>
    <cfRule type="cellIs" dxfId="1462" priority="824" stopIfTrue="1" operator="between">
      <formula>0.6501</formula>
      <formula>1</formula>
    </cfRule>
  </conditionalFormatting>
  <conditionalFormatting sqref="BW40">
    <cfRule type="cellIs" dxfId="1461" priority="777" stopIfTrue="1" operator="between">
      <formula>0</formula>
      <formula>0.4</formula>
    </cfRule>
    <cfRule type="cellIs" dxfId="1460" priority="778" stopIfTrue="1" operator="between">
      <formula>0.4001</formula>
      <formula>0.65</formula>
    </cfRule>
    <cfRule type="cellIs" dxfId="1459" priority="779" stopIfTrue="1" operator="between">
      <formula>0.6501</formula>
      <formula>1</formula>
    </cfRule>
  </conditionalFormatting>
  <conditionalFormatting sqref="CB43 J42:J43">
    <cfRule type="cellIs" dxfId="1458" priority="774" stopIfTrue="1" operator="between">
      <formula>0</formula>
      <formula>0.4</formula>
    </cfRule>
    <cfRule type="cellIs" dxfId="1457" priority="775" stopIfTrue="1" operator="between">
      <formula>0.4001</formula>
      <formula>0.65</formula>
    </cfRule>
    <cfRule type="cellIs" dxfId="1456" priority="776" stopIfTrue="1" operator="between">
      <formula>0.6501</formula>
      <formula>1</formula>
    </cfRule>
  </conditionalFormatting>
  <conditionalFormatting sqref="Y40">
    <cfRule type="cellIs" dxfId="1455" priority="810" stopIfTrue="1" operator="between">
      <formula>0</formula>
      <formula>0.4</formula>
    </cfRule>
    <cfRule type="cellIs" dxfId="1454" priority="811" stopIfTrue="1" operator="between">
      <formula>0.4001</formula>
      <formula>0.65</formula>
    </cfRule>
    <cfRule type="cellIs" dxfId="1453" priority="812" stopIfTrue="1" operator="between">
      <formula>0.6501</formula>
      <formula>1</formula>
    </cfRule>
  </conditionalFormatting>
  <conditionalFormatting sqref="AD40">
    <cfRule type="cellIs" dxfId="1452" priority="807" stopIfTrue="1" operator="between">
      <formula>0</formula>
      <formula>0.4</formula>
    </cfRule>
    <cfRule type="cellIs" dxfId="1451" priority="808" stopIfTrue="1" operator="between">
      <formula>0.4001</formula>
      <formula>0.65</formula>
    </cfRule>
    <cfRule type="cellIs" dxfId="1450" priority="809" stopIfTrue="1" operator="between">
      <formula>0.6501</formula>
      <formula>1</formula>
    </cfRule>
  </conditionalFormatting>
  <conditionalFormatting sqref="AX43">
    <cfRule type="cellIs" dxfId="1449" priority="762" stopIfTrue="1" operator="between">
      <formula>0</formula>
      <formula>0.4</formula>
    </cfRule>
    <cfRule type="cellIs" dxfId="1448" priority="763" stopIfTrue="1" operator="between">
      <formula>0.4001</formula>
      <formula>0.65</formula>
    </cfRule>
    <cfRule type="cellIs" dxfId="1447" priority="764" stopIfTrue="1" operator="between">
      <formula>0.6501</formula>
      <formula>1</formula>
    </cfRule>
  </conditionalFormatting>
  <conditionalFormatting sqref="AS43">
    <cfRule type="cellIs" dxfId="1446" priority="759" stopIfTrue="1" operator="between">
      <formula>0</formula>
      <formula>0.4</formula>
    </cfRule>
    <cfRule type="cellIs" dxfId="1445" priority="760" stopIfTrue="1" operator="between">
      <formula>0.4001</formula>
      <formula>0.65</formula>
    </cfRule>
    <cfRule type="cellIs" dxfId="1444" priority="761" stopIfTrue="1" operator="between">
      <formula>0.6501</formula>
      <formula>1</formula>
    </cfRule>
  </conditionalFormatting>
  <conditionalFormatting sqref="AN43">
    <cfRule type="cellIs" dxfId="1443" priority="756" stopIfTrue="1" operator="between">
      <formula>0</formula>
      <formula>0.4</formula>
    </cfRule>
    <cfRule type="cellIs" dxfId="1442" priority="757" stopIfTrue="1" operator="between">
      <formula>0.4001</formula>
      <formula>0.65</formula>
    </cfRule>
    <cfRule type="cellIs" dxfId="1441" priority="758" stopIfTrue="1" operator="between">
      <formula>0.6501</formula>
      <formula>1</formula>
    </cfRule>
  </conditionalFormatting>
  <conditionalFormatting sqref="AX27">
    <cfRule type="cellIs" dxfId="1440" priority="915" stopIfTrue="1" operator="between">
      <formula>0</formula>
      <formula>0.4</formula>
    </cfRule>
    <cfRule type="cellIs" dxfId="1439" priority="916" stopIfTrue="1" operator="between">
      <formula>0.4001</formula>
      <formula>0.65</formula>
    </cfRule>
    <cfRule type="cellIs" dxfId="1438" priority="917" stopIfTrue="1" operator="between">
      <formula>0.6501</formula>
      <formula>1</formula>
    </cfRule>
  </conditionalFormatting>
  <conditionalFormatting sqref="Y43">
    <cfRule type="cellIs" dxfId="1437" priority="747" stopIfTrue="1" operator="between">
      <formula>0</formula>
      <formula>0.4</formula>
    </cfRule>
    <cfRule type="cellIs" dxfId="1436" priority="748" stopIfTrue="1" operator="between">
      <formula>0.4001</formula>
      <formula>0.65</formula>
    </cfRule>
    <cfRule type="cellIs" dxfId="1435" priority="749" stopIfTrue="1" operator="between">
      <formula>0.6501</formula>
      <formula>1</formula>
    </cfRule>
  </conditionalFormatting>
  <conditionalFormatting sqref="BR40">
    <cfRule type="cellIs" dxfId="1434" priority="783" stopIfTrue="1" operator="between">
      <formula>0</formula>
      <formula>0.4</formula>
    </cfRule>
    <cfRule type="cellIs" dxfId="1433" priority="784" stopIfTrue="1" operator="between">
      <formula>0.4001</formula>
      <formula>0.65</formula>
    </cfRule>
    <cfRule type="cellIs" dxfId="1432" priority="785" stopIfTrue="1" operator="between">
      <formula>0.6501</formula>
      <formula>1</formula>
    </cfRule>
  </conditionalFormatting>
  <conditionalFormatting sqref="AX21">
    <cfRule type="cellIs" dxfId="1431" priority="945" stopIfTrue="1" operator="between">
      <formula>0</formula>
      <formula>0.4</formula>
    </cfRule>
    <cfRule type="cellIs" dxfId="1430" priority="946" stopIfTrue="1" operator="between">
      <formula>0.4001</formula>
      <formula>0.65</formula>
    </cfRule>
    <cfRule type="cellIs" dxfId="1429" priority="947" stopIfTrue="1" operator="between">
      <formula>0.6501</formula>
      <formula>1</formula>
    </cfRule>
  </conditionalFormatting>
  <conditionalFormatting sqref="Y34">
    <cfRule type="cellIs" dxfId="1428" priority="894" stopIfTrue="1" operator="between">
      <formula>0</formula>
      <formula>0.4</formula>
    </cfRule>
    <cfRule type="cellIs" dxfId="1427" priority="895" stopIfTrue="1" operator="between">
      <formula>0.4001</formula>
      <formula>0.65</formula>
    </cfRule>
    <cfRule type="cellIs" dxfId="1426" priority="896" stopIfTrue="1" operator="between">
      <formula>0.6501</formula>
      <formula>1</formula>
    </cfRule>
  </conditionalFormatting>
  <conditionalFormatting sqref="BW21">
    <cfRule type="cellIs" dxfId="1425" priority="930" stopIfTrue="1" operator="between">
      <formula>0</formula>
      <formula>0.4</formula>
    </cfRule>
    <cfRule type="cellIs" dxfId="1424" priority="931" stopIfTrue="1" operator="between">
      <formula>0.4001</formula>
      <formula>0.65</formula>
    </cfRule>
    <cfRule type="cellIs" dxfId="1423" priority="932" stopIfTrue="1" operator="between">
      <formula>0.6501</formula>
      <formula>1</formula>
    </cfRule>
  </conditionalFormatting>
  <conditionalFormatting sqref="AI43">
    <cfRule type="cellIs" dxfId="1422" priority="753" stopIfTrue="1" operator="between">
      <formula>0</formula>
      <formula>0.4</formula>
    </cfRule>
    <cfRule type="cellIs" dxfId="1421" priority="754" stopIfTrue="1" operator="between">
      <formula>0.4001</formula>
      <formula>0.65</formula>
    </cfRule>
    <cfRule type="cellIs" dxfId="1420" priority="755" stopIfTrue="1" operator="between">
      <formula>0.6501</formula>
      <formula>1</formula>
    </cfRule>
  </conditionalFormatting>
  <conditionalFormatting sqref="AD43">
    <cfRule type="cellIs" dxfId="1419" priority="750" stopIfTrue="1" operator="between">
      <formula>0</formula>
      <formula>0.4</formula>
    </cfRule>
    <cfRule type="cellIs" dxfId="1418" priority="751" stopIfTrue="1" operator="between">
      <formula>0.4001</formula>
      <formula>0.65</formula>
    </cfRule>
    <cfRule type="cellIs" dxfId="1417" priority="752" stopIfTrue="1" operator="between">
      <formula>0.6501</formula>
      <formula>1</formula>
    </cfRule>
  </conditionalFormatting>
  <conditionalFormatting sqref="CB37 J39 CB39 J36:J37">
    <cfRule type="cellIs" dxfId="1416" priority="858" stopIfTrue="1" operator="between">
      <formula>0</formula>
      <formula>0.4</formula>
    </cfRule>
    <cfRule type="cellIs" dxfId="1415" priority="859" stopIfTrue="1" operator="between">
      <formula>0.4001</formula>
      <formula>0.65</formula>
    </cfRule>
    <cfRule type="cellIs" dxfId="1414" priority="860" stopIfTrue="1" operator="between">
      <formula>0.6501</formula>
      <formula>1</formula>
    </cfRule>
  </conditionalFormatting>
  <conditionalFormatting sqref="O42:O43 O45">
    <cfRule type="cellIs" dxfId="1413" priority="729" stopIfTrue="1" operator="between">
      <formula>0</formula>
      <formula>0.4</formula>
    </cfRule>
    <cfRule type="cellIs" dxfId="1412" priority="730" stopIfTrue="1" operator="between">
      <formula>0.4001</formula>
      <formula>0.65</formula>
    </cfRule>
    <cfRule type="cellIs" dxfId="1411" priority="731" stopIfTrue="1" operator="between">
      <formula>0.6501</formula>
      <formula>1</formula>
    </cfRule>
  </conditionalFormatting>
  <conditionalFormatting sqref="AI34">
    <cfRule type="cellIs" dxfId="1410" priority="888" stopIfTrue="1" operator="between">
      <formula>0</formula>
      <formula>0.4</formula>
    </cfRule>
    <cfRule type="cellIs" dxfId="1409" priority="889" stopIfTrue="1" operator="between">
      <formula>0.4001</formula>
      <formula>0.65</formula>
    </cfRule>
    <cfRule type="cellIs" dxfId="1408" priority="890" stopIfTrue="1" operator="between">
      <formula>0.6501</formula>
      <formula>1</formula>
    </cfRule>
  </conditionalFormatting>
  <conditionalFormatting sqref="BH34">
    <cfRule type="cellIs" dxfId="1407" priority="873" stopIfTrue="1" operator="between">
      <formula>0</formula>
      <formula>0.4</formula>
    </cfRule>
    <cfRule type="cellIs" dxfId="1406" priority="874" stopIfTrue="1" operator="between">
      <formula>0.4001</formula>
      <formula>0.65</formula>
    </cfRule>
    <cfRule type="cellIs" dxfId="1405" priority="875" stopIfTrue="1" operator="between">
      <formula>0.6501</formula>
      <formula>1</formula>
    </cfRule>
  </conditionalFormatting>
  <conditionalFormatting sqref="CB45">
    <cfRule type="cellIs" dxfId="1404" priority="654" stopIfTrue="1" operator="between">
      <formula>0</formula>
      <formula>0.4</formula>
    </cfRule>
    <cfRule type="cellIs" dxfId="1403" priority="655" stopIfTrue="1" operator="between">
      <formula>0.4001</formula>
      <formula>0.65</formula>
    </cfRule>
    <cfRule type="cellIs" dxfId="1402" priority="656" stopIfTrue="1" operator="between">
      <formula>0.6501</formula>
      <formula>1</formula>
    </cfRule>
  </conditionalFormatting>
  <conditionalFormatting sqref="BC37 BC39">
    <cfRule type="cellIs" dxfId="1401" priority="849" stopIfTrue="1" operator="between">
      <formula>0</formula>
      <formula>0.4</formula>
    </cfRule>
    <cfRule type="cellIs" dxfId="1400" priority="850" stopIfTrue="1" operator="between">
      <formula>0.4001</formula>
      <formula>0.65</formula>
    </cfRule>
    <cfRule type="cellIs" dxfId="1399" priority="851" stopIfTrue="1" operator="between">
      <formula>0.6501</formula>
      <formula>1</formula>
    </cfRule>
  </conditionalFormatting>
  <conditionalFormatting sqref="Y37 Y39">
    <cfRule type="cellIs" dxfId="1398" priority="831" stopIfTrue="1" operator="between">
      <formula>0</formula>
      <formula>0.4</formula>
    </cfRule>
    <cfRule type="cellIs" dxfId="1397" priority="832" stopIfTrue="1" operator="between">
      <formula>0.4001</formula>
      <formula>0.65</formula>
    </cfRule>
    <cfRule type="cellIs" dxfId="1396" priority="833" stopIfTrue="1" operator="between">
      <formula>0.6501</formula>
      <formula>1</formula>
    </cfRule>
  </conditionalFormatting>
  <conditionalFormatting sqref="BW45">
    <cfRule type="cellIs" dxfId="1395" priority="657" stopIfTrue="1" operator="between">
      <formula>0</formula>
      <formula>0.4</formula>
    </cfRule>
    <cfRule type="cellIs" dxfId="1394" priority="658" stopIfTrue="1" operator="between">
      <formula>0.4001</formula>
      <formula>0.65</formula>
    </cfRule>
    <cfRule type="cellIs" dxfId="1393" priority="659" stopIfTrue="1" operator="between">
      <formula>0.6501</formula>
      <formula>1</formula>
    </cfRule>
  </conditionalFormatting>
  <conditionalFormatting sqref="AN37 AN39">
    <cfRule type="cellIs" dxfId="1392" priority="840" stopIfTrue="1" operator="between">
      <formula>0</formula>
      <formula>0.4</formula>
    </cfRule>
    <cfRule type="cellIs" dxfId="1391" priority="841" stopIfTrue="1" operator="between">
      <formula>0.4001</formula>
      <formula>0.65</formula>
    </cfRule>
    <cfRule type="cellIs" dxfId="1390" priority="842" stopIfTrue="1" operator="between">
      <formula>0.6501</formula>
      <formula>1</formula>
    </cfRule>
  </conditionalFormatting>
  <conditionalFormatting sqref="AS37 AS39">
    <cfRule type="cellIs" dxfId="1389" priority="843" stopIfTrue="1" operator="between">
      <formula>0</formula>
      <formula>0.4</formula>
    </cfRule>
    <cfRule type="cellIs" dxfId="1388" priority="844" stopIfTrue="1" operator="between">
      <formula>0.4001</formula>
      <formula>0.65</formula>
    </cfRule>
    <cfRule type="cellIs" dxfId="1387" priority="845" stopIfTrue="1" operator="between">
      <formula>0.6501</formula>
      <formula>1</formula>
    </cfRule>
  </conditionalFormatting>
  <conditionalFormatting sqref="T45">
    <cfRule type="cellIs" dxfId="1386" priority="690" stopIfTrue="1" operator="between">
      <formula>0</formula>
      <formula>0.4</formula>
    </cfRule>
    <cfRule type="cellIs" dxfId="1385" priority="691" stopIfTrue="1" operator="between">
      <formula>0.4001</formula>
      <formula>0.65</formula>
    </cfRule>
    <cfRule type="cellIs" dxfId="1384" priority="692" stopIfTrue="1" operator="between">
      <formula>0.6501</formula>
      <formula>1</formula>
    </cfRule>
  </conditionalFormatting>
  <conditionalFormatting sqref="AD37 AD39">
    <cfRule type="cellIs" dxfId="1383" priority="834" stopIfTrue="1" operator="between">
      <formula>0</formula>
      <formula>0.4</formula>
    </cfRule>
    <cfRule type="cellIs" dxfId="1382" priority="835" stopIfTrue="1" operator="between">
      <formula>0.4001</formula>
      <formula>0.65</formula>
    </cfRule>
    <cfRule type="cellIs" dxfId="1381" priority="836" stopIfTrue="1" operator="between">
      <formula>0.6501</formula>
      <formula>1</formula>
    </cfRule>
  </conditionalFormatting>
  <conditionalFormatting sqref="T40">
    <cfRule type="cellIs" dxfId="1380" priority="813" stopIfTrue="1" operator="between">
      <formula>0</formula>
      <formula>0.4</formula>
    </cfRule>
    <cfRule type="cellIs" dxfId="1379" priority="814" stopIfTrue="1" operator="between">
      <formula>0.4001</formula>
      <formula>0.65</formula>
    </cfRule>
    <cfRule type="cellIs" dxfId="1378" priority="815" stopIfTrue="1" operator="between">
      <formula>0.6501</formula>
      <formula>1</formula>
    </cfRule>
  </conditionalFormatting>
  <conditionalFormatting sqref="BH40">
    <cfRule type="cellIs" dxfId="1377" priority="789" stopIfTrue="1" operator="between">
      <formula>0</formula>
      <formula>0.4</formula>
    </cfRule>
    <cfRule type="cellIs" dxfId="1376" priority="790" stopIfTrue="1" operator="between">
      <formula>0.4001</formula>
      <formula>0.65</formula>
    </cfRule>
    <cfRule type="cellIs" dxfId="1375" priority="791" stopIfTrue="1" operator="between">
      <formula>0.6501</formula>
      <formula>1</formula>
    </cfRule>
  </conditionalFormatting>
  <conditionalFormatting sqref="BW43">
    <cfRule type="cellIs" dxfId="1374" priority="735" stopIfTrue="1" operator="between">
      <formula>0</formula>
      <formula>0.4</formula>
    </cfRule>
    <cfRule type="cellIs" dxfId="1373" priority="736" stopIfTrue="1" operator="between">
      <formula>0.4001</formula>
      <formula>0.65</formula>
    </cfRule>
    <cfRule type="cellIs" dxfId="1372" priority="737" stopIfTrue="1" operator="between">
      <formula>0.6501</formula>
      <formula>1</formula>
    </cfRule>
  </conditionalFormatting>
  <conditionalFormatting sqref="BR42:BR43">
    <cfRule type="cellIs" dxfId="1371" priority="738" stopIfTrue="1" operator="between">
      <formula>0</formula>
      <formula>0.4</formula>
    </cfRule>
    <cfRule type="cellIs" dxfId="1370" priority="739" stopIfTrue="1" operator="between">
      <formula>0.4001</formula>
      <formula>0.65</formula>
    </cfRule>
    <cfRule type="cellIs" dxfId="1369" priority="740" stopIfTrue="1" operator="between">
      <formula>0.6501</formula>
      <formula>1</formula>
    </cfRule>
  </conditionalFormatting>
  <conditionalFormatting sqref="BC43">
    <cfRule type="cellIs" dxfId="1368" priority="765" stopIfTrue="1" operator="between">
      <formula>0</formula>
      <formula>0.4</formula>
    </cfRule>
    <cfRule type="cellIs" dxfId="1367" priority="766" stopIfTrue="1" operator="between">
      <formula>0.4001</formula>
      <formula>0.65</formula>
    </cfRule>
    <cfRule type="cellIs" dxfId="1366" priority="767" stopIfTrue="1" operator="between">
      <formula>0.6501</formula>
      <formula>1</formula>
    </cfRule>
  </conditionalFormatting>
  <conditionalFormatting sqref="T43">
    <cfRule type="cellIs" dxfId="1365" priority="741" stopIfTrue="1" operator="between">
      <formula>0</formula>
      <formula>0.4</formula>
    </cfRule>
    <cfRule type="cellIs" dxfId="1364" priority="742" stopIfTrue="1" operator="between">
      <formula>0.4001</formula>
      <formula>0.65</formula>
    </cfRule>
    <cfRule type="cellIs" dxfId="1363" priority="743" stopIfTrue="1" operator="between">
      <formula>0.6501</formula>
      <formula>1</formula>
    </cfRule>
  </conditionalFormatting>
  <conditionalFormatting sqref="BH43">
    <cfRule type="cellIs" dxfId="1362" priority="768" stopIfTrue="1" operator="between">
      <formula>0</formula>
      <formula>0.4</formula>
    </cfRule>
    <cfRule type="cellIs" dxfId="1361" priority="769" stopIfTrue="1" operator="between">
      <formula>0.4001</formula>
      <formula>0.65</formula>
    </cfRule>
    <cfRule type="cellIs" dxfId="1360" priority="770" stopIfTrue="1" operator="between">
      <formula>0.6501</formula>
      <formula>1</formula>
    </cfRule>
  </conditionalFormatting>
  <conditionalFormatting sqref="Y45">
    <cfRule type="cellIs" dxfId="1359" priority="687" stopIfTrue="1" operator="between">
      <formula>0</formula>
      <formula>0.4</formula>
    </cfRule>
    <cfRule type="cellIs" dxfId="1358" priority="688" stopIfTrue="1" operator="between">
      <formula>0.4001</formula>
      <formula>0.65</formula>
    </cfRule>
    <cfRule type="cellIs" dxfId="1357" priority="689" stopIfTrue="1" operator="between">
      <formula>0.6501</formula>
      <formula>1</formula>
    </cfRule>
  </conditionalFormatting>
  <conditionalFormatting sqref="AD45">
    <cfRule type="cellIs" dxfId="1356" priority="684" stopIfTrue="1" operator="between">
      <formula>0</formula>
      <formula>0.4</formula>
    </cfRule>
    <cfRule type="cellIs" dxfId="1355" priority="685" stopIfTrue="1" operator="between">
      <formula>0.4001</formula>
      <formula>0.65</formula>
    </cfRule>
    <cfRule type="cellIs" dxfId="1354" priority="686" stopIfTrue="1" operator="between">
      <formula>0.6501</formula>
      <formula>1</formula>
    </cfRule>
  </conditionalFormatting>
  <conditionalFormatting sqref="AI45">
    <cfRule type="cellIs" dxfId="1353" priority="681" stopIfTrue="1" operator="between">
      <formula>0</formula>
      <formula>0.4</formula>
    </cfRule>
    <cfRule type="cellIs" dxfId="1352" priority="682" stopIfTrue="1" operator="between">
      <formula>0.4001</formula>
      <formula>0.65</formula>
    </cfRule>
    <cfRule type="cellIs" dxfId="1351" priority="683" stopIfTrue="1" operator="between">
      <formula>0.6501</formula>
      <formula>1</formula>
    </cfRule>
  </conditionalFormatting>
  <conditionalFormatting sqref="AN45">
    <cfRule type="cellIs" dxfId="1350" priority="678" stopIfTrue="1" operator="between">
      <formula>0</formula>
      <formula>0.4</formula>
    </cfRule>
    <cfRule type="cellIs" dxfId="1349" priority="679" stopIfTrue="1" operator="between">
      <formula>0.4001</formula>
      <formula>0.65</formula>
    </cfRule>
    <cfRule type="cellIs" dxfId="1348" priority="680" stopIfTrue="1" operator="between">
      <formula>0.6501</formula>
      <formula>1</formula>
    </cfRule>
  </conditionalFormatting>
  <conditionalFormatting sqref="AS45">
    <cfRule type="cellIs" dxfId="1347" priority="675" stopIfTrue="1" operator="between">
      <formula>0</formula>
      <formula>0.4</formula>
    </cfRule>
    <cfRule type="cellIs" dxfId="1346" priority="676" stopIfTrue="1" operator="between">
      <formula>0.4001</formula>
      <formula>0.65</formula>
    </cfRule>
    <cfRule type="cellIs" dxfId="1345" priority="677" stopIfTrue="1" operator="between">
      <formula>0.6501</formula>
      <formula>1</formula>
    </cfRule>
  </conditionalFormatting>
  <conditionalFormatting sqref="AX45">
    <cfRule type="cellIs" dxfId="1344" priority="672" stopIfTrue="1" operator="between">
      <formula>0</formula>
      <formula>0.4</formula>
    </cfRule>
    <cfRule type="cellIs" dxfId="1343" priority="673" stopIfTrue="1" operator="between">
      <formula>0.4001</formula>
      <formula>0.65</formula>
    </cfRule>
    <cfRule type="cellIs" dxfId="1342" priority="674" stopIfTrue="1" operator="between">
      <formula>0.6501</formula>
      <formula>1</formula>
    </cfRule>
  </conditionalFormatting>
  <conditionalFormatting sqref="BC45">
    <cfRule type="cellIs" dxfId="1341" priority="669" stopIfTrue="1" operator="between">
      <formula>0</formula>
      <formula>0.4</formula>
    </cfRule>
    <cfRule type="cellIs" dxfId="1340" priority="670" stopIfTrue="1" operator="between">
      <formula>0.4001</formula>
      <formula>0.65</formula>
    </cfRule>
    <cfRule type="cellIs" dxfId="1339" priority="671" stopIfTrue="1" operator="between">
      <formula>0.6501</formula>
      <formula>1</formula>
    </cfRule>
  </conditionalFormatting>
  <conditionalFormatting sqref="BH45">
    <cfRule type="cellIs" dxfId="1338" priority="666" stopIfTrue="1" operator="between">
      <formula>0</formula>
      <formula>0.4</formula>
    </cfRule>
    <cfRule type="cellIs" dxfId="1337" priority="667" stopIfTrue="1" operator="between">
      <formula>0.4001</formula>
      <formula>0.65</formula>
    </cfRule>
    <cfRule type="cellIs" dxfId="1336" priority="668" stopIfTrue="1" operator="between">
      <formula>0.6501</formula>
      <formula>1</formula>
    </cfRule>
  </conditionalFormatting>
  <conditionalFormatting sqref="BM45">
    <cfRule type="cellIs" dxfId="1335" priority="663" stopIfTrue="1" operator="between">
      <formula>0</formula>
      <formula>0.4</formula>
    </cfRule>
    <cfRule type="cellIs" dxfId="1334" priority="664" stopIfTrue="1" operator="between">
      <formula>0.4001</formula>
      <formula>0.65</formula>
    </cfRule>
    <cfRule type="cellIs" dxfId="1333" priority="665" stopIfTrue="1" operator="between">
      <formula>0.6501</formula>
      <formula>1</formula>
    </cfRule>
  </conditionalFormatting>
  <conditionalFormatting sqref="BR45">
    <cfRule type="cellIs" dxfId="1332" priority="660" stopIfTrue="1" operator="between">
      <formula>0</formula>
      <formula>0.4</formula>
    </cfRule>
    <cfRule type="cellIs" dxfId="1331" priority="661" stopIfTrue="1" operator="between">
      <formula>0.4001</formula>
      <formula>0.65</formula>
    </cfRule>
    <cfRule type="cellIs" dxfId="1330" priority="662" stopIfTrue="1" operator="between">
      <formula>0.6501</formula>
      <formula>1</formula>
    </cfRule>
  </conditionalFormatting>
  <conditionalFormatting sqref="CB50 J50:J51">
    <cfRule type="cellIs" dxfId="1329" priority="651" stopIfTrue="1" operator="between">
      <formula>0</formula>
      <formula>0.4</formula>
    </cfRule>
    <cfRule type="cellIs" dxfId="1328" priority="652" stopIfTrue="1" operator="between">
      <formula>0.4001</formula>
      <formula>0.65</formula>
    </cfRule>
    <cfRule type="cellIs" dxfId="1327" priority="653" stopIfTrue="1" operator="between">
      <formula>0.6501</formula>
      <formula>1</formula>
    </cfRule>
  </conditionalFormatting>
  <conditionalFormatting sqref="BH47 BH49">
    <cfRule type="cellIs" dxfId="1326" priority="642" stopIfTrue="1" operator="between">
      <formula>0</formula>
      <formula>0.4</formula>
    </cfRule>
    <cfRule type="cellIs" dxfId="1325" priority="643" stopIfTrue="1" operator="between">
      <formula>0.4001</formula>
      <formula>0.65</formula>
    </cfRule>
    <cfRule type="cellIs" dxfId="1324" priority="644" stopIfTrue="1" operator="between">
      <formula>0.6501</formula>
      <formula>1</formula>
    </cfRule>
  </conditionalFormatting>
  <conditionalFormatting sqref="AI47 AI49">
    <cfRule type="cellIs" dxfId="1323" priority="627" stopIfTrue="1" operator="between">
      <formula>0</formula>
      <formula>0.4</formula>
    </cfRule>
    <cfRule type="cellIs" dxfId="1322" priority="628" stopIfTrue="1" operator="between">
      <formula>0.4001</formula>
      <formula>0.65</formula>
    </cfRule>
    <cfRule type="cellIs" dxfId="1321" priority="629" stopIfTrue="1" operator="between">
      <formula>0.6501</formula>
      <formula>1</formula>
    </cfRule>
  </conditionalFormatting>
  <conditionalFormatting sqref="BM50">
    <cfRule type="cellIs" dxfId="1320" priority="576" stopIfTrue="1" operator="between">
      <formula>0</formula>
      <formula>0.4</formula>
    </cfRule>
    <cfRule type="cellIs" dxfId="1319" priority="577" stopIfTrue="1" operator="between">
      <formula>0.4001</formula>
      <formula>0.65</formula>
    </cfRule>
    <cfRule type="cellIs" dxfId="1318" priority="578" stopIfTrue="1" operator="between">
      <formula>0.6501</formula>
      <formula>1</formula>
    </cfRule>
  </conditionalFormatting>
  <conditionalFormatting sqref="AX47 AX49">
    <cfRule type="cellIs" dxfId="1317" priority="636" stopIfTrue="1" operator="between">
      <formula>0</formula>
      <formula>0.4</formula>
    </cfRule>
    <cfRule type="cellIs" dxfId="1316" priority="637" stopIfTrue="1" operator="between">
      <formula>0.4001</formula>
      <formula>0.65</formula>
    </cfRule>
    <cfRule type="cellIs" dxfId="1315" priority="638" stopIfTrue="1" operator="between">
      <formula>0.6501</formula>
      <formula>1</formula>
    </cfRule>
  </conditionalFormatting>
  <conditionalFormatting sqref="O47 O49">
    <cfRule type="cellIs" dxfId="1314" priority="618" stopIfTrue="1" operator="between">
      <formula>0</formula>
      <formula>0.4</formula>
    </cfRule>
    <cfRule type="cellIs" dxfId="1313" priority="619" stopIfTrue="1" operator="between">
      <formula>0.4001</formula>
      <formula>0.65</formula>
    </cfRule>
    <cfRule type="cellIs" dxfId="1312" priority="620" stopIfTrue="1" operator="between">
      <formula>0.6501</formula>
      <formula>1</formula>
    </cfRule>
  </conditionalFormatting>
  <conditionalFormatting sqref="T47 T49">
    <cfRule type="cellIs" dxfId="1311" priority="615" stopIfTrue="1" operator="between">
      <formula>0</formula>
      <formula>0.4</formula>
    </cfRule>
    <cfRule type="cellIs" dxfId="1310" priority="616" stopIfTrue="1" operator="between">
      <formula>0.4001</formula>
      <formula>0.65</formula>
    </cfRule>
    <cfRule type="cellIs" dxfId="1309" priority="617" stopIfTrue="1" operator="between">
      <formula>0.6501</formula>
      <formula>1</formula>
    </cfRule>
  </conditionalFormatting>
  <conditionalFormatting sqref="BW47 BW49">
    <cfRule type="cellIs" dxfId="1308" priority="609" stopIfTrue="1" operator="between">
      <formula>0</formula>
      <formula>0.4</formula>
    </cfRule>
    <cfRule type="cellIs" dxfId="1307" priority="610" stopIfTrue="1" operator="between">
      <formula>0.4001</formula>
      <formula>0.65</formula>
    </cfRule>
    <cfRule type="cellIs" dxfId="1306" priority="611" stopIfTrue="1" operator="between">
      <formula>0.6501</formula>
      <formula>1</formula>
    </cfRule>
  </conditionalFormatting>
  <conditionalFormatting sqref="O50">
    <cfRule type="cellIs" dxfId="1305" priority="606" stopIfTrue="1" operator="between">
      <formula>0</formula>
      <formula>0.4</formula>
    </cfRule>
    <cfRule type="cellIs" dxfId="1304" priority="607" stopIfTrue="1" operator="between">
      <formula>0.4001</formula>
      <formula>0.65</formula>
    </cfRule>
    <cfRule type="cellIs" dxfId="1303" priority="608" stopIfTrue="1" operator="between">
      <formula>0.6501</formula>
      <formula>1</formula>
    </cfRule>
  </conditionalFormatting>
  <conditionalFormatting sqref="BM47 BM49">
    <cfRule type="cellIs" dxfId="1302" priority="645" stopIfTrue="1" operator="between">
      <formula>0</formula>
      <formula>0.4</formula>
    </cfRule>
    <cfRule type="cellIs" dxfId="1301" priority="646" stopIfTrue="1" operator="between">
      <formula>0.4001</formula>
      <formula>0.65</formula>
    </cfRule>
    <cfRule type="cellIs" dxfId="1300" priority="647" stopIfTrue="1" operator="between">
      <formula>0.6501</formula>
      <formula>1</formula>
    </cfRule>
  </conditionalFormatting>
  <conditionalFormatting sqref="AI50">
    <cfRule type="cellIs" dxfId="1299" priority="594" stopIfTrue="1" operator="between">
      <formula>0</formula>
      <formula>0.4</formula>
    </cfRule>
    <cfRule type="cellIs" dxfId="1298" priority="595" stopIfTrue="1" operator="between">
      <formula>0.4001</formula>
      <formula>0.65</formula>
    </cfRule>
    <cfRule type="cellIs" dxfId="1297" priority="596" stopIfTrue="1" operator="between">
      <formula>0.6501</formula>
      <formula>1</formula>
    </cfRule>
  </conditionalFormatting>
  <conditionalFormatting sqref="AN50">
    <cfRule type="cellIs" dxfId="1296" priority="591" stopIfTrue="1" operator="between">
      <formula>0</formula>
      <formula>0.4</formula>
    </cfRule>
    <cfRule type="cellIs" dxfId="1295" priority="592" stopIfTrue="1" operator="between">
      <formula>0.4001</formula>
      <formula>0.65</formula>
    </cfRule>
    <cfRule type="cellIs" dxfId="1294" priority="593" stopIfTrue="1" operator="between">
      <formula>0.6501</formula>
      <formula>1</formula>
    </cfRule>
  </conditionalFormatting>
  <conditionalFormatting sqref="AS50">
    <cfRule type="cellIs" dxfId="1293" priority="588" stopIfTrue="1" operator="between">
      <formula>0</formula>
      <formula>0.4</formula>
    </cfRule>
    <cfRule type="cellIs" dxfId="1292" priority="589" stopIfTrue="1" operator="between">
      <formula>0.4001</formula>
      <formula>0.65</formula>
    </cfRule>
    <cfRule type="cellIs" dxfId="1291" priority="590" stopIfTrue="1" operator="between">
      <formula>0.6501</formula>
      <formula>1</formula>
    </cfRule>
  </conditionalFormatting>
  <conditionalFormatting sqref="BC50">
    <cfRule type="cellIs" dxfId="1290" priority="582" stopIfTrue="1" operator="between">
      <formula>0</formula>
      <formula>0.4</formula>
    </cfRule>
    <cfRule type="cellIs" dxfId="1289" priority="583" stopIfTrue="1" operator="between">
      <formula>0.4001</formula>
      <formula>0.65</formula>
    </cfRule>
    <cfRule type="cellIs" dxfId="1288" priority="584" stopIfTrue="1" operator="between">
      <formula>0.6501</formula>
      <formula>1</formula>
    </cfRule>
  </conditionalFormatting>
  <conditionalFormatting sqref="BR47 BR49">
    <cfRule type="cellIs" dxfId="1287" priority="612" stopIfTrue="1" operator="between">
      <formula>0</formula>
      <formula>0.4</formula>
    </cfRule>
    <cfRule type="cellIs" dxfId="1286" priority="613" stopIfTrue="1" operator="between">
      <formula>0.4001</formula>
      <formula>0.65</formula>
    </cfRule>
    <cfRule type="cellIs" dxfId="1285" priority="614" stopIfTrue="1" operator="between">
      <formula>0.6501</formula>
      <formula>1</formula>
    </cfRule>
  </conditionalFormatting>
  <conditionalFormatting sqref="BW50">
    <cfRule type="cellIs" dxfId="1284" priority="570" stopIfTrue="1" operator="between">
      <formula>0</formula>
      <formula>0.4</formula>
    </cfRule>
    <cfRule type="cellIs" dxfId="1283" priority="571" stopIfTrue="1" operator="between">
      <formula>0.4001</formula>
      <formula>0.65</formula>
    </cfRule>
    <cfRule type="cellIs" dxfId="1282" priority="572" stopIfTrue="1" operator="between">
      <formula>0.6501</formula>
      <formula>1</formula>
    </cfRule>
  </conditionalFormatting>
  <conditionalFormatting sqref="Y50">
    <cfRule type="cellIs" dxfId="1281" priority="600" stopIfTrue="1" operator="between">
      <formula>0</formula>
      <formula>0.4</formula>
    </cfRule>
    <cfRule type="cellIs" dxfId="1280" priority="601" stopIfTrue="1" operator="between">
      <formula>0.4001</formula>
      <formula>0.65</formula>
    </cfRule>
    <cfRule type="cellIs" dxfId="1279" priority="602" stopIfTrue="1" operator="between">
      <formula>0.6501</formula>
      <formula>1</formula>
    </cfRule>
  </conditionalFormatting>
  <conditionalFormatting sqref="AD50">
    <cfRule type="cellIs" dxfId="1278" priority="597" stopIfTrue="1" operator="between">
      <formula>0</formula>
      <formula>0.4</formula>
    </cfRule>
    <cfRule type="cellIs" dxfId="1277" priority="598" stopIfTrue="1" operator="between">
      <formula>0.4001</formula>
      <formula>0.65</formula>
    </cfRule>
    <cfRule type="cellIs" dxfId="1276" priority="599" stopIfTrue="1" operator="between">
      <formula>0.6501</formula>
      <formula>1</formula>
    </cfRule>
  </conditionalFormatting>
  <conditionalFormatting sqref="BR50">
    <cfRule type="cellIs" dxfId="1275" priority="573" stopIfTrue="1" operator="between">
      <formula>0</formula>
      <formula>0.4</formula>
    </cfRule>
    <cfRule type="cellIs" dxfId="1274" priority="574" stopIfTrue="1" operator="between">
      <formula>0.4001</formula>
      <formula>0.65</formula>
    </cfRule>
    <cfRule type="cellIs" dxfId="1273" priority="575" stopIfTrue="1" operator="between">
      <formula>0.6501</formula>
      <formula>1</formula>
    </cfRule>
  </conditionalFormatting>
  <conditionalFormatting sqref="CB47 J47 J49 CB49">
    <cfRule type="cellIs" dxfId="1272" priority="648" stopIfTrue="1" operator="between">
      <formula>0</formula>
      <formula>0.4</formula>
    </cfRule>
    <cfRule type="cellIs" dxfId="1271" priority="649" stopIfTrue="1" operator="between">
      <formula>0.4001</formula>
      <formula>0.65</formula>
    </cfRule>
    <cfRule type="cellIs" dxfId="1270" priority="650" stopIfTrue="1" operator="between">
      <formula>0.6501</formula>
      <formula>1</formula>
    </cfRule>
  </conditionalFormatting>
  <conditionalFormatting sqref="BC47 BC49">
    <cfRule type="cellIs" dxfId="1269" priority="639" stopIfTrue="1" operator="between">
      <formula>0</formula>
      <formula>0.4</formula>
    </cfRule>
    <cfRule type="cellIs" dxfId="1268" priority="640" stopIfTrue="1" operator="between">
      <formula>0.4001</formula>
      <formula>0.65</formula>
    </cfRule>
    <cfRule type="cellIs" dxfId="1267" priority="641" stopIfTrue="1" operator="between">
      <formula>0.6501</formula>
      <formula>1</formula>
    </cfRule>
  </conditionalFormatting>
  <conditionalFormatting sqref="Y47 Y49">
    <cfRule type="cellIs" dxfId="1266" priority="621" stopIfTrue="1" operator="between">
      <formula>0</formula>
      <formula>0.4</formula>
    </cfRule>
    <cfRule type="cellIs" dxfId="1265" priority="622" stopIfTrue="1" operator="between">
      <formula>0.4001</formula>
      <formula>0.65</formula>
    </cfRule>
    <cfRule type="cellIs" dxfId="1264" priority="623" stopIfTrue="1" operator="between">
      <formula>0.6501</formula>
      <formula>1</formula>
    </cfRule>
  </conditionalFormatting>
  <conditionalFormatting sqref="AN47 AN49">
    <cfRule type="cellIs" dxfId="1263" priority="630" stopIfTrue="1" operator="between">
      <formula>0</formula>
      <formula>0.4</formula>
    </cfRule>
    <cfRule type="cellIs" dxfId="1262" priority="631" stopIfTrue="1" operator="between">
      <formula>0.4001</formula>
      <formula>0.65</formula>
    </cfRule>
    <cfRule type="cellIs" dxfId="1261" priority="632" stopIfTrue="1" operator="between">
      <formula>0.6501</formula>
      <formula>1</formula>
    </cfRule>
  </conditionalFormatting>
  <conditionalFormatting sqref="AS47 AS49">
    <cfRule type="cellIs" dxfId="1260" priority="633" stopIfTrue="1" operator="between">
      <formula>0</formula>
      <formula>0.4</formula>
    </cfRule>
    <cfRule type="cellIs" dxfId="1259" priority="634" stopIfTrue="1" operator="between">
      <formula>0.4001</formula>
      <formula>0.65</formula>
    </cfRule>
    <cfRule type="cellIs" dxfId="1258" priority="635" stopIfTrue="1" operator="between">
      <formula>0.6501</formula>
      <formula>1</formula>
    </cfRule>
  </conditionalFormatting>
  <conditionalFormatting sqref="AD47 AD49">
    <cfRule type="cellIs" dxfId="1257" priority="624" stopIfTrue="1" operator="between">
      <formula>0</formula>
      <formula>0.4</formula>
    </cfRule>
    <cfRule type="cellIs" dxfId="1256" priority="625" stopIfTrue="1" operator="between">
      <formula>0.4001</formula>
      <formula>0.65</formula>
    </cfRule>
    <cfRule type="cellIs" dxfId="1255" priority="626" stopIfTrue="1" operator="between">
      <formula>0.6501</formula>
      <formula>1</formula>
    </cfRule>
  </conditionalFormatting>
  <conditionalFormatting sqref="T50">
    <cfRule type="cellIs" dxfId="1254" priority="603" stopIfTrue="1" operator="between">
      <formula>0</formula>
      <formula>0.4</formula>
    </cfRule>
    <cfRule type="cellIs" dxfId="1253" priority="604" stopIfTrue="1" operator="between">
      <formula>0.4001</formula>
      <formula>0.65</formula>
    </cfRule>
    <cfRule type="cellIs" dxfId="1252" priority="605" stopIfTrue="1" operator="between">
      <formula>0.6501</formula>
      <formula>1</formula>
    </cfRule>
  </conditionalFormatting>
  <conditionalFormatting sqref="AX50">
    <cfRule type="cellIs" dxfId="1251" priority="585" stopIfTrue="1" operator="between">
      <formula>0</formula>
      <formula>0.4</formula>
    </cfRule>
    <cfRule type="cellIs" dxfId="1250" priority="586" stopIfTrue="1" operator="between">
      <formula>0.4001</formula>
      <formula>0.65</formula>
    </cfRule>
    <cfRule type="cellIs" dxfId="1249" priority="587" stopIfTrue="1" operator="between">
      <formula>0.6501</formula>
      <formula>1</formula>
    </cfRule>
  </conditionalFormatting>
  <conditionalFormatting sqref="BH50">
    <cfRule type="cellIs" dxfId="1248" priority="579" stopIfTrue="1" operator="between">
      <formula>0</formula>
      <formula>0.4</formula>
    </cfRule>
    <cfRule type="cellIs" dxfId="1247" priority="580" stopIfTrue="1" operator="between">
      <formula>0.4001</formula>
      <formula>0.65</formula>
    </cfRule>
    <cfRule type="cellIs" dxfId="1246" priority="581" stopIfTrue="1" operator="between">
      <formula>0.6501</formula>
      <formula>1</formula>
    </cfRule>
  </conditionalFormatting>
  <conditionalFormatting sqref="G40">
    <cfRule type="cellIs" dxfId="1245" priority="568" stopIfTrue="1" operator="equal">
      <formula>1</formula>
    </cfRule>
    <cfRule type="cellIs" dxfId="1244" priority="569" stopIfTrue="1" operator="notEqual">
      <formula>1</formula>
    </cfRule>
  </conditionalFormatting>
  <conditionalFormatting sqref="G45">
    <cfRule type="cellIs" dxfId="1243" priority="566" stopIfTrue="1" operator="equal">
      <formula>1</formula>
    </cfRule>
    <cfRule type="cellIs" dxfId="1242" priority="567" stopIfTrue="1" operator="notEqual">
      <formula>1</formula>
    </cfRule>
  </conditionalFormatting>
  <conditionalFormatting sqref="G50">
    <cfRule type="cellIs" dxfId="1241" priority="564" stopIfTrue="1" operator="equal">
      <formula>1</formula>
    </cfRule>
    <cfRule type="cellIs" dxfId="1240" priority="565" stopIfTrue="1" operator="notEqual">
      <formula>1</formula>
    </cfRule>
  </conditionalFormatting>
  <conditionalFormatting sqref="G51">
    <cfRule type="cellIs" dxfId="1239" priority="562" stopIfTrue="1" operator="equal">
      <formula>1</formula>
    </cfRule>
    <cfRule type="cellIs" dxfId="1238" priority="563" stopIfTrue="1" operator="notEqual">
      <formula>1</formula>
    </cfRule>
  </conditionalFormatting>
  <conditionalFormatting sqref="O51">
    <cfRule type="cellIs" dxfId="1237" priority="559" stopIfTrue="1" operator="between">
      <formula>0</formula>
      <formula>0.4</formula>
    </cfRule>
    <cfRule type="cellIs" dxfId="1236" priority="560" stopIfTrue="1" operator="between">
      <formula>0.4001</formula>
      <formula>0.65</formula>
    </cfRule>
    <cfRule type="cellIs" dxfId="1235" priority="561" stopIfTrue="1" operator="between">
      <formula>0.6501</formula>
      <formula>1</formula>
    </cfRule>
  </conditionalFormatting>
  <conditionalFormatting sqref="T51">
    <cfRule type="cellIs" dxfId="1234" priority="556" stopIfTrue="1" operator="between">
      <formula>0</formula>
      <formula>0.4</formula>
    </cfRule>
    <cfRule type="cellIs" dxfId="1233" priority="557" stopIfTrue="1" operator="between">
      <formula>0.4001</formula>
      <formula>0.65</formula>
    </cfRule>
    <cfRule type="cellIs" dxfId="1232" priority="558" stopIfTrue="1" operator="between">
      <formula>0.6501</formula>
      <formula>1</formula>
    </cfRule>
  </conditionalFormatting>
  <conditionalFormatting sqref="Y51">
    <cfRule type="cellIs" dxfId="1231" priority="553" stopIfTrue="1" operator="between">
      <formula>0</formula>
      <formula>0.4</formula>
    </cfRule>
    <cfRule type="cellIs" dxfId="1230" priority="554" stopIfTrue="1" operator="between">
      <formula>0.4001</formula>
      <formula>0.65</formula>
    </cfRule>
    <cfRule type="cellIs" dxfId="1229" priority="555" stopIfTrue="1" operator="between">
      <formula>0.6501</formula>
      <formula>1</formula>
    </cfRule>
  </conditionalFormatting>
  <conditionalFormatting sqref="AD51">
    <cfRule type="cellIs" dxfId="1228" priority="550" stopIfTrue="1" operator="between">
      <formula>0</formula>
      <formula>0.4</formula>
    </cfRule>
    <cfRule type="cellIs" dxfId="1227" priority="551" stopIfTrue="1" operator="between">
      <formula>0.4001</formula>
      <formula>0.65</formula>
    </cfRule>
    <cfRule type="cellIs" dxfId="1226" priority="552" stopIfTrue="1" operator="between">
      <formula>0.6501</formula>
      <formula>1</formula>
    </cfRule>
  </conditionalFormatting>
  <conditionalFormatting sqref="BM51">
    <cfRule type="cellIs" dxfId="1225" priority="547" stopIfTrue="1" operator="between">
      <formula>0</formula>
      <formula>0.4</formula>
    </cfRule>
    <cfRule type="cellIs" dxfId="1224" priority="548" stopIfTrue="1" operator="between">
      <formula>0.4001</formula>
      <formula>0.65</formula>
    </cfRule>
    <cfRule type="cellIs" dxfId="1223" priority="549" stopIfTrue="1" operator="between">
      <formula>0.6501</formula>
      <formula>1</formula>
    </cfRule>
  </conditionalFormatting>
  <conditionalFormatting sqref="BR51">
    <cfRule type="cellIs" dxfId="1222" priority="544" stopIfTrue="1" operator="between">
      <formula>0</formula>
      <formula>0.4</formula>
    </cfRule>
    <cfRule type="cellIs" dxfId="1221" priority="545" stopIfTrue="1" operator="between">
      <formula>0.4001</formula>
      <formula>0.65</formula>
    </cfRule>
    <cfRule type="cellIs" dxfId="1220" priority="546" stopIfTrue="1" operator="between">
      <formula>0.6501</formula>
      <formula>1</formula>
    </cfRule>
  </conditionalFormatting>
  <conditionalFormatting sqref="BW51">
    <cfRule type="cellIs" dxfId="1219" priority="541" stopIfTrue="1" operator="between">
      <formula>0</formula>
      <formula>0.4</formula>
    </cfRule>
    <cfRule type="cellIs" dxfId="1218" priority="542" stopIfTrue="1" operator="between">
      <formula>0.4001</formula>
      <formula>0.65</formula>
    </cfRule>
    <cfRule type="cellIs" dxfId="1217" priority="543" stopIfTrue="1" operator="between">
      <formula>0.6501</formula>
      <formula>1</formula>
    </cfRule>
  </conditionalFormatting>
  <conditionalFormatting sqref="CB51">
    <cfRule type="cellIs" dxfId="1216" priority="538" stopIfTrue="1" operator="between">
      <formula>0</formula>
      <formula>0.4</formula>
    </cfRule>
    <cfRule type="cellIs" dxfId="1215" priority="539" stopIfTrue="1" operator="between">
      <formula>0.4001</formula>
      <formula>0.65</formula>
    </cfRule>
    <cfRule type="cellIs" dxfId="1214" priority="540" stopIfTrue="1" operator="between">
      <formula>0.6501</formula>
      <formula>1</formula>
    </cfRule>
  </conditionalFormatting>
  <conditionalFormatting sqref="BH51">
    <cfRule type="cellIs" dxfId="1213" priority="535" stopIfTrue="1" operator="between">
      <formula>0</formula>
      <formula>0.4</formula>
    </cfRule>
    <cfRule type="cellIs" dxfId="1212" priority="536" stopIfTrue="1" operator="between">
      <formula>0.4001</formula>
      <formula>0.65</formula>
    </cfRule>
    <cfRule type="cellIs" dxfId="1211" priority="537" stopIfTrue="1" operator="between">
      <formula>0.6501</formula>
      <formula>1</formula>
    </cfRule>
  </conditionalFormatting>
  <conditionalFormatting sqref="BC51">
    <cfRule type="cellIs" dxfId="1210" priority="532" stopIfTrue="1" operator="between">
      <formula>0</formula>
      <formula>0.4</formula>
    </cfRule>
    <cfRule type="cellIs" dxfId="1209" priority="533" stopIfTrue="1" operator="between">
      <formula>0.4001</formula>
      <formula>0.65</formula>
    </cfRule>
    <cfRule type="cellIs" dxfId="1208" priority="534" stopIfTrue="1" operator="between">
      <formula>0.6501</formula>
      <formula>1</formula>
    </cfRule>
  </conditionalFormatting>
  <conditionalFormatting sqref="AX51">
    <cfRule type="cellIs" dxfId="1207" priority="529" stopIfTrue="1" operator="between">
      <formula>0</formula>
      <formula>0.4</formula>
    </cfRule>
    <cfRule type="cellIs" dxfId="1206" priority="530" stopIfTrue="1" operator="between">
      <formula>0.4001</formula>
      <formula>0.65</formula>
    </cfRule>
    <cfRule type="cellIs" dxfId="1205" priority="531" stopIfTrue="1" operator="between">
      <formula>0.6501</formula>
      <formula>1</formula>
    </cfRule>
  </conditionalFormatting>
  <conditionalFormatting sqref="AS51">
    <cfRule type="cellIs" dxfId="1204" priority="526" stopIfTrue="1" operator="between">
      <formula>0</formula>
      <formula>0.4</formula>
    </cfRule>
    <cfRule type="cellIs" dxfId="1203" priority="527" stopIfTrue="1" operator="between">
      <formula>0.4001</formula>
      <formula>0.65</formula>
    </cfRule>
    <cfRule type="cellIs" dxfId="1202" priority="528" stopIfTrue="1" operator="between">
      <formula>0.6501</formula>
      <formula>1</formula>
    </cfRule>
  </conditionalFormatting>
  <conditionalFormatting sqref="AO51">
    <cfRule type="cellIs" dxfId="1201" priority="523" stopIfTrue="1" operator="between">
      <formula>0</formula>
      <formula>0.4</formula>
    </cfRule>
    <cfRule type="cellIs" dxfId="1200" priority="524" stopIfTrue="1" operator="between">
      <formula>0.4001</formula>
      <formula>0.65</formula>
    </cfRule>
    <cfRule type="cellIs" dxfId="1199" priority="525" stopIfTrue="1" operator="between">
      <formula>0.6501</formula>
      <formula>1</formula>
    </cfRule>
  </conditionalFormatting>
  <conditionalFormatting sqref="AI51">
    <cfRule type="cellIs" dxfId="1198" priority="520" stopIfTrue="1" operator="between">
      <formula>0</formula>
      <formula>0.4</formula>
    </cfRule>
    <cfRule type="cellIs" dxfId="1197" priority="521" stopIfTrue="1" operator="between">
      <formula>0.4001</formula>
      <formula>0.65</formula>
    </cfRule>
    <cfRule type="cellIs" dxfId="1196" priority="522" stopIfTrue="1" operator="between">
      <formula>0.6501</formula>
      <formula>1</formula>
    </cfRule>
  </conditionalFormatting>
  <conditionalFormatting sqref="Y27">
    <cfRule type="cellIs" dxfId="1195" priority="517" stopIfTrue="1" operator="between">
      <formula>0</formula>
      <formula>0.4</formula>
    </cfRule>
    <cfRule type="cellIs" dxfId="1194" priority="518" stopIfTrue="1" operator="between">
      <formula>0.4001</formula>
      <formula>0.65</formula>
    </cfRule>
    <cfRule type="cellIs" dxfId="1193" priority="519" stopIfTrue="1" operator="between">
      <formula>0.6501</formula>
      <formula>1</formula>
    </cfRule>
  </conditionalFormatting>
  <conditionalFormatting sqref="BH38">
    <cfRule type="cellIs" dxfId="1192" priority="508" stopIfTrue="1" operator="between">
      <formula>0</formula>
      <formula>0.4</formula>
    </cfRule>
    <cfRule type="cellIs" dxfId="1191" priority="509" stopIfTrue="1" operator="between">
      <formula>0.4001</formula>
      <formula>0.65</formula>
    </cfRule>
    <cfRule type="cellIs" dxfId="1190" priority="510" stopIfTrue="1" operator="between">
      <formula>0.6501</formula>
      <formula>1</formula>
    </cfRule>
  </conditionalFormatting>
  <conditionalFormatting sqref="AI38">
    <cfRule type="cellIs" dxfId="1189" priority="493" stopIfTrue="1" operator="between">
      <formula>0</formula>
      <formula>0.4</formula>
    </cfRule>
    <cfRule type="cellIs" dxfId="1188" priority="494" stopIfTrue="1" operator="between">
      <formula>0.4001</formula>
      <formula>0.65</formula>
    </cfRule>
    <cfRule type="cellIs" dxfId="1187" priority="495" stopIfTrue="1" operator="between">
      <formula>0.6501</formula>
      <formula>1</formula>
    </cfRule>
  </conditionalFormatting>
  <conditionalFormatting sqref="AX38">
    <cfRule type="cellIs" dxfId="1186" priority="502" stopIfTrue="1" operator="between">
      <formula>0</formula>
      <formula>0.4</formula>
    </cfRule>
    <cfRule type="cellIs" dxfId="1185" priority="503" stopIfTrue="1" operator="between">
      <formula>0.4001</formula>
      <formula>0.65</formula>
    </cfRule>
    <cfRule type="cellIs" dxfId="1184" priority="504" stopIfTrue="1" operator="between">
      <formula>0.6501</formula>
      <formula>1</formula>
    </cfRule>
  </conditionalFormatting>
  <conditionalFormatting sqref="O38">
    <cfRule type="cellIs" dxfId="1183" priority="484" stopIfTrue="1" operator="between">
      <formula>0</formula>
      <formula>0.4</formula>
    </cfRule>
    <cfRule type="cellIs" dxfId="1182" priority="485" stopIfTrue="1" operator="between">
      <formula>0.4001</formula>
      <formula>0.65</formula>
    </cfRule>
    <cfRule type="cellIs" dxfId="1181" priority="486" stopIfTrue="1" operator="between">
      <formula>0.6501</formula>
      <formula>1</formula>
    </cfRule>
  </conditionalFormatting>
  <conditionalFormatting sqref="T38">
    <cfRule type="cellIs" dxfId="1180" priority="481" stopIfTrue="1" operator="between">
      <formula>0</formula>
      <formula>0.4</formula>
    </cfRule>
    <cfRule type="cellIs" dxfId="1179" priority="482" stopIfTrue="1" operator="between">
      <formula>0.4001</formula>
      <formula>0.65</formula>
    </cfRule>
    <cfRule type="cellIs" dxfId="1178" priority="483" stopIfTrue="1" operator="between">
      <formula>0.6501</formula>
      <formula>1</formula>
    </cfRule>
  </conditionalFormatting>
  <conditionalFormatting sqref="BW38">
    <cfRule type="cellIs" dxfId="1177" priority="475" stopIfTrue="1" operator="between">
      <formula>0</formula>
      <formula>0.4</formula>
    </cfRule>
    <cfRule type="cellIs" dxfId="1176" priority="476" stopIfTrue="1" operator="between">
      <formula>0.4001</formula>
      <formula>0.65</formula>
    </cfRule>
    <cfRule type="cellIs" dxfId="1175" priority="477" stopIfTrue="1" operator="between">
      <formula>0.6501</formula>
      <formula>1</formula>
    </cfRule>
  </conditionalFormatting>
  <conditionalFormatting sqref="BM38">
    <cfRule type="cellIs" dxfId="1174" priority="511" stopIfTrue="1" operator="between">
      <formula>0</formula>
      <formula>0.4</formula>
    </cfRule>
    <cfRule type="cellIs" dxfId="1173" priority="512" stopIfTrue="1" operator="between">
      <formula>0.4001</formula>
      <formula>0.65</formula>
    </cfRule>
    <cfRule type="cellIs" dxfId="1172" priority="513" stopIfTrue="1" operator="between">
      <formula>0.6501</formula>
      <formula>1</formula>
    </cfRule>
  </conditionalFormatting>
  <conditionalFormatting sqref="BR38">
    <cfRule type="cellIs" dxfId="1171" priority="478" stopIfTrue="1" operator="between">
      <formula>0</formula>
      <formula>0.4</formula>
    </cfRule>
    <cfRule type="cellIs" dxfId="1170" priority="479" stopIfTrue="1" operator="between">
      <formula>0.4001</formula>
      <formula>0.65</formula>
    </cfRule>
    <cfRule type="cellIs" dxfId="1169" priority="480" stopIfTrue="1" operator="between">
      <formula>0.6501</formula>
      <formula>1</formula>
    </cfRule>
  </conditionalFormatting>
  <conditionalFormatting sqref="CB38 J38">
    <cfRule type="cellIs" dxfId="1168" priority="514" stopIfTrue="1" operator="between">
      <formula>0</formula>
      <formula>0.4</formula>
    </cfRule>
    <cfRule type="cellIs" dxfId="1167" priority="515" stopIfTrue="1" operator="between">
      <formula>0.4001</formula>
      <formula>0.65</formula>
    </cfRule>
    <cfRule type="cellIs" dxfId="1166" priority="516" stopIfTrue="1" operator="between">
      <formula>0.6501</formula>
      <formula>1</formula>
    </cfRule>
  </conditionalFormatting>
  <conditionalFormatting sqref="BC38">
    <cfRule type="cellIs" dxfId="1165" priority="505" stopIfTrue="1" operator="between">
      <formula>0</formula>
      <formula>0.4</formula>
    </cfRule>
    <cfRule type="cellIs" dxfId="1164" priority="506" stopIfTrue="1" operator="between">
      <formula>0.4001</formula>
      <formula>0.65</formula>
    </cfRule>
    <cfRule type="cellIs" dxfId="1163" priority="507" stopIfTrue="1" operator="between">
      <formula>0.6501</formula>
      <formula>1</formula>
    </cfRule>
  </conditionalFormatting>
  <conditionalFormatting sqref="Y38">
    <cfRule type="cellIs" dxfId="1162" priority="487" stopIfTrue="1" operator="between">
      <formula>0</formula>
      <formula>0.4</formula>
    </cfRule>
    <cfRule type="cellIs" dxfId="1161" priority="488" stopIfTrue="1" operator="between">
      <formula>0.4001</formula>
      <formula>0.65</formula>
    </cfRule>
    <cfRule type="cellIs" dxfId="1160" priority="489" stopIfTrue="1" operator="between">
      <formula>0.6501</formula>
      <formula>1</formula>
    </cfRule>
  </conditionalFormatting>
  <conditionalFormatting sqref="AN38">
    <cfRule type="cellIs" dxfId="1159" priority="496" stopIfTrue="1" operator="between">
      <formula>0</formula>
      <formula>0.4</formula>
    </cfRule>
    <cfRule type="cellIs" dxfId="1158" priority="497" stopIfTrue="1" operator="between">
      <formula>0.4001</formula>
      <formula>0.65</formula>
    </cfRule>
    <cfRule type="cellIs" dxfId="1157" priority="498" stopIfTrue="1" operator="between">
      <formula>0.6501</formula>
      <formula>1</formula>
    </cfRule>
  </conditionalFormatting>
  <conditionalFormatting sqref="AS38">
    <cfRule type="cellIs" dxfId="1156" priority="499" stopIfTrue="1" operator="between">
      <formula>0</formula>
      <formula>0.4</formula>
    </cfRule>
    <cfRule type="cellIs" dxfId="1155" priority="500" stopIfTrue="1" operator="between">
      <formula>0.4001</formula>
      <formula>0.65</formula>
    </cfRule>
    <cfRule type="cellIs" dxfId="1154" priority="501" stopIfTrue="1" operator="between">
      <formula>0.6501</formula>
      <formula>1</formula>
    </cfRule>
  </conditionalFormatting>
  <conditionalFormatting sqref="AD38">
    <cfRule type="cellIs" dxfId="1153" priority="490" stopIfTrue="1" operator="between">
      <formula>0</formula>
      <formula>0.4</formula>
    </cfRule>
    <cfRule type="cellIs" dxfId="1152" priority="491" stopIfTrue="1" operator="between">
      <formula>0.4001</formula>
      <formula>0.65</formula>
    </cfRule>
    <cfRule type="cellIs" dxfId="1151" priority="492" stopIfTrue="1" operator="between">
      <formula>0.6501</formula>
      <formula>1</formula>
    </cfRule>
  </conditionalFormatting>
  <conditionalFormatting sqref="BH48">
    <cfRule type="cellIs" dxfId="1150" priority="382" stopIfTrue="1" operator="between">
      <formula>0</formula>
      <formula>0.4</formula>
    </cfRule>
    <cfRule type="cellIs" dxfId="1149" priority="383" stopIfTrue="1" operator="between">
      <formula>0.4001</formula>
      <formula>0.65</formula>
    </cfRule>
    <cfRule type="cellIs" dxfId="1148" priority="384" stopIfTrue="1" operator="between">
      <formula>0.6501</formula>
      <formula>1</formula>
    </cfRule>
  </conditionalFormatting>
  <conditionalFormatting sqref="AI48">
    <cfRule type="cellIs" dxfId="1147" priority="367" stopIfTrue="1" operator="between">
      <formula>0</formula>
      <formula>0.4</formula>
    </cfRule>
    <cfRule type="cellIs" dxfId="1146" priority="368" stopIfTrue="1" operator="between">
      <formula>0.4001</formula>
      <formula>0.65</formula>
    </cfRule>
    <cfRule type="cellIs" dxfId="1145" priority="369" stopIfTrue="1" operator="between">
      <formula>0.6501</formula>
      <formula>1</formula>
    </cfRule>
  </conditionalFormatting>
  <conditionalFormatting sqref="AX48">
    <cfRule type="cellIs" dxfId="1144" priority="376" stopIfTrue="1" operator="between">
      <formula>0</formula>
      <formula>0.4</formula>
    </cfRule>
    <cfRule type="cellIs" dxfId="1143" priority="377" stopIfTrue="1" operator="between">
      <formula>0.4001</formula>
      <formula>0.65</formula>
    </cfRule>
    <cfRule type="cellIs" dxfId="1142" priority="378" stopIfTrue="1" operator="between">
      <formula>0.6501</formula>
      <formula>1</formula>
    </cfRule>
  </conditionalFormatting>
  <conditionalFormatting sqref="O48">
    <cfRule type="cellIs" dxfId="1141" priority="358" stopIfTrue="1" operator="between">
      <formula>0</formula>
      <formula>0.4</formula>
    </cfRule>
    <cfRule type="cellIs" dxfId="1140" priority="359" stopIfTrue="1" operator="between">
      <formula>0.4001</formula>
      <formula>0.65</formula>
    </cfRule>
    <cfRule type="cellIs" dxfId="1139" priority="360" stopIfTrue="1" operator="between">
      <formula>0.6501</formula>
      <formula>1</formula>
    </cfRule>
  </conditionalFormatting>
  <conditionalFormatting sqref="T48">
    <cfRule type="cellIs" dxfId="1138" priority="355" stopIfTrue="1" operator="between">
      <formula>0</formula>
      <formula>0.4</formula>
    </cfRule>
    <cfRule type="cellIs" dxfId="1137" priority="356" stopIfTrue="1" operator="between">
      <formula>0.4001</formula>
      <formula>0.65</formula>
    </cfRule>
    <cfRule type="cellIs" dxfId="1136" priority="357" stopIfTrue="1" operator="between">
      <formula>0.6501</formula>
      <formula>1</formula>
    </cfRule>
  </conditionalFormatting>
  <conditionalFormatting sqref="BW48">
    <cfRule type="cellIs" dxfId="1135" priority="349" stopIfTrue="1" operator="between">
      <formula>0</formula>
      <formula>0.4</formula>
    </cfRule>
    <cfRule type="cellIs" dxfId="1134" priority="350" stopIfTrue="1" operator="between">
      <formula>0.4001</formula>
      <formula>0.65</formula>
    </cfRule>
    <cfRule type="cellIs" dxfId="1133" priority="351" stopIfTrue="1" operator="between">
      <formula>0.6501</formula>
      <formula>1</formula>
    </cfRule>
  </conditionalFormatting>
  <conditionalFormatting sqref="BM48">
    <cfRule type="cellIs" dxfId="1132" priority="385" stopIfTrue="1" operator="between">
      <formula>0</formula>
      <formula>0.4</formula>
    </cfRule>
    <cfRule type="cellIs" dxfId="1131" priority="386" stopIfTrue="1" operator="between">
      <formula>0.4001</formula>
      <formula>0.65</formula>
    </cfRule>
    <cfRule type="cellIs" dxfId="1130" priority="387" stopIfTrue="1" operator="between">
      <formula>0.6501</formula>
      <formula>1</formula>
    </cfRule>
  </conditionalFormatting>
  <conditionalFormatting sqref="BR48">
    <cfRule type="cellIs" dxfId="1129" priority="352" stopIfTrue="1" operator="between">
      <formula>0</formula>
      <formula>0.4</formula>
    </cfRule>
    <cfRule type="cellIs" dxfId="1128" priority="353" stopIfTrue="1" operator="between">
      <formula>0.4001</formula>
      <formula>0.65</formula>
    </cfRule>
    <cfRule type="cellIs" dxfId="1127" priority="354" stopIfTrue="1" operator="between">
      <formula>0.6501</formula>
      <formula>1</formula>
    </cfRule>
  </conditionalFormatting>
  <conditionalFormatting sqref="J48 CB48">
    <cfRule type="cellIs" dxfId="1126" priority="388" stopIfTrue="1" operator="between">
      <formula>0</formula>
      <formula>0.4</formula>
    </cfRule>
    <cfRule type="cellIs" dxfId="1125" priority="389" stopIfTrue="1" operator="between">
      <formula>0.4001</formula>
      <formula>0.65</formula>
    </cfRule>
    <cfRule type="cellIs" dxfId="1124" priority="390" stopIfTrue="1" operator="between">
      <formula>0.6501</formula>
      <formula>1</formula>
    </cfRule>
  </conditionalFormatting>
  <conditionalFormatting sqref="BC48">
    <cfRule type="cellIs" dxfId="1123" priority="379" stopIfTrue="1" operator="between">
      <formula>0</formula>
      <formula>0.4</formula>
    </cfRule>
    <cfRule type="cellIs" dxfId="1122" priority="380" stopIfTrue="1" operator="between">
      <formula>0.4001</formula>
      <formula>0.65</formula>
    </cfRule>
    <cfRule type="cellIs" dxfId="1121" priority="381" stopIfTrue="1" operator="between">
      <formula>0.6501</formula>
      <formula>1</formula>
    </cfRule>
  </conditionalFormatting>
  <conditionalFormatting sqref="Y48">
    <cfRule type="cellIs" dxfId="1120" priority="361" stopIfTrue="1" operator="between">
      <formula>0</formula>
      <formula>0.4</formula>
    </cfRule>
    <cfRule type="cellIs" dxfId="1119" priority="362" stopIfTrue="1" operator="between">
      <formula>0.4001</formula>
      <formula>0.65</formula>
    </cfRule>
    <cfRule type="cellIs" dxfId="1118" priority="363" stopIfTrue="1" operator="between">
      <formula>0.6501</formula>
      <formula>1</formula>
    </cfRule>
  </conditionalFormatting>
  <conditionalFormatting sqref="AN48">
    <cfRule type="cellIs" dxfId="1117" priority="370" stopIfTrue="1" operator="between">
      <formula>0</formula>
      <formula>0.4</formula>
    </cfRule>
    <cfRule type="cellIs" dxfId="1116" priority="371" stopIfTrue="1" operator="between">
      <formula>0.4001</formula>
      <formula>0.65</formula>
    </cfRule>
    <cfRule type="cellIs" dxfId="1115" priority="372" stopIfTrue="1" operator="between">
      <formula>0.6501</formula>
      <formula>1</formula>
    </cfRule>
  </conditionalFormatting>
  <conditionalFormatting sqref="AS48">
    <cfRule type="cellIs" dxfId="1114" priority="373" stopIfTrue="1" operator="between">
      <formula>0</formula>
      <formula>0.4</formula>
    </cfRule>
    <cfRule type="cellIs" dxfId="1113" priority="374" stopIfTrue="1" operator="between">
      <formula>0.4001</formula>
      <formula>0.65</formula>
    </cfRule>
    <cfRule type="cellIs" dxfId="1112" priority="375" stopIfTrue="1" operator="between">
      <formula>0.6501</formula>
      <formula>1</formula>
    </cfRule>
  </conditionalFormatting>
  <conditionalFormatting sqref="AD48">
    <cfRule type="cellIs" dxfId="1111" priority="364" stopIfTrue="1" operator="between">
      <formula>0</formula>
      <formula>0.4</formula>
    </cfRule>
    <cfRule type="cellIs" dxfId="1110" priority="365" stopIfTrue="1" operator="between">
      <formula>0.4001</formula>
      <formula>0.65</formula>
    </cfRule>
    <cfRule type="cellIs" dxfId="1109" priority="366" stopIfTrue="1" operator="between">
      <formula>0.6501</formula>
      <formula>1</formula>
    </cfRule>
  </conditionalFormatting>
  <conditionalFormatting sqref="BR32">
    <cfRule type="cellIs" dxfId="1108" priority="322" stopIfTrue="1" operator="between">
      <formula>0</formula>
      <formula>0.4</formula>
    </cfRule>
    <cfRule type="cellIs" dxfId="1107" priority="323" stopIfTrue="1" operator="between">
      <formula>0.4001</formula>
      <formula>0.65</formula>
    </cfRule>
    <cfRule type="cellIs" dxfId="1106" priority="324" stopIfTrue="1" operator="between">
      <formula>0.6501</formula>
      <formula>1</formula>
    </cfRule>
  </conditionalFormatting>
  <conditionalFormatting sqref="AN32">
    <cfRule type="cellIs" dxfId="1105" priority="340" stopIfTrue="1" operator="between">
      <formula>0</formula>
      <formula>0.4</formula>
    </cfRule>
    <cfRule type="cellIs" dxfId="1104" priority="341" stopIfTrue="1" operator="between">
      <formula>0.4001</formula>
      <formula>0.65</formula>
    </cfRule>
    <cfRule type="cellIs" dxfId="1103" priority="342" stopIfTrue="1" operator="between">
      <formula>0.6501</formula>
      <formula>1</formula>
    </cfRule>
  </conditionalFormatting>
  <conditionalFormatting sqref="BW32">
    <cfRule type="cellIs" dxfId="1102" priority="319" stopIfTrue="1" operator="between">
      <formula>0</formula>
      <formula>0.4</formula>
    </cfRule>
    <cfRule type="cellIs" dxfId="1101" priority="320" stopIfTrue="1" operator="between">
      <formula>0.4001</formula>
      <formula>0.65</formula>
    </cfRule>
    <cfRule type="cellIs" dxfId="1100" priority="321" stopIfTrue="1" operator="between">
      <formula>0.6501</formula>
      <formula>1</formula>
    </cfRule>
  </conditionalFormatting>
  <conditionalFormatting sqref="AS32">
    <cfRule type="cellIs" dxfId="1099" priority="337" stopIfTrue="1" operator="between">
      <formula>0</formula>
      <formula>0.4</formula>
    </cfRule>
    <cfRule type="cellIs" dxfId="1098" priority="338" stopIfTrue="1" operator="between">
      <formula>0.4001</formula>
      <formula>0.65</formula>
    </cfRule>
    <cfRule type="cellIs" dxfId="1097" priority="339" stopIfTrue="1" operator="between">
      <formula>0.6501</formula>
      <formula>1</formula>
    </cfRule>
  </conditionalFormatting>
  <conditionalFormatting sqref="AI32">
    <cfRule type="cellIs" dxfId="1096" priority="343" stopIfTrue="1" operator="between">
      <formula>0</formula>
      <formula>0.4</formula>
    </cfRule>
    <cfRule type="cellIs" dxfId="1095" priority="344" stopIfTrue="1" operator="between">
      <formula>0.4001</formula>
      <formula>0.65</formula>
    </cfRule>
    <cfRule type="cellIs" dxfId="1094" priority="345" stopIfTrue="1" operator="between">
      <formula>0.6501</formula>
      <formula>1</formula>
    </cfRule>
  </conditionalFormatting>
  <conditionalFormatting sqref="AX32">
    <cfRule type="cellIs" dxfId="1093" priority="334" stopIfTrue="1" operator="between">
      <formula>0</formula>
      <formula>0.4</formula>
    </cfRule>
    <cfRule type="cellIs" dxfId="1092" priority="335" stopIfTrue="1" operator="between">
      <formula>0.4001</formula>
      <formula>0.65</formula>
    </cfRule>
    <cfRule type="cellIs" dxfId="1091" priority="336" stopIfTrue="1" operator="between">
      <formula>0.6501</formula>
      <formula>1</formula>
    </cfRule>
  </conditionalFormatting>
  <conditionalFormatting sqref="BC32">
    <cfRule type="cellIs" dxfId="1090" priority="331" stopIfTrue="1" operator="between">
      <formula>0</formula>
      <formula>0.4</formula>
    </cfRule>
    <cfRule type="cellIs" dxfId="1089" priority="332" stopIfTrue="1" operator="between">
      <formula>0.4001</formula>
      <formula>0.65</formula>
    </cfRule>
    <cfRule type="cellIs" dxfId="1088" priority="333" stopIfTrue="1" operator="between">
      <formula>0.6501</formula>
      <formula>1</formula>
    </cfRule>
  </conditionalFormatting>
  <conditionalFormatting sqref="CB32">
    <cfRule type="cellIs" dxfId="1087" priority="316" stopIfTrue="1" operator="between">
      <formula>0</formula>
      <formula>0.4</formula>
    </cfRule>
    <cfRule type="cellIs" dxfId="1086" priority="317" stopIfTrue="1" operator="between">
      <formula>0.4001</formula>
      <formula>0.65</formula>
    </cfRule>
    <cfRule type="cellIs" dxfId="1085" priority="318" stopIfTrue="1" operator="between">
      <formula>0.6501</formula>
      <formula>1</formula>
    </cfRule>
  </conditionalFormatting>
  <conditionalFormatting sqref="BM32">
    <cfRule type="cellIs" dxfId="1084" priority="325" stopIfTrue="1" operator="between">
      <formula>0</formula>
      <formula>0.4</formula>
    </cfRule>
    <cfRule type="cellIs" dxfId="1083" priority="326" stopIfTrue="1" operator="between">
      <formula>0.4001</formula>
      <formula>0.65</formula>
    </cfRule>
    <cfRule type="cellIs" dxfId="1082" priority="327" stopIfTrue="1" operator="between">
      <formula>0.6501</formula>
      <formula>1</formula>
    </cfRule>
  </conditionalFormatting>
  <conditionalFormatting sqref="AD32 Y32 T32 O32 J32">
    <cfRule type="cellIs" dxfId="1081" priority="346" stopIfTrue="1" operator="between">
      <formula>0</formula>
      <formula>0.4</formula>
    </cfRule>
    <cfRule type="cellIs" dxfId="1080" priority="347" stopIfTrue="1" operator="between">
      <formula>0.4001</formula>
      <formula>0.65</formula>
    </cfRule>
    <cfRule type="cellIs" dxfId="1079" priority="348" stopIfTrue="1" operator="between">
      <formula>0.6501</formula>
      <formula>1</formula>
    </cfRule>
  </conditionalFormatting>
  <conditionalFormatting sqref="BH32">
    <cfRule type="cellIs" dxfId="1078" priority="328" stopIfTrue="1" operator="between">
      <formula>0</formula>
      <formula>0.4</formula>
    </cfRule>
    <cfRule type="cellIs" dxfId="1077" priority="329" stopIfTrue="1" operator="between">
      <formula>0.4001</formula>
      <formula>0.65</formula>
    </cfRule>
    <cfRule type="cellIs" dxfId="1076" priority="330" stopIfTrue="1" operator="between">
      <formula>0.6501</formula>
      <formula>1</formula>
    </cfRule>
  </conditionalFormatting>
  <conditionalFormatting sqref="J26 CB26">
    <cfRule type="cellIs" dxfId="1075" priority="313" stopIfTrue="1" operator="between">
      <formula>0</formula>
      <formula>0.4</formula>
    </cfRule>
    <cfRule type="cellIs" dxfId="1074" priority="314" stopIfTrue="1" operator="between">
      <formula>0.4001</formula>
      <formula>0.65</formula>
    </cfRule>
    <cfRule type="cellIs" dxfId="1073" priority="315" stopIfTrue="1" operator="between">
      <formula>0.6501</formula>
      <formula>1</formula>
    </cfRule>
  </conditionalFormatting>
  <conditionalFormatting sqref="BC26">
    <cfRule type="cellIs" dxfId="1072" priority="304" stopIfTrue="1" operator="between">
      <formula>0</formula>
      <formula>0.4</formula>
    </cfRule>
    <cfRule type="cellIs" dxfId="1071" priority="305" stopIfTrue="1" operator="between">
      <formula>0.4001</formula>
      <formula>0.65</formula>
    </cfRule>
    <cfRule type="cellIs" dxfId="1070" priority="306" stopIfTrue="1" operator="between">
      <formula>0.6501</formula>
      <formula>1</formula>
    </cfRule>
  </conditionalFormatting>
  <conditionalFormatting sqref="AX26">
    <cfRule type="cellIs" dxfId="1069" priority="301" stopIfTrue="1" operator="between">
      <formula>0</formula>
      <formula>0.4</formula>
    </cfRule>
    <cfRule type="cellIs" dxfId="1068" priority="302" stopIfTrue="1" operator="between">
      <formula>0.4001</formula>
      <formula>0.65</formula>
    </cfRule>
    <cfRule type="cellIs" dxfId="1067" priority="303" stopIfTrue="1" operator="between">
      <formula>0.6501</formula>
      <formula>1</formula>
    </cfRule>
  </conditionalFormatting>
  <conditionalFormatting sqref="Y26">
    <cfRule type="cellIs" dxfId="1066" priority="286" stopIfTrue="1" operator="between">
      <formula>0</formula>
      <formula>0.4</formula>
    </cfRule>
    <cfRule type="cellIs" dxfId="1065" priority="287" stopIfTrue="1" operator="between">
      <formula>0.4001</formula>
      <formula>0.65</formula>
    </cfRule>
    <cfRule type="cellIs" dxfId="1064" priority="288" stopIfTrue="1" operator="between">
      <formula>0.6501</formula>
      <formula>1</formula>
    </cfRule>
  </conditionalFormatting>
  <conditionalFormatting sqref="BM26">
    <cfRule type="cellIs" dxfId="1063" priority="310" stopIfTrue="1" operator="between">
      <formula>0</formula>
      <formula>0.4</formula>
    </cfRule>
    <cfRule type="cellIs" dxfId="1062" priority="311" stopIfTrue="1" operator="between">
      <formula>0.4001</formula>
      <formula>0.65</formula>
    </cfRule>
    <cfRule type="cellIs" dxfId="1061" priority="312" stopIfTrue="1" operator="between">
      <formula>0.6501</formula>
      <formula>1</formula>
    </cfRule>
  </conditionalFormatting>
  <conditionalFormatting sqref="BW26">
    <cfRule type="cellIs" dxfId="1060" priority="274" stopIfTrue="1" operator="between">
      <formula>0</formula>
      <formula>0.4</formula>
    </cfRule>
    <cfRule type="cellIs" dxfId="1059" priority="275" stopIfTrue="1" operator="between">
      <formula>0.4001</formula>
      <formula>0.65</formula>
    </cfRule>
    <cfRule type="cellIs" dxfId="1058" priority="276" stopIfTrue="1" operator="between">
      <formula>0.6501</formula>
      <formula>1</formula>
    </cfRule>
  </conditionalFormatting>
  <conditionalFormatting sqref="T26">
    <cfRule type="cellIs" dxfId="1057" priority="280" stopIfTrue="1" operator="between">
      <formula>0</formula>
      <formula>0.4</formula>
    </cfRule>
    <cfRule type="cellIs" dxfId="1056" priority="281" stopIfTrue="1" operator="between">
      <formula>0.4001</formula>
      <formula>0.65</formula>
    </cfRule>
    <cfRule type="cellIs" dxfId="1055" priority="282" stopIfTrue="1" operator="between">
      <formula>0.6501</formula>
      <formula>1</formula>
    </cfRule>
  </conditionalFormatting>
  <conditionalFormatting sqref="BR26">
    <cfRule type="cellIs" dxfId="1054" priority="277" stopIfTrue="1" operator="between">
      <formula>0</formula>
      <formula>0.4</formula>
    </cfRule>
    <cfRule type="cellIs" dxfId="1053" priority="278" stopIfTrue="1" operator="between">
      <formula>0.4001</formula>
      <formula>0.65</formula>
    </cfRule>
    <cfRule type="cellIs" dxfId="1052" priority="279" stopIfTrue="1" operator="between">
      <formula>0.6501</formula>
      <formula>1</formula>
    </cfRule>
  </conditionalFormatting>
  <conditionalFormatting sqref="AN26">
    <cfRule type="cellIs" dxfId="1051" priority="295" stopIfTrue="1" operator="between">
      <formula>0</formula>
      <formula>0.4</formula>
    </cfRule>
    <cfRule type="cellIs" dxfId="1050" priority="296" stopIfTrue="1" operator="between">
      <formula>0.4001</formula>
      <formula>0.65</formula>
    </cfRule>
    <cfRule type="cellIs" dxfId="1049" priority="297" stopIfTrue="1" operator="between">
      <formula>0.6501</formula>
      <formula>1</formula>
    </cfRule>
  </conditionalFormatting>
  <conditionalFormatting sqref="O26">
    <cfRule type="cellIs" dxfId="1048" priority="283" stopIfTrue="1" operator="between">
      <formula>0</formula>
      <formula>0.4</formula>
    </cfRule>
    <cfRule type="cellIs" dxfId="1047" priority="284" stopIfTrue="1" operator="between">
      <formula>0.4001</formula>
      <formula>0.65</formula>
    </cfRule>
    <cfRule type="cellIs" dxfId="1046" priority="285" stopIfTrue="1" operator="between">
      <formula>0.6501</formula>
      <formula>1</formula>
    </cfRule>
  </conditionalFormatting>
  <conditionalFormatting sqref="AS26">
    <cfRule type="cellIs" dxfId="1045" priority="298" stopIfTrue="1" operator="between">
      <formula>0</formula>
      <formula>0.4</formula>
    </cfRule>
    <cfRule type="cellIs" dxfId="1044" priority="299" stopIfTrue="1" operator="between">
      <formula>0.4001</formula>
      <formula>0.65</formula>
    </cfRule>
    <cfRule type="cellIs" dxfId="1043" priority="300" stopIfTrue="1" operator="between">
      <formula>0.6501</formula>
      <formula>1</formula>
    </cfRule>
  </conditionalFormatting>
  <conditionalFormatting sqref="AI26">
    <cfRule type="cellIs" dxfId="1042" priority="292" stopIfTrue="1" operator="between">
      <formula>0</formula>
      <formula>0.4</formula>
    </cfRule>
    <cfRule type="cellIs" dxfId="1041" priority="293" stopIfTrue="1" operator="between">
      <formula>0.4001</formula>
      <formula>0.65</formula>
    </cfRule>
    <cfRule type="cellIs" dxfId="1040" priority="294" stopIfTrue="1" operator="between">
      <formula>0.6501</formula>
      <formula>1</formula>
    </cfRule>
  </conditionalFormatting>
  <conditionalFormatting sqref="AD26">
    <cfRule type="cellIs" dxfId="1039" priority="289" stopIfTrue="1" operator="between">
      <formula>0</formula>
      <formula>0.4</formula>
    </cfRule>
    <cfRule type="cellIs" dxfId="1038" priority="290" stopIfTrue="1" operator="between">
      <formula>0.4001</formula>
      <formula>0.65</formula>
    </cfRule>
    <cfRule type="cellIs" dxfId="1037" priority="291" stopIfTrue="1" operator="between">
      <formula>0.6501</formula>
      <formula>1</formula>
    </cfRule>
  </conditionalFormatting>
  <conditionalFormatting sqref="BH26">
    <cfRule type="cellIs" dxfId="1036" priority="307" stopIfTrue="1" operator="between">
      <formula>0</formula>
      <formula>0.4</formula>
    </cfRule>
    <cfRule type="cellIs" dxfId="1035" priority="308" stopIfTrue="1" operator="between">
      <formula>0.4001</formula>
      <formula>0.65</formula>
    </cfRule>
    <cfRule type="cellIs" dxfId="1034" priority="309" stopIfTrue="1" operator="between">
      <formula>0.6501</formula>
      <formula>1</formula>
    </cfRule>
  </conditionalFormatting>
  <conditionalFormatting sqref="BC36">
    <cfRule type="cellIs" dxfId="1033" priority="178" stopIfTrue="1" operator="between">
      <formula>0</formula>
      <formula>0.4</formula>
    </cfRule>
    <cfRule type="cellIs" dxfId="1032" priority="179" stopIfTrue="1" operator="between">
      <formula>0.4001</formula>
      <formula>0.65</formula>
    </cfRule>
    <cfRule type="cellIs" dxfId="1031" priority="180" stopIfTrue="1" operator="between">
      <formula>0.6501</formula>
      <formula>1</formula>
    </cfRule>
  </conditionalFormatting>
  <conditionalFormatting sqref="AI36">
    <cfRule type="cellIs" dxfId="1030" priority="166" stopIfTrue="1" operator="between">
      <formula>0</formula>
      <formula>0.4</formula>
    </cfRule>
    <cfRule type="cellIs" dxfId="1029" priority="167" stopIfTrue="1" operator="between">
      <formula>0.4001</formula>
      <formula>0.65</formula>
    </cfRule>
    <cfRule type="cellIs" dxfId="1028" priority="168" stopIfTrue="1" operator="between">
      <formula>0.6501</formula>
      <formula>1</formula>
    </cfRule>
  </conditionalFormatting>
  <conditionalFormatting sqref="AS36">
    <cfRule type="cellIs" dxfId="1027" priority="172" stopIfTrue="1" operator="between">
      <formula>0</formula>
      <formula>0.4</formula>
    </cfRule>
    <cfRule type="cellIs" dxfId="1026" priority="173" stopIfTrue="1" operator="between">
      <formula>0.4001</formula>
      <formula>0.65</formula>
    </cfRule>
    <cfRule type="cellIs" dxfId="1025" priority="174" stopIfTrue="1" operator="between">
      <formula>0.6501</formula>
      <formula>1</formula>
    </cfRule>
  </conditionalFormatting>
  <conditionalFormatting sqref="AN36">
    <cfRule type="cellIs" dxfId="1024" priority="169" stopIfTrue="1" operator="between">
      <formula>0</formula>
      <formula>0.4</formula>
    </cfRule>
    <cfRule type="cellIs" dxfId="1023" priority="170" stopIfTrue="1" operator="between">
      <formula>0.4001</formula>
      <formula>0.65</formula>
    </cfRule>
    <cfRule type="cellIs" dxfId="1022" priority="171" stopIfTrue="1" operator="between">
      <formula>0.6501</formula>
      <formula>1</formula>
    </cfRule>
  </conditionalFormatting>
  <conditionalFormatting sqref="CB36">
    <cfRule type="cellIs" dxfId="1021" priority="187" stopIfTrue="1" operator="between">
      <formula>0</formula>
      <formula>0.4</formula>
    </cfRule>
    <cfRule type="cellIs" dxfId="1020" priority="188" stopIfTrue="1" operator="between">
      <formula>0.4001</formula>
      <formula>0.65</formula>
    </cfRule>
    <cfRule type="cellIs" dxfId="1019" priority="189" stopIfTrue="1" operator="between">
      <formula>0.6501</formula>
      <formula>1</formula>
    </cfRule>
  </conditionalFormatting>
  <conditionalFormatting sqref="AX36">
    <cfRule type="cellIs" dxfId="1018" priority="175" stopIfTrue="1" operator="between">
      <formula>0</formula>
      <formula>0.4</formula>
    </cfRule>
    <cfRule type="cellIs" dxfId="1017" priority="176" stopIfTrue="1" operator="between">
      <formula>0.4001</formula>
      <formula>0.65</formula>
    </cfRule>
    <cfRule type="cellIs" dxfId="1016" priority="177" stopIfTrue="1" operator="between">
      <formula>0.6501</formula>
      <formula>1</formula>
    </cfRule>
  </conditionalFormatting>
  <conditionalFormatting sqref="BM36">
    <cfRule type="cellIs" dxfId="1015" priority="184" stopIfTrue="1" operator="between">
      <formula>0</formula>
      <formula>0.4</formula>
    </cfRule>
    <cfRule type="cellIs" dxfId="1014" priority="185" stopIfTrue="1" operator="between">
      <formula>0.4001</formula>
      <formula>0.65</formula>
    </cfRule>
    <cfRule type="cellIs" dxfId="1013" priority="186" stopIfTrue="1" operator="between">
      <formula>0.6501</formula>
      <formula>1</formula>
    </cfRule>
  </conditionalFormatting>
  <conditionalFormatting sqref="BH36">
    <cfRule type="cellIs" dxfId="1012" priority="181" stopIfTrue="1" operator="between">
      <formula>0</formula>
      <formula>0.4</formula>
    </cfRule>
    <cfRule type="cellIs" dxfId="1011" priority="182" stopIfTrue="1" operator="between">
      <formula>0.4001</formula>
      <formula>0.65</formula>
    </cfRule>
    <cfRule type="cellIs" dxfId="1010" priority="183" stopIfTrue="1" operator="between">
      <formula>0.6501</formula>
      <formula>1</formula>
    </cfRule>
  </conditionalFormatting>
  <conditionalFormatting sqref="BR29">
    <cfRule type="cellIs" dxfId="1009" priority="121" stopIfTrue="1" operator="between">
      <formula>0</formula>
      <formula>0.4</formula>
    </cfRule>
    <cfRule type="cellIs" dxfId="1008" priority="122" stopIfTrue="1" operator="between">
      <formula>0.4001</formula>
      <formula>0.65</formula>
    </cfRule>
    <cfRule type="cellIs" dxfId="1007" priority="123" stopIfTrue="1" operator="between">
      <formula>0.6501</formula>
      <formula>1</formula>
    </cfRule>
  </conditionalFormatting>
  <conditionalFormatting sqref="J23 O23 T23 Y23 AD23">
    <cfRule type="cellIs" dxfId="1006" priority="112" stopIfTrue="1" operator="between">
      <formula>0</formula>
      <formula>0.4</formula>
    </cfRule>
    <cfRule type="cellIs" dxfId="1005" priority="113" stopIfTrue="1" operator="between">
      <formula>0.4001</formula>
      <formula>0.65</formula>
    </cfRule>
    <cfRule type="cellIs" dxfId="1004" priority="114" stopIfTrue="1" operator="between">
      <formula>0.6501</formula>
      <formula>1</formula>
    </cfRule>
  </conditionalFormatting>
  <conditionalFormatting sqref="AI23">
    <cfRule type="cellIs" dxfId="1003" priority="109" stopIfTrue="1" operator="between">
      <formula>0</formula>
      <formula>0.4</formula>
    </cfRule>
    <cfRule type="cellIs" dxfId="1002" priority="110" stopIfTrue="1" operator="between">
      <formula>0.4001</formula>
      <formula>0.65</formula>
    </cfRule>
    <cfRule type="cellIs" dxfId="1001" priority="111" stopIfTrue="1" operator="between">
      <formula>0.6501</formula>
      <formula>1</formula>
    </cfRule>
  </conditionalFormatting>
  <conditionalFormatting sqref="BH23">
    <cfRule type="cellIs" dxfId="1000" priority="94" stopIfTrue="1" operator="between">
      <formula>0</formula>
      <formula>0.4</formula>
    </cfRule>
    <cfRule type="cellIs" dxfId="999" priority="95" stopIfTrue="1" operator="between">
      <formula>0.4001</formula>
      <formula>0.65</formula>
    </cfRule>
    <cfRule type="cellIs" dxfId="998" priority="96" stopIfTrue="1" operator="between">
      <formula>0.6501</formula>
      <formula>1</formula>
    </cfRule>
  </conditionalFormatting>
  <conditionalFormatting sqref="BW29">
    <cfRule type="cellIs" dxfId="997" priority="118" stopIfTrue="1" operator="between">
      <formula>0</formula>
      <formula>0.4</formula>
    </cfRule>
    <cfRule type="cellIs" dxfId="996" priority="119" stopIfTrue="1" operator="between">
      <formula>0.4001</formula>
      <formula>0.65</formula>
    </cfRule>
    <cfRule type="cellIs" dxfId="995" priority="120" stopIfTrue="1" operator="between">
      <formula>0.6501</formula>
      <formula>1</formula>
    </cfRule>
  </conditionalFormatting>
  <conditionalFormatting sqref="CB23">
    <cfRule type="cellIs" dxfId="994" priority="82" stopIfTrue="1" operator="between">
      <formula>0</formula>
      <formula>0.4</formula>
    </cfRule>
    <cfRule type="cellIs" dxfId="993" priority="83" stopIfTrue="1" operator="between">
      <formula>0.4001</formula>
      <formula>0.65</formula>
    </cfRule>
    <cfRule type="cellIs" dxfId="992" priority="84" stopIfTrue="1" operator="between">
      <formula>0.6501</formula>
      <formula>1</formula>
    </cfRule>
  </conditionalFormatting>
  <conditionalFormatting sqref="BR23">
    <cfRule type="cellIs" dxfId="991" priority="88" stopIfTrue="1" operator="between">
      <formula>0</formula>
      <formula>0.4</formula>
    </cfRule>
    <cfRule type="cellIs" dxfId="990" priority="89" stopIfTrue="1" operator="between">
      <formula>0.4001</formula>
      <formula>0.65</formula>
    </cfRule>
    <cfRule type="cellIs" dxfId="989" priority="90" stopIfTrue="1" operator="between">
      <formula>0.6501</formula>
      <formula>1</formula>
    </cfRule>
  </conditionalFormatting>
  <conditionalFormatting sqref="BW23">
    <cfRule type="cellIs" dxfId="988" priority="85" stopIfTrue="1" operator="between">
      <formula>0</formula>
      <formula>0.4</formula>
    </cfRule>
    <cfRule type="cellIs" dxfId="987" priority="86" stopIfTrue="1" operator="between">
      <formula>0.4001</formula>
      <formula>0.65</formula>
    </cfRule>
    <cfRule type="cellIs" dxfId="986" priority="87" stopIfTrue="1" operator="between">
      <formula>0.6501</formula>
      <formula>1</formula>
    </cfRule>
  </conditionalFormatting>
  <conditionalFormatting sqref="AS23">
    <cfRule type="cellIs" dxfId="985" priority="103" stopIfTrue="1" operator="between">
      <formula>0</formula>
      <formula>0.4</formula>
    </cfRule>
    <cfRule type="cellIs" dxfId="984" priority="104" stopIfTrue="1" operator="between">
      <formula>0.4001</formula>
      <formula>0.65</formula>
    </cfRule>
    <cfRule type="cellIs" dxfId="983" priority="105" stopIfTrue="1" operator="between">
      <formula>0.6501</formula>
      <formula>1</formula>
    </cfRule>
  </conditionalFormatting>
  <conditionalFormatting sqref="BM23">
    <cfRule type="cellIs" dxfId="982" priority="91" stopIfTrue="1" operator="between">
      <formula>0</formula>
      <formula>0.4</formula>
    </cfRule>
    <cfRule type="cellIs" dxfId="981" priority="92" stopIfTrue="1" operator="between">
      <formula>0.4001</formula>
      <formula>0.65</formula>
    </cfRule>
    <cfRule type="cellIs" dxfId="980" priority="93" stopIfTrue="1" operator="between">
      <formula>0.6501</formula>
      <formula>1</formula>
    </cfRule>
  </conditionalFormatting>
  <conditionalFormatting sqref="AN23">
    <cfRule type="cellIs" dxfId="979" priority="106" stopIfTrue="1" operator="between">
      <formula>0</formula>
      <formula>0.4</formula>
    </cfRule>
    <cfRule type="cellIs" dxfId="978" priority="107" stopIfTrue="1" operator="between">
      <formula>0.4001</formula>
      <formula>0.65</formula>
    </cfRule>
    <cfRule type="cellIs" dxfId="977" priority="108" stopIfTrue="1" operator="between">
      <formula>0.6501</formula>
      <formula>1</formula>
    </cfRule>
  </conditionalFormatting>
  <conditionalFormatting sqref="AX23">
    <cfRule type="cellIs" dxfId="976" priority="100" stopIfTrue="1" operator="between">
      <formula>0</formula>
      <formula>0.4</formula>
    </cfRule>
    <cfRule type="cellIs" dxfId="975" priority="101" stopIfTrue="1" operator="between">
      <formula>0.4001</formula>
      <formula>0.65</formula>
    </cfRule>
    <cfRule type="cellIs" dxfId="974" priority="102" stopIfTrue="1" operator="between">
      <formula>0.6501</formula>
      <formula>1</formula>
    </cfRule>
  </conditionalFormatting>
  <conditionalFormatting sqref="BC23">
    <cfRule type="cellIs" dxfId="973" priority="97" stopIfTrue="1" operator="between">
      <formula>0</formula>
      <formula>0.4</formula>
    </cfRule>
    <cfRule type="cellIs" dxfId="972" priority="98" stopIfTrue="1" operator="between">
      <formula>0.4001</formula>
      <formula>0.65</formula>
    </cfRule>
    <cfRule type="cellIs" dxfId="971" priority="99" stopIfTrue="1" operator="between">
      <formula>0.6501</formula>
      <formula>1</formula>
    </cfRule>
  </conditionalFormatting>
  <conditionalFormatting sqref="CB29">
    <cfRule type="cellIs" dxfId="970" priority="115" stopIfTrue="1" operator="between">
      <formula>0</formula>
      <formula>0.4</formula>
    </cfRule>
    <cfRule type="cellIs" dxfId="969" priority="116" stopIfTrue="1" operator="between">
      <formula>0.4001</formula>
      <formula>0.65</formula>
    </cfRule>
    <cfRule type="cellIs" dxfId="968" priority="117" stopIfTrue="1" operator="between">
      <formula>0.6501</formula>
      <formula>1</formula>
    </cfRule>
  </conditionalFormatting>
  <conditionalFormatting sqref="O36">
    <cfRule type="cellIs" dxfId="967" priority="157" stopIfTrue="1" operator="between">
      <formula>0</formula>
      <formula>0.4</formula>
    </cfRule>
    <cfRule type="cellIs" dxfId="966" priority="158" stopIfTrue="1" operator="between">
      <formula>0.4001</formula>
      <formula>0.65</formula>
    </cfRule>
    <cfRule type="cellIs" dxfId="965" priority="159" stopIfTrue="1" operator="between">
      <formula>0.6501</formula>
      <formula>1</formula>
    </cfRule>
  </conditionalFormatting>
  <conditionalFormatting sqref="T36">
    <cfRule type="cellIs" dxfId="964" priority="154" stopIfTrue="1" operator="between">
      <formula>0</formula>
      <formula>0.4</formula>
    </cfRule>
    <cfRule type="cellIs" dxfId="963" priority="155" stopIfTrue="1" operator="between">
      <formula>0.4001</formula>
      <formula>0.65</formula>
    </cfRule>
    <cfRule type="cellIs" dxfId="962" priority="156" stopIfTrue="1" operator="between">
      <formula>0.6501</formula>
      <formula>1</formula>
    </cfRule>
  </conditionalFormatting>
  <conditionalFormatting sqref="BW36">
    <cfRule type="cellIs" dxfId="961" priority="148" stopIfTrue="1" operator="between">
      <formula>0</formula>
      <formula>0.4</formula>
    </cfRule>
    <cfRule type="cellIs" dxfId="960" priority="149" stopIfTrue="1" operator="between">
      <formula>0.4001</formula>
      <formula>0.65</formula>
    </cfRule>
    <cfRule type="cellIs" dxfId="959" priority="150" stopIfTrue="1" operator="between">
      <formula>0.6501</formula>
      <formula>1</formula>
    </cfRule>
  </conditionalFormatting>
  <conditionalFormatting sqref="BR36">
    <cfRule type="cellIs" dxfId="958" priority="151" stopIfTrue="1" operator="between">
      <formula>0</formula>
      <formula>0.4</formula>
    </cfRule>
    <cfRule type="cellIs" dxfId="957" priority="152" stopIfTrue="1" operator="between">
      <formula>0.4001</formula>
      <formula>0.65</formula>
    </cfRule>
    <cfRule type="cellIs" dxfId="956" priority="153" stopIfTrue="1" operator="between">
      <formula>0.6501</formula>
      <formula>1</formula>
    </cfRule>
  </conditionalFormatting>
  <conditionalFormatting sqref="Y36">
    <cfRule type="cellIs" dxfId="955" priority="160" stopIfTrue="1" operator="between">
      <formula>0</formula>
      <formula>0.4</formula>
    </cfRule>
    <cfRule type="cellIs" dxfId="954" priority="161" stopIfTrue="1" operator="between">
      <formula>0.4001</formula>
      <formula>0.65</formula>
    </cfRule>
    <cfRule type="cellIs" dxfId="953" priority="162" stopIfTrue="1" operator="between">
      <formula>0.6501</formula>
      <formula>1</formula>
    </cfRule>
  </conditionalFormatting>
  <conditionalFormatting sqref="AD36">
    <cfRule type="cellIs" dxfId="952" priority="163" stopIfTrue="1" operator="between">
      <formula>0</formula>
      <formula>0.4</formula>
    </cfRule>
    <cfRule type="cellIs" dxfId="951" priority="164" stopIfTrue="1" operator="between">
      <formula>0.4001</formula>
      <formula>0.65</formula>
    </cfRule>
    <cfRule type="cellIs" dxfId="950" priority="165" stopIfTrue="1" operator="between">
      <formula>0.6501</formula>
      <formula>1</formula>
    </cfRule>
  </conditionalFormatting>
  <conditionalFormatting sqref="AN29">
    <cfRule type="cellIs" dxfId="949" priority="139" stopIfTrue="1" operator="between">
      <formula>0</formula>
      <formula>0.4</formula>
    </cfRule>
    <cfRule type="cellIs" dxfId="948" priority="140" stopIfTrue="1" operator="between">
      <formula>0.4001</formula>
      <formula>0.65</formula>
    </cfRule>
    <cfRule type="cellIs" dxfId="947" priority="141" stopIfTrue="1" operator="between">
      <formula>0.6501</formula>
      <formula>1</formula>
    </cfRule>
  </conditionalFormatting>
  <conditionalFormatting sqref="AS29">
    <cfRule type="cellIs" dxfId="946" priority="136" stopIfTrue="1" operator="between">
      <formula>0</formula>
      <formula>0.4</formula>
    </cfRule>
    <cfRule type="cellIs" dxfId="945" priority="137" stopIfTrue="1" operator="between">
      <formula>0.4001</formula>
      <formula>0.65</formula>
    </cfRule>
    <cfRule type="cellIs" dxfId="944" priority="138" stopIfTrue="1" operator="between">
      <formula>0.6501</formula>
      <formula>1</formula>
    </cfRule>
  </conditionalFormatting>
  <conditionalFormatting sqref="AI29">
    <cfRule type="cellIs" dxfId="943" priority="142" stopIfTrue="1" operator="between">
      <formula>0</formula>
      <formula>0.4</formula>
    </cfRule>
    <cfRule type="cellIs" dxfId="942" priority="143" stopIfTrue="1" operator="between">
      <formula>0.4001</formula>
      <formula>0.65</formula>
    </cfRule>
    <cfRule type="cellIs" dxfId="941" priority="144" stopIfTrue="1" operator="between">
      <formula>0.6501</formula>
      <formula>1</formula>
    </cfRule>
  </conditionalFormatting>
  <conditionalFormatting sqref="AX29">
    <cfRule type="cellIs" dxfId="940" priority="133" stopIfTrue="1" operator="between">
      <formula>0</formula>
      <formula>0.4</formula>
    </cfRule>
    <cfRule type="cellIs" dxfId="939" priority="134" stopIfTrue="1" operator="between">
      <formula>0.4001</formula>
      <formula>0.65</formula>
    </cfRule>
    <cfRule type="cellIs" dxfId="938" priority="135" stopIfTrue="1" operator="between">
      <formula>0.6501</formula>
      <formula>1</formula>
    </cfRule>
  </conditionalFormatting>
  <conditionalFormatting sqref="BC29">
    <cfRule type="cellIs" dxfId="937" priority="130" stopIfTrue="1" operator="between">
      <formula>0</formula>
      <formula>0.4</formula>
    </cfRule>
    <cfRule type="cellIs" dxfId="936" priority="131" stopIfTrue="1" operator="between">
      <formula>0.4001</formula>
      <formula>0.65</formula>
    </cfRule>
    <cfRule type="cellIs" dxfId="935" priority="132" stopIfTrue="1" operator="between">
      <formula>0.6501</formula>
      <formula>1</formula>
    </cfRule>
  </conditionalFormatting>
  <conditionalFormatting sqref="BM29">
    <cfRule type="cellIs" dxfId="934" priority="124" stopIfTrue="1" operator="between">
      <formula>0</formula>
      <formula>0.4</formula>
    </cfRule>
    <cfRule type="cellIs" dxfId="933" priority="125" stopIfTrue="1" operator="between">
      <formula>0.4001</formula>
      <formula>0.65</formula>
    </cfRule>
    <cfRule type="cellIs" dxfId="932" priority="126" stopIfTrue="1" operator="between">
      <formula>0.6501</formula>
      <formula>1</formula>
    </cfRule>
  </conditionalFormatting>
  <conditionalFormatting sqref="J29 O29 T29 Y29 AD29">
    <cfRule type="cellIs" dxfId="931" priority="145" stopIfTrue="1" operator="between">
      <formula>0</formula>
      <formula>0.4</formula>
    </cfRule>
    <cfRule type="cellIs" dxfId="930" priority="146" stopIfTrue="1" operator="between">
      <formula>0.4001</formula>
      <formula>0.65</formula>
    </cfRule>
    <cfRule type="cellIs" dxfId="929" priority="147" stopIfTrue="1" operator="between">
      <formula>0.6501</formula>
      <formula>1</formula>
    </cfRule>
  </conditionalFormatting>
  <conditionalFormatting sqref="BH29">
    <cfRule type="cellIs" dxfId="928" priority="127" stopIfTrue="1" operator="between">
      <formula>0</formula>
      <formula>0.4</formula>
    </cfRule>
    <cfRule type="cellIs" dxfId="927" priority="128" stopIfTrue="1" operator="between">
      <formula>0.4001</formula>
      <formula>0.65</formula>
    </cfRule>
    <cfRule type="cellIs" dxfId="926" priority="129" stopIfTrue="1" operator="between">
      <formula>0.6501</formula>
      <formula>1</formula>
    </cfRule>
  </conditionalFormatting>
  <conditionalFormatting sqref="CB42">
    <cfRule type="cellIs" dxfId="925" priority="79" stopIfTrue="1" operator="between">
      <formula>0</formula>
      <formula>0.4</formula>
    </cfRule>
    <cfRule type="cellIs" dxfId="924" priority="80" stopIfTrue="1" operator="between">
      <formula>0.4001</formula>
      <formula>0.65</formula>
    </cfRule>
    <cfRule type="cellIs" dxfId="923" priority="81" stopIfTrue="1" operator="between">
      <formula>0.6501</formula>
      <formula>1</formula>
    </cfRule>
  </conditionalFormatting>
  <conditionalFormatting sqref="BM42">
    <cfRule type="cellIs" dxfId="922" priority="76" stopIfTrue="1" operator="between">
      <formula>0</formula>
      <formula>0.4</formula>
    </cfRule>
    <cfRule type="cellIs" dxfId="921" priority="77" stopIfTrue="1" operator="between">
      <formula>0.4001</formula>
      <formula>0.65</formula>
    </cfRule>
    <cfRule type="cellIs" dxfId="920" priority="78" stopIfTrue="1" operator="between">
      <formula>0.6501</formula>
      <formula>1</formula>
    </cfRule>
  </conditionalFormatting>
  <conditionalFormatting sqref="BH42">
    <cfRule type="cellIs" dxfId="919" priority="73" stopIfTrue="1" operator="between">
      <formula>0</formula>
      <formula>0.4</formula>
    </cfRule>
    <cfRule type="cellIs" dxfId="918" priority="74" stopIfTrue="1" operator="between">
      <formula>0.4001</formula>
      <formula>0.65</formula>
    </cfRule>
    <cfRule type="cellIs" dxfId="917" priority="75" stopIfTrue="1" operator="between">
      <formula>0.6501</formula>
      <formula>1</formula>
    </cfRule>
  </conditionalFormatting>
  <conditionalFormatting sqref="BC42">
    <cfRule type="cellIs" dxfId="916" priority="70" stopIfTrue="1" operator="between">
      <formula>0</formula>
      <formula>0.4</formula>
    </cfRule>
    <cfRule type="cellIs" dxfId="915" priority="71" stopIfTrue="1" operator="between">
      <formula>0.4001</formula>
      <formula>0.65</formula>
    </cfRule>
    <cfRule type="cellIs" dxfId="914" priority="72" stopIfTrue="1" operator="between">
      <formula>0.6501</formula>
      <formula>1</formula>
    </cfRule>
  </conditionalFormatting>
  <conditionalFormatting sqref="AX42">
    <cfRule type="cellIs" dxfId="913" priority="67" stopIfTrue="1" operator="between">
      <formula>0</formula>
      <formula>0.4</formula>
    </cfRule>
    <cfRule type="cellIs" dxfId="912" priority="68" stopIfTrue="1" operator="between">
      <formula>0.4001</formula>
      <formula>0.65</formula>
    </cfRule>
    <cfRule type="cellIs" dxfId="911" priority="69" stopIfTrue="1" operator="between">
      <formula>0.6501</formula>
      <formula>1</formula>
    </cfRule>
  </conditionalFormatting>
  <conditionalFormatting sqref="BW42">
    <cfRule type="cellIs" dxfId="910" priority="64" stopIfTrue="1" operator="between">
      <formula>0</formula>
      <formula>0.4</formula>
    </cfRule>
    <cfRule type="cellIs" dxfId="909" priority="65" stopIfTrue="1" operator="between">
      <formula>0.4001</formula>
      <formula>0.65</formula>
    </cfRule>
    <cfRule type="cellIs" dxfId="908" priority="66" stopIfTrue="1" operator="between">
      <formula>0.6501</formula>
      <formula>1</formula>
    </cfRule>
  </conditionalFormatting>
  <conditionalFormatting sqref="T42">
    <cfRule type="cellIs" dxfId="907" priority="61" stopIfTrue="1" operator="between">
      <formula>0</formula>
      <formula>0.4</formula>
    </cfRule>
    <cfRule type="cellIs" dxfId="906" priority="62" stopIfTrue="1" operator="between">
      <formula>0.4001</formula>
      <formula>0.65</formula>
    </cfRule>
    <cfRule type="cellIs" dxfId="905" priority="63" stopIfTrue="1" operator="between">
      <formula>0.6501</formula>
      <formula>1</formula>
    </cfRule>
  </conditionalFormatting>
  <conditionalFormatting sqref="Y42">
    <cfRule type="cellIs" dxfId="904" priority="58" stopIfTrue="1" operator="between">
      <formula>0</formula>
      <formula>0.4</formula>
    </cfRule>
    <cfRule type="cellIs" dxfId="903" priority="59" stopIfTrue="1" operator="between">
      <formula>0.4001</formula>
      <formula>0.65</formula>
    </cfRule>
    <cfRule type="cellIs" dxfId="902" priority="60" stopIfTrue="1" operator="between">
      <formula>0.6501</formula>
      <formula>1</formula>
    </cfRule>
  </conditionalFormatting>
  <conditionalFormatting sqref="AD42">
    <cfRule type="cellIs" dxfId="901" priority="55" stopIfTrue="1" operator="between">
      <formula>0</formula>
      <formula>0.4</formula>
    </cfRule>
    <cfRule type="cellIs" dxfId="900" priority="56" stopIfTrue="1" operator="between">
      <formula>0.4001</formula>
      <formula>0.65</formula>
    </cfRule>
    <cfRule type="cellIs" dxfId="899" priority="57" stopIfTrue="1" operator="between">
      <formula>0.6501</formula>
      <formula>1</formula>
    </cfRule>
  </conditionalFormatting>
  <conditionalFormatting sqref="AI42">
    <cfRule type="cellIs" dxfId="898" priority="52" stopIfTrue="1" operator="between">
      <formula>0</formula>
      <formula>0.4</formula>
    </cfRule>
    <cfRule type="cellIs" dxfId="897" priority="53" stopIfTrue="1" operator="between">
      <formula>0.4001</formula>
      <formula>0.65</formula>
    </cfRule>
    <cfRule type="cellIs" dxfId="896" priority="54" stopIfTrue="1" operator="between">
      <formula>0.6501</formula>
      <formula>1</formula>
    </cfRule>
  </conditionalFormatting>
  <conditionalFormatting sqref="AN42">
    <cfRule type="cellIs" dxfId="895" priority="49" stopIfTrue="1" operator="between">
      <formula>0</formula>
      <formula>0.4</formula>
    </cfRule>
    <cfRule type="cellIs" dxfId="894" priority="50" stopIfTrue="1" operator="between">
      <formula>0.4001</formula>
      <formula>0.65</formula>
    </cfRule>
    <cfRule type="cellIs" dxfId="893" priority="51" stopIfTrue="1" operator="between">
      <formula>0.6501</formula>
      <formula>1</formula>
    </cfRule>
  </conditionalFormatting>
  <conditionalFormatting sqref="AS42">
    <cfRule type="cellIs" dxfId="892" priority="46" stopIfTrue="1" operator="between">
      <formula>0</formula>
      <formula>0.4</formula>
    </cfRule>
    <cfRule type="cellIs" dxfId="891" priority="47" stopIfTrue="1" operator="between">
      <formula>0.4001</formula>
      <formula>0.65</formula>
    </cfRule>
    <cfRule type="cellIs" dxfId="890" priority="48" stopIfTrue="1" operator="between">
      <formula>0.6501</formula>
      <formula>1</formula>
    </cfRule>
  </conditionalFormatting>
  <conditionalFormatting sqref="BH44">
    <cfRule type="cellIs" dxfId="889" priority="37" stopIfTrue="1" operator="between">
      <formula>0</formula>
      <formula>0.4</formula>
    </cfRule>
    <cfRule type="cellIs" dxfId="888" priority="38" stopIfTrue="1" operator="between">
      <formula>0.4001</formula>
      <formula>0.65</formula>
    </cfRule>
    <cfRule type="cellIs" dxfId="887" priority="39" stopIfTrue="1" operator="between">
      <formula>0.6501</formula>
      <formula>1</formula>
    </cfRule>
  </conditionalFormatting>
  <conditionalFormatting sqref="AI44">
    <cfRule type="cellIs" dxfId="886" priority="22" stopIfTrue="1" operator="between">
      <formula>0</formula>
      <formula>0.4</formula>
    </cfRule>
    <cfRule type="cellIs" dxfId="885" priority="23" stopIfTrue="1" operator="between">
      <formula>0.4001</formula>
      <formula>0.65</formula>
    </cfRule>
    <cfRule type="cellIs" dxfId="884" priority="24" stopIfTrue="1" operator="between">
      <formula>0.6501</formula>
      <formula>1</formula>
    </cfRule>
  </conditionalFormatting>
  <conditionalFormatting sqref="AX44">
    <cfRule type="cellIs" dxfId="883" priority="31" stopIfTrue="1" operator="between">
      <formula>0</formula>
      <formula>0.4</formula>
    </cfRule>
    <cfRule type="cellIs" dxfId="882" priority="32" stopIfTrue="1" operator="between">
      <formula>0.4001</formula>
      <formula>0.65</formula>
    </cfRule>
    <cfRule type="cellIs" dxfId="881" priority="33" stopIfTrue="1" operator="between">
      <formula>0.6501</formula>
      <formula>1</formula>
    </cfRule>
  </conditionalFormatting>
  <conditionalFormatting sqref="O44">
    <cfRule type="cellIs" dxfId="880" priority="13" stopIfTrue="1" operator="between">
      <formula>0</formula>
      <formula>0.4</formula>
    </cfRule>
    <cfRule type="cellIs" dxfId="879" priority="14" stopIfTrue="1" operator="between">
      <formula>0.4001</formula>
      <formula>0.65</formula>
    </cfRule>
    <cfRule type="cellIs" dxfId="878" priority="15" stopIfTrue="1" operator="between">
      <formula>0.6501</formula>
      <formula>1</formula>
    </cfRule>
  </conditionalFormatting>
  <conditionalFormatting sqref="T44">
    <cfRule type="cellIs" dxfId="877" priority="10" stopIfTrue="1" operator="between">
      <formula>0</formula>
      <formula>0.4</formula>
    </cfRule>
    <cfRule type="cellIs" dxfId="876" priority="11" stopIfTrue="1" operator="between">
      <formula>0.4001</formula>
      <formula>0.65</formula>
    </cfRule>
    <cfRule type="cellIs" dxfId="875" priority="12" stopIfTrue="1" operator="between">
      <formula>0.6501</formula>
      <formula>1</formula>
    </cfRule>
  </conditionalFormatting>
  <conditionalFormatting sqref="BW44">
    <cfRule type="cellIs" dxfId="874" priority="4" stopIfTrue="1" operator="between">
      <formula>0</formula>
      <formula>0.4</formula>
    </cfRule>
    <cfRule type="cellIs" dxfId="873" priority="5" stopIfTrue="1" operator="between">
      <formula>0.4001</formula>
      <formula>0.65</formula>
    </cfRule>
    <cfRule type="cellIs" dxfId="872" priority="6" stopIfTrue="1" operator="between">
      <formula>0.6501</formula>
      <formula>1</formula>
    </cfRule>
  </conditionalFormatting>
  <conditionalFormatting sqref="BM44">
    <cfRule type="cellIs" dxfId="871" priority="40" stopIfTrue="1" operator="between">
      <formula>0</formula>
      <formula>0.4</formula>
    </cfRule>
    <cfRule type="cellIs" dxfId="870" priority="41" stopIfTrue="1" operator="between">
      <formula>0.4001</formula>
      <formula>0.65</formula>
    </cfRule>
    <cfRule type="cellIs" dxfId="869" priority="42" stopIfTrue="1" operator="between">
      <formula>0.6501</formula>
      <formula>1</formula>
    </cfRule>
  </conditionalFormatting>
  <conditionalFormatting sqref="BR44">
    <cfRule type="cellIs" dxfId="868" priority="7" stopIfTrue="1" operator="between">
      <formula>0</formula>
      <formula>0.4</formula>
    </cfRule>
    <cfRule type="cellIs" dxfId="867" priority="8" stopIfTrue="1" operator="between">
      <formula>0.4001</formula>
      <formula>0.65</formula>
    </cfRule>
    <cfRule type="cellIs" dxfId="866" priority="9" stopIfTrue="1" operator="between">
      <formula>0.6501</formula>
      <formula>1</formula>
    </cfRule>
  </conditionalFormatting>
  <conditionalFormatting sqref="J44 CB44">
    <cfRule type="cellIs" dxfId="865" priority="43" stopIfTrue="1" operator="between">
      <formula>0</formula>
      <formula>0.4</formula>
    </cfRule>
    <cfRule type="cellIs" dxfId="864" priority="44" stopIfTrue="1" operator="between">
      <formula>0.4001</formula>
      <formula>0.65</formula>
    </cfRule>
    <cfRule type="cellIs" dxfId="863" priority="45" stopIfTrue="1" operator="between">
      <formula>0.6501</formula>
      <formula>1</formula>
    </cfRule>
  </conditionalFormatting>
  <conditionalFormatting sqref="BC44">
    <cfRule type="cellIs" dxfId="862" priority="34" stopIfTrue="1" operator="between">
      <formula>0</formula>
      <formula>0.4</formula>
    </cfRule>
    <cfRule type="cellIs" dxfId="861" priority="35" stopIfTrue="1" operator="between">
      <formula>0.4001</formula>
      <formula>0.65</formula>
    </cfRule>
    <cfRule type="cellIs" dxfId="860" priority="36" stopIfTrue="1" operator="between">
      <formula>0.6501</formula>
      <formula>1</formula>
    </cfRule>
  </conditionalFormatting>
  <conditionalFormatting sqref="Y44">
    <cfRule type="cellIs" dxfId="859" priority="16" stopIfTrue="1" operator="between">
      <formula>0</formula>
      <formula>0.4</formula>
    </cfRule>
    <cfRule type="cellIs" dxfId="858" priority="17" stopIfTrue="1" operator="between">
      <formula>0.4001</formula>
      <formula>0.65</formula>
    </cfRule>
    <cfRule type="cellIs" dxfId="857" priority="18" stopIfTrue="1" operator="between">
      <formula>0.6501</formula>
      <formula>1</formula>
    </cfRule>
  </conditionalFormatting>
  <conditionalFormatting sqref="AN44">
    <cfRule type="cellIs" dxfId="856" priority="25" stopIfTrue="1" operator="between">
      <formula>0</formula>
      <formula>0.4</formula>
    </cfRule>
    <cfRule type="cellIs" dxfId="855" priority="26" stopIfTrue="1" operator="between">
      <formula>0.4001</formula>
      <formula>0.65</formula>
    </cfRule>
    <cfRule type="cellIs" dxfId="854" priority="27" stopIfTrue="1" operator="between">
      <formula>0.6501</formula>
      <formula>1</formula>
    </cfRule>
  </conditionalFormatting>
  <conditionalFormatting sqref="AS44">
    <cfRule type="cellIs" dxfId="853" priority="28" stopIfTrue="1" operator="between">
      <formula>0</formula>
      <formula>0.4</formula>
    </cfRule>
    <cfRule type="cellIs" dxfId="852" priority="29" stopIfTrue="1" operator="between">
      <formula>0.4001</formula>
      <formula>0.65</formula>
    </cfRule>
    <cfRule type="cellIs" dxfId="851" priority="30" stopIfTrue="1" operator="between">
      <formula>0.6501</formula>
      <formula>1</formula>
    </cfRule>
  </conditionalFormatting>
  <conditionalFormatting sqref="AD44">
    <cfRule type="cellIs" dxfId="850" priority="19" stopIfTrue="1" operator="between">
      <formula>0</formula>
      <formula>0.4</formula>
    </cfRule>
    <cfRule type="cellIs" dxfId="849" priority="20" stopIfTrue="1" operator="between">
      <formula>0.4001</formula>
      <formula>0.65</formula>
    </cfRule>
    <cfRule type="cellIs" dxfId="848" priority="21" stopIfTrue="1" operator="between">
      <formula>0.6501</formula>
      <formula>1</formula>
    </cfRule>
  </conditionalFormatting>
  <conditionalFormatting sqref="O27">
    <cfRule type="cellIs" dxfId="2" priority="1" stopIfTrue="1" operator="between">
      <formula>0</formula>
      <formula>0.4</formula>
    </cfRule>
    <cfRule type="cellIs" dxfId="1" priority="2" stopIfTrue="1" operator="between">
      <formula>0.4001</formula>
      <formula>0.65</formula>
    </cfRule>
    <cfRule type="cellIs" dxfId="0" priority="3" stopIfTrue="1" operator="between">
      <formula>0.6501</formula>
      <formula>1</formula>
    </cfRule>
  </conditionalFormatting>
  <dataValidations count="3">
    <dataValidation allowBlank="1" showInputMessage="1" showErrorMessage="1" prompt="Los porcentajes de los actividades deben sumar el 100% para cada alcance._x000a_Los porcentajes de los alcances deben sumar el 100% de la meta o producto a obtener." sqref="G18:G20 G29:G33 G36:G39 G47:G49 G23:G26 G42:G44" xr:uid="{00000000-0002-0000-0000-000000000000}"/>
    <dataValidation allowBlank="1" showInputMessage="1" showErrorMessage="1" prompt="Defina la unidad de medida de la actividad. No emplee unidad GLOBAL, ya que no es descriptiva." sqref="F18:F20 F29:F33 F47:F49 F36:F39 F23:F26 F42:F44" xr:uid="{00000000-0002-0000-0000-000001000000}"/>
    <dataValidation operator="equal" allowBlank="1" showInputMessage="1" showErrorMessage="1" sqref="G21 G27 G34 G40 G45 G50:G51" xr:uid="{00000000-0002-0000-0000-000002000000}"/>
  </dataValidations>
  <pageMargins left="0.70000000000000007" right="0.70000000000000007" top="0.75000000000000011" bottom="0.75000000000000011" header="0.30000000000000004" footer="0.30000000000000004"/>
  <pageSetup scale="26" orientation="landscape" horizontalDpi="4294967292" verticalDpi="4294967292"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C58D5-3E3F-49E7-A412-86F61EF46CAE}">
  <dimension ref="A1:BN59"/>
  <sheetViews>
    <sheetView showGridLines="0" topLeftCell="A34" zoomScale="85" zoomScaleNormal="85" zoomScaleSheetLayoutView="100" zoomScalePageLayoutView="90" workbookViewId="0">
      <selection activeCell="A52" sqref="A52"/>
    </sheetView>
  </sheetViews>
  <sheetFormatPr baseColWidth="10" defaultColWidth="10.85546875" defaultRowHeight="12.75" x14ac:dyDescent="0.25"/>
  <cols>
    <col min="1" max="1" width="5.42578125" style="105" customWidth="1"/>
    <col min="2" max="2" width="21.140625" style="104" customWidth="1"/>
    <col min="3" max="3" width="49.42578125" style="104" customWidth="1"/>
    <col min="4" max="4" width="17.42578125" style="104" customWidth="1"/>
    <col min="5" max="5" width="9.28515625" style="103" bestFit="1" customWidth="1"/>
    <col min="6" max="6" width="25.140625" style="102" customWidth="1"/>
    <col min="7" max="7" width="22.28515625" style="102" customWidth="1"/>
    <col min="8" max="8" width="18.28515625" style="102" customWidth="1"/>
    <col min="9" max="9" width="17.140625" style="102" customWidth="1"/>
    <col min="10" max="10" width="10.42578125" style="103" customWidth="1"/>
    <col min="11" max="11" width="14.28515625" style="102" customWidth="1"/>
    <col min="12" max="13" width="17.42578125" style="102" customWidth="1"/>
    <col min="14" max="14" width="9.42578125" style="103" customWidth="1"/>
    <col min="15" max="15" width="11.7109375" style="102" customWidth="1"/>
    <col min="16" max="17" width="21.140625" style="102" customWidth="1"/>
    <col min="18" max="18" width="10.42578125" style="103" customWidth="1"/>
    <col min="19" max="19" width="11.7109375" style="102" customWidth="1"/>
    <col min="20" max="20" width="19.42578125" style="102" bestFit="1" customWidth="1"/>
    <col min="21" max="21" width="18" style="102" customWidth="1"/>
    <col min="22" max="22" width="10.42578125" style="103" customWidth="1"/>
    <col min="23" max="23" width="11.7109375" style="102" customWidth="1"/>
    <col min="24" max="24" width="16.42578125" style="102" customWidth="1"/>
    <col min="25" max="25" width="18" style="102" customWidth="1"/>
    <col min="26" max="26" width="10.42578125" style="103" customWidth="1"/>
    <col min="27" max="27" width="11.7109375" style="102" customWidth="1"/>
    <col min="28" max="28" width="16.42578125" style="102" customWidth="1"/>
    <col min="29" max="29" width="18" style="102" customWidth="1"/>
    <col min="30" max="30" width="10.42578125" style="103" customWidth="1"/>
    <col min="31" max="31" width="11.7109375" style="102" customWidth="1"/>
    <col min="32" max="32" width="16.42578125" style="102" customWidth="1"/>
    <col min="33" max="33" width="18" style="102" customWidth="1"/>
    <col min="34" max="34" width="10.42578125" style="103" customWidth="1"/>
    <col min="35" max="35" width="11.7109375" style="102" customWidth="1"/>
    <col min="36" max="36" width="16.42578125" style="102" customWidth="1"/>
    <col min="37" max="37" width="18" style="102" customWidth="1"/>
    <col min="38" max="38" width="10.42578125" style="103" customWidth="1"/>
    <col min="39" max="39" width="11.7109375" style="102" customWidth="1"/>
    <col min="40" max="40" width="16.42578125" style="102" customWidth="1"/>
    <col min="41" max="41" width="18" style="102" customWidth="1"/>
    <col min="42" max="42" width="10.42578125" style="103" customWidth="1"/>
    <col min="43" max="43" width="11.7109375" style="102" customWidth="1"/>
    <col min="44" max="44" width="16.42578125" style="102" customWidth="1"/>
    <col min="45" max="45" width="18" style="102" customWidth="1"/>
    <col min="46" max="46" width="10.42578125" style="103" customWidth="1"/>
    <col min="47" max="47" width="11.7109375" style="102" customWidth="1"/>
    <col min="48" max="48" width="19.42578125" style="102" bestFit="1" customWidth="1"/>
    <col min="49" max="49" width="18" style="102" customWidth="1"/>
    <col min="50" max="50" width="10.42578125" style="103" customWidth="1"/>
    <col min="51" max="51" width="11.7109375" style="102" customWidth="1"/>
    <col min="52" max="52" width="19.42578125" style="102" bestFit="1" customWidth="1"/>
    <col min="53" max="53" width="18" style="102" customWidth="1"/>
    <col min="54" max="54" width="10.42578125" style="103" customWidth="1"/>
    <col min="55" max="55" width="11.7109375" style="102" customWidth="1"/>
    <col min="56" max="56" width="19.42578125" style="102" bestFit="1" customWidth="1"/>
    <col min="57" max="57" width="18" style="102" customWidth="1"/>
    <col min="58" max="58" width="10.42578125" style="103" customWidth="1"/>
    <col min="59" max="59" width="11.7109375" style="102" customWidth="1"/>
    <col min="60" max="60" width="19.42578125" style="102" bestFit="1" customWidth="1"/>
    <col min="61" max="61" width="18" style="102" customWidth="1"/>
    <col min="62" max="62" width="10.42578125" style="103" customWidth="1"/>
    <col min="63" max="63" width="11.7109375" style="102" customWidth="1"/>
    <col min="64" max="64" width="24.140625" style="102" customWidth="1"/>
    <col min="65" max="65" width="19.85546875" style="102" bestFit="1" customWidth="1"/>
    <col min="66" max="66" width="15" style="103" customWidth="1"/>
    <col min="67" max="16384" width="10.85546875" style="102"/>
  </cols>
  <sheetData>
    <row r="1" spans="1:66" ht="18.75" thickBot="1" x14ac:dyDescent="0.3">
      <c r="A1" s="190"/>
      <c r="B1" s="102"/>
      <c r="C1" s="127"/>
      <c r="D1" s="127"/>
      <c r="E1" s="127"/>
      <c r="F1" s="127"/>
      <c r="G1" s="127"/>
      <c r="H1" s="127"/>
      <c r="I1" s="127"/>
      <c r="J1" s="191"/>
      <c r="K1" s="127"/>
      <c r="L1" s="127"/>
      <c r="M1" s="127"/>
      <c r="N1" s="190"/>
      <c r="O1" s="103"/>
      <c r="P1" s="103"/>
      <c r="Q1" s="103"/>
      <c r="S1" s="103"/>
      <c r="T1" s="103"/>
      <c r="U1" s="103"/>
      <c r="W1" s="103"/>
      <c r="X1" s="103"/>
      <c r="Y1" s="103"/>
      <c r="AA1" s="103"/>
      <c r="AB1" s="103"/>
      <c r="AC1" s="103"/>
      <c r="AE1" s="103"/>
      <c r="AF1" s="103"/>
      <c r="AG1" s="103"/>
      <c r="AI1" s="103"/>
      <c r="AJ1" s="103"/>
      <c r="AK1" s="103"/>
      <c r="AM1" s="103"/>
      <c r="AN1" s="103"/>
      <c r="AO1" s="103"/>
      <c r="AQ1" s="103"/>
      <c r="AR1" s="103"/>
      <c r="AS1" s="103"/>
      <c r="AU1" s="103"/>
      <c r="AV1" s="103"/>
      <c r="AW1" s="103"/>
      <c r="AY1" s="103"/>
      <c r="AZ1" s="103"/>
      <c r="BA1" s="103"/>
      <c r="BC1" s="103"/>
      <c r="BD1" s="103"/>
      <c r="BE1" s="103"/>
      <c r="BG1" s="103"/>
      <c r="BH1" s="103"/>
      <c r="BI1" s="103"/>
      <c r="BK1" s="103"/>
      <c r="BL1" s="103"/>
    </row>
    <row r="2" spans="1:66" ht="33.75" customHeight="1" thickBot="1" x14ac:dyDescent="0.3">
      <c r="B2" s="511"/>
      <c r="C2" s="512"/>
      <c r="D2" s="513"/>
      <c r="E2" s="517" t="s">
        <v>49</v>
      </c>
      <c r="F2" s="518"/>
      <c r="G2" s="518"/>
      <c r="H2" s="518"/>
      <c r="I2" s="518"/>
      <c r="J2" s="518"/>
      <c r="K2" s="518"/>
      <c r="L2" s="519"/>
      <c r="M2" s="531" t="s">
        <v>1</v>
      </c>
      <c r="N2" s="532"/>
      <c r="O2" s="533"/>
    </row>
    <row r="3" spans="1:66" ht="54" customHeight="1" thickBot="1" x14ac:dyDescent="0.3">
      <c r="B3" s="514"/>
      <c r="C3" s="515"/>
      <c r="D3" s="516"/>
      <c r="E3" s="520"/>
      <c r="F3" s="521"/>
      <c r="G3" s="521"/>
      <c r="H3" s="521"/>
      <c r="I3" s="521"/>
      <c r="J3" s="521"/>
      <c r="K3" s="521"/>
      <c r="L3" s="522"/>
      <c r="M3" s="531" t="s">
        <v>2</v>
      </c>
      <c r="N3" s="532"/>
      <c r="O3" s="533"/>
    </row>
    <row r="4" spans="1:66" ht="15.75" x14ac:dyDescent="0.25">
      <c r="B4" s="534"/>
      <c r="C4" s="534"/>
      <c r="D4" s="534"/>
      <c r="E4" s="534"/>
      <c r="F4" s="534"/>
      <c r="G4" s="534"/>
      <c r="H4" s="534"/>
      <c r="I4" s="534"/>
      <c r="J4" s="534"/>
      <c r="K4" s="534"/>
      <c r="L4" s="534"/>
      <c r="M4" s="534"/>
      <c r="N4" s="534"/>
      <c r="O4" s="534"/>
      <c r="P4" s="189"/>
    </row>
    <row r="6" spans="1:66" ht="18" customHeight="1" x14ac:dyDescent="0.25">
      <c r="B6" s="535" t="s">
        <v>109</v>
      </c>
      <c r="C6" s="535"/>
      <c r="D6" s="535"/>
      <c r="E6" s="536" t="s">
        <v>50</v>
      </c>
      <c r="F6" s="536"/>
      <c r="G6" s="537">
        <v>1299981930</v>
      </c>
      <c r="H6" s="537"/>
      <c r="I6" s="107"/>
    </row>
    <row r="7" spans="1:66" ht="18" customHeight="1" x14ac:dyDescent="0.25">
      <c r="B7" s="188" t="s">
        <v>51</v>
      </c>
      <c r="C7" s="523" t="str">
        <f>'POI Fisico'!D7</f>
        <v>Formulación de los Planes de Ordenamiento del Recurso Hídrico en cuerpos de agua priorizados por la Corporación</v>
      </c>
      <c r="D7" s="523"/>
      <c r="E7" s="523"/>
      <c r="F7" s="523"/>
      <c r="G7" s="523"/>
      <c r="H7" s="523"/>
      <c r="P7" s="187"/>
    </row>
    <row r="8" spans="1:66" ht="18" customHeight="1" x14ac:dyDescent="0.25">
      <c r="B8" s="186" t="s">
        <v>4</v>
      </c>
      <c r="C8" s="526">
        <v>44091</v>
      </c>
      <c r="D8" s="527"/>
      <c r="E8" s="527"/>
      <c r="F8" s="527"/>
      <c r="G8" s="527"/>
      <c r="H8" s="528"/>
    </row>
    <row r="9" spans="1:66" ht="18" customHeight="1" x14ac:dyDescent="0.25">
      <c r="B9" s="186" t="s">
        <v>5</v>
      </c>
      <c r="C9" s="542" t="s">
        <v>127</v>
      </c>
      <c r="D9" s="543"/>
      <c r="E9" s="543"/>
      <c r="F9" s="543"/>
      <c r="G9" s="543"/>
      <c r="H9" s="544"/>
    </row>
    <row r="10" spans="1:66" ht="18" customHeight="1" x14ac:dyDescent="0.25">
      <c r="B10" s="186" t="s">
        <v>6</v>
      </c>
      <c r="C10" s="526"/>
      <c r="D10" s="527"/>
      <c r="E10" s="527"/>
      <c r="F10" s="527"/>
      <c r="G10" s="527"/>
      <c r="H10" s="528"/>
    </row>
    <row r="11" spans="1:66" ht="18" customHeight="1" x14ac:dyDescent="0.25">
      <c r="B11" s="186" t="s">
        <v>7</v>
      </c>
      <c r="C11" s="545" t="e">
        <f>+(C10-C8)/(C9-C8)</f>
        <v>#VALUE!</v>
      </c>
      <c r="D11" s="546"/>
      <c r="E11" s="546"/>
      <c r="F11" s="546"/>
      <c r="G11" s="546"/>
      <c r="H11" s="547"/>
    </row>
    <row r="15" spans="1:66" ht="13.5" thickBot="1" x14ac:dyDescent="0.3"/>
    <row r="16" spans="1:66" s="178" customFormat="1" ht="24.95" customHeight="1" thickBot="1" x14ac:dyDescent="0.3">
      <c r="A16" s="529" t="s">
        <v>52</v>
      </c>
      <c r="B16" s="538" t="s">
        <v>10</v>
      </c>
      <c r="C16" s="538"/>
      <c r="D16" s="540" t="s">
        <v>53</v>
      </c>
      <c r="E16" s="538" t="s">
        <v>54</v>
      </c>
      <c r="F16" s="538" t="s">
        <v>55</v>
      </c>
      <c r="G16" s="524" t="s">
        <v>56</v>
      </c>
      <c r="H16" s="502" t="s">
        <v>113</v>
      </c>
      <c r="I16" s="503"/>
      <c r="J16" s="503"/>
      <c r="K16" s="504"/>
      <c r="L16" s="502" t="s">
        <v>114</v>
      </c>
      <c r="M16" s="503"/>
      <c r="N16" s="503"/>
      <c r="O16" s="504"/>
      <c r="P16" s="502" t="s">
        <v>115</v>
      </c>
      <c r="Q16" s="503"/>
      <c r="R16" s="503"/>
      <c r="S16" s="504"/>
      <c r="T16" s="502" t="s">
        <v>116</v>
      </c>
      <c r="U16" s="503"/>
      <c r="V16" s="503"/>
      <c r="W16" s="504"/>
      <c r="X16" s="502" t="s">
        <v>117</v>
      </c>
      <c r="Y16" s="503"/>
      <c r="Z16" s="503"/>
      <c r="AA16" s="504"/>
      <c r="AB16" s="502" t="s">
        <v>118</v>
      </c>
      <c r="AC16" s="503"/>
      <c r="AD16" s="503"/>
      <c r="AE16" s="504"/>
      <c r="AF16" s="502" t="s">
        <v>119</v>
      </c>
      <c r="AG16" s="503"/>
      <c r="AH16" s="503"/>
      <c r="AI16" s="504"/>
      <c r="AJ16" s="502" t="s">
        <v>120</v>
      </c>
      <c r="AK16" s="503"/>
      <c r="AL16" s="503"/>
      <c r="AM16" s="504"/>
      <c r="AN16" s="502" t="s">
        <v>121</v>
      </c>
      <c r="AO16" s="503"/>
      <c r="AP16" s="503"/>
      <c r="AQ16" s="504"/>
      <c r="AR16" s="502" t="s">
        <v>122</v>
      </c>
      <c r="AS16" s="503"/>
      <c r="AT16" s="503"/>
      <c r="AU16" s="504"/>
      <c r="AV16" s="502" t="s">
        <v>123</v>
      </c>
      <c r="AW16" s="503"/>
      <c r="AX16" s="503"/>
      <c r="AY16" s="504"/>
      <c r="AZ16" s="502" t="s">
        <v>124</v>
      </c>
      <c r="BA16" s="503"/>
      <c r="BB16" s="503"/>
      <c r="BC16" s="504"/>
      <c r="BD16" s="502" t="s">
        <v>125</v>
      </c>
      <c r="BE16" s="503"/>
      <c r="BF16" s="503"/>
      <c r="BG16" s="504"/>
      <c r="BH16" s="502" t="s">
        <v>126</v>
      </c>
      <c r="BI16" s="503"/>
      <c r="BJ16" s="503"/>
      <c r="BK16" s="504"/>
      <c r="BL16" s="552" t="s">
        <v>12</v>
      </c>
      <c r="BM16" s="503"/>
      <c r="BN16" s="504"/>
    </row>
    <row r="17" spans="1:66" s="178" customFormat="1" ht="24.95" customHeight="1" thickBot="1" x14ac:dyDescent="0.3">
      <c r="A17" s="530"/>
      <c r="B17" s="539"/>
      <c r="C17" s="539"/>
      <c r="D17" s="541"/>
      <c r="E17" s="539"/>
      <c r="F17" s="539"/>
      <c r="G17" s="525"/>
      <c r="H17" s="185" t="s">
        <v>19</v>
      </c>
      <c r="I17" s="184" t="s">
        <v>57</v>
      </c>
      <c r="J17" s="184" t="s">
        <v>58</v>
      </c>
      <c r="K17" s="183" t="s">
        <v>59</v>
      </c>
      <c r="L17" s="181" t="s">
        <v>19</v>
      </c>
      <c r="M17" s="180" t="s">
        <v>57</v>
      </c>
      <c r="N17" s="180" t="s">
        <v>58</v>
      </c>
      <c r="O17" s="179" t="s">
        <v>59</v>
      </c>
      <c r="P17" s="182" t="s">
        <v>19</v>
      </c>
      <c r="Q17" s="184" t="s">
        <v>57</v>
      </c>
      <c r="R17" s="184" t="s">
        <v>58</v>
      </c>
      <c r="S17" s="183" t="s">
        <v>59</v>
      </c>
      <c r="T17" s="182" t="s">
        <v>19</v>
      </c>
      <c r="U17" s="180" t="s">
        <v>57</v>
      </c>
      <c r="V17" s="180" t="s">
        <v>58</v>
      </c>
      <c r="W17" s="179" t="s">
        <v>59</v>
      </c>
      <c r="X17" s="182" t="s">
        <v>19</v>
      </c>
      <c r="Y17" s="180" t="s">
        <v>57</v>
      </c>
      <c r="Z17" s="180" t="s">
        <v>58</v>
      </c>
      <c r="AA17" s="179" t="s">
        <v>59</v>
      </c>
      <c r="AB17" s="182" t="s">
        <v>19</v>
      </c>
      <c r="AC17" s="180" t="s">
        <v>57</v>
      </c>
      <c r="AD17" s="180" t="s">
        <v>58</v>
      </c>
      <c r="AE17" s="179" t="s">
        <v>59</v>
      </c>
      <c r="AF17" s="182" t="s">
        <v>19</v>
      </c>
      <c r="AG17" s="180" t="s">
        <v>57</v>
      </c>
      <c r="AH17" s="180" t="s">
        <v>58</v>
      </c>
      <c r="AI17" s="179" t="s">
        <v>59</v>
      </c>
      <c r="AJ17" s="182" t="s">
        <v>19</v>
      </c>
      <c r="AK17" s="180" t="s">
        <v>57</v>
      </c>
      <c r="AL17" s="180" t="s">
        <v>58</v>
      </c>
      <c r="AM17" s="179" t="s">
        <v>59</v>
      </c>
      <c r="AN17" s="182" t="s">
        <v>19</v>
      </c>
      <c r="AO17" s="180" t="s">
        <v>57</v>
      </c>
      <c r="AP17" s="180" t="s">
        <v>58</v>
      </c>
      <c r="AQ17" s="179" t="s">
        <v>59</v>
      </c>
      <c r="AR17" s="182" t="s">
        <v>19</v>
      </c>
      <c r="AS17" s="180" t="s">
        <v>57</v>
      </c>
      <c r="AT17" s="180" t="s">
        <v>58</v>
      </c>
      <c r="AU17" s="179" t="s">
        <v>59</v>
      </c>
      <c r="AV17" s="182" t="s">
        <v>19</v>
      </c>
      <c r="AW17" s="180" t="s">
        <v>57</v>
      </c>
      <c r="AX17" s="180" t="s">
        <v>58</v>
      </c>
      <c r="AY17" s="179" t="s">
        <v>59</v>
      </c>
      <c r="AZ17" s="182" t="s">
        <v>19</v>
      </c>
      <c r="BA17" s="180" t="s">
        <v>57</v>
      </c>
      <c r="BB17" s="180" t="s">
        <v>58</v>
      </c>
      <c r="BC17" s="179" t="s">
        <v>59</v>
      </c>
      <c r="BD17" s="182" t="s">
        <v>19</v>
      </c>
      <c r="BE17" s="180" t="s">
        <v>57</v>
      </c>
      <c r="BF17" s="180" t="s">
        <v>58</v>
      </c>
      <c r="BG17" s="179" t="s">
        <v>59</v>
      </c>
      <c r="BH17" s="182" t="s">
        <v>19</v>
      </c>
      <c r="BI17" s="180" t="s">
        <v>57</v>
      </c>
      <c r="BJ17" s="180" t="s">
        <v>58</v>
      </c>
      <c r="BK17" s="179" t="s">
        <v>59</v>
      </c>
      <c r="BL17" s="181" t="s">
        <v>19</v>
      </c>
      <c r="BM17" s="180" t="s">
        <v>20</v>
      </c>
      <c r="BN17" s="179" t="s">
        <v>21</v>
      </c>
    </row>
    <row r="18" spans="1:66" s="143" customFormat="1" ht="24.95" customHeight="1" x14ac:dyDescent="0.25">
      <c r="A18" s="159">
        <v>1</v>
      </c>
      <c r="B18" s="158" t="s">
        <v>30</v>
      </c>
      <c r="C18" s="158" t="s">
        <v>36</v>
      </c>
      <c r="D18" s="165"/>
      <c r="E18" s="165"/>
      <c r="F18" s="165"/>
      <c r="G18" s="164"/>
      <c r="H18" s="556"/>
      <c r="I18" s="557"/>
      <c r="J18" s="557"/>
      <c r="K18" s="558"/>
      <c r="L18" s="505"/>
      <c r="M18" s="506"/>
      <c r="N18" s="506"/>
      <c r="O18" s="507"/>
      <c r="P18" s="505"/>
      <c r="Q18" s="506"/>
      <c r="R18" s="506"/>
      <c r="S18" s="507"/>
      <c r="T18" s="505"/>
      <c r="U18" s="506"/>
      <c r="V18" s="506"/>
      <c r="W18" s="507"/>
      <c r="X18" s="505"/>
      <c r="Y18" s="506"/>
      <c r="Z18" s="506"/>
      <c r="AA18" s="507"/>
      <c r="AB18" s="505"/>
      <c r="AC18" s="506"/>
      <c r="AD18" s="506"/>
      <c r="AE18" s="507"/>
      <c r="AF18" s="505"/>
      <c r="AG18" s="506"/>
      <c r="AH18" s="506"/>
      <c r="AI18" s="507"/>
      <c r="AJ18" s="505"/>
      <c r="AK18" s="506"/>
      <c r="AL18" s="506"/>
      <c r="AM18" s="507"/>
      <c r="AN18" s="505"/>
      <c r="AO18" s="506"/>
      <c r="AP18" s="506"/>
      <c r="AQ18" s="507"/>
      <c r="AR18" s="505"/>
      <c r="AS18" s="506"/>
      <c r="AT18" s="506"/>
      <c r="AU18" s="507"/>
      <c r="AV18" s="505"/>
      <c r="AW18" s="506"/>
      <c r="AX18" s="506"/>
      <c r="AY18" s="507"/>
      <c r="AZ18" s="505"/>
      <c r="BA18" s="506"/>
      <c r="BB18" s="506"/>
      <c r="BC18" s="507"/>
      <c r="BD18" s="505"/>
      <c r="BE18" s="506"/>
      <c r="BF18" s="506"/>
      <c r="BG18" s="507"/>
      <c r="BH18" s="505"/>
      <c r="BI18" s="506"/>
      <c r="BJ18" s="506"/>
      <c r="BK18" s="507"/>
      <c r="BL18" s="505"/>
      <c r="BM18" s="506"/>
      <c r="BN18" s="507"/>
    </row>
    <row r="19" spans="1:66" s="143" customFormat="1" ht="39" customHeight="1" x14ac:dyDescent="0.25">
      <c r="A19" s="154" t="s">
        <v>22</v>
      </c>
      <c r="B19" s="152" t="str">
        <f>'POI Fisico'!C18</f>
        <v>Actividad 1.1</v>
      </c>
      <c r="C19" s="152" t="str">
        <f>'POI Fisico'!D18</f>
        <v>Realizar la Declaratoria en ordenamient de las corrientes R. Dolores, R. Yarumalito, Q. La Noque, Q. Sbaleta Trinidad y Q. La vívora</v>
      </c>
      <c r="D19" s="151" t="str">
        <f>'POI Fisico'!F18</f>
        <v>Doumentos acto administrativo</v>
      </c>
      <c r="E19" s="151">
        <f>'POI Fisico'!E18</f>
        <v>5</v>
      </c>
      <c r="F19" s="150">
        <f>IFERROR(G19/E19,0)</f>
        <v>7000625.5087069469</v>
      </c>
      <c r="G19" s="149">
        <f>'Calculo de valores unitarios'!N4</f>
        <v>35003127.543534733</v>
      </c>
      <c r="H19" s="148">
        <f>$F19*'POI Fisico'!H18</f>
        <v>35003127.543534733</v>
      </c>
      <c r="I19" s="148">
        <f>$F19*'POI Fisico'!I18</f>
        <v>0</v>
      </c>
      <c r="J19" s="147">
        <f>IF(OR(H19="",H19=0),0,I19/H19)</f>
        <v>0</v>
      </c>
      <c r="K19" s="146"/>
      <c r="L19" s="148">
        <f>$F19*'POI Fisico'!M18</f>
        <v>0</v>
      </c>
      <c r="M19" s="148">
        <f>$F19*'POI Fisico'!N18</f>
        <v>0</v>
      </c>
      <c r="N19" s="147">
        <f>IF(OR(L19="",L19=0),0,M19/L19)</f>
        <v>0</v>
      </c>
      <c r="O19" s="146"/>
      <c r="P19" s="148">
        <f>$F19*'POI Fisico'!R18</f>
        <v>0</v>
      </c>
      <c r="Q19" s="148">
        <f>$F19*'POI Fisico'!S18</f>
        <v>0</v>
      </c>
      <c r="R19" s="147">
        <f>IF(OR(P19="",P19=0),0,Q19/P19)</f>
        <v>0</v>
      </c>
      <c r="S19" s="146"/>
      <c r="T19" s="148">
        <f>$F19*'POI Fisico'!W18</f>
        <v>0</v>
      </c>
      <c r="U19" s="148">
        <f>$F19*'POI Fisico'!X18</f>
        <v>0</v>
      </c>
      <c r="V19" s="147">
        <f>IF(OR(T19="",T19=0),0,U19/T19)</f>
        <v>0</v>
      </c>
      <c r="W19" s="146"/>
      <c r="X19" s="148">
        <f>$F19*'POI Fisico'!AB18</f>
        <v>0</v>
      </c>
      <c r="Y19" s="148">
        <f>$F19*'POI Fisico'!AC18</f>
        <v>0</v>
      </c>
      <c r="Z19" s="147">
        <f>IF(OR(X19="",X19=0),0,Y19/X19)</f>
        <v>0</v>
      </c>
      <c r="AA19" s="146"/>
      <c r="AB19" s="148">
        <f>$F19*'POI Fisico'!AG18</f>
        <v>0</v>
      </c>
      <c r="AC19" s="148">
        <f>$F19*'POI Fisico'!AH18</f>
        <v>0</v>
      </c>
      <c r="AD19" s="147">
        <f>IF(OR(AB19="",AB19=0),0,AC19/AB19)</f>
        <v>0</v>
      </c>
      <c r="AE19" s="146"/>
      <c r="AF19" s="148">
        <f>$F19*'POI Fisico'!AL18</f>
        <v>0</v>
      </c>
      <c r="AG19" s="148">
        <f>$F19*'POI Fisico'!AM18</f>
        <v>0</v>
      </c>
      <c r="AH19" s="147">
        <f>IF(OR(AF19="",AF19=0),0,AG19/AF19)</f>
        <v>0</v>
      </c>
      <c r="AI19" s="146"/>
      <c r="AJ19" s="148">
        <f>$F19*'POI Fisico'!AQ18</f>
        <v>0</v>
      </c>
      <c r="AK19" s="148">
        <f>$F19*'POI Fisico'!AR18</f>
        <v>0</v>
      </c>
      <c r="AL19" s="147">
        <f>IF(OR(AJ19="",AJ19=0),0,AK19/AJ19)</f>
        <v>0</v>
      </c>
      <c r="AM19" s="146"/>
      <c r="AN19" s="148">
        <f>$F19*'POI Fisico'!AV18</f>
        <v>0</v>
      </c>
      <c r="AO19" s="148">
        <f>$F19*'POI Fisico'!AW18</f>
        <v>0</v>
      </c>
      <c r="AP19" s="147">
        <f>IF(OR(AN19="",AN19=0),0,AO19/AN19)</f>
        <v>0</v>
      </c>
      <c r="AQ19" s="146"/>
      <c r="AR19" s="148">
        <f>$F19*'POI Fisico'!BA18</f>
        <v>0</v>
      </c>
      <c r="AS19" s="148">
        <f>$F19*'POI Fisico'!BB18</f>
        <v>0</v>
      </c>
      <c r="AT19" s="147">
        <f>IF(OR(AR19="",AR19=0),0,AS19/AR19)</f>
        <v>0</v>
      </c>
      <c r="AU19" s="146"/>
      <c r="AV19" s="148">
        <f>$F19*'POI Fisico'!BF18</f>
        <v>0</v>
      </c>
      <c r="AW19" s="148">
        <f>$F19*'POI Fisico'!BG18</f>
        <v>0</v>
      </c>
      <c r="AX19" s="147">
        <f>IF(OR(AV19="",AV19=0),0,AW19/AV19)</f>
        <v>0</v>
      </c>
      <c r="AY19" s="146"/>
      <c r="AZ19" s="148">
        <f>$F19*'POI Fisico'!BK18</f>
        <v>0</v>
      </c>
      <c r="BA19" s="148">
        <f>$F19*'POI Fisico'!BL18</f>
        <v>0</v>
      </c>
      <c r="BB19" s="147">
        <f>IF(OR(AZ19="",AZ19=0),0,BA19/AZ19)</f>
        <v>0</v>
      </c>
      <c r="BC19" s="146"/>
      <c r="BD19" s="148">
        <f>$F19*'POI Fisico'!BP18</f>
        <v>0</v>
      </c>
      <c r="BE19" s="148">
        <f>$F19*'POI Fisico'!BQ18</f>
        <v>0</v>
      </c>
      <c r="BF19" s="147">
        <f>IF(OR(BD19="",BD19=0),0,BE19/BD19)</f>
        <v>0</v>
      </c>
      <c r="BG19" s="146"/>
      <c r="BH19" s="148">
        <f>$F19*'POI Fisico'!BU18</f>
        <v>0</v>
      </c>
      <c r="BI19" s="148">
        <f>$F19*'POI Fisico'!BV18</f>
        <v>0</v>
      </c>
      <c r="BJ19" s="147">
        <f>IF(OR(BH19="",BH19=0),0,BI19/BH19)</f>
        <v>0</v>
      </c>
      <c r="BK19" s="146"/>
      <c r="BL19" s="145">
        <f t="shared" ref="BL19:BM21" si="0">H19+L19+P19+T19+X19+AB19+AF19+AJ19+AN19+AR19+AV19+AZ19+BD19+BH19</f>
        <v>35003127.543534733</v>
      </c>
      <c r="BM19" s="145">
        <f t="shared" si="0"/>
        <v>0</v>
      </c>
      <c r="BN19" s="144">
        <f>IF(OR(BL19="",BL19=0),0,BM19/BL19)</f>
        <v>0</v>
      </c>
    </row>
    <row r="20" spans="1:66" s="143" customFormat="1" ht="39" customHeight="1" x14ac:dyDescent="0.25">
      <c r="A20" s="154" t="s">
        <v>23</v>
      </c>
      <c r="B20" s="152" t="str">
        <f>'POI Fisico'!C19</f>
        <v>Actividad 1.2</v>
      </c>
      <c r="C20" s="152" t="str">
        <f>'POI Fisico'!D19</f>
        <v>Socialización del proyecto y diligenciamiento del RURH (Incluye 100 refrigerios,  gatos de viaje, transporte de tres personas)</v>
      </c>
      <c r="D20" s="151" t="str">
        <f>'POI Fisico'!F19</f>
        <v>Talleres</v>
      </c>
      <c r="E20" s="151">
        <f>'POI Fisico'!E19</f>
        <v>7</v>
      </c>
      <c r="F20" s="150">
        <f>IFERROR(G20/E20,0)</f>
        <v>3352603.3959667655</v>
      </c>
      <c r="G20" s="149">
        <f>'Calculo de valores unitarios'!N5</f>
        <v>23468223.771767359</v>
      </c>
      <c r="H20" s="148">
        <f>$F20*'POI Fisico'!H19</f>
        <v>0</v>
      </c>
      <c r="I20" s="148">
        <f>$F20*'POI Fisico'!I19</f>
        <v>0</v>
      </c>
      <c r="J20" s="147">
        <f>IF(OR(H20="",H20=0),0,I20/H20)</f>
        <v>0</v>
      </c>
      <c r="K20" s="146"/>
      <c r="L20" s="148">
        <f>$F20*'POI Fisico'!M19</f>
        <v>23468223.771767359</v>
      </c>
      <c r="M20" s="148">
        <f>$F20*'POI Fisico'!N19</f>
        <v>0</v>
      </c>
      <c r="N20" s="147">
        <f>IF(OR(L20="",L20=0),0,M20/L20)</f>
        <v>0</v>
      </c>
      <c r="O20" s="146"/>
      <c r="P20" s="148">
        <f>$F20*'POI Fisico'!R19</f>
        <v>0</v>
      </c>
      <c r="Q20" s="148">
        <f>$F20*'POI Fisico'!S19</f>
        <v>0</v>
      </c>
      <c r="R20" s="147">
        <f>IF(OR(P20="",P20=0),0,Q20/P20)</f>
        <v>0</v>
      </c>
      <c r="S20" s="146"/>
      <c r="T20" s="148">
        <f>$F20*'POI Fisico'!W19</f>
        <v>0</v>
      </c>
      <c r="U20" s="148">
        <f>$F20*'POI Fisico'!X19</f>
        <v>0</v>
      </c>
      <c r="V20" s="147">
        <f>IF(OR(T20="",T20=0),0,U20/T20)</f>
        <v>0</v>
      </c>
      <c r="W20" s="146"/>
      <c r="X20" s="148">
        <f>$F20*'POI Fisico'!AB19</f>
        <v>0</v>
      </c>
      <c r="Y20" s="148">
        <f>$F20*'POI Fisico'!AC19</f>
        <v>0</v>
      </c>
      <c r="Z20" s="147">
        <f>IF(OR(X20="",X20=0),0,Y20/X20)</f>
        <v>0</v>
      </c>
      <c r="AA20" s="146"/>
      <c r="AB20" s="148">
        <f>$F20*'POI Fisico'!AG19</f>
        <v>0</v>
      </c>
      <c r="AC20" s="148">
        <f>$F20*'POI Fisico'!AH19</f>
        <v>0</v>
      </c>
      <c r="AD20" s="147">
        <f>IF(OR(AB20="",AB20=0),0,AC20/AB20)</f>
        <v>0</v>
      </c>
      <c r="AE20" s="146"/>
      <c r="AF20" s="148">
        <f>$F20*'POI Fisico'!AL19</f>
        <v>0</v>
      </c>
      <c r="AG20" s="148">
        <f>$F20*'POI Fisico'!AM19</f>
        <v>0</v>
      </c>
      <c r="AH20" s="147">
        <f>IF(OR(AF20="",AF20=0),0,AG20/AF20)</f>
        <v>0</v>
      </c>
      <c r="AI20" s="146"/>
      <c r="AJ20" s="148">
        <f>$F20*'POI Fisico'!AQ19</f>
        <v>0</v>
      </c>
      <c r="AK20" s="148">
        <f>$F20*'POI Fisico'!AR19</f>
        <v>0</v>
      </c>
      <c r="AL20" s="147">
        <f>IF(OR(AJ20="",AJ20=0),0,AK20/AJ20)</f>
        <v>0</v>
      </c>
      <c r="AM20" s="146"/>
      <c r="AN20" s="148">
        <f>$F20*'POI Fisico'!AV19</f>
        <v>0</v>
      </c>
      <c r="AO20" s="148">
        <f>$F20*'POI Fisico'!AW19</f>
        <v>0</v>
      </c>
      <c r="AP20" s="147">
        <f>IF(OR(AN20="",AN20=0),0,AO20/AN20)</f>
        <v>0</v>
      </c>
      <c r="AQ20" s="146"/>
      <c r="AR20" s="148">
        <f>$F20*'POI Fisico'!BA19</f>
        <v>0</v>
      </c>
      <c r="AS20" s="148">
        <f>$F20*'POI Fisico'!BB19</f>
        <v>0</v>
      </c>
      <c r="AT20" s="147">
        <f>IF(OR(AR20="",AR20=0),0,AS20/AR20)</f>
        <v>0</v>
      </c>
      <c r="AU20" s="146"/>
      <c r="AV20" s="148">
        <f>$F20*'POI Fisico'!BF19</f>
        <v>0</v>
      </c>
      <c r="AW20" s="148">
        <f>$F20*'POI Fisico'!BG19</f>
        <v>0</v>
      </c>
      <c r="AX20" s="147">
        <f>IF(OR(AV20="",AV20=0),0,AW20/AV20)</f>
        <v>0</v>
      </c>
      <c r="AY20" s="146"/>
      <c r="AZ20" s="148">
        <f>$F20*'POI Fisico'!BK19</f>
        <v>0</v>
      </c>
      <c r="BA20" s="148">
        <f>$F20*'POI Fisico'!BL19</f>
        <v>0</v>
      </c>
      <c r="BB20" s="147">
        <f>IF(OR(AZ20="",AZ20=0),0,BA20/AZ20)</f>
        <v>0</v>
      </c>
      <c r="BC20" s="146"/>
      <c r="BD20" s="148">
        <f>$F20*'POI Fisico'!BP19</f>
        <v>0</v>
      </c>
      <c r="BE20" s="148">
        <f>$F20*'POI Fisico'!BQ19</f>
        <v>0</v>
      </c>
      <c r="BF20" s="147">
        <f>IF(OR(BD20="",BD20=0),0,BE20/BD20)</f>
        <v>0</v>
      </c>
      <c r="BG20" s="146"/>
      <c r="BH20" s="148">
        <f>$F20*'POI Fisico'!BU19</f>
        <v>0</v>
      </c>
      <c r="BI20" s="148">
        <f>$F20*'POI Fisico'!BV19</f>
        <v>0</v>
      </c>
      <c r="BJ20" s="147">
        <f>IF(OR(BH20="",BH20=0),0,BI20/BH20)</f>
        <v>0</v>
      </c>
      <c r="BK20" s="146"/>
      <c r="BL20" s="145">
        <f t="shared" si="0"/>
        <v>23468223.771767359</v>
      </c>
      <c r="BM20" s="145">
        <f t="shared" si="0"/>
        <v>0</v>
      </c>
      <c r="BN20" s="144">
        <f>IF(OR(BL20="",BL20=0),0,BM20/BL20)</f>
        <v>0</v>
      </c>
    </row>
    <row r="21" spans="1:66" s="143" customFormat="1" ht="39" customHeight="1" x14ac:dyDescent="0.25">
      <c r="A21" s="154" t="s">
        <v>25</v>
      </c>
      <c r="B21" s="152" t="str">
        <f>'POI Fisico'!C20</f>
        <v>Actividad 1.3</v>
      </c>
      <c r="C21" s="152" t="str">
        <f>'POI Fisico'!D20</f>
        <v>Primer acercamiento y diligenciamiento del RURH (incluye gastos de viaje, transporte urbano, transporte rural de dos personas del equipo).</v>
      </c>
      <c r="D21" s="151" t="str">
        <f>'POI Fisico'!F20</f>
        <v>Recorridos</v>
      </c>
      <c r="E21" s="151">
        <f>'POI Fisico'!E20</f>
        <v>100</v>
      </c>
      <c r="F21" s="150">
        <f>IFERROR(G21/E21,0)</f>
        <v>770829.51315302099</v>
      </c>
      <c r="G21" s="149">
        <f>'Calculo de valores unitarios'!N6</f>
        <v>77082951.315302104</v>
      </c>
      <c r="H21" s="148">
        <f>$F21*'POI Fisico'!H20</f>
        <v>15416590.263060421</v>
      </c>
      <c r="I21" s="148">
        <f>$F21*'POI Fisico'!I20</f>
        <v>0</v>
      </c>
      <c r="J21" s="147">
        <f>IF(OR(H21="",H21=0),0,I21/H21)</f>
        <v>0</v>
      </c>
      <c r="K21" s="177"/>
      <c r="L21" s="148">
        <f>$F21*'POI Fisico'!M20</f>
        <v>61666361.052241683</v>
      </c>
      <c r="M21" s="148">
        <f>$F21*'POI Fisico'!N20</f>
        <v>0</v>
      </c>
      <c r="N21" s="147"/>
      <c r="O21" s="177"/>
      <c r="P21" s="148">
        <f>$F21*'POI Fisico'!R20</f>
        <v>0</v>
      </c>
      <c r="Q21" s="148">
        <f>$F21*'POI Fisico'!S20</f>
        <v>0</v>
      </c>
      <c r="R21" s="147"/>
      <c r="S21" s="177"/>
      <c r="T21" s="148">
        <f>$F21*'POI Fisico'!W20</f>
        <v>0</v>
      </c>
      <c r="U21" s="148">
        <f>$F21*'POI Fisico'!X20</f>
        <v>0</v>
      </c>
      <c r="V21" s="147"/>
      <c r="W21" s="177"/>
      <c r="X21" s="148">
        <f>$F21*'POI Fisico'!AB20</f>
        <v>0</v>
      </c>
      <c r="Y21" s="148">
        <f>$F21*'POI Fisico'!AC20</f>
        <v>0</v>
      </c>
      <c r="Z21" s="147"/>
      <c r="AA21" s="177"/>
      <c r="AB21" s="148">
        <f>$F21*'POI Fisico'!AG20</f>
        <v>0</v>
      </c>
      <c r="AC21" s="148">
        <f>$F21*'POI Fisico'!AH20</f>
        <v>0</v>
      </c>
      <c r="AD21" s="147"/>
      <c r="AE21" s="177"/>
      <c r="AF21" s="148">
        <f>$F21*'POI Fisico'!AL20</f>
        <v>0</v>
      </c>
      <c r="AG21" s="148">
        <f>$F21*'POI Fisico'!AM20</f>
        <v>0</v>
      </c>
      <c r="AH21" s="147"/>
      <c r="AI21" s="177"/>
      <c r="AJ21" s="148">
        <f>$F21*'POI Fisico'!AQ20</f>
        <v>0</v>
      </c>
      <c r="AK21" s="148">
        <f>$F21*'POI Fisico'!AR20</f>
        <v>0</v>
      </c>
      <c r="AL21" s="147"/>
      <c r="AM21" s="177"/>
      <c r="AN21" s="148">
        <f>$F21*'POI Fisico'!AV20</f>
        <v>0</v>
      </c>
      <c r="AO21" s="148">
        <f>$F21*'POI Fisico'!AW20</f>
        <v>0</v>
      </c>
      <c r="AP21" s="147"/>
      <c r="AQ21" s="177"/>
      <c r="AR21" s="148">
        <f>$F21*'POI Fisico'!BA20</f>
        <v>0</v>
      </c>
      <c r="AS21" s="148">
        <f>$F21*'POI Fisico'!BB20</f>
        <v>0</v>
      </c>
      <c r="AT21" s="147"/>
      <c r="AU21" s="177"/>
      <c r="AV21" s="148">
        <f>$F21*'POI Fisico'!BF20</f>
        <v>0</v>
      </c>
      <c r="AW21" s="148">
        <f>$F21*'POI Fisico'!BG20</f>
        <v>0</v>
      </c>
      <c r="AX21" s="147"/>
      <c r="AY21" s="177"/>
      <c r="AZ21" s="148">
        <f>$F21*'POI Fisico'!BK20</f>
        <v>0</v>
      </c>
      <c r="BA21" s="148">
        <f>$F21*'POI Fisico'!BL20</f>
        <v>0</v>
      </c>
      <c r="BB21" s="147"/>
      <c r="BC21" s="177"/>
      <c r="BD21" s="148">
        <f>$F21*'POI Fisico'!BP20</f>
        <v>0</v>
      </c>
      <c r="BE21" s="148">
        <f>$F21*'POI Fisico'!BQ20</f>
        <v>0</v>
      </c>
      <c r="BF21" s="147"/>
      <c r="BG21" s="177"/>
      <c r="BH21" s="148">
        <f>$F21*'POI Fisico'!BU20</f>
        <v>0</v>
      </c>
      <c r="BI21" s="148">
        <f>$F21*'POI Fisico'!BV20</f>
        <v>0</v>
      </c>
      <c r="BJ21" s="147"/>
      <c r="BK21" s="177"/>
      <c r="BL21" s="145">
        <f t="shared" si="0"/>
        <v>77082951.315302104</v>
      </c>
      <c r="BM21" s="145">
        <f t="shared" si="0"/>
        <v>0</v>
      </c>
      <c r="BN21" s="144"/>
    </row>
    <row r="22" spans="1:66" s="135" customFormat="1" ht="24.95" customHeight="1" thickBot="1" x14ac:dyDescent="0.3">
      <c r="A22" s="163"/>
      <c r="B22" s="169" t="str">
        <f>'POI Fisico'!C17</f>
        <v>ALCANCE 1</v>
      </c>
      <c r="C22" s="168"/>
      <c r="D22" s="141"/>
      <c r="E22" s="140"/>
      <c r="F22" s="139"/>
      <c r="G22" s="76">
        <f>SUM(G19:G21)</f>
        <v>135554302.63060421</v>
      </c>
      <c r="H22" s="76">
        <f>SUM(H19:H21)</f>
        <v>50419717.806595154</v>
      </c>
      <c r="I22" s="76">
        <f>SUM(I19:I21)</f>
        <v>0</v>
      </c>
      <c r="J22" s="136">
        <f>IFERROR(IF(H22="",0,I22/H22),0)</f>
        <v>0</v>
      </c>
      <c r="K22" s="167"/>
      <c r="L22" s="76">
        <f>SUM(L19:L21)</f>
        <v>85134584.824009046</v>
      </c>
      <c r="M22" s="76">
        <f>SUM(M19:M20)</f>
        <v>0</v>
      </c>
      <c r="N22" s="136">
        <f>IFERROR(IF(L22="",0,M22/L22),0)</f>
        <v>0</v>
      </c>
      <c r="O22" s="167"/>
      <c r="P22" s="76">
        <f>SUM(P19:P20)</f>
        <v>0</v>
      </c>
      <c r="Q22" s="76">
        <f>SUM(Q19:Q20)</f>
        <v>0</v>
      </c>
      <c r="R22" s="136">
        <f>IFERROR(IF(P22="",0,Q22/P22),0)</f>
        <v>0</v>
      </c>
      <c r="S22" s="167"/>
      <c r="T22" s="76">
        <f>SUM(T19:T20)</f>
        <v>0</v>
      </c>
      <c r="U22" s="76">
        <f>SUM(U19:U20)</f>
        <v>0</v>
      </c>
      <c r="V22" s="136">
        <f>IFERROR(IF(T22="",0,U22/T22),0)</f>
        <v>0</v>
      </c>
      <c r="W22" s="167"/>
      <c r="X22" s="76">
        <f>SUM(X19:X20)</f>
        <v>0</v>
      </c>
      <c r="Y22" s="76">
        <f>SUM(Y19:Y20)</f>
        <v>0</v>
      </c>
      <c r="Z22" s="136">
        <f>IFERROR(IF(X22="",0,Y22/X22),0)</f>
        <v>0</v>
      </c>
      <c r="AA22" s="167"/>
      <c r="AB22" s="76">
        <f>SUM(AB19:AB20)</f>
        <v>0</v>
      </c>
      <c r="AC22" s="76">
        <f>SUM(AC19:AC20)</f>
        <v>0</v>
      </c>
      <c r="AD22" s="136">
        <f>IFERROR(IF(AB22="",0,AC22/AB22),0)</f>
        <v>0</v>
      </c>
      <c r="AE22" s="167"/>
      <c r="AF22" s="76">
        <f>SUM(AF19:AF20)</f>
        <v>0</v>
      </c>
      <c r="AG22" s="76">
        <f>SUM(AG19:AG20)</f>
        <v>0</v>
      </c>
      <c r="AH22" s="136">
        <f>IFERROR(IF(AF22="",0,AG22/AF22),0)</f>
        <v>0</v>
      </c>
      <c r="AI22" s="167"/>
      <c r="AJ22" s="76">
        <f>SUM(AJ19:AJ20)</f>
        <v>0</v>
      </c>
      <c r="AK22" s="76">
        <f>SUM(AK19:AK20)</f>
        <v>0</v>
      </c>
      <c r="AL22" s="136">
        <f>IFERROR(IF(AJ22="",0,AK22/AJ22),0)</f>
        <v>0</v>
      </c>
      <c r="AM22" s="167"/>
      <c r="AN22" s="76">
        <f>SUM(AN19:AN20)</f>
        <v>0</v>
      </c>
      <c r="AO22" s="76">
        <f>SUM(AO19:AO20)</f>
        <v>0</v>
      </c>
      <c r="AP22" s="136">
        <f>IFERROR(IF(AN22="",0,AO22/AN22),0)</f>
        <v>0</v>
      </c>
      <c r="AQ22" s="167"/>
      <c r="AR22" s="76">
        <f>SUM(AR19:AR20)</f>
        <v>0</v>
      </c>
      <c r="AS22" s="76">
        <f>SUM(AS19:AS20)</f>
        <v>0</v>
      </c>
      <c r="AT22" s="136">
        <f>IFERROR(IF(AR22="",0,AS22/AR22),0)</f>
        <v>0</v>
      </c>
      <c r="AU22" s="167"/>
      <c r="AV22" s="76">
        <f>SUM(AV19:AV20)</f>
        <v>0</v>
      </c>
      <c r="AW22" s="76">
        <f>SUM(AW19:AW20)</f>
        <v>0</v>
      </c>
      <c r="AX22" s="136">
        <f>IFERROR(IF(AV22="",0,AW22/AV22),0)</f>
        <v>0</v>
      </c>
      <c r="AY22" s="167"/>
      <c r="AZ22" s="76">
        <f>SUM(AZ19:AZ20)</f>
        <v>0</v>
      </c>
      <c r="BA22" s="76">
        <f>SUM(BA19:BA20)</f>
        <v>0</v>
      </c>
      <c r="BB22" s="136">
        <f>IFERROR(IF(AZ22="",0,BA22/AZ22),0)</f>
        <v>0</v>
      </c>
      <c r="BC22" s="167"/>
      <c r="BD22" s="76">
        <f>SUM(BD19:BD20)</f>
        <v>0</v>
      </c>
      <c r="BE22" s="76">
        <f>SUM(BE19:BE20)</f>
        <v>0</v>
      </c>
      <c r="BF22" s="136">
        <f>IFERROR(IF(BD22="",0,BE22/BD22),0)</f>
        <v>0</v>
      </c>
      <c r="BG22" s="167"/>
      <c r="BH22" s="76">
        <f>SUM(BH19:BH20)</f>
        <v>0</v>
      </c>
      <c r="BI22" s="76">
        <f>SUM(BI19:BI20)</f>
        <v>0</v>
      </c>
      <c r="BJ22" s="136">
        <f>IFERROR(IF(BH22="",0,BI22/BH22),0)</f>
        <v>0</v>
      </c>
      <c r="BK22" s="167"/>
      <c r="BL22" s="76">
        <f>SUM(BL19:BL21)</f>
        <v>135554302.63060421</v>
      </c>
      <c r="BM22" s="76">
        <f>SUM(BM19:BM20)</f>
        <v>0</v>
      </c>
      <c r="BN22" s="166">
        <f>IF(OR(BL22="",BL22=0),0,BM22/BL22)</f>
        <v>0</v>
      </c>
    </row>
    <row r="23" spans="1:66" s="143" customFormat="1" ht="36.75" customHeight="1" x14ac:dyDescent="0.25">
      <c r="A23" s="159">
        <v>2</v>
      </c>
      <c r="B23" s="158" t="s">
        <v>32</v>
      </c>
      <c r="C23" s="157" t="str">
        <f>'POI Fisico'!D22</f>
        <v>FASE DE DIAGNÓSTICO</v>
      </c>
      <c r="D23" s="165"/>
      <c r="E23" s="165"/>
      <c r="F23" s="165"/>
      <c r="G23" s="164"/>
      <c r="H23" s="556"/>
      <c r="I23" s="557"/>
      <c r="J23" s="557"/>
      <c r="K23" s="558"/>
      <c r="L23" s="505"/>
      <c r="M23" s="506"/>
      <c r="N23" s="506"/>
      <c r="O23" s="507"/>
      <c r="P23" s="505"/>
      <c r="Q23" s="506"/>
      <c r="R23" s="506"/>
      <c r="S23" s="507"/>
      <c r="T23" s="505"/>
      <c r="U23" s="506"/>
      <c r="V23" s="506"/>
      <c r="W23" s="507"/>
      <c r="X23" s="505"/>
      <c r="Y23" s="506"/>
      <c r="Z23" s="506"/>
      <c r="AA23" s="507"/>
      <c r="AB23" s="505"/>
      <c r="AC23" s="506"/>
      <c r="AD23" s="506"/>
      <c r="AE23" s="507"/>
      <c r="AF23" s="505"/>
      <c r="AG23" s="506"/>
      <c r="AH23" s="506"/>
      <c r="AI23" s="507"/>
      <c r="AJ23" s="505"/>
      <c r="AK23" s="506"/>
      <c r="AL23" s="506"/>
      <c r="AM23" s="507"/>
      <c r="AN23" s="505"/>
      <c r="AO23" s="506"/>
      <c r="AP23" s="506"/>
      <c r="AQ23" s="507"/>
      <c r="AR23" s="505"/>
      <c r="AS23" s="506"/>
      <c r="AT23" s="506"/>
      <c r="AU23" s="507"/>
      <c r="AV23" s="505"/>
      <c r="AW23" s="506"/>
      <c r="AX23" s="506"/>
      <c r="AY23" s="507"/>
      <c r="AZ23" s="505"/>
      <c r="BA23" s="506"/>
      <c r="BB23" s="506"/>
      <c r="BC23" s="507"/>
      <c r="BD23" s="505"/>
      <c r="BE23" s="506"/>
      <c r="BF23" s="506"/>
      <c r="BG23" s="507"/>
      <c r="BH23" s="505"/>
      <c r="BI23" s="506"/>
      <c r="BJ23" s="506"/>
      <c r="BK23" s="507"/>
      <c r="BL23" s="505"/>
      <c r="BM23" s="506"/>
      <c r="BN23" s="507"/>
    </row>
    <row r="24" spans="1:66" s="143" customFormat="1" ht="65.25" customHeight="1" x14ac:dyDescent="0.25">
      <c r="A24" s="500" t="s">
        <v>26</v>
      </c>
      <c r="B24" s="500" t="str">
        <f>'POI Fisico'!C23</f>
        <v>Actividad 2.1</v>
      </c>
      <c r="C24" s="152" t="str">
        <f>'POI Fisico'!D23</f>
        <v>Presentar documento de metodología del Diagnóstico</v>
      </c>
      <c r="D24" s="151" t="str">
        <f>'POI Fisico'!F23</f>
        <v>Documentos</v>
      </c>
      <c r="E24" s="151">
        <f>'POI Fisico'!E23</f>
        <v>5</v>
      </c>
      <c r="F24" s="150">
        <f>IFERROR(G24/E24,0)</f>
        <v>14089202.758507799</v>
      </c>
      <c r="G24" s="149">
        <f>'Calculo de valores unitarios'!N9</f>
        <v>70446013.792539001</v>
      </c>
      <c r="H24" s="148">
        <f>$F24*'POI Fisico'!H23</f>
        <v>70446013.792539001</v>
      </c>
      <c r="I24" s="148">
        <f>$F24*'POI Fisico'!I23</f>
        <v>0</v>
      </c>
      <c r="J24" s="147">
        <f>IF(OR(H24="",H24=0),0,I24/H24)</f>
        <v>0</v>
      </c>
      <c r="K24" s="146"/>
      <c r="L24" s="148">
        <f>$F24*'POI Fisico'!M23</f>
        <v>0</v>
      </c>
      <c r="M24" s="148">
        <f>$F24*'POI Fisico'!N23</f>
        <v>0</v>
      </c>
      <c r="N24" s="147">
        <f>IF(OR(L24="",L24=0),0,M24/L24)</f>
        <v>0</v>
      </c>
      <c r="O24" s="146"/>
      <c r="P24" s="148">
        <f>$F24*'POI Fisico'!R23</f>
        <v>0</v>
      </c>
      <c r="Q24" s="148">
        <f>$F24*'POI Fisico'!S23</f>
        <v>0</v>
      </c>
      <c r="R24" s="147">
        <f>IF(OR(P24="",P24=0),0,Q24/P24)</f>
        <v>0</v>
      </c>
      <c r="S24" s="146"/>
      <c r="T24" s="148">
        <f>$F24*'POI Fisico'!W23</f>
        <v>0</v>
      </c>
      <c r="U24" s="148">
        <f>$F24*'POI Fisico'!X23</f>
        <v>0</v>
      </c>
      <c r="V24" s="147">
        <f>IF(OR(T24="",T24=0),0,U24/T24)</f>
        <v>0</v>
      </c>
      <c r="W24" s="146"/>
      <c r="X24" s="148">
        <f>$F24*'POI Fisico'!AB23</f>
        <v>0</v>
      </c>
      <c r="Y24" s="148">
        <f>$F24*'POI Fisico'!AC23</f>
        <v>0</v>
      </c>
      <c r="Z24" s="147">
        <f>IF(OR(X24="",X24=0),0,Y24/X24)</f>
        <v>0</v>
      </c>
      <c r="AA24" s="146"/>
      <c r="AB24" s="148">
        <f>$F24*'POI Fisico'!AG23</f>
        <v>0</v>
      </c>
      <c r="AC24" s="148">
        <f>$F24*'POI Fisico'!AH23</f>
        <v>0</v>
      </c>
      <c r="AD24" s="147">
        <f>IF(OR(AB24="",AB24=0),0,AC24/AB24)</f>
        <v>0</v>
      </c>
      <c r="AE24" s="146"/>
      <c r="AF24" s="148">
        <f>$F24*'POI Fisico'!AL23</f>
        <v>0</v>
      </c>
      <c r="AG24" s="148">
        <f>$F24*'POI Fisico'!AM23</f>
        <v>0</v>
      </c>
      <c r="AH24" s="147">
        <f>IF(OR(AF24="",AF24=0),0,AG24/AF24)</f>
        <v>0</v>
      </c>
      <c r="AI24" s="146"/>
      <c r="AJ24" s="148">
        <f>$F24*'POI Fisico'!AQ23</f>
        <v>0</v>
      </c>
      <c r="AK24" s="148">
        <f>$F24*'POI Fisico'!AR23</f>
        <v>0</v>
      </c>
      <c r="AL24" s="147">
        <f>IF(OR(AJ24="",AJ24=0),0,AK24/AJ24)</f>
        <v>0</v>
      </c>
      <c r="AM24" s="146"/>
      <c r="AN24" s="148">
        <f>$F24*'POI Fisico'!AV23</f>
        <v>0</v>
      </c>
      <c r="AO24" s="148">
        <f>$F24*'POI Fisico'!AW23</f>
        <v>0</v>
      </c>
      <c r="AP24" s="147">
        <f>IF(OR(AN24="",AN24=0),0,AO24/AN24)</f>
        <v>0</v>
      </c>
      <c r="AQ24" s="146"/>
      <c r="AR24" s="148">
        <f>$F24*'POI Fisico'!BA23</f>
        <v>0</v>
      </c>
      <c r="AS24" s="148">
        <f>$F24*'POI Fisico'!BB23</f>
        <v>0</v>
      </c>
      <c r="AT24" s="147">
        <f>IF(OR(AR24="",AR24=0),0,AS24/AR24)</f>
        <v>0</v>
      </c>
      <c r="AU24" s="146"/>
      <c r="AV24" s="148">
        <f>$F24*'POI Fisico'!BF23</f>
        <v>0</v>
      </c>
      <c r="AW24" s="148">
        <f>$F24*'POI Fisico'!BG23</f>
        <v>0</v>
      </c>
      <c r="AX24" s="147">
        <f>IF(OR(AV24="",AV24=0),0,AW24/AV24)</f>
        <v>0</v>
      </c>
      <c r="AY24" s="146"/>
      <c r="AZ24" s="148">
        <f>$F24*'POI Fisico'!BK23</f>
        <v>0</v>
      </c>
      <c r="BA24" s="148">
        <f>$F24*'POI Fisico'!BL23</f>
        <v>0</v>
      </c>
      <c r="BB24" s="147">
        <f>IF(OR(AZ24="",AZ24=0),0,BA24/AZ24)</f>
        <v>0</v>
      </c>
      <c r="BC24" s="146"/>
      <c r="BD24" s="148">
        <f>$F24*'POI Fisico'!BP23</f>
        <v>0</v>
      </c>
      <c r="BE24" s="148">
        <f>$F24*'POI Fisico'!BQ23</f>
        <v>0</v>
      </c>
      <c r="BF24" s="147">
        <f>IF(OR(BD24="",BD24=0),0,BE24/BD24)</f>
        <v>0</v>
      </c>
      <c r="BG24" s="146"/>
      <c r="BH24" s="148">
        <f>$F24*'POI Fisico'!BU23</f>
        <v>0</v>
      </c>
      <c r="BI24" s="148">
        <f>$F24*'POI Fisico'!BV23</f>
        <v>0</v>
      </c>
      <c r="BJ24" s="147">
        <f>IF(OR(BH24="",BH24=0),0,BI24/BH24)</f>
        <v>0</v>
      </c>
      <c r="BK24" s="146"/>
      <c r="BL24" s="145">
        <f t="shared" ref="BL24:BM27" si="1">H24+L24+P24+T24+X24+AB24+AF24+AJ24+AN24+AR24+AV24+AZ24+BD24+BH24</f>
        <v>70446013.792539001</v>
      </c>
      <c r="BM24" s="145">
        <f t="shared" si="1"/>
        <v>0</v>
      </c>
      <c r="BN24" s="144">
        <f>IF(OR(BL24="",BL24=0),0,BM24/BL24)</f>
        <v>0</v>
      </c>
    </row>
    <row r="25" spans="1:66" s="143" customFormat="1" ht="65.25" customHeight="1" x14ac:dyDescent="0.25">
      <c r="A25" s="501"/>
      <c r="B25" s="501"/>
      <c r="C25" s="152" t="str">
        <f>'POI Fisico'!D24</f>
        <v>Realizar el Diagnóstico Participativo (1 taller por Cuerpo de agua por 3 profesionales incluye  gastos de viaje)</v>
      </c>
      <c r="D25" s="151" t="str">
        <f>'POI Fisico'!F24</f>
        <v>Viajes</v>
      </c>
      <c r="E25" s="151">
        <f>'POI Fisico'!E24</f>
        <v>15</v>
      </c>
      <c r="F25" s="150">
        <f>IFERROR(G25/E25,0)</f>
        <v>4918653.2179980231</v>
      </c>
      <c r="G25" s="149">
        <f>'Calculo de valores unitarios'!N10</f>
        <v>73779798.269970343</v>
      </c>
      <c r="H25" s="148">
        <f>$F25*'POI Fisico'!H24</f>
        <v>0</v>
      </c>
      <c r="I25" s="148">
        <f>$F25*'POI Fisico'!I24</f>
        <v>0</v>
      </c>
      <c r="J25" s="147">
        <f>IF(OR(H25="",H25=0),0,I25/H25)</f>
        <v>0</v>
      </c>
      <c r="K25" s="146"/>
      <c r="L25" s="148">
        <f>$F25*'POI Fisico'!M24</f>
        <v>0</v>
      </c>
      <c r="M25" s="148">
        <f>$F25*'POI Fisico'!N24</f>
        <v>0</v>
      </c>
      <c r="N25" s="147">
        <f>IF(OR(L25="",L25=0),0,M25/L25)</f>
        <v>0</v>
      </c>
      <c r="O25" s="146"/>
      <c r="P25" s="148">
        <f>$F25*'POI Fisico'!R24</f>
        <v>73779798.269970343</v>
      </c>
      <c r="Q25" s="148">
        <f>$F25*'POI Fisico'!S24</f>
        <v>0</v>
      </c>
      <c r="R25" s="147">
        <f>IF(OR(P25="",P25=0),0,Q25/P25)</f>
        <v>0</v>
      </c>
      <c r="S25" s="146"/>
      <c r="T25" s="148">
        <f>$F25*'POI Fisico'!W24</f>
        <v>0</v>
      </c>
      <c r="U25" s="148">
        <f>$F25*'POI Fisico'!X24</f>
        <v>0</v>
      </c>
      <c r="V25" s="147">
        <f>IF(OR(T25="",T25=0),0,U25/T25)</f>
        <v>0</v>
      </c>
      <c r="W25" s="146"/>
      <c r="X25" s="148">
        <f>$F25*'POI Fisico'!AB24</f>
        <v>0</v>
      </c>
      <c r="Y25" s="148">
        <f>$F25*'POI Fisico'!AC24</f>
        <v>0</v>
      </c>
      <c r="Z25" s="147">
        <f>IF(OR(X25="",X25=0),0,Y25/X25)</f>
        <v>0</v>
      </c>
      <c r="AA25" s="146"/>
      <c r="AB25" s="148">
        <f>$F25*'POI Fisico'!AG24</f>
        <v>0</v>
      </c>
      <c r="AC25" s="148">
        <f>$F25*'POI Fisico'!AH24</f>
        <v>0</v>
      </c>
      <c r="AD25" s="147">
        <f>IF(OR(AB25="",AB25=0),0,AC25/AB25)</f>
        <v>0</v>
      </c>
      <c r="AE25" s="146"/>
      <c r="AF25" s="148">
        <f>$F25*'POI Fisico'!AL24</f>
        <v>0</v>
      </c>
      <c r="AG25" s="148">
        <f>$F25*'POI Fisico'!AM24</f>
        <v>0</v>
      </c>
      <c r="AH25" s="147">
        <f>IF(OR(AF25="",AF25=0),0,AG25/AF25)</f>
        <v>0</v>
      </c>
      <c r="AI25" s="146"/>
      <c r="AJ25" s="148">
        <f>$F25*'POI Fisico'!AQ24</f>
        <v>0</v>
      </c>
      <c r="AK25" s="148">
        <f>$F25*'POI Fisico'!AR24</f>
        <v>0</v>
      </c>
      <c r="AL25" s="147">
        <f>IF(OR(AJ25="",AJ25=0),0,AK25/AJ25)</f>
        <v>0</v>
      </c>
      <c r="AM25" s="146"/>
      <c r="AN25" s="148">
        <f>$F25*'POI Fisico'!AV24</f>
        <v>0</v>
      </c>
      <c r="AO25" s="148">
        <f>$F25*'POI Fisico'!AW24</f>
        <v>0</v>
      </c>
      <c r="AP25" s="147">
        <f>IF(OR(AN25="",AN25=0),0,AO25/AN25)</f>
        <v>0</v>
      </c>
      <c r="AQ25" s="146"/>
      <c r="AR25" s="148">
        <f>$F25*'POI Fisico'!BA24</f>
        <v>0</v>
      </c>
      <c r="AS25" s="148">
        <f>$F25*'POI Fisico'!BB24</f>
        <v>0</v>
      </c>
      <c r="AT25" s="147">
        <f>IF(OR(AR25="",AR25=0),0,AS25/AR25)</f>
        <v>0</v>
      </c>
      <c r="AU25" s="146"/>
      <c r="AV25" s="148">
        <f>$F25*'POI Fisico'!BF24</f>
        <v>0</v>
      </c>
      <c r="AW25" s="148">
        <f>$F25*'POI Fisico'!BG24</f>
        <v>0</v>
      </c>
      <c r="AX25" s="147">
        <f>IF(OR(AV25="",AV25=0),0,AW25/AV25)</f>
        <v>0</v>
      </c>
      <c r="AY25" s="146"/>
      <c r="AZ25" s="148">
        <f>$F25*'POI Fisico'!BK24</f>
        <v>0</v>
      </c>
      <c r="BA25" s="148">
        <f>$F25*'POI Fisico'!BL24</f>
        <v>0</v>
      </c>
      <c r="BB25" s="147">
        <f>IF(OR(AZ25="",AZ25=0),0,BA25/AZ25)</f>
        <v>0</v>
      </c>
      <c r="BC25" s="146"/>
      <c r="BD25" s="148">
        <f>$F25*'POI Fisico'!BP24</f>
        <v>0</v>
      </c>
      <c r="BE25" s="148">
        <f>$F25*'POI Fisico'!BQ24</f>
        <v>0</v>
      </c>
      <c r="BF25" s="147">
        <f>IF(OR(BD25="",BD25=0),0,BE25/BD25)</f>
        <v>0</v>
      </c>
      <c r="BG25" s="146"/>
      <c r="BH25" s="148">
        <f>$F25*'POI Fisico'!BU24</f>
        <v>0</v>
      </c>
      <c r="BI25" s="148">
        <f>$F25*'POI Fisico'!BV24</f>
        <v>0</v>
      </c>
      <c r="BJ25" s="147">
        <f>IF(OR(BH25="",BH25=0),0,BI25/BH25)</f>
        <v>0</v>
      </c>
      <c r="BK25" s="146"/>
      <c r="BL25" s="145">
        <f t="shared" si="1"/>
        <v>73779798.269970343</v>
      </c>
      <c r="BM25" s="145">
        <f t="shared" si="1"/>
        <v>0</v>
      </c>
      <c r="BN25" s="144">
        <f>IF(OR(BL25="",BL25=0),0,BM25/BL25)</f>
        <v>0</v>
      </c>
    </row>
    <row r="26" spans="1:66" s="172" customFormat="1" ht="76.5" customHeight="1" x14ac:dyDescent="0.25">
      <c r="A26" s="500" t="s">
        <v>27</v>
      </c>
      <c r="B26" s="548" t="str">
        <f>'POI Fisico'!C25</f>
        <v>Actividad 2.2</v>
      </c>
      <c r="C26" s="152" t="str">
        <f>'POI Fisico'!D25</f>
        <v>Realizar recorridos de diagnostico, Visita a usuarios, estructuras y demás aspectos del diagnóstico por municipio  (10 días por cuerpo de agua por 3 profesionales) (Incluye Gastos de viaje , transporte rural y urbano)</v>
      </c>
      <c r="D26" s="171" t="str">
        <f>'POI Fisico'!F24</f>
        <v>Viajes</v>
      </c>
      <c r="E26" s="151">
        <f>'POI Fisico'!E25</f>
        <v>150</v>
      </c>
      <c r="F26" s="150">
        <f>IFERROR(G26/E26,0)</f>
        <v>716208.08846646885</v>
      </c>
      <c r="G26" s="149">
        <f>'Calculo de valores unitarios'!N11</f>
        <v>107431213.26997033</v>
      </c>
      <c r="H26" s="170">
        <f>$F26*'POI Fisico'!H24</f>
        <v>0</v>
      </c>
      <c r="I26" s="170">
        <f>$F26*'POI Fisico'!I24</f>
        <v>0</v>
      </c>
      <c r="J26" s="176">
        <f>IF(OR(H26="",H26=0),0,I26/H26)</f>
        <v>0</v>
      </c>
      <c r="K26" s="175"/>
      <c r="L26" s="148">
        <f>$F26*'POI Fisico'!M25</f>
        <v>0</v>
      </c>
      <c r="M26" s="170">
        <f>$F26*'POI Fisico'!N24</f>
        <v>0</v>
      </c>
      <c r="N26" s="176">
        <f>IF(OR(L26="",L26=0),0,M26/L26)</f>
        <v>0</v>
      </c>
      <c r="O26" s="175"/>
      <c r="P26" s="148">
        <f>$F26*'POI Fisico'!R25</f>
        <v>35810404.423323445</v>
      </c>
      <c r="Q26" s="170">
        <f>$F26*'POI Fisico'!S24</f>
        <v>0</v>
      </c>
      <c r="R26" s="176">
        <f>IF(OR(P26="",P26=0),0,Q26/P26)</f>
        <v>0</v>
      </c>
      <c r="S26" s="175"/>
      <c r="T26" s="148">
        <f>$F26*'POI Fisico'!W25</f>
        <v>71620808.84664689</v>
      </c>
      <c r="U26" s="170">
        <f>$F26*'POI Fisico'!X24</f>
        <v>0</v>
      </c>
      <c r="V26" s="176">
        <f>IF(OR(T26="",T26=0),0,U26/T26)</f>
        <v>0</v>
      </c>
      <c r="W26" s="175"/>
      <c r="X26" s="170">
        <f>$F26*'POI Fisico'!AB24</f>
        <v>0</v>
      </c>
      <c r="Y26" s="170">
        <f>$F26*'POI Fisico'!AC24</f>
        <v>0</v>
      </c>
      <c r="Z26" s="176">
        <f>IF(OR(X26="",X26=0),0,Y26/X26)</f>
        <v>0</v>
      </c>
      <c r="AA26" s="175"/>
      <c r="AB26" s="170">
        <f>$F26*'POI Fisico'!AG24</f>
        <v>0</v>
      </c>
      <c r="AC26" s="170">
        <f>$F26*'POI Fisico'!AH24</f>
        <v>0</v>
      </c>
      <c r="AD26" s="176">
        <f>IF(OR(AB26="",AB26=0),0,AC26/AB26)</f>
        <v>0</v>
      </c>
      <c r="AE26" s="175"/>
      <c r="AF26" s="170">
        <f>$F26*'POI Fisico'!AL24</f>
        <v>0</v>
      </c>
      <c r="AG26" s="170">
        <f>$F26*'POI Fisico'!AM24</f>
        <v>0</v>
      </c>
      <c r="AH26" s="176">
        <f>IF(OR(AF26="",AF26=0),0,AG26/AF26)</f>
        <v>0</v>
      </c>
      <c r="AI26" s="175"/>
      <c r="AJ26" s="170">
        <f>$F26*'POI Fisico'!AQ24</f>
        <v>0</v>
      </c>
      <c r="AK26" s="170">
        <f>$F26*'POI Fisico'!AR24</f>
        <v>0</v>
      </c>
      <c r="AL26" s="176">
        <f>IF(OR(AJ26="",AJ26=0),0,AK26/AJ26)</f>
        <v>0</v>
      </c>
      <c r="AM26" s="175"/>
      <c r="AN26" s="170">
        <f>$F26*'POI Fisico'!AV24</f>
        <v>0</v>
      </c>
      <c r="AO26" s="170">
        <f>$F26*'POI Fisico'!AW24</f>
        <v>0</v>
      </c>
      <c r="AP26" s="176">
        <f>IF(OR(AN26="",AN26=0),0,AO26/AN26)</f>
        <v>0</v>
      </c>
      <c r="AQ26" s="175"/>
      <c r="AR26" s="170">
        <f>$F26*'POI Fisico'!BA24</f>
        <v>0</v>
      </c>
      <c r="AS26" s="170">
        <f>$F26*'POI Fisico'!BB24</f>
        <v>0</v>
      </c>
      <c r="AT26" s="176">
        <f>IF(OR(AR26="",AR26=0),0,AS26/AR26)</f>
        <v>0</v>
      </c>
      <c r="AU26" s="175"/>
      <c r="AV26" s="170">
        <f>$F26*'POI Fisico'!BF24</f>
        <v>0</v>
      </c>
      <c r="AW26" s="170">
        <f>$F26*'POI Fisico'!BG24</f>
        <v>0</v>
      </c>
      <c r="AX26" s="176">
        <f>IF(OR(AV26="",AV26=0),0,AW26/AV26)</f>
        <v>0</v>
      </c>
      <c r="AY26" s="175"/>
      <c r="AZ26" s="170">
        <f>$F26*'POI Fisico'!BK24</f>
        <v>0</v>
      </c>
      <c r="BA26" s="170">
        <f>$F26*'POI Fisico'!BL24</f>
        <v>0</v>
      </c>
      <c r="BB26" s="176">
        <f>IF(OR(AZ26="",AZ26=0),0,BA26/AZ26)</f>
        <v>0</v>
      </c>
      <c r="BC26" s="175"/>
      <c r="BD26" s="170">
        <f>$F26*'POI Fisico'!BP24</f>
        <v>0</v>
      </c>
      <c r="BE26" s="170">
        <f>$F26*'POI Fisico'!BQ24</f>
        <v>0</v>
      </c>
      <c r="BF26" s="176">
        <f>IF(OR(BD26="",BD26=0),0,BE26/BD26)</f>
        <v>0</v>
      </c>
      <c r="BG26" s="175"/>
      <c r="BH26" s="170">
        <f>$F26*'POI Fisico'!BU24</f>
        <v>0</v>
      </c>
      <c r="BI26" s="170">
        <f>$F26*'POI Fisico'!BV24</f>
        <v>0</v>
      </c>
      <c r="BJ26" s="176">
        <f>IF(OR(BH26="",BH26=0),0,BI26/BH26)</f>
        <v>0</v>
      </c>
      <c r="BK26" s="175"/>
      <c r="BL26" s="145">
        <f t="shared" si="1"/>
        <v>107431213.26997033</v>
      </c>
      <c r="BM26" s="174">
        <f t="shared" si="1"/>
        <v>0</v>
      </c>
      <c r="BN26" s="173">
        <f>IF(OR(BL26="",BL26=0),0,BM26/BL26)</f>
        <v>0</v>
      </c>
    </row>
    <row r="27" spans="1:66" s="172" customFormat="1" ht="58.5" customHeight="1" x14ac:dyDescent="0.25">
      <c r="A27" s="501"/>
      <c r="B27" s="548"/>
      <c r="C27" s="152" t="str">
        <f>'POI Fisico'!D26</f>
        <v>Entrega documento Diagnostico</v>
      </c>
      <c r="D27" s="171" t="str">
        <f>'POI Fisico'!F25</f>
        <v>Recorridos</v>
      </c>
      <c r="E27" s="151">
        <f>'POI Fisico'!E26</f>
        <v>5</v>
      </c>
      <c r="F27" s="150">
        <f>IFERROR(G27/E27,0)</f>
        <v>13710425.653994069</v>
      </c>
      <c r="G27" s="149">
        <f>'Calculo de valores unitarios'!N12</f>
        <v>68552128.269970343</v>
      </c>
      <c r="H27" s="170">
        <f>$F27*'POI Fisico'!H25</f>
        <v>0</v>
      </c>
      <c r="I27" s="170">
        <f>$F27*'POI Fisico'!I25</f>
        <v>0</v>
      </c>
      <c r="J27" s="176">
        <f>IF(OR(H27="",H27=0),0,I27/H27)</f>
        <v>0</v>
      </c>
      <c r="K27" s="175"/>
      <c r="L27" s="148">
        <f>$F27*'POI Fisico'!M26</f>
        <v>0</v>
      </c>
      <c r="M27" s="170">
        <f>$F27*'POI Fisico'!N25</f>
        <v>0</v>
      </c>
      <c r="N27" s="176">
        <f>IF(OR(L27="",L27=0),0,M27/L27)</f>
        <v>0</v>
      </c>
      <c r="O27" s="175"/>
      <c r="P27" s="148">
        <f>$F27*'POI Fisico'!R26</f>
        <v>0</v>
      </c>
      <c r="Q27" s="170">
        <f>$F27*'POI Fisico'!S25</f>
        <v>0</v>
      </c>
      <c r="R27" s="176">
        <f>IF(OR(P27="",P27=0),0,Q27/P27)</f>
        <v>0</v>
      </c>
      <c r="S27" s="175"/>
      <c r="T27" s="148">
        <f>$F27*'POI Fisico'!W26</f>
        <v>68552128.269970343</v>
      </c>
      <c r="U27" s="170">
        <f>$F27*'POI Fisico'!X25</f>
        <v>0</v>
      </c>
      <c r="V27" s="176">
        <f>IF(OR(T27="",T27=0),0,U27/T27)</f>
        <v>0</v>
      </c>
      <c r="W27" s="175"/>
      <c r="X27" s="170">
        <f>$F27*'POI Fisico'!AB25</f>
        <v>0</v>
      </c>
      <c r="Y27" s="170">
        <f>$F27*'POI Fisico'!AC25</f>
        <v>0</v>
      </c>
      <c r="Z27" s="176">
        <f>IF(OR(X27="",X27=0),0,Y27/X27)</f>
        <v>0</v>
      </c>
      <c r="AA27" s="175"/>
      <c r="AB27" s="170">
        <f>$F27*'POI Fisico'!AG25</f>
        <v>0</v>
      </c>
      <c r="AC27" s="170">
        <f>$F27*'POI Fisico'!AH25</f>
        <v>0</v>
      </c>
      <c r="AD27" s="176">
        <f>IF(OR(AB27="",AB27=0),0,AC27/AB27)</f>
        <v>0</v>
      </c>
      <c r="AE27" s="175"/>
      <c r="AF27" s="170">
        <f>$F27*'POI Fisico'!AL25</f>
        <v>0</v>
      </c>
      <c r="AG27" s="170">
        <f>$F27*'POI Fisico'!AM25</f>
        <v>0</v>
      </c>
      <c r="AH27" s="176">
        <f>IF(OR(AF27="",AF27=0),0,AG27/AF27)</f>
        <v>0</v>
      </c>
      <c r="AI27" s="175"/>
      <c r="AJ27" s="170">
        <f>$F27*'POI Fisico'!AQ25</f>
        <v>0</v>
      </c>
      <c r="AK27" s="170">
        <f>$F27*'POI Fisico'!AR25</f>
        <v>0</v>
      </c>
      <c r="AL27" s="176">
        <f>IF(OR(AJ27="",AJ27=0),0,AK27/AJ27)</f>
        <v>0</v>
      </c>
      <c r="AM27" s="175"/>
      <c r="AN27" s="170">
        <f>$F27*'POI Fisico'!AV25</f>
        <v>0</v>
      </c>
      <c r="AO27" s="170">
        <f>$F27*'POI Fisico'!AW25</f>
        <v>0</v>
      </c>
      <c r="AP27" s="176">
        <f>IF(OR(AN27="",AN27=0),0,AO27/AN27)</f>
        <v>0</v>
      </c>
      <c r="AQ27" s="175"/>
      <c r="AR27" s="170">
        <f>$F27*'POI Fisico'!BA25</f>
        <v>0</v>
      </c>
      <c r="AS27" s="170">
        <f>$F27*'POI Fisico'!BB25</f>
        <v>0</v>
      </c>
      <c r="AT27" s="176">
        <f>IF(OR(AR27="",AR27=0),0,AS27/AR27)</f>
        <v>0</v>
      </c>
      <c r="AU27" s="175"/>
      <c r="AV27" s="170">
        <f>$F27*'POI Fisico'!BF25</f>
        <v>0</v>
      </c>
      <c r="AW27" s="170">
        <f>$F27*'POI Fisico'!BG25</f>
        <v>0</v>
      </c>
      <c r="AX27" s="176">
        <f>IF(OR(AV27="",AV27=0),0,AW27/AV27)</f>
        <v>0</v>
      </c>
      <c r="AY27" s="175"/>
      <c r="AZ27" s="170">
        <f>$F27*'POI Fisico'!BK25</f>
        <v>0</v>
      </c>
      <c r="BA27" s="170">
        <f>$F27*'POI Fisico'!BL25</f>
        <v>0</v>
      </c>
      <c r="BB27" s="176">
        <f>IF(OR(AZ27="",AZ27=0),0,BA27/AZ27)</f>
        <v>0</v>
      </c>
      <c r="BC27" s="175"/>
      <c r="BD27" s="170">
        <f>$F27*'POI Fisico'!BP25</f>
        <v>0</v>
      </c>
      <c r="BE27" s="170">
        <f>$F27*'POI Fisico'!BQ25</f>
        <v>0</v>
      </c>
      <c r="BF27" s="176">
        <f>IF(OR(BD27="",BD27=0),0,BE27/BD27)</f>
        <v>0</v>
      </c>
      <c r="BG27" s="175"/>
      <c r="BH27" s="170">
        <f>$F27*'POI Fisico'!BU25</f>
        <v>0</v>
      </c>
      <c r="BI27" s="170">
        <f>$F27*'POI Fisico'!BV25</f>
        <v>0</v>
      </c>
      <c r="BJ27" s="176">
        <f>IF(OR(BH27="",BH27=0),0,BI27/BH27)</f>
        <v>0</v>
      </c>
      <c r="BK27" s="175"/>
      <c r="BL27" s="145">
        <f t="shared" si="1"/>
        <v>68552128.269970343</v>
      </c>
      <c r="BM27" s="174">
        <f t="shared" si="1"/>
        <v>0</v>
      </c>
      <c r="BN27" s="173">
        <f>IF(OR(BL27="",BL27=0),0,BM27/BL27)</f>
        <v>0</v>
      </c>
    </row>
    <row r="28" spans="1:66" s="135" customFormat="1" ht="24.95" customHeight="1" thickBot="1" x14ac:dyDescent="0.3">
      <c r="A28" s="163"/>
      <c r="B28" s="169" t="str">
        <f>'POI Fisico'!C22</f>
        <v>ALCANCE 2</v>
      </c>
      <c r="C28" s="168"/>
      <c r="D28" s="141"/>
      <c r="E28" s="140"/>
      <c r="F28" s="139"/>
      <c r="G28" s="76">
        <f>SUM(G24:G27)</f>
        <v>320209153.60245001</v>
      </c>
      <c r="H28" s="76">
        <f>SUM(H24:H27)</f>
        <v>70446013.792539001</v>
      </c>
      <c r="I28" s="76">
        <f>SUM(I24:I27)</f>
        <v>0</v>
      </c>
      <c r="J28" s="136">
        <f>IFERROR(IF(H28="",0,I28/H28),0)</f>
        <v>0</v>
      </c>
      <c r="K28" s="167"/>
      <c r="L28" s="76">
        <f>SUM(L24:L27)</f>
        <v>0</v>
      </c>
      <c r="M28" s="76">
        <f>SUM(M24:M27)</f>
        <v>0</v>
      </c>
      <c r="N28" s="136">
        <f>IFERROR(IF(L28="",0,M28/L28),0)</f>
        <v>0</v>
      </c>
      <c r="O28" s="76"/>
      <c r="P28" s="76">
        <f>SUM(P24:P27)</f>
        <v>109590202.69329378</v>
      </c>
      <c r="Q28" s="76">
        <f>SUM(Q24:Q27)</f>
        <v>0</v>
      </c>
      <c r="R28" s="136">
        <f>IFERROR(IF(P28="",0,Q28/P28),0)</f>
        <v>0</v>
      </c>
      <c r="S28" s="76"/>
      <c r="T28" s="76">
        <f>SUM(T24:T27)</f>
        <v>140172937.11661723</v>
      </c>
      <c r="U28" s="76">
        <f>SUM(U24:U27)</f>
        <v>0</v>
      </c>
      <c r="V28" s="136">
        <f>IFERROR(IF(T28="",0,U28/T28),0)</f>
        <v>0</v>
      </c>
      <c r="W28" s="76"/>
      <c r="X28" s="76">
        <f>SUM(X24:X27)</f>
        <v>0</v>
      </c>
      <c r="Y28" s="76">
        <f>SUM(Y24:Y27)</f>
        <v>0</v>
      </c>
      <c r="Z28" s="136">
        <f>IFERROR(IF(X28="",0,Y28/X28),0)</f>
        <v>0</v>
      </c>
      <c r="AA28" s="76"/>
      <c r="AB28" s="76">
        <f>SUM(AB24:AB27)</f>
        <v>0</v>
      </c>
      <c r="AC28" s="76">
        <f>SUM(AC24:AC27)</f>
        <v>0</v>
      </c>
      <c r="AD28" s="136">
        <f>IFERROR(IF(AB28="",0,AC28/AB28),0)</f>
        <v>0</v>
      </c>
      <c r="AE28" s="76"/>
      <c r="AF28" s="76">
        <f>SUM(AF24:AF27)</f>
        <v>0</v>
      </c>
      <c r="AG28" s="76">
        <f>SUM(AG24:AG27)</f>
        <v>0</v>
      </c>
      <c r="AH28" s="136">
        <f>IFERROR(IF(AF28="",0,AG28/AF28),0)</f>
        <v>0</v>
      </c>
      <c r="AI28" s="76"/>
      <c r="AJ28" s="76">
        <f>SUM(AJ24:AJ27)</f>
        <v>0</v>
      </c>
      <c r="AK28" s="76">
        <f>SUM(AK24:AK27)</f>
        <v>0</v>
      </c>
      <c r="AL28" s="136">
        <f>IFERROR(IF(AJ28="",0,AK28/AJ28),0)</f>
        <v>0</v>
      </c>
      <c r="AM28" s="76"/>
      <c r="AN28" s="76">
        <f>SUM(AN24:AN27)</f>
        <v>0</v>
      </c>
      <c r="AO28" s="76">
        <f>SUM(AO24:AO27)</f>
        <v>0</v>
      </c>
      <c r="AP28" s="136">
        <f>IFERROR(IF(AN28="",0,AO28/AN28),0)</f>
        <v>0</v>
      </c>
      <c r="AQ28" s="76"/>
      <c r="AR28" s="76">
        <f>SUM(AR24:AR27)</f>
        <v>0</v>
      </c>
      <c r="AS28" s="76">
        <f>SUM(AS24:AS27)</f>
        <v>0</v>
      </c>
      <c r="AT28" s="136">
        <f>IFERROR(IF(AR28="",0,AS28/AR28),0)</f>
        <v>0</v>
      </c>
      <c r="AU28" s="76"/>
      <c r="AV28" s="76">
        <f>SUM(AV24:AV27)</f>
        <v>0</v>
      </c>
      <c r="AW28" s="76">
        <f>SUM(AW24:AW27)</f>
        <v>0</v>
      </c>
      <c r="AX28" s="136">
        <f>IFERROR(IF(AV28="",0,AW28/AV28),0)</f>
        <v>0</v>
      </c>
      <c r="AY28" s="76"/>
      <c r="AZ28" s="76">
        <f>SUM(AZ24:AZ27)</f>
        <v>0</v>
      </c>
      <c r="BA28" s="76">
        <f>SUM(BA24:BA27)</f>
        <v>0</v>
      </c>
      <c r="BB28" s="136">
        <f>IFERROR(IF(AZ28="",0,BA28/AZ28),0)</f>
        <v>0</v>
      </c>
      <c r="BC28" s="76"/>
      <c r="BD28" s="76">
        <f>SUM(BD24:BD27)</f>
        <v>0</v>
      </c>
      <c r="BE28" s="76">
        <f>SUM(BE24:BE27)</f>
        <v>0</v>
      </c>
      <c r="BF28" s="136">
        <f>IFERROR(IF(BD28="",0,BE28/BD28),0)</f>
        <v>0</v>
      </c>
      <c r="BG28" s="76"/>
      <c r="BH28" s="76">
        <f>SUM(BH24:BH27)</f>
        <v>0</v>
      </c>
      <c r="BI28" s="76">
        <f>SUM(BI24:BI27)</f>
        <v>0</v>
      </c>
      <c r="BJ28" s="136">
        <f>IFERROR(IF(BH28="",0,BI28/BH28),0)</f>
        <v>0</v>
      </c>
      <c r="BK28" s="76"/>
      <c r="BL28" s="76">
        <f>SUM(BL24:BL27)</f>
        <v>320209153.60245001</v>
      </c>
      <c r="BM28" s="76">
        <f>SUM(BM24:BM27)</f>
        <v>0</v>
      </c>
      <c r="BN28" s="166">
        <f>IF(OR(BL28="",BL28=0),0,BM28/BL28)</f>
        <v>0</v>
      </c>
    </row>
    <row r="29" spans="1:66" s="143" customFormat="1" ht="33.75" customHeight="1" x14ac:dyDescent="0.25">
      <c r="A29" s="159">
        <v>3</v>
      </c>
      <c r="B29" s="158" t="s">
        <v>34</v>
      </c>
      <c r="C29" s="157" t="str">
        <f>'POI Fisico'!D28</f>
        <v>FASE DE IDENTIFICACIÓN DE LOS USOS POTENCIALES DEL RECURSO.</v>
      </c>
      <c r="D29" s="165"/>
      <c r="E29" s="165"/>
      <c r="F29" s="165"/>
      <c r="G29" s="164"/>
      <c r="H29" s="556"/>
      <c r="I29" s="557"/>
      <c r="J29" s="557"/>
      <c r="K29" s="558"/>
      <c r="L29" s="505"/>
      <c r="M29" s="506"/>
      <c r="N29" s="506"/>
      <c r="O29" s="507"/>
      <c r="P29" s="505"/>
      <c r="Q29" s="506"/>
      <c r="R29" s="506"/>
      <c r="S29" s="507"/>
      <c r="T29" s="505"/>
      <c r="U29" s="506"/>
      <c r="V29" s="506"/>
      <c r="W29" s="507"/>
      <c r="X29" s="505"/>
      <c r="Y29" s="506"/>
      <c r="Z29" s="506"/>
      <c r="AA29" s="507"/>
      <c r="AB29" s="505"/>
      <c r="AC29" s="506"/>
      <c r="AD29" s="506"/>
      <c r="AE29" s="507"/>
      <c r="AF29" s="505"/>
      <c r="AG29" s="506"/>
      <c r="AH29" s="506"/>
      <c r="AI29" s="507"/>
      <c r="AJ29" s="505"/>
      <c r="AK29" s="506"/>
      <c r="AL29" s="506"/>
      <c r="AM29" s="507"/>
      <c r="AN29" s="505"/>
      <c r="AO29" s="506"/>
      <c r="AP29" s="506"/>
      <c r="AQ29" s="507"/>
      <c r="AR29" s="505"/>
      <c r="AS29" s="506"/>
      <c r="AT29" s="506"/>
      <c r="AU29" s="507"/>
      <c r="AV29" s="505"/>
      <c r="AW29" s="506"/>
      <c r="AX29" s="506"/>
      <c r="AY29" s="507"/>
      <c r="AZ29" s="505"/>
      <c r="BA29" s="506"/>
      <c r="BB29" s="506"/>
      <c r="BC29" s="507"/>
      <c r="BD29" s="505"/>
      <c r="BE29" s="506"/>
      <c r="BF29" s="506"/>
      <c r="BG29" s="507"/>
      <c r="BH29" s="505"/>
      <c r="BI29" s="506"/>
      <c r="BJ29" s="506"/>
      <c r="BK29" s="507"/>
      <c r="BL29" s="505"/>
      <c r="BM29" s="506"/>
      <c r="BN29" s="507"/>
    </row>
    <row r="30" spans="1:66" s="143" customFormat="1" ht="41.25" customHeight="1" x14ac:dyDescent="0.25">
      <c r="A30" s="509" t="s">
        <v>28</v>
      </c>
      <c r="B30" s="500" t="str">
        <f>'POI Fisico'!C29</f>
        <v>Actividad 3.1</v>
      </c>
      <c r="C30" s="152" t="str">
        <f>'POI Fisico'!D29</f>
        <v>Presentar documento de metodología de la fase de identificación de los usos potenciales</v>
      </c>
      <c r="D30" s="162" t="str">
        <f>'POI Fisico'!F29</f>
        <v>Documentos</v>
      </c>
      <c r="E30" s="162">
        <f>'POI Fisico'!E29</f>
        <v>5</v>
      </c>
      <c r="F30" s="150">
        <f>IFERROR(G30/E30,0)</f>
        <v>13609899.3185078</v>
      </c>
      <c r="G30" s="149">
        <f>'Calculo de valores unitarios'!N15</f>
        <v>68049496.592538998</v>
      </c>
      <c r="H30" s="148">
        <f>$F30*'POI Fisico'!H29</f>
        <v>68049496.592538998</v>
      </c>
      <c r="I30" s="148">
        <f>$F30*'POI Fisico'!I29</f>
        <v>0</v>
      </c>
      <c r="J30" s="161">
        <f>IF(OR(H30="",H30=0),0,I30/H30)</f>
        <v>0</v>
      </c>
      <c r="K30" s="160"/>
      <c r="L30" s="148">
        <f>$F30*'POI Fisico'!M29</f>
        <v>0</v>
      </c>
      <c r="M30" s="148">
        <f>$F30*'POI Fisico'!N29</f>
        <v>0</v>
      </c>
      <c r="N30" s="161">
        <f>IF(OR(L30="",L30=0),0,M30/L30)</f>
        <v>0</v>
      </c>
      <c r="O30" s="160"/>
      <c r="P30" s="148">
        <f>$F30*'POI Fisico'!R29</f>
        <v>0</v>
      </c>
      <c r="Q30" s="148">
        <f>$F30*'POI Fisico'!S29</f>
        <v>0</v>
      </c>
      <c r="R30" s="147">
        <f>IF(OR(P30="",P30=0),0,Q30/P30)</f>
        <v>0</v>
      </c>
      <c r="S30" s="146"/>
      <c r="T30" s="148">
        <f>$F30*'POI Fisico'!W29</f>
        <v>0</v>
      </c>
      <c r="U30" s="148">
        <f>$F30*'POI Fisico'!X29</f>
        <v>0</v>
      </c>
      <c r="V30" s="147">
        <f>IF(OR(T30="",T30=0),0,U30/T30)</f>
        <v>0</v>
      </c>
      <c r="W30" s="146"/>
      <c r="X30" s="148">
        <f>$F30*'POI Fisico'!AB29</f>
        <v>0</v>
      </c>
      <c r="Y30" s="148">
        <f>$F30*'POI Fisico'!AC29</f>
        <v>0</v>
      </c>
      <c r="Z30" s="147">
        <f>IF(OR(X30="",X30=0),0,Y30/X30)</f>
        <v>0</v>
      </c>
      <c r="AA30" s="146"/>
      <c r="AB30" s="148">
        <f>$F30*'POI Fisico'!AG29</f>
        <v>0</v>
      </c>
      <c r="AC30" s="148">
        <f>$F30*'POI Fisico'!AH29</f>
        <v>0</v>
      </c>
      <c r="AD30" s="147">
        <f>IF(OR(AB30="",AB30=0),0,AC30/AB30)</f>
        <v>0</v>
      </c>
      <c r="AE30" s="146"/>
      <c r="AF30" s="148">
        <f>$F30*'POI Fisico'!AL29</f>
        <v>0</v>
      </c>
      <c r="AG30" s="148">
        <f>$F30*'POI Fisico'!AM29</f>
        <v>0</v>
      </c>
      <c r="AH30" s="147">
        <f>IF(OR(AF30="",AF30=0),0,AG30/AF30)</f>
        <v>0</v>
      </c>
      <c r="AI30" s="146"/>
      <c r="AJ30" s="148">
        <f>$F30*'POI Fisico'!AQ29</f>
        <v>0</v>
      </c>
      <c r="AK30" s="148">
        <f>$F30*'POI Fisico'!AR29</f>
        <v>0</v>
      </c>
      <c r="AL30" s="147">
        <f>IF(OR(AJ30="",AJ30=0),0,AK30/AJ30)</f>
        <v>0</v>
      </c>
      <c r="AM30" s="146"/>
      <c r="AN30" s="148">
        <f>$F30*'POI Fisico'!AV29</f>
        <v>0</v>
      </c>
      <c r="AO30" s="148">
        <f>$F30*'POI Fisico'!AW29</f>
        <v>0</v>
      </c>
      <c r="AP30" s="147">
        <f>IF(OR(AN30="",AN30=0),0,AO30/AN30)</f>
        <v>0</v>
      </c>
      <c r="AQ30" s="146"/>
      <c r="AR30" s="148">
        <f>$F30*'POI Fisico'!BA29</f>
        <v>0</v>
      </c>
      <c r="AS30" s="148">
        <f>$F30*'POI Fisico'!BB29</f>
        <v>0</v>
      </c>
      <c r="AT30" s="147">
        <f>IF(OR(AR30="",AR30=0),0,AS30/AR30)</f>
        <v>0</v>
      </c>
      <c r="AU30" s="146"/>
      <c r="AV30" s="148">
        <f>$F30*'POI Fisico'!BF29</f>
        <v>0</v>
      </c>
      <c r="AW30" s="148">
        <f>$F30*'POI Fisico'!BG29</f>
        <v>0</v>
      </c>
      <c r="AX30" s="147">
        <f>IF(OR(AV30="",AV30=0),0,AW30/AV30)</f>
        <v>0</v>
      </c>
      <c r="AY30" s="146"/>
      <c r="AZ30" s="148">
        <f>$F30*'POI Fisico'!BK29</f>
        <v>0</v>
      </c>
      <c r="BA30" s="148">
        <f>$F30*'POI Fisico'!BL29</f>
        <v>0</v>
      </c>
      <c r="BB30" s="147">
        <f>IF(OR(AZ30="",AZ30=0),0,BA30/AZ30)</f>
        <v>0</v>
      </c>
      <c r="BC30" s="146"/>
      <c r="BD30" s="148">
        <f>$F30*'POI Fisico'!BP29</f>
        <v>0</v>
      </c>
      <c r="BE30" s="148">
        <f>$F30*'POI Fisico'!BQ29</f>
        <v>0</v>
      </c>
      <c r="BF30" s="147">
        <f>IF(OR(BD30="",BD30=0),0,BE30/BD30)</f>
        <v>0</v>
      </c>
      <c r="BG30" s="146"/>
      <c r="BH30" s="148">
        <f>$F30*'POI Fisico'!BU29</f>
        <v>0</v>
      </c>
      <c r="BI30" s="148">
        <f>$F30*'POI Fisico'!BV29</f>
        <v>0</v>
      </c>
      <c r="BJ30" s="147">
        <f>IF(OR(BH30="",BH30=0),0,BI30/BH30)</f>
        <v>0</v>
      </c>
      <c r="BK30" s="146"/>
      <c r="BL30" s="145">
        <f t="shared" ref="BL30:BM34" si="2">H30+L30+P30+T30+X30+AB30+AF30+AJ30+AN30+AR30+AV30+AZ30+BD30+BH30</f>
        <v>68049496.592538998</v>
      </c>
      <c r="BM30" s="145">
        <f t="shared" si="2"/>
        <v>0</v>
      </c>
      <c r="BN30" s="144">
        <f>IF(OR(BL30="",BL30=0),0,BM30/BL30)</f>
        <v>0</v>
      </c>
    </row>
    <row r="31" spans="1:66" s="143" customFormat="1" ht="59.25" customHeight="1" x14ac:dyDescent="0.25">
      <c r="A31" s="510"/>
      <c r="B31" s="508"/>
      <c r="C31" s="152" t="str">
        <f>'POI Fisico'!D30</f>
        <v>Fortalecimiento en modelción y Planificacion - Capacitación en modelación (5 talleres de dos dias por cuerpo de agua, se ajustará presupuestos con otras actividades para la logística, incluye kit del taller, memorias, 4 refrigerios y dos almuerzo para 20  personas en cada cuenca )</v>
      </c>
      <c r="D31" s="162" t="str">
        <f>'POI Fisico'!F30</f>
        <v>Talleres</v>
      </c>
      <c r="E31" s="162">
        <f>'POI Fisico'!E30</f>
        <v>10</v>
      </c>
      <c r="F31" s="150">
        <f>IFERROR(G31/E31,0)</f>
        <v>6108638.0502477754</v>
      </c>
      <c r="G31" s="149">
        <f>'Calculo de valores unitarios'!N16</f>
        <v>61086380.502477758</v>
      </c>
      <c r="H31" s="148">
        <f>$F31*'POI Fisico'!H30</f>
        <v>0</v>
      </c>
      <c r="I31" s="148">
        <f>$F31*'POI Fisico'!I30</f>
        <v>0</v>
      </c>
      <c r="J31" s="161">
        <f>IF(OR(H31="",H31=0),0,I31/H31)</f>
        <v>0</v>
      </c>
      <c r="K31" s="160"/>
      <c r="L31" s="148">
        <f>$F31*'POI Fisico'!M30</f>
        <v>0</v>
      </c>
      <c r="M31" s="148">
        <f>$F31*'POI Fisico'!N30</f>
        <v>0</v>
      </c>
      <c r="N31" s="161">
        <f>IF(OR(L31="",L31=0),0,M31/L31)</f>
        <v>0</v>
      </c>
      <c r="O31" s="160"/>
      <c r="P31" s="148">
        <f>$F31*'POI Fisico'!R30</f>
        <v>0</v>
      </c>
      <c r="Q31" s="148">
        <f>$F31*'POI Fisico'!S30</f>
        <v>0</v>
      </c>
      <c r="R31" s="147">
        <f>IF(OR(P31="",P31=0),0,Q31/P31)</f>
        <v>0</v>
      </c>
      <c r="S31" s="146"/>
      <c r="T31" s="148">
        <f>$F31*'POI Fisico'!W30</f>
        <v>0</v>
      </c>
      <c r="U31" s="148">
        <f>$F31*'POI Fisico'!X30</f>
        <v>0</v>
      </c>
      <c r="V31" s="147">
        <f>IF(OR(T31="",T31=0),0,U31/T31)</f>
        <v>0</v>
      </c>
      <c r="W31" s="146"/>
      <c r="X31" s="148">
        <f>$F31*'POI Fisico'!AB30</f>
        <v>0</v>
      </c>
      <c r="Y31" s="148">
        <f>$F31*'POI Fisico'!AC30</f>
        <v>0</v>
      </c>
      <c r="Z31" s="147">
        <f>IF(OR(X31="",X31=0),0,Y31/X31)</f>
        <v>0</v>
      </c>
      <c r="AA31" s="146"/>
      <c r="AB31" s="148">
        <f>$F31*'POI Fisico'!AG30</f>
        <v>0</v>
      </c>
      <c r="AC31" s="148">
        <f>$F31*'POI Fisico'!AH30</f>
        <v>0</v>
      </c>
      <c r="AD31" s="147">
        <f>IF(OR(AB31="",AB31=0),0,AC31/AB31)</f>
        <v>0</v>
      </c>
      <c r="AE31" s="146"/>
      <c r="AF31" s="148">
        <f>$F31*'POI Fisico'!AL30</f>
        <v>0</v>
      </c>
      <c r="AG31" s="148">
        <f>$F31*'POI Fisico'!AM30</f>
        <v>0</v>
      </c>
      <c r="AH31" s="147">
        <f>IF(OR(AF31="",AF31=0),0,AG31/AF31)</f>
        <v>0</v>
      </c>
      <c r="AI31" s="146"/>
      <c r="AJ31" s="148">
        <f>$F31*'POI Fisico'!AQ30</f>
        <v>0</v>
      </c>
      <c r="AK31" s="148">
        <f>$F31*'POI Fisico'!AR30</f>
        <v>0</v>
      </c>
      <c r="AL31" s="147">
        <f>IF(OR(AJ31="",AJ31=0),0,AK31/AJ31)</f>
        <v>0</v>
      </c>
      <c r="AM31" s="146"/>
      <c r="AN31" s="148">
        <f>$F31*'POI Fisico'!AV30</f>
        <v>0</v>
      </c>
      <c r="AO31" s="148">
        <f>$F31*'POI Fisico'!AW30</f>
        <v>0</v>
      </c>
      <c r="AP31" s="147">
        <f>IF(OR(AN31="",AN31=0),0,AO31/AN31)</f>
        <v>0</v>
      </c>
      <c r="AQ31" s="146"/>
      <c r="AR31" s="148">
        <f>$F31*'POI Fisico'!BA30</f>
        <v>36651828.301486656</v>
      </c>
      <c r="AS31" s="148">
        <f>$F31*'POI Fisico'!BB30</f>
        <v>0</v>
      </c>
      <c r="AT31" s="147">
        <f>IF(OR(AR31="",AR31=0),0,AS31/AR31)</f>
        <v>0</v>
      </c>
      <c r="AU31" s="146"/>
      <c r="AV31" s="148">
        <f>$F31*'POI Fisico'!BF30</f>
        <v>24434552.200991102</v>
      </c>
      <c r="AW31" s="148">
        <f>$F31*'POI Fisico'!BG30</f>
        <v>0</v>
      </c>
      <c r="AX31" s="147">
        <f>IF(OR(AV31="",AV31=0),0,AW31/AV31)</f>
        <v>0</v>
      </c>
      <c r="AY31" s="146"/>
      <c r="AZ31" s="148">
        <f>$F31*'POI Fisico'!BK30</f>
        <v>0</v>
      </c>
      <c r="BA31" s="148">
        <f>$F31*'POI Fisico'!BL30</f>
        <v>0</v>
      </c>
      <c r="BB31" s="147">
        <f>IF(OR(AZ31="",AZ31=0),0,BA31/AZ31)</f>
        <v>0</v>
      </c>
      <c r="BC31" s="146"/>
      <c r="BD31" s="148">
        <f>$F31*'POI Fisico'!BP30</f>
        <v>0</v>
      </c>
      <c r="BE31" s="148">
        <f>$F31*'POI Fisico'!BQ30</f>
        <v>0</v>
      </c>
      <c r="BF31" s="147">
        <f>IF(OR(BD31="",BD31=0),0,BE31/BD31)</f>
        <v>0</v>
      </c>
      <c r="BG31" s="146"/>
      <c r="BH31" s="148">
        <f>$F31*'POI Fisico'!BU30</f>
        <v>0</v>
      </c>
      <c r="BI31" s="148">
        <f>$F31*'POI Fisico'!BV30</f>
        <v>0</v>
      </c>
      <c r="BJ31" s="147">
        <f>IF(OR(BH31="",BH31=0),0,BI31/BH31)</f>
        <v>0</v>
      </c>
      <c r="BK31" s="146"/>
      <c r="BL31" s="145">
        <f t="shared" si="2"/>
        <v>61086380.502477758</v>
      </c>
      <c r="BM31" s="145">
        <f t="shared" si="2"/>
        <v>0</v>
      </c>
      <c r="BN31" s="144">
        <f>IF(OR(BL31="",BL31=0),0,BM31/BL31)</f>
        <v>0</v>
      </c>
    </row>
    <row r="32" spans="1:66" s="143" customFormat="1" ht="62.25" customHeight="1" x14ac:dyDescent="0.25">
      <c r="A32" s="509" t="s">
        <v>39</v>
      </c>
      <c r="B32" s="568" t="s">
        <v>108</v>
      </c>
      <c r="C32" s="152" t="str">
        <f>'POI Fisico'!D31</f>
        <v>Definición de usos actuales y potenciales participativo - Creación de las Mesas temáticas  (un taller por cuerpo de agua)(Incluye gastos de viaje y de transporte de tres profesionales)</v>
      </c>
      <c r="D32" s="162" t="str">
        <f>'POI Fisico'!F31</f>
        <v>Talleres</v>
      </c>
      <c r="E32" s="162">
        <f>'POI Fisico'!E31</f>
        <v>15</v>
      </c>
      <c r="F32" s="150">
        <f>IFERROR(G32/E32,0)</f>
        <v>3816059.7001651837</v>
      </c>
      <c r="G32" s="149">
        <f>'Calculo de valores unitarios'!N17</f>
        <v>57240895.502477758</v>
      </c>
      <c r="H32" s="148">
        <f>$F32*'POI Fisico'!H31</f>
        <v>0</v>
      </c>
      <c r="I32" s="148">
        <f>$F32*'POI Fisico'!I31</f>
        <v>0</v>
      </c>
      <c r="J32" s="161">
        <f>IF(OR(H32="",H32=0),0,I32/H32)</f>
        <v>0</v>
      </c>
      <c r="K32" s="160"/>
      <c r="L32" s="148">
        <f>$F32*'POI Fisico'!M31</f>
        <v>0</v>
      </c>
      <c r="M32" s="148">
        <f>$F32*'POI Fisico'!N31</f>
        <v>0</v>
      </c>
      <c r="N32" s="161">
        <f>IF(OR(L32="",L32=0),0,M32/L32)</f>
        <v>0</v>
      </c>
      <c r="O32" s="160"/>
      <c r="P32" s="148">
        <f>$F32*'POI Fisico'!R31</f>
        <v>0</v>
      </c>
      <c r="Q32" s="148">
        <f>$F32*'POI Fisico'!S31</f>
        <v>0</v>
      </c>
      <c r="R32" s="147">
        <f>IF(OR(P32="",P32=0),0,Q32/P32)</f>
        <v>0</v>
      </c>
      <c r="S32" s="146"/>
      <c r="T32" s="148">
        <f>$F32*'POI Fisico'!W31</f>
        <v>0</v>
      </c>
      <c r="U32" s="148">
        <f>$F32*'POI Fisico'!X31</f>
        <v>0</v>
      </c>
      <c r="V32" s="147">
        <f>IF(OR(T32="",T32=0),0,U32/T32)</f>
        <v>0</v>
      </c>
      <c r="W32" s="146"/>
      <c r="X32" s="148">
        <f>$F32*'POI Fisico'!AB31</f>
        <v>57240895.502477758</v>
      </c>
      <c r="Y32" s="148">
        <f>$F32*'POI Fisico'!AC31</f>
        <v>0</v>
      </c>
      <c r="Z32" s="147">
        <f>IF(OR(X32="",X32=0),0,Y32/X32)</f>
        <v>0</v>
      </c>
      <c r="AA32" s="146"/>
      <c r="AB32" s="148">
        <f>$F32*'POI Fisico'!AG31</f>
        <v>0</v>
      </c>
      <c r="AC32" s="148">
        <f>$F32*'POI Fisico'!AH31</f>
        <v>0</v>
      </c>
      <c r="AD32" s="147">
        <f>IF(OR(AB32="",AB32=0),0,AC32/AB32)</f>
        <v>0</v>
      </c>
      <c r="AE32" s="146"/>
      <c r="AF32" s="148">
        <f>$F32*'POI Fisico'!AL31</f>
        <v>0</v>
      </c>
      <c r="AG32" s="148">
        <f>$F32*'POI Fisico'!AM31</f>
        <v>0</v>
      </c>
      <c r="AH32" s="147">
        <f>IF(OR(AF32="",AF32=0),0,AG32/AF32)</f>
        <v>0</v>
      </c>
      <c r="AI32" s="146"/>
      <c r="AJ32" s="148">
        <f>$F32*'POI Fisico'!AQ31</f>
        <v>0</v>
      </c>
      <c r="AK32" s="148">
        <f>$F32*'POI Fisico'!AR31</f>
        <v>0</v>
      </c>
      <c r="AL32" s="147">
        <f>IF(OR(AJ32="",AJ32=0),0,AK32/AJ32)</f>
        <v>0</v>
      </c>
      <c r="AM32" s="146"/>
      <c r="AN32" s="148">
        <f>$F32*'POI Fisico'!AV31</f>
        <v>0</v>
      </c>
      <c r="AO32" s="148">
        <f>$F32*'POI Fisico'!AW31</f>
        <v>0</v>
      </c>
      <c r="AP32" s="147">
        <f>IF(OR(AN32="",AN32=0),0,AO32/AN32)</f>
        <v>0</v>
      </c>
      <c r="AQ32" s="146"/>
      <c r="AR32" s="148">
        <f>$F32*'POI Fisico'!BA31</f>
        <v>0</v>
      </c>
      <c r="AS32" s="148">
        <f>$F32*'POI Fisico'!BB31</f>
        <v>0</v>
      </c>
      <c r="AT32" s="147">
        <f>IF(OR(AR32="",AR32=0),0,AS32/AR32)</f>
        <v>0</v>
      </c>
      <c r="AU32" s="146"/>
      <c r="AV32" s="148">
        <f>$F32*'POI Fisico'!BF31</f>
        <v>0</v>
      </c>
      <c r="AW32" s="148">
        <f>$F32*'POI Fisico'!BG31</f>
        <v>0</v>
      </c>
      <c r="AX32" s="147">
        <f>IF(OR(AV32="",AV32=0),0,AW32/AV32)</f>
        <v>0</v>
      </c>
      <c r="AY32" s="146"/>
      <c r="AZ32" s="148">
        <f>$F32*'POI Fisico'!BK31</f>
        <v>0</v>
      </c>
      <c r="BA32" s="148">
        <f>$F32*'POI Fisico'!BL31</f>
        <v>0</v>
      </c>
      <c r="BB32" s="147">
        <f>IF(OR(AZ32="",AZ32=0),0,BA32/AZ32)</f>
        <v>0</v>
      </c>
      <c r="BC32" s="146"/>
      <c r="BD32" s="148">
        <f>$F32*'POI Fisico'!BP31</f>
        <v>0</v>
      </c>
      <c r="BE32" s="148">
        <f>$F32*'POI Fisico'!BQ31</f>
        <v>0</v>
      </c>
      <c r="BF32" s="147">
        <f>IF(OR(BD32="",BD32=0),0,BE32/BD32)</f>
        <v>0</v>
      </c>
      <c r="BG32" s="146"/>
      <c r="BH32" s="148">
        <f>$F32*'POI Fisico'!BU31</f>
        <v>0</v>
      </c>
      <c r="BI32" s="148">
        <f>$F32*'POI Fisico'!BV31</f>
        <v>0</v>
      </c>
      <c r="BJ32" s="147">
        <f>IF(OR(BH32="",BH32=0),0,BI32/BH32)</f>
        <v>0</v>
      </c>
      <c r="BK32" s="146"/>
      <c r="BL32" s="145">
        <f t="shared" si="2"/>
        <v>57240895.502477758</v>
      </c>
      <c r="BM32" s="145">
        <f t="shared" si="2"/>
        <v>0</v>
      </c>
      <c r="BN32" s="144">
        <f>IF(OR(BL32="",BL32=0),0,BM32/BL32)</f>
        <v>0</v>
      </c>
    </row>
    <row r="33" spans="1:66" s="143" customFormat="1" ht="41.25" customHeight="1" x14ac:dyDescent="0.25">
      <c r="A33" s="567"/>
      <c r="B33" s="569"/>
      <c r="C33" s="152" t="str">
        <f>'POI Fisico'!D32</f>
        <v>Recorridos por Cuerpo de agua (cinco días, de tres profesionales, incluye gastos de viaje y transporte urbano y rural)</v>
      </c>
      <c r="D33" s="162" t="str">
        <f>'POI Fisico'!F32</f>
        <v>Recorridos</v>
      </c>
      <c r="E33" s="162">
        <f>'POI Fisico'!E32</f>
        <v>75</v>
      </c>
      <c r="F33" s="150">
        <f>IFERROR(G33/E33,0)</f>
        <v>945678.60669970338</v>
      </c>
      <c r="G33" s="149">
        <f>'Calculo de valores unitarios'!N18</f>
        <v>70925895.50247775</v>
      </c>
      <c r="H33" s="148">
        <f>$F33*'POI Fisico'!H32</f>
        <v>0</v>
      </c>
      <c r="I33" s="148">
        <f>$F33*'POI Fisico'!I32</f>
        <v>0</v>
      </c>
      <c r="J33" s="161">
        <f>IF(OR(H33="",H33=0),0,I33/H33)</f>
        <v>0</v>
      </c>
      <c r="K33" s="160"/>
      <c r="L33" s="148">
        <f>$F33*'POI Fisico'!M32</f>
        <v>0</v>
      </c>
      <c r="M33" s="148">
        <f>$F33*'POI Fisico'!N32</f>
        <v>0</v>
      </c>
      <c r="N33" s="161">
        <f>IF(OR(L33="",L33=0),0,M33/L33)</f>
        <v>0</v>
      </c>
      <c r="O33" s="160"/>
      <c r="P33" s="148">
        <f>$F33*'POI Fisico'!R32</f>
        <v>0</v>
      </c>
      <c r="Q33" s="148">
        <f>$F33*'POI Fisico'!S32</f>
        <v>0</v>
      </c>
      <c r="R33" s="147">
        <f>IF(OR(P33="",P33=0),0,Q33/P33)</f>
        <v>0</v>
      </c>
      <c r="S33" s="146"/>
      <c r="T33" s="148">
        <f>$F33*'POI Fisico'!W32</f>
        <v>0</v>
      </c>
      <c r="U33" s="148">
        <f>$F33*'POI Fisico'!X32</f>
        <v>0</v>
      </c>
      <c r="V33" s="147">
        <f>IF(OR(T33="",T33=0),0,U33/T33)</f>
        <v>0</v>
      </c>
      <c r="W33" s="146"/>
      <c r="X33" s="148">
        <f>$F33*'POI Fisico'!AB32</f>
        <v>0</v>
      </c>
      <c r="Y33" s="148">
        <f>$F33*'POI Fisico'!AC32</f>
        <v>0</v>
      </c>
      <c r="Z33" s="147">
        <f>IF(OR(X33="",X33=0),0,Y33/X33)</f>
        <v>0</v>
      </c>
      <c r="AA33" s="146"/>
      <c r="AB33" s="148">
        <f>$F33*'POI Fisico'!AG32</f>
        <v>42555537.301486649</v>
      </c>
      <c r="AC33" s="148">
        <f>$F33*'POI Fisico'!AH32</f>
        <v>0</v>
      </c>
      <c r="AD33" s="147">
        <f>IF(OR(AB33="",AB33=0),0,AC33/AB33)</f>
        <v>0</v>
      </c>
      <c r="AE33" s="146"/>
      <c r="AF33" s="148">
        <f>$F33*'POI Fisico'!AL32</f>
        <v>28370358.200991102</v>
      </c>
      <c r="AG33" s="148">
        <f>$F33*'POI Fisico'!AM32</f>
        <v>0</v>
      </c>
      <c r="AH33" s="147">
        <f>IF(OR(AF33="",AF33=0),0,AG33/AF33)</f>
        <v>0</v>
      </c>
      <c r="AI33" s="146"/>
      <c r="AJ33" s="148">
        <f>$F33*'POI Fisico'!AQ32</f>
        <v>0</v>
      </c>
      <c r="AK33" s="148">
        <f>$F33*'POI Fisico'!AR32</f>
        <v>0</v>
      </c>
      <c r="AL33" s="147">
        <f>IF(OR(AJ33="",AJ33=0),0,AK33/AJ33)</f>
        <v>0</v>
      </c>
      <c r="AM33" s="146"/>
      <c r="AN33" s="148">
        <f>$F33*'POI Fisico'!AV32</f>
        <v>0</v>
      </c>
      <c r="AO33" s="148">
        <f>$F33*'POI Fisico'!AW32</f>
        <v>0</v>
      </c>
      <c r="AP33" s="147">
        <f>IF(OR(AN33="",AN33=0),0,AO33/AN33)</f>
        <v>0</v>
      </c>
      <c r="AQ33" s="146"/>
      <c r="AR33" s="148">
        <f>$F33*'POI Fisico'!BA32</f>
        <v>0</v>
      </c>
      <c r="AS33" s="148">
        <f>$F33*'POI Fisico'!BB32</f>
        <v>0</v>
      </c>
      <c r="AT33" s="147">
        <f>IF(OR(AR33="",AR33=0),0,AS33/AR33)</f>
        <v>0</v>
      </c>
      <c r="AU33" s="146"/>
      <c r="AV33" s="148">
        <f>$F33*'POI Fisico'!BF32</f>
        <v>0</v>
      </c>
      <c r="AW33" s="148">
        <f>$F33*'POI Fisico'!BG32</f>
        <v>0</v>
      </c>
      <c r="AX33" s="147">
        <f>IF(OR(AV33="",AV33=0),0,AW33/AV33)</f>
        <v>0</v>
      </c>
      <c r="AY33" s="146"/>
      <c r="AZ33" s="148">
        <f>$F33*'POI Fisico'!BK32</f>
        <v>0</v>
      </c>
      <c r="BA33" s="148">
        <f>$F33*'POI Fisico'!BL32</f>
        <v>0</v>
      </c>
      <c r="BB33" s="147">
        <f>IF(OR(AZ33="",AZ33=0),0,BA33/AZ33)</f>
        <v>0</v>
      </c>
      <c r="BC33" s="146"/>
      <c r="BD33" s="148">
        <f>$F33*'POI Fisico'!BP32</f>
        <v>0</v>
      </c>
      <c r="BE33" s="148">
        <f>$F33*'POI Fisico'!BQ32</f>
        <v>0</v>
      </c>
      <c r="BF33" s="147">
        <f>IF(OR(BD33="",BD33=0),0,BE33/BD33)</f>
        <v>0</v>
      </c>
      <c r="BG33" s="146"/>
      <c r="BH33" s="148">
        <f>$F33*'POI Fisico'!BU32</f>
        <v>0</v>
      </c>
      <c r="BI33" s="148">
        <f>$F33*'POI Fisico'!BV32</f>
        <v>0</v>
      </c>
      <c r="BJ33" s="147">
        <f>IF(OR(BH33="",BH33=0),0,BI33/BH33)</f>
        <v>0</v>
      </c>
      <c r="BK33" s="146"/>
      <c r="BL33" s="145">
        <f t="shared" si="2"/>
        <v>70925895.50247775</v>
      </c>
      <c r="BM33" s="145">
        <f t="shared" si="2"/>
        <v>0</v>
      </c>
      <c r="BN33" s="144">
        <f>IF(OR(BL33="",BL33=0),0,BM33/BL33)</f>
        <v>0</v>
      </c>
    </row>
    <row r="34" spans="1:66" s="143" customFormat="1" ht="41.25" customHeight="1" x14ac:dyDescent="0.25">
      <c r="A34" s="434" t="s">
        <v>131</v>
      </c>
      <c r="B34" s="435" t="s">
        <v>132</v>
      </c>
      <c r="C34" s="152" t="str">
        <f>'POI Fisico'!D33</f>
        <v>Entrega del Documento de Definición de usos</v>
      </c>
      <c r="D34" s="162" t="str">
        <f>'POI Fisico'!F33</f>
        <v>Documentos</v>
      </c>
      <c r="E34" s="162">
        <f>'POI Fisico'!E33</f>
        <v>5</v>
      </c>
      <c r="F34" s="150">
        <f>IFERROR(G34/E34,0)</f>
        <v>10402645.100495551</v>
      </c>
      <c r="G34" s="149">
        <f>'Calculo de valores unitarios'!N19</f>
        <v>52013225.502477758</v>
      </c>
      <c r="H34" s="148">
        <f>$F34*'POI Fisico'!H33</f>
        <v>0</v>
      </c>
      <c r="I34" s="148">
        <f>$F34*'POI Fisico'!I33</f>
        <v>0</v>
      </c>
      <c r="J34" s="161">
        <f>IF(OR(H34="",H34=0),0,I34/H34)</f>
        <v>0</v>
      </c>
      <c r="K34" s="160"/>
      <c r="L34" s="148">
        <f>$F34*'POI Fisico'!M33</f>
        <v>0</v>
      </c>
      <c r="M34" s="148">
        <f>$F34*'POI Fisico'!N33</f>
        <v>0</v>
      </c>
      <c r="N34" s="161">
        <f>IF(OR(L34="",L34=0),0,M34/L34)</f>
        <v>0</v>
      </c>
      <c r="O34" s="160"/>
      <c r="P34" s="148">
        <f>$F34*'POI Fisico'!R33</f>
        <v>0</v>
      </c>
      <c r="Q34" s="148">
        <f>$F34*'POI Fisico'!S33</f>
        <v>0</v>
      </c>
      <c r="R34" s="147">
        <f>IF(OR(P34="",P34=0),0,Q34/P34)</f>
        <v>0</v>
      </c>
      <c r="S34" s="146"/>
      <c r="T34" s="148">
        <f>$F34*'POI Fisico'!W33</f>
        <v>0</v>
      </c>
      <c r="U34" s="148">
        <f>$F34*'POI Fisico'!X33</f>
        <v>0</v>
      </c>
      <c r="V34" s="147">
        <f>IF(OR(T34="",T34=0),0,U34/T34)</f>
        <v>0</v>
      </c>
      <c r="W34" s="146"/>
      <c r="X34" s="148">
        <f>$F34*'POI Fisico'!AB33</f>
        <v>0</v>
      </c>
      <c r="Y34" s="148">
        <f>$F34*'POI Fisico'!AC33</f>
        <v>0</v>
      </c>
      <c r="Z34" s="147">
        <f>IF(OR(X34="",X34=0),0,Y34/X34)</f>
        <v>0</v>
      </c>
      <c r="AA34" s="146"/>
      <c r="AB34" s="148">
        <f>$F34*'POI Fisico'!AG33</f>
        <v>0</v>
      </c>
      <c r="AC34" s="148">
        <f>$F34*'POI Fisico'!AH33</f>
        <v>0</v>
      </c>
      <c r="AD34" s="147">
        <f>IF(OR(AB34="",AB34=0),0,AC34/AB34)</f>
        <v>0</v>
      </c>
      <c r="AE34" s="146"/>
      <c r="AF34" s="148">
        <f>$F34*'POI Fisico'!AL33</f>
        <v>0</v>
      </c>
      <c r="AG34" s="148">
        <f>$F34*'POI Fisico'!AM33</f>
        <v>0</v>
      </c>
      <c r="AH34" s="147">
        <f>IF(OR(AF34="",AF34=0),0,AG34/AF34)</f>
        <v>0</v>
      </c>
      <c r="AI34" s="146"/>
      <c r="AJ34" s="148">
        <f>$F34*'POI Fisico'!AQ33</f>
        <v>0</v>
      </c>
      <c r="AK34" s="148">
        <f>$F34*'POI Fisico'!AR33</f>
        <v>0</v>
      </c>
      <c r="AL34" s="147">
        <f>IF(OR(AJ34="",AJ34=0),0,AK34/AJ34)</f>
        <v>0</v>
      </c>
      <c r="AM34" s="146"/>
      <c r="AN34" s="148">
        <f>$F34*'POI Fisico'!AV33</f>
        <v>0</v>
      </c>
      <c r="AO34" s="148">
        <f>$F34*'POI Fisico'!AW33</f>
        <v>0</v>
      </c>
      <c r="AP34" s="147">
        <f>IF(OR(AN34="",AN34=0),0,AO34/AN34)</f>
        <v>0</v>
      </c>
      <c r="AQ34" s="146"/>
      <c r="AR34" s="148">
        <f>$F34*'POI Fisico'!BA33</f>
        <v>0</v>
      </c>
      <c r="AS34" s="148">
        <f>$F34*'POI Fisico'!BB33</f>
        <v>0</v>
      </c>
      <c r="AT34" s="147">
        <f>IF(OR(AR34="",AR34=0),0,AS34/AR34)</f>
        <v>0</v>
      </c>
      <c r="AU34" s="146"/>
      <c r="AV34" s="148">
        <f>$F34*'POI Fisico'!BF33</f>
        <v>52013225.50247775</v>
      </c>
      <c r="AW34" s="148">
        <f>$F34*'POI Fisico'!BG33</f>
        <v>0</v>
      </c>
      <c r="AX34" s="147">
        <f>IF(OR(AV34="",AV34=0),0,AW34/AV34)</f>
        <v>0</v>
      </c>
      <c r="AY34" s="146"/>
      <c r="AZ34" s="148">
        <f>$F34*'POI Fisico'!BK33</f>
        <v>0</v>
      </c>
      <c r="BA34" s="148">
        <f>$F34*'POI Fisico'!BL33</f>
        <v>0</v>
      </c>
      <c r="BB34" s="147">
        <f>IF(OR(AZ34="",AZ34=0),0,BA34/AZ34)</f>
        <v>0</v>
      </c>
      <c r="BC34" s="146"/>
      <c r="BD34" s="148">
        <f>$F34*'POI Fisico'!BP33</f>
        <v>0</v>
      </c>
      <c r="BE34" s="148">
        <f>$F34*'POI Fisico'!BQ33</f>
        <v>0</v>
      </c>
      <c r="BF34" s="147">
        <f>IF(OR(BD34="",BD34=0),0,BE34/BD34)</f>
        <v>0</v>
      </c>
      <c r="BG34" s="146"/>
      <c r="BH34" s="148">
        <f>$F34*'POI Fisico'!BU33</f>
        <v>0</v>
      </c>
      <c r="BI34" s="148">
        <f>$F34*'POI Fisico'!BV33</f>
        <v>0</v>
      </c>
      <c r="BJ34" s="147">
        <f>IF(OR(BH34="",BH34=0),0,BI34/BH34)</f>
        <v>0</v>
      </c>
      <c r="BK34" s="146"/>
      <c r="BL34" s="145">
        <f t="shared" si="2"/>
        <v>52013225.50247775</v>
      </c>
      <c r="BM34" s="145">
        <f t="shared" si="2"/>
        <v>0</v>
      </c>
      <c r="BN34" s="144">
        <f>IF(OR(BL34="",BL34=0),0,BM34/BL34)</f>
        <v>0</v>
      </c>
    </row>
    <row r="35" spans="1:66" s="135" customFormat="1" ht="24.95" customHeight="1" x14ac:dyDescent="0.25">
      <c r="A35" s="163"/>
      <c r="B35" s="572" t="str">
        <f>'POI Fisico'!C28</f>
        <v>ALCANCE 3</v>
      </c>
      <c r="C35" s="573"/>
      <c r="D35" s="141"/>
      <c r="E35" s="140"/>
      <c r="F35" s="139"/>
      <c r="G35" s="137">
        <f>SUM(G30:G34)</f>
        <v>309315893.60245001</v>
      </c>
      <c r="H35" s="137">
        <f>SUM(H30:H34)</f>
        <v>68049496.592538998</v>
      </c>
      <c r="I35" s="137">
        <f>SUM(I30:I34)</f>
        <v>0</v>
      </c>
      <c r="J35" s="136">
        <f>IFERROR(IF(H35="",0,I35/H35),0)</f>
        <v>0</v>
      </c>
      <c r="K35" s="137">
        <f>SUM(K30:K34)</f>
        <v>0</v>
      </c>
      <c r="L35" s="137">
        <f>SUM(L30:L34)</f>
        <v>0</v>
      </c>
      <c r="M35" s="137">
        <f>SUM(M30:M34)</f>
        <v>0</v>
      </c>
      <c r="N35" s="136">
        <f>IFERROR(IF(L35="",0,M35/L35),0)</f>
        <v>0</v>
      </c>
      <c r="O35" s="137">
        <f>SUM(O30:O34)</f>
        <v>0</v>
      </c>
      <c r="P35" s="137">
        <f>SUM(P30:P34)</f>
        <v>0</v>
      </c>
      <c r="Q35" s="137">
        <f>SUM(Q30:Q34)</f>
        <v>0</v>
      </c>
      <c r="R35" s="136">
        <f>IFERROR(IF(P35="",0,Q35/P35),0)</f>
        <v>0</v>
      </c>
      <c r="S35" s="137">
        <f>SUM(S30:S34)</f>
        <v>0</v>
      </c>
      <c r="T35" s="137">
        <f>SUM(T30:T34)</f>
        <v>0</v>
      </c>
      <c r="U35" s="137">
        <f>SUM(U30:U34)</f>
        <v>0</v>
      </c>
      <c r="V35" s="136">
        <f>IFERROR(IF(T35="",0,U35/T35),0)</f>
        <v>0</v>
      </c>
      <c r="W35" s="137">
        <f>SUM(W30:W34)</f>
        <v>0</v>
      </c>
      <c r="X35" s="137">
        <f>SUM(X30:X34)</f>
        <v>57240895.502477758</v>
      </c>
      <c r="Y35" s="137">
        <f>SUM(Y30:Y34)</f>
        <v>0</v>
      </c>
      <c r="Z35" s="136">
        <f>IFERROR(IF(X35="",0,Y35/X35),0)</f>
        <v>0</v>
      </c>
      <c r="AA35" s="137">
        <f>SUM(AA30:AA34)</f>
        <v>0</v>
      </c>
      <c r="AB35" s="137">
        <f>SUM(AB30:AB34)</f>
        <v>42555537.301486649</v>
      </c>
      <c r="AC35" s="137">
        <f>SUM(AC30:AC34)</f>
        <v>0</v>
      </c>
      <c r="AD35" s="136">
        <f>IFERROR(IF(AB35="",0,AC35/AB35),0)</f>
        <v>0</v>
      </c>
      <c r="AE35" s="137">
        <f>SUM(AE30:AE34)</f>
        <v>0</v>
      </c>
      <c r="AF35" s="137">
        <f>SUM(AF30:AF34)</f>
        <v>28370358.200991102</v>
      </c>
      <c r="AG35" s="137">
        <f>SUM(AG30:AG34)</f>
        <v>0</v>
      </c>
      <c r="AH35" s="136">
        <f>IFERROR(IF(AF35="",0,AG35/AF35),0)</f>
        <v>0</v>
      </c>
      <c r="AI35" s="137">
        <f>SUM(AI30:AI34)</f>
        <v>0</v>
      </c>
      <c r="AJ35" s="137">
        <f>SUM(AJ30:AJ34)</f>
        <v>0</v>
      </c>
      <c r="AK35" s="137">
        <f>SUM(AK30:AK34)</f>
        <v>0</v>
      </c>
      <c r="AL35" s="136">
        <f>IFERROR(IF(AJ35="",0,AK35/AJ35),0)</f>
        <v>0</v>
      </c>
      <c r="AM35" s="137">
        <f>SUM(AM30:AM34)</f>
        <v>0</v>
      </c>
      <c r="AN35" s="137">
        <f>SUM(AN30:AN34)</f>
        <v>0</v>
      </c>
      <c r="AO35" s="137">
        <f>SUM(AO30:AO34)</f>
        <v>0</v>
      </c>
      <c r="AP35" s="136">
        <f>IFERROR(IF(AN35="",0,AO35/AN35),0)</f>
        <v>0</v>
      </c>
      <c r="AQ35" s="137">
        <f>SUM(AQ30:AQ34)</f>
        <v>0</v>
      </c>
      <c r="AR35" s="137">
        <f>SUM(AR30:AR34)</f>
        <v>36651828.301486656</v>
      </c>
      <c r="AS35" s="137">
        <f>SUM(AS30:AS34)</f>
        <v>0</v>
      </c>
      <c r="AT35" s="136">
        <f>IFERROR(IF(AR35="",0,AS35/AR35),0)</f>
        <v>0</v>
      </c>
      <c r="AU35" s="137">
        <f>SUM(AU30:AU34)</f>
        <v>0</v>
      </c>
      <c r="AV35" s="137">
        <f>SUM(AV30:AV34)</f>
        <v>76447777.703468859</v>
      </c>
      <c r="AW35" s="137">
        <f>SUM(AW30:AW34)</f>
        <v>0</v>
      </c>
      <c r="AX35" s="136">
        <f>IFERROR(IF(AV35="",0,AW35/AV35),0)</f>
        <v>0</v>
      </c>
      <c r="AY35" s="137">
        <f>SUM(AY30:AY34)</f>
        <v>0</v>
      </c>
      <c r="AZ35" s="137">
        <f>SUM(AZ30:AZ34)</f>
        <v>0</v>
      </c>
      <c r="BA35" s="137">
        <f>SUM(BA30:BA34)</f>
        <v>0</v>
      </c>
      <c r="BB35" s="136">
        <f>IFERROR(IF(AZ35="",0,BA35/AZ35),0)</f>
        <v>0</v>
      </c>
      <c r="BC35" s="137">
        <f>SUM(BC30:BC34)</f>
        <v>0</v>
      </c>
      <c r="BD35" s="137">
        <f>SUM(BD30:BD34)</f>
        <v>0</v>
      </c>
      <c r="BE35" s="137">
        <f>SUM(BE30:BE34)</f>
        <v>0</v>
      </c>
      <c r="BF35" s="136">
        <f>IFERROR(IF(BD35="",0,BE35/BD35),0)</f>
        <v>0</v>
      </c>
      <c r="BG35" s="137">
        <f>SUM(BG30:BG34)</f>
        <v>0</v>
      </c>
      <c r="BH35" s="137">
        <f>SUM(BH30:BH34)</f>
        <v>0</v>
      </c>
      <c r="BI35" s="137">
        <f>SUM(BI30:BI34)</f>
        <v>0</v>
      </c>
      <c r="BJ35" s="136">
        <f>IFERROR(IF(BH35="",0,BI35/BH35),0)</f>
        <v>0</v>
      </c>
      <c r="BK35" s="137">
        <f>SUM(BK30:BK34)</f>
        <v>0</v>
      </c>
      <c r="BL35" s="137">
        <f>SUM(BL30:BL34)</f>
        <v>309315893.60245001</v>
      </c>
      <c r="BM35" s="137">
        <f>SUM(BM30:BM34)</f>
        <v>0</v>
      </c>
      <c r="BN35" s="136">
        <f>IFERROR(IF(BL35="",0,BM35/BL35),0)</f>
        <v>0</v>
      </c>
    </row>
    <row r="36" spans="1:66" s="143" customFormat="1" ht="24.95" customHeight="1" x14ac:dyDescent="0.25">
      <c r="A36" s="159">
        <v>4</v>
      </c>
      <c r="B36" s="158" t="s">
        <v>40</v>
      </c>
      <c r="C36" s="157" t="str">
        <f>'POI Fisico'!D35</f>
        <v>FASE DE FORMULACIÓN</v>
      </c>
      <c r="D36" s="156"/>
      <c r="E36" s="156"/>
      <c r="F36" s="156"/>
      <c r="G36" s="155"/>
      <c r="H36" s="559"/>
      <c r="I36" s="560"/>
      <c r="J36" s="560"/>
      <c r="K36" s="561"/>
      <c r="L36" s="549"/>
      <c r="M36" s="550"/>
      <c r="N36" s="550"/>
      <c r="O36" s="551"/>
      <c r="P36" s="549"/>
      <c r="Q36" s="550"/>
      <c r="R36" s="550"/>
      <c r="S36" s="551"/>
      <c r="T36" s="549"/>
      <c r="U36" s="550"/>
      <c r="V36" s="550"/>
      <c r="W36" s="551"/>
      <c r="X36" s="549"/>
      <c r="Y36" s="550"/>
      <c r="Z36" s="550"/>
      <c r="AA36" s="551"/>
      <c r="AB36" s="549"/>
      <c r="AC36" s="550"/>
      <c r="AD36" s="550"/>
      <c r="AE36" s="551"/>
      <c r="AF36" s="549"/>
      <c r="AG36" s="550"/>
      <c r="AH36" s="550"/>
      <c r="AI36" s="551"/>
      <c r="AJ36" s="549"/>
      <c r="AK36" s="550"/>
      <c r="AL36" s="550"/>
      <c r="AM36" s="551"/>
      <c r="AN36" s="549"/>
      <c r="AO36" s="550"/>
      <c r="AP36" s="550"/>
      <c r="AQ36" s="551"/>
      <c r="AR36" s="549"/>
      <c r="AS36" s="550"/>
      <c r="AT36" s="550"/>
      <c r="AU36" s="551"/>
      <c r="AV36" s="549"/>
      <c r="AW36" s="550"/>
      <c r="AX36" s="550"/>
      <c r="AY36" s="551"/>
      <c r="AZ36" s="549"/>
      <c r="BA36" s="550"/>
      <c r="BB36" s="550"/>
      <c r="BC36" s="551"/>
      <c r="BD36" s="549"/>
      <c r="BE36" s="550"/>
      <c r="BF36" s="550"/>
      <c r="BG36" s="551"/>
      <c r="BH36" s="549"/>
      <c r="BI36" s="550"/>
      <c r="BJ36" s="550"/>
      <c r="BK36" s="551"/>
      <c r="BL36" s="549"/>
      <c r="BM36" s="550"/>
      <c r="BN36" s="551"/>
    </row>
    <row r="37" spans="1:66" s="143" customFormat="1" ht="40.5" customHeight="1" x14ac:dyDescent="0.25">
      <c r="A37" s="570" t="s">
        <v>60</v>
      </c>
      <c r="B37" s="500" t="str">
        <f>'POI Fisico'!C36</f>
        <v>Actividad 4.1</v>
      </c>
      <c r="C37" s="152" t="str">
        <f>'POI Fisico'!D36</f>
        <v>Presentar documento de metodología de la fase de Formulación</v>
      </c>
      <c r="D37" s="162" t="str">
        <f>'POI Fisico'!F36</f>
        <v>Documentos</v>
      </c>
      <c r="E37" s="162">
        <f>'POI Fisico'!E36</f>
        <v>5</v>
      </c>
      <c r="F37" s="150">
        <f>IFERROR(G37/E37,0)</f>
        <v>13189605.598507801</v>
      </c>
      <c r="G37" s="149">
        <f>'Calculo de valores unitarios'!N22</f>
        <v>65948027.992539003</v>
      </c>
      <c r="H37" s="148">
        <f>$F37*'POI Fisico'!H36</f>
        <v>65948027.992539003</v>
      </c>
      <c r="I37" s="148">
        <f>$F37*'POI Fisico'!I36</f>
        <v>0</v>
      </c>
      <c r="J37" s="161">
        <f>IF(OR(H37="",H37=0),0,I37/H37)</f>
        <v>0</v>
      </c>
      <c r="K37" s="160"/>
      <c r="L37" s="148">
        <f>$F37*'POI Fisico'!M36</f>
        <v>0</v>
      </c>
      <c r="M37" s="148">
        <f>$F37*'POI Fisico'!N36</f>
        <v>0</v>
      </c>
      <c r="N37" s="161">
        <f>IF(OR(L37="",L37=0),0,M37/L37)</f>
        <v>0</v>
      </c>
      <c r="O37" s="160"/>
      <c r="P37" s="148">
        <f>$F37*'POI Fisico'!R36</f>
        <v>0</v>
      </c>
      <c r="Q37" s="148">
        <f>$F37*'POI Fisico'!S36</f>
        <v>0</v>
      </c>
      <c r="R37" s="147">
        <f>IF(OR(P37="",P37=0),0,Q37/P37)</f>
        <v>0</v>
      </c>
      <c r="S37" s="146"/>
      <c r="T37" s="148">
        <f>$F37*'POI Fisico'!W36</f>
        <v>0</v>
      </c>
      <c r="U37" s="148">
        <f>$F37*'POI Fisico'!X36</f>
        <v>0</v>
      </c>
      <c r="V37" s="147">
        <f>IF(OR(T37="",T37=0),0,U37/T37)</f>
        <v>0</v>
      </c>
      <c r="W37" s="146"/>
      <c r="X37" s="148">
        <f>$F37*'POI Fisico'!AB36</f>
        <v>0</v>
      </c>
      <c r="Y37" s="148">
        <f>$F37*'POI Fisico'!AC36</f>
        <v>0</v>
      </c>
      <c r="Z37" s="147">
        <f>IF(OR(X37="",X37=0),0,Y37/X37)</f>
        <v>0</v>
      </c>
      <c r="AA37" s="146"/>
      <c r="AB37" s="148">
        <f>$F37*'POI Fisico'!AG36</f>
        <v>0</v>
      </c>
      <c r="AC37" s="148">
        <f>$F37*'POI Fisico'!AH36</f>
        <v>0</v>
      </c>
      <c r="AD37" s="147">
        <f>IF(OR(AB37="",AB37=0),0,AC37/AB37)</f>
        <v>0</v>
      </c>
      <c r="AE37" s="146"/>
      <c r="AF37" s="148">
        <f>$F37*'POI Fisico'!AL36</f>
        <v>0</v>
      </c>
      <c r="AG37" s="148">
        <f>$F37*'POI Fisico'!AM36</f>
        <v>0</v>
      </c>
      <c r="AH37" s="147">
        <f>IF(OR(AF37="",AF37=0),0,AG37/AF37)</f>
        <v>0</v>
      </c>
      <c r="AI37" s="146"/>
      <c r="AJ37" s="148">
        <f>$F37*'POI Fisico'!AQ36</f>
        <v>0</v>
      </c>
      <c r="AK37" s="148">
        <f>$F37*'POI Fisico'!AR36</f>
        <v>0</v>
      </c>
      <c r="AL37" s="147">
        <f>IF(OR(AJ37="",AJ37=0),0,AK37/AJ37)</f>
        <v>0</v>
      </c>
      <c r="AM37" s="146"/>
      <c r="AN37" s="148">
        <f>$F37*'POI Fisico'!AV36</f>
        <v>0</v>
      </c>
      <c r="AO37" s="148">
        <f>$F37*'POI Fisico'!AW36</f>
        <v>0</v>
      </c>
      <c r="AP37" s="147">
        <f>IF(OR(AN37="",AN37=0),0,AO37/AN37)</f>
        <v>0</v>
      </c>
      <c r="AQ37" s="146"/>
      <c r="AR37" s="148">
        <f>$F37*'POI Fisico'!BA36</f>
        <v>0</v>
      </c>
      <c r="AS37" s="148">
        <f>$F37*'POI Fisico'!BB36</f>
        <v>0</v>
      </c>
      <c r="AT37" s="147">
        <f>IF(OR(AR37="",AR37=0),0,AS37/AR37)</f>
        <v>0</v>
      </c>
      <c r="AU37" s="146"/>
      <c r="AV37" s="148">
        <f>$F37*'POI Fisico'!BF36</f>
        <v>0</v>
      </c>
      <c r="AW37" s="148">
        <f>$F37*'POI Fisico'!BG36</f>
        <v>0</v>
      </c>
      <c r="AX37" s="147">
        <f>IF(OR(AV37="",AV37=0),0,AW37/AV37)</f>
        <v>0</v>
      </c>
      <c r="AY37" s="146"/>
      <c r="AZ37" s="148">
        <f>$F37*'POI Fisico'!BK36</f>
        <v>0</v>
      </c>
      <c r="BA37" s="148">
        <f>$F37*'POI Fisico'!BL36</f>
        <v>0</v>
      </c>
      <c r="BB37" s="147">
        <f>IF(OR(AZ37="",AZ37=0),0,BA37/AZ37)</f>
        <v>0</v>
      </c>
      <c r="BC37" s="146"/>
      <c r="BD37" s="148">
        <f>$F37*'POI Fisico'!BP36</f>
        <v>0</v>
      </c>
      <c r="BE37" s="148">
        <f>$F37*'POI Fisico'!BQ36</f>
        <v>0</v>
      </c>
      <c r="BF37" s="147">
        <f>IF(OR(BD37="",BD37=0),0,BE37/BD37)</f>
        <v>0</v>
      </c>
      <c r="BG37" s="146"/>
      <c r="BH37" s="148">
        <f>$F37*'POI Fisico'!BU36</f>
        <v>0</v>
      </c>
      <c r="BI37" s="148">
        <f>$F37*'POI Fisico'!BV36</f>
        <v>0</v>
      </c>
      <c r="BJ37" s="147">
        <f>IF(OR(BH37="",BH37=0),0,BI37/BH37)</f>
        <v>0</v>
      </c>
      <c r="BK37" s="146"/>
      <c r="BL37" s="145">
        <f t="shared" ref="BL37:BM40" si="3">H37+L37+P37+T37+X37+AB37+AF37+AJ37+AN37+AR37+AV37+AZ37+BD37+BH37</f>
        <v>65948027.992539003</v>
      </c>
      <c r="BM37" s="145">
        <f t="shared" si="3"/>
        <v>0</v>
      </c>
      <c r="BN37" s="144">
        <f>IF(OR(BL37="",BL37=0),0,BM37/BL37)</f>
        <v>0</v>
      </c>
    </row>
    <row r="38" spans="1:66" s="143" customFormat="1" ht="65.25" customHeight="1" x14ac:dyDescent="0.25">
      <c r="A38" s="571"/>
      <c r="B38" s="508"/>
      <c r="C38" s="152" t="str">
        <f>'POI Fisico'!D37</f>
        <v>Realizar la fase de Formulación Participativa por cuerpo de agua (un taller por cuerpo de agua Ficha T pag 41, incluye refrigerios y gastos de 3 profesionales)</v>
      </c>
      <c r="D38" s="151" t="str">
        <f>'POI Fisico'!F37</f>
        <v>Talleres</v>
      </c>
      <c r="E38" s="151">
        <f>'POI Fisico'!E37</f>
        <v>5</v>
      </c>
      <c r="F38" s="150">
        <f>IFERROR(G38/E38,0)</f>
        <v>15055825.373994071</v>
      </c>
      <c r="G38" s="149">
        <f>'Calculo de valores unitarios'!N23</f>
        <v>75279126.869970351</v>
      </c>
      <c r="H38" s="148">
        <f>$F38*'POI Fisico'!H37</f>
        <v>0</v>
      </c>
      <c r="I38" s="148">
        <f>$F38*'POI Fisico'!I37</f>
        <v>0</v>
      </c>
      <c r="J38" s="147">
        <f>IF(OR(H38="",H38=0),0,I38/H38)</f>
        <v>0</v>
      </c>
      <c r="K38" s="146"/>
      <c r="L38" s="148">
        <f>$F38*'POI Fisico'!M37</f>
        <v>0</v>
      </c>
      <c r="M38" s="148">
        <f>$F38*'POI Fisico'!N37</f>
        <v>0</v>
      </c>
      <c r="N38" s="147">
        <f>IF(OR(L38="",L38=0),0,M38/L38)</f>
        <v>0</v>
      </c>
      <c r="O38" s="146"/>
      <c r="P38" s="148">
        <f>$F38*'POI Fisico'!R37</f>
        <v>0</v>
      </c>
      <c r="Q38" s="148">
        <f>$F38*'POI Fisico'!S37</f>
        <v>0</v>
      </c>
      <c r="R38" s="147">
        <f>IF(OR(P38="",P38=0),0,Q38/P38)</f>
        <v>0</v>
      </c>
      <c r="S38" s="146"/>
      <c r="T38" s="148">
        <f>$F38*'POI Fisico'!W37</f>
        <v>0</v>
      </c>
      <c r="U38" s="148">
        <f>$F38*'POI Fisico'!X37</f>
        <v>0</v>
      </c>
      <c r="V38" s="147">
        <f>IF(OR(T38="",T38=0),0,U38/T38)</f>
        <v>0</v>
      </c>
      <c r="W38" s="146"/>
      <c r="X38" s="148">
        <f>$F38*'POI Fisico'!AB37</f>
        <v>0</v>
      </c>
      <c r="Y38" s="148">
        <f>$F38*'POI Fisico'!AC37</f>
        <v>0</v>
      </c>
      <c r="Z38" s="147">
        <f>IF(OR(X38="",X38=0),0,Y38/X38)</f>
        <v>0</v>
      </c>
      <c r="AA38" s="146"/>
      <c r="AB38" s="148">
        <f>$F38*'POI Fisico'!AG37</f>
        <v>0</v>
      </c>
      <c r="AC38" s="148">
        <f>$F38*'POI Fisico'!AH37</f>
        <v>0</v>
      </c>
      <c r="AD38" s="147">
        <f>IF(OR(AB38="",AB38=0),0,AC38/AB38)</f>
        <v>0</v>
      </c>
      <c r="AE38" s="146"/>
      <c r="AF38" s="148">
        <f>$F38*'POI Fisico'!AL37</f>
        <v>0</v>
      </c>
      <c r="AG38" s="148">
        <f>$F38*'POI Fisico'!AM37</f>
        <v>0</v>
      </c>
      <c r="AH38" s="147">
        <f>IF(OR(AF38="",AF38=0),0,AG38/AF38)</f>
        <v>0</v>
      </c>
      <c r="AI38" s="146"/>
      <c r="AJ38" s="148">
        <f>$F38*'POI Fisico'!AQ37</f>
        <v>0</v>
      </c>
      <c r="AK38" s="148">
        <f>$F38*'POI Fisico'!AR37</f>
        <v>0</v>
      </c>
      <c r="AL38" s="147">
        <f>IF(OR(AJ38="",AJ38=0),0,AK38/AJ38)</f>
        <v>0</v>
      </c>
      <c r="AM38" s="146"/>
      <c r="AN38" s="148">
        <f>$F38*'POI Fisico'!AV37</f>
        <v>0</v>
      </c>
      <c r="AO38" s="148">
        <f>$F38*'POI Fisico'!AW37</f>
        <v>0</v>
      </c>
      <c r="AP38" s="147">
        <f>IF(OR(AN38="",AN38=0),0,AO38/AN38)</f>
        <v>0</v>
      </c>
      <c r="AQ38" s="146"/>
      <c r="AR38" s="148">
        <f>$F38*'POI Fisico'!BA37</f>
        <v>0</v>
      </c>
      <c r="AS38" s="148">
        <f>$F38*'POI Fisico'!BB37</f>
        <v>0</v>
      </c>
      <c r="AT38" s="147">
        <f>IF(OR(AR38="",AR38=0),0,AS38/AR38)</f>
        <v>0</v>
      </c>
      <c r="AU38" s="146"/>
      <c r="AV38" s="148">
        <f>$F38*'POI Fisico'!BF37</f>
        <v>0</v>
      </c>
      <c r="AW38" s="148">
        <f>$F38*'POI Fisico'!BG37</f>
        <v>0</v>
      </c>
      <c r="AX38" s="147">
        <f>IF(OR(AV38="",AV38=0),0,AW38/AV38)</f>
        <v>0</v>
      </c>
      <c r="AY38" s="146"/>
      <c r="AZ38" s="148">
        <f>$F38*'POI Fisico'!BK37</f>
        <v>75279126.869970351</v>
      </c>
      <c r="BA38" s="148">
        <f>$F38*'POI Fisico'!BL37</f>
        <v>0</v>
      </c>
      <c r="BB38" s="147">
        <f>IF(OR(AZ38="",AZ38=0),0,BA38/AZ38)</f>
        <v>0</v>
      </c>
      <c r="BC38" s="146"/>
      <c r="BD38" s="148">
        <f>$F38*'POI Fisico'!BP37</f>
        <v>0</v>
      </c>
      <c r="BE38" s="148">
        <f>$F38*'POI Fisico'!BQ37</f>
        <v>0</v>
      </c>
      <c r="BF38" s="147">
        <f>IF(OR(BD38="",BD38=0),0,BE38/BD38)</f>
        <v>0</v>
      </c>
      <c r="BG38" s="146"/>
      <c r="BH38" s="148">
        <f>$F38*'POI Fisico'!BU37</f>
        <v>0</v>
      </c>
      <c r="BI38" s="148">
        <f>$F38*'POI Fisico'!BV37</f>
        <v>0</v>
      </c>
      <c r="BJ38" s="147">
        <f>IF(OR(BH38="",BH38=0),0,BI38/BH38)</f>
        <v>0</v>
      </c>
      <c r="BK38" s="146"/>
      <c r="BL38" s="145">
        <f t="shared" si="3"/>
        <v>75279126.869970351</v>
      </c>
      <c r="BM38" s="145">
        <f t="shared" si="3"/>
        <v>0</v>
      </c>
      <c r="BN38" s="144">
        <f>IF(OR(BL38="",BL38=0),0,BM38/BL38)</f>
        <v>0</v>
      </c>
    </row>
    <row r="39" spans="1:66" s="143" customFormat="1" ht="65.25" customHeight="1" x14ac:dyDescent="0.25">
      <c r="A39" s="440" t="s">
        <v>61</v>
      </c>
      <c r="B39" s="153" t="str">
        <f>'POI Fisico'!C38</f>
        <v>Actividad 4.2</v>
      </c>
      <c r="C39" s="152" t="str">
        <f>'POI Fisico'!D38</f>
        <v>Recorridos (incluyen gastos de viaje de 3 profesionales por 5 dias, recorridos urbanos y rurales)</v>
      </c>
      <c r="D39" s="151" t="str">
        <f>'POI Fisico'!F38</f>
        <v>Recorridos</v>
      </c>
      <c r="E39" s="151">
        <f>'POI Fisico'!E38</f>
        <v>75</v>
      </c>
      <c r="F39" s="150">
        <f>IFERROR(G39/E39,0)</f>
        <v>1179802.0249329379</v>
      </c>
      <c r="G39" s="149">
        <f>'Calculo de valores unitarios'!N24</f>
        <v>88485151.869970351</v>
      </c>
      <c r="H39" s="148">
        <f>$F39*'POI Fisico'!H38</f>
        <v>0</v>
      </c>
      <c r="I39" s="148">
        <f>$F39*'POI Fisico'!I38</f>
        <v>0</v>
      </c>
      <c r="J39" s="147">
        <f>IF(OR(H39="",H39=0),0,I39/H39)</f>
        <v>0</v>
      </c>
      <c r="K39" s="146"/>
      <c r="L39" s="148">
        <f>$F39*'POI Fisico'!M38</f>
        <v>0</v>
      </c>
      <c r="M39" s="148">
        <f>$F39*'POI Fisico'!N38</f>
        <v>0</v>
      </c>
      <c r="N39" s="147">
        <f>IF(OR(L39="",L39=0),0,M39/L39)</f>
        <v>0</v>
      </c>
      <c r="O39" s="146"/>
      <c r="P39" s="148">
        <f>$F39*'POI Fisico'!R38</f>
        <v>0</v>
      </c>
      <c r="Q39" s="148">
        <f>$F39*'POI Fisico'!S38</f>
        <v>0</v>
      </c>
      <c r="R39" s="147">
        <f>IF(OR(P39="",P39=0),0,Q39/P39)</f>
        <v>0</v>
      </c>
      <c r="S39" s="146"/>
      <c r="T39" s="148">
        <f>$F39*'POI Fisico'!W38</f>
        <v>0</v>
      </c>
      <c r="U39" s="148">
        <f>$F39*'POI Fisico'!X38</f>
        <v>0</v>
      </c>
      <c r="V39" s="147">
        <f>IF(OR(T39="",T39=0),0,U39/T39)</f>
        <v>0</v>
      </c>
      <c r="W39" s="146"/>
      <c r="X39" s="148">
        <f>$F39*'POI Fisico'!AB38</f>
        <v>0</v>
      </c>
      <c r="Y39" s="148">
        <f>$F39*'POI Fisico'!AC38</f>
        <v>0</v>
      </c>
      <c r="Z39" s="147">
        <f>IF(OR(X39="",X39=0),0,Y39/X39)</f>
        <v>0</v>
      </c>
      <c r="AA39" s="146"/>
      <c r="AB39" s="148">
        <f>$F39*'POI Fisico'!AG38</f>
        <v>0</v>
      </c>
      <c r="AC39" s="148">
        <f>$F39*'POI Fisico'!AH38</f>
        <v>0</v>
      </c>
      <c r="AD39" s="147">
        <f>IF(OR(AB39="",AB39=0),0,AC39/AB39)</f>
        <v>0</v>
      </c>
      <c r="AE39" s="146"/>
      <c r="AF39" s="148">
        <f>$F39*'POI Fisico'!AL38</f>
        <v>0</v>
      </c>
      <c r="AG39" s="148">
        <f>$F39*'POI Fisico'!AM38</f>
        <v>0</v>
      </c>
      <c r="AH39" s="147">
        <f>IF(OR(AF39="",AF39=0),0,AG39/AF39)</f>
        <v>0</v>
      </c>
      <c r="AI39" s="146"/>
      <c r="AJ39" s="148">
        <f>$F39*'POI Fisico'!AQ38</f>
        <v>0</v>
      </c>
      <c r="AK39" s="148">
        <f>$F39*'POI Fisico'!AR38</f>
        <v>0</v>
      </c>
      <c r="AL39" s="147">
        <f>IF(OR(AJ39="",AJ39=0),0,AK39/AJ39)</f>
        <v>0</v>
      </c>
      <c r="AM39" s="146"/>
      <c r="AN39" s="148">
        <f>$F39*'POI Fisico'!AV38</f>
        <v>0</v>
      </c>
      <c r="AO39" s="148">
        <f>$F39*'POI Fisico'!AW38</f>
        <v>0</v>
      </c>
      <c r="AP39" s="147">
        <f>IF(OR(AN39="",AN39=0),0,AO39/AN39)</f>
        <v>0</v>
      </c>
      <c r="AQ39" s="146"/>
      <c r="AR39" s="148">
        <f>$F39*'POI Fisico'!BA38</f>
        <v>0</v>
      </c>
      <c r="AS39" s="148">
        <f>$F39*'POI Fisico'!BB38</f>
        <v>0</v>
      </c>
      <c r="AT39" s="147">
        <f>IF(OR(AR39="",AR39=0),0,AS39/AR39)</f>
        <v>0</v>
      </c>
      <c r="AU39" s="146"/>
      <c r="AV39" s="148">
        <f>$F39*'POI Fisico'!BF38</f>
        <v>53091091.121982209</v>
      </c>
      <c r="AW39" s="148">
        <f>$F39*'POI Fisico'!BG38</f>
        <v>0</v>
      </c>
      <c r="AX39" s="147">
        <f>IF(OR(AV39="",AV39=0),0,AW39/AV39)</f>
        <v>0</v>
      </c>
      <c r="AY39" s="146"/>
      <c r="AZ39" s="148">
        <f>$F39*'POI Fisico'!BK38</f>
        <v>35394060.747988135</v>
      </c>
      <c r="BA39" s="148">
        <f>$F39*'POI Fisico'!BL38</f>
        <v>0</v>
      </c>
      <c r="BB39" s="147">
        <f>IF(OR(AZ39="",AZ39=0),0,BA39/AZ39)</f>
        <v>0</v>
      </c>
      <c r="BC39" s="146"/>
      <c r="BD39" s="148">
        <f>$F39*'POI Fisico'!BP38</f>
        <v>0</v>
      </c>
      <c r="BE39" s="148">
        <f>$F39*'POI Fisico'!BQ38</f>
        <v>0</v>
      </c>
      <c r="BF39" s="147">
        <f>IF(OR(BD39="",BD39=0),0,BE39/BD39)</f>
        <v>0</v>
      </c>
      <c r="BG39" s="146"/>
      <c r="BH39" s="148">
        <f>$F39*'POI Fisico'!BU38</f>
        <v>0</v>
      </c>
      <c r="BI39" s="148">
        <f>$F39*'POI Fisico'!BV38</f>
        <v>0</v>
      </c>
      <c r="BJ39" s="147">
        <f>IF(OR(BH39="",BH39=0),0,BI39/BH39)</f>
        <v>0</v>
      </c>
      <c r="BK39" s="146"/>
      <c r="BL39" s="145">
        <f t="shared" si="3"/>
        <v>88485151.869970351</v>
      </c>
      <c r="BM39" s="145">
        <f t="shared" si="3"/>
        <v>0</v>
      </c>
      <c r="BN39" s="144">
        <f>IF(OR(BL39="",BL39=0),0,BM39/BL39)</f>
        <v>0</v>
      </c>
    </row>
    <row r="40" spans="1:66" s="143" customFormat="1" ht="58.5" customHeight="1" x14ac:dyDescent="0.25">
      <c r="A40" s="439" t="s">
        <v>170</v>
      </c>
      <c r="B40" s="153" t="str">
        <f>'POI Fisico'!C39</f>
        <v>Actividad 4.3</v>
      </c>
      <c r="C40" s="152" t="str">
        <f>'POI Fisico'!D39</f>
        <v>Entregar documento de fase de formulación y PORH</v>
      </c>
      <c r="D40" s="151" t="str">
        <f>'POI Fisico'!F39</f>
        <v>Documentos</v>
      </c>
      <c r="E40" s="151">
        <f>'POI Fisico'!E39</f>
        <v>5</v>
      </c>
      <c r="F40" s="150">
        <f>IFERROR(G40/E40,0)</f>
        <v>14010291.373994071</v>
      </c>
      <c r="G40" s="149">
        <f>'Calculo de valores unitarios'!N25</f>
        <v>70051456.869970351</v>
      </c>
      <c r="H40" s="148">
        <f>$F40*'POI Fisico'!H39</f>
        <v>0</v>
      </c>
      <c r="I40" s="148">
        <f>$F40*'POI Fisico'!I39</f>
        <v>0</v>
      </c>
      <c r="J40" s="147">
        <f>IF(OR(H40="",H40=0),0,I40/H40)</f>
        <v>0</v>
      </c>
      <c r="K40" s="146"/>
      <c r="L40" s="148">
        <f>$F40*'POI Fisico'!M39</f>
        <v>0</v>
      </c>
      <c r="M40" s="148">
        <f>$F40*'POI Fisico'!N39</f>
        <v>0</v>
      </c>
      <c r="N40" s="147">
        <f>IF(OR(L40="",L40=0),0,M40/L40)</f>
        <v>0</v>
      </c>
      <c r="O40" s="146"/>
      <c r="P40" s="148">
        <f>$F40*'POI Fisico'!R39</f>
        <v>0</v>
      </c>
      <c r="Q40" s="148">
        <f>$F40*'POI Fisico'!S39</f>
        <v>0</v>
      </c>
      <c r="R40" s="147">
        <f>IF(OR(P40="",P40=0),0,Q40/P40)</f>
        <v>0</v>
      </c>
      <c r="S40" s="146"/>
      <c r="T40" s="148">
        <f>$F40*'POI Fisico'!W39</f>
        <v>0</v>
      </c>
      <c r="U40" s="148">
        <f>$F40*'POI Fisico'!X39</f>
        <v>0</v>
      </c>
      <c r="V40" s="147">
        <f>IF(OR(T40="",T40=0),0,U40/T40)</f>
        <v>0</v>
      </c>
      <c r="W40" s="146"/>
      <c r="X40" s="148">
        <f>$F40*'POI Fisico'!AB39</f>
        <v>0</v>
      </c>
      <c r="Y40" s="148">
        <f>$F40*'POI Fisico'!AC39</f>
        <v>0</v>
      </c>
      <c r="Z40" s="147">
        <f>IF(OR(X40="",X40=0),0,Y40/X40)</f>
        <v>0</v>
      </c>
      <c r="AA40" s="146"/>
      <c r="AB40" s="148">
        <f>$F40*'POI Fisico'!AG39</f>
        <v>0</v>
      </c>
      <c r="AC40" s="148">
        <f>$F40*'POI Fisico'!AH39</f>
        <v>0</v>
      </c>
      <c r="AD40" s="147">
        <f>IF(OR(AB40="",AB40=0),0,AC40/AB40)</f>
        <v>0</v>
      </c>
      <c r="AE40" s="146"/>
      <c r="AF40" s="148">
        <f>$F40*'POI Fisico'!AL39</f>
        <v>0</v>
      </c>
      <c r="AG40" s="148">
        <f>$F40*'POI Fisico'!AM39</f>
        <v>0</v>
      </c>
      <c r="AH40" s="147">
        <f>IF(OR(AF40="",AF40=0),0,AG40/AF40)</f>
        <v>0</v>
      </c>
      <c r="AI40" s="146"/>
      <c r="AJ40" s="148">
        <f>$F40*'POI Fisico'!AQ39</f>
        <v>0</v>
      </c>
      <c r="AK40" s="148">
        <f>$F40*'POI Fisico'!AR39</f>
        <v>0</v>
      </c>
      <c r="AL40" s="147">
        <f>IF(OR(AJ40="",AJ40=0),0,AK40/AJ40)</f>
        <v>0</v>
      </c>
      <c r="AM40" s="146"/>
      <c r="AN40" s="148">
        <f>$F40*'POI Fisico'!AV39</f>
        <v>0</v>
      </c>
      <c r="AO40" s="148">
        <f>$F40*'POI Fisico'!AW39</f>
        <v>0</v>
      </c>
      <c r="AP40" s="147">
        <f>IF(OR(AN40="",AN40=0),0,AO40/AN40)</f>
        <v>0</v>
      </c>
      <c r="AQ40" s="146"/>
      <c r="AR40" s="148">
        <f>$F40*'POI Fisico'!BA39</f>
        <v>0</v>
      </c>
      <c r="AS40" s="148">
        <f>$F40*'POI Fisico'!BB39</f>
        <v>0</v>
      </c>
      <c r="AT40" s="147">
        <f>IF(OR(AR40="",AR40=0),0,AS40/AR40)</f>
        <v>0</v>
      </c>
      <c r="AU40" s="146"/>
      <c r="AV40" s="148">
        <f>$F40*'POI Fisico'!BF39</f>
        <v>0</v>
      </c>
      <c r="AW40" s="148">
        <f>$F40*'POI Fisico'!BG39</f>
        <v>0</v>
      </c>
      <c r="AX40" s="147">
        <f>IF(OR(AV40="",AV40=0),0,AW40/AV40)</f>
        <v>0</v>
      </c>
      <c r="AY40" s="146"/>
      <c r="AZ40" s="148">
        <f>$F40*'POI Fisico'!BK39</f>
        <v>0</v>
      </c>
      <c r="BA40" s="148">
        <f>$F40*'POI Fisico'!BL39</f>
        <v>0</v>
      </c>
      <c r="BB40" s="147">
        <f>IF(OR(AZ40="",AZ40=0),0,BA40/AZ40)</f>
        <v>0</v>
      </c>
      <c r="BC40" s="146"/>
      <c r="BD40" s="148">
        <f>$F40*'POI Fisico'!BP39</f>
        <v>0</v>
      </c>
      <c r="BE40" s="148">
        <f>$F40*'POI Fisico'!BQ39</f>
        <v>0</v>
      </c>
      <c r="BF40" s="147">
        <f>IF(OR(BD40="",BD40=0),0,BE40/BD40)</f>
        <v>0</v>
      </c>
      <c r="BG40" s="146"/>
      <c r="BH40" s="148">
        <f>$F40*'POI Fisico'!BU39</f>
        <v>70051456.869970351</v>
      </c>
      <c r="BI40" s="148">
        <f>$F40*'POI Fisico'!BV39</f>
        <v>0</v>
      </c>
      <c r="BJ40" s="147">
        <f>IF(OR(BH40="",BH40=0),0,BI40/BH40)</f>
        <v>0</v>
      </c>
      <c r="BK40" s="146"/>
      <c r="BL40" s="145">
        <f t="shared" si="3"/>
        <v>70051456.869970351</v>
      </c>
      <c r="BM40" s="145">
        <f t="shared" si="3"/>
        <v>0</v>
      </c>
      <c r="BN40" s="144">
        <f>IF(OR(BL40="",BL40=0),0,BM40/BL40)</f>
        <v>0</v>
      </c>
    </row>
    <row r="41" spans="1:66" s="135" customFormat="1" ht="24.95" customHeight="1" thickBot="1" x14ac:dyDescent="0.3">
      <c r="A41" s="142"/>
      <c r="B41" s="572" t="str">
        <f>'POI Fisico'!C35</f>
        <v>ALCANCE 4</v>
      </c>
      <c r="C41" s="573"/>
      <c r="D41" s="141"/>
      <c r="E41" s="140"/>
      <c r="F41" s="139"/>
      <c r="G41" s="137">
        <f>SUM(G37:G40)</f>
        <v>299763763.60245007</v>
      </c>
      <c r="H41" s="137">
        <f>SUM(H37:H40)</f>
        <v>65948027.992539003</v>
      </c>
      <c r="I41" s="137">
        <f>SUM(I37:I40)</f>
        <v>0</v>
      </c>
      <c r="J41" s="147">
        <f>IF(OR(H41="",H41=0),0,I41/H41)</f>
        <v>0</v>
      </c>
      <c r="K41" s="137">
        <f>SUM(K37:K40)</f>
        <v>0</v>
      </c>
      <c r="L41" s="137">
        <f>SUM(L37:L40)</f>
        <v>0</v>
      </c>
      <c r="M41" s="137">
        <f>SUM(M37:M40)</f>
        <v>0</v>
      </c>
      <c r="N41" s="136">
        <f>IFERROR(IF(L41="",0,M41/L41),0)</f>
        <v>0</v>
      </c>
      <c r="O41" s="137">
        <f>SUM(O37:O40)</f>
        <v>0</v>
      </c>
      <c r="P41" s="137">
        <f>SUM(P37:P40)</f>
        <v>0</v>
      </c>
      <c r="Q41" s="137">
        <f>SUM(Q37:Q40)</f>
        <v>0</v>
      </c>
      <c r="R41" s="136">
        <f>IFERROR(IF(P41="",0,Q41/P41),0)</f>
        <v>0</v>
      </c>
      <c r="S41" s="137">
        <f>SUM(S37:S40)</f>
        <v>0</v>
      </c>
      <c r="T41" s="137">
        <f>SUM(T37:T40)</f>
        <v>0</v>
      </c>
      <c r="U41" s="137">
        <f>SUM(U37:U40)</f>
        <v>0</v>
      </c>
      <c r="V41" s="136">
        <f>IFERROR(IF(T41="",0,U41/T41),0)</f>
        <v>0</v>
      </c>
      <c r="W41" s="137">
        <f>SUM(W37:W40)</f>
        <v>0</v>
      </c>
      <c r="X41" s="137">
        <f>SUM(X37:X40)</f>
        <v>0</v>
      </c>
      <c r="Y41" s="137">
        <f>SUM(Y37:Y40)</f>
        <v>0</v>
      </c>
      <c r="Z41" s="136">
        <f>IFERROR(IF(X41="",0,Y41/X41),0)</f>
        <v>0</v>
      </c>
      <c r="AA41" s="137">
        <f>SUM(AA37:AA40)</f>
        <v>0</v>
      </c>
      <c r="AB41" s="137">
        <f>SUM(AB37:AB40)</f>
        <v>0</v>
      </c>
      <c r="AC41" s="137">
        <f>SUM(AC37:AC40)</f>
        <v>0</v>
      </c>
      <c r="AD41" s="136">
        <f>IFERROR(IF(AB41="",0,AC41/AB41),0)</f>
        <v>0</v>
      </c>
      <c r="AE41" s="137">
        <f>SUM(AE37:AE40)</f>
        <v>0</v>
      </c>
      <c r="AF41" s="137">
        <f>SUM(AF37:AF40)</f>
        <v>0</v>
      </c>
      <c r="AG41" s="137">
        <f>SUM(AG37:AG40)</f>
        <v>0</v>
      </c>
      <c r="AH41" s="136">
        <f>IFERROR(IF(AF41="",0,AG41/AF41),0)</f>
        <v>0</v>
      </c>
      <c r="AI41" s="137">
        <f>SUM(AI37:AI40)</f>
        <v>0</v>
      </c>
      <c r="AJ41" s="137">
        <f>SUM(AJ37:AJ40)</f>
        <v>0</v>
      </c>
      <c r="AK41" s="137">
        <f>SUM(AK37:AK40)</f>
        <v>0</v>
      </c>
      <c r="AL41" s="136">
        <f>IFERROR(IF(AJ41="",0,AK41/AJ41),0)</f>
        <v>0</v>
      </c>
      <c r="AM41" s="137">
        <f>SUM(AM37:AM40)</f>
        <v>0</v>
      </c>
      <c r="AN41" s="137">
        <f>SUM(AN37:AN40)</f>
        <v>0</v>
      </c>
      <c r="AO41" s="137">
        <f>SUM(AO37:AO40)</f>
        <v>0</v>
      </c>
      <c r="AP41" s="136">
        <f>IFERROR(IF(AN41="",0,AO41/AN41),0)</f>
        <v>0</v>
      </c>
      <c r="AQ41" s="137">
        <f>SUM(AQ37:AQ40)</f>
        <v>0</v>
      </c>
      <c r="AR41" s="137">
        <f>SUM(AR37:AR40)</f>
        <v>0</v>
      </c>
      <c r="AS41" s="137">
        <f>SUM(AS37:AS40)</f>
        <v>0</v>
      </c>
      <c r="AT41" s="136">
        <f>IFERROR(IF(AR41="",0,AS41/AR41),0)</f>
        <v>0</v>
      </c>
      <c r="AU41" s="137">
        <f>SUM(AU37:AU40)</f>
        <v>0</v>
      </c>
      <c r="AV41" s="137">
        <f>SUM(AV37:AV40)</f>
        <v>53091091.121982209</v>
      </c>
      <c r="AW41" s="137">
        <f>SUM(AW37:AW40)</f>
        <v>0</v>
      </c>
      <c r="AX41" s="136">
        <f>IFERROR(IF(AV41="",0,AW41/AV41),0)</f>
        <v>0</v>
      </c>
      <c r="AY41" s="137">
        <f>SUM(AY37:AY40)</f>
        <v>0</v>
      </c>
      <c r="AZ41" s="137">
        <f>SUM(AZ37:AZ40)</f>
        <v>110673187.61795849</v>
      </c>
      <c r="BA41" s="137">
        <f>SUM(BA37:BA40)</f>
        <v>0</v>
      </c>
      <c r="BB41" s="136">
        <f>IFERROR(IF(AZ41="",0,BA41/AZ41),0)</f>
        <v>0</v>
      </c>
      <c r="BC41" s="137">
        <f>SUM(BC37:BC40)</f>
        <v>0</v>
      </c>
      <c r="BD41" s="137">
        <f>SUM(BD37:BD40)</f>
        <v>0</v>
      </c>
      <c r="BE41" s="137">
        <f>SUM(BE37:BE40)</f>
        <v>0</v>
      </c>
      <c r="BF41" s="136">
        <f>IFERROR(IF(BD41="",0,BE41/BD41),0)</f>
        <v>0</v>
      </c>
      <c r="BG41" s="137">
        <f>SUM(BG37:BG40)</f>
        <v>0</v>
      </c>
      <c r="BH41" s="137">
        <f>SUM(BH37:BH40)</f>
        <v>70051456.869970351</v>
      </c>
      <c r="BI41" s="137">
        <f>SUM(BI37:BI40)</f>
        <v>0</v>
      </c>
      <c r="BJ41" s="136">
        <f>IFERROR(IF(BH41="",0,BI41/BH41),0)</f>
        <v>0</v>
      </c>
      <c r="BK41" s="137">
        <f>SUM(BK37:BK40)</f>
        <v>0</v>
      </c>
      <c r="BL41" s="137">
        <f>SUM(BL37:BL40)</f>
        <v>299763763.60245007</v>
      </c>
      <c r="BM41" s="137">
        <f>SUM(BM37:BM40)</f>
        <v>0</v>
      </c>
      <c r="BN41" s="136">
        <f>IFERROR(IF(BL41="",0,BM41/BL41),0)</f>
        <v>0</v>
      </c>
    </row>
    <row r="42" spans="1:66" s="143" customFormat="1" ht="24.95" customHeight="1" x14ac:dyDescent="0.25">
      <c r="A42" s="159">
        <v>5</v>
      </c>
      <c r="B42" s="158" t="s">
        <v>74</v>
      </c>
      <c r="C42" s="157" t="str">
        <f>'POI Fisico'!D41</f>
        <v>CONSULTA PREVIA</v>
      </c>
      <c r="D42" s="156"/>
      <c r="E42" s="156"/>
      <c r="F42" s="156"/>
      <c r="G42" s="155"/>
      <c r="H42" s="559"/>
      <c r="I42" s="560"/>
      <c r="J42" s="560"/>
      <c r="K42" s="561"/>
      <c r="L42" s="549"/>
      <c r="M42" s="550"/>
      <c r="N42" s="550"/>
      <c r="O42" s="551"/>
      <c r="P42" s="549"/>
      <c r="Q42" s="550"/>
      <c r="R42" s="550"/>
      <c r="S42" s="551"/>
      <c r="T42" s="549"/>
      <c r="U42" s="550"/>
      <c r="V42" s="550"/>
      <c r="W42" s="551"/>
      <c r="X42" s="549"/>
      <c r="Y42" s="550"/>
      <c r="Z42" s="550"/>
      <c r="AA42" s="551"/>
      <c r="AB42" s="549"/>
      <c r="AC42" s="550"/>
      <c r="AD42" s="550"/>
      <c r="AE42" s="551"/>
      <c r="AF42" s="549"/>
      <c r="AG42" s="550"/>
      <c r="AH42" s="550"/>
      <c r="AI42" s="551"/>
      <c r="AJ42" s="549"/>
      <c r="AK42" s="550"/>
      <c r="AL42" s="550"/>
      <c r="AM42" s="551"/>
      <c r="AN42" s="549"/>
      <c r="AO42" s="550"/>
      <c r="AP42" s="550"/>
      <c r="AQ42" s="551"/>
      <c r="AR42" s="549"/>
      <c r="AS42" s="550"/>
      <c r="AT42" s="550"/>
      <c r="AU42" s="551"/>
      <c r="AV42" s="549"/>
      <c r="AW42" s="550"/>
      <c r="AX42" s="550"/>
      <c r="AY42" s="551"/>
      <c r="AZ42" s="549"/>
      <c r="BA42" s="550"/>
      <c r="BB42" s="550"/>
      <c r="BC42" s="551"/>
      <c r="BD42" s="549"/>
      <c r="BE42" s="550"/>
      <c r="BF42" s="550"/>
      <c r="BG42" s="551"/>
      <c r="BH42" s="549"/>
      <c r="BI42" s="550"/>
      <c r="BJ42" s="550"/>
      <c r="BK42" s="551"/>
      <c r="BL42" s="549"/>
      <c r="BM42" s="550"/>
      <c r="BN42" s="551"/>
    </row>
    <row r="43" spans="1:66" s="143" customFormat="1" ht="65.25" customHeight="1" x14ac:dyDescent="0.25">
      <c r="A43" s="153" t="str">
        <f>'POI Fisico'!B42</f>
        <v>5.1</v>
      </c>
      <c r="B43" s="153" t="str">
        <f>'POI Fisico'!C42</f>
        <v>Actividad 5.1</v>
      </c>
      <c r="C43" s="153" t="str">
        <f>'POI Fisico'!D42</f>
        <v>Presentar documento propuesta de ruta metodológica y diseño de la Consulta previa</v>
      </c>
      <c r="D43" s="151" t="str">
        <f>'POI Fisico'!F42</f>
        <v>Documento</v>
      </c>
      <c r="E43" s="151">
        <f>'POI Fisico'!E42</f>
        <v>1</v>
      </c>
      <c r="F43" s="150">
        <f>IFERROR(G43/E43,0)</f>
        <v>44122801.615523405</v>
      </c>
      <c r="G43" s="149">
        <f>'Calculo de valores unitarios'!N28</f>
        <v>44122801.615523405</v>
      </c>
      <c r="H43" s="148">
        <f>$F43*'POI Fisico'!H42</f>
        <v>44122801.615523405</v>
      </c>
      <c r="I43" s="148">
        <f>$F43*'POI Fisico'!I42</f>
        <v>0</v>
      </c>
      <c r="J43" s="147">
        <f>IF(OR(H43="",H43=0),0,I43/H43)</f>
        <v>0</v>
      </c>
      <c r="K43" s="146"/>
      <c r="L43" s="148">
        <f>$F43*'POI Fisico'!M42</f>
        <v>0</v>
      </c>
      <c r="M43" s="148">
        <f>$F43*'POI Fisico'!N42</f>
        <v>0</v>
      </c>
      <c r="N43" s="147">
        <f>IF(OR(L43="",L43=0),0,M43/L43)</f>
        <v>0</v>
      </c>
      <c r="O43" s="146"/>
      <c r="P43" s="148">
        <f>$F43*'POI Fisico'!R42</f>
        <v>0</v>
      </c>
      <c r="Q43" s="148">
        <f>$F43*'POI Fisico'!S42</f>
        <v>0</v>
      </c>
      <c r="R43" s="147">
        <f>IF(OR(P43="",P43=0),0,Q43/P43)</f>
        <v>0</v>
      </c>
      <c r="S43" s="146"/>
      <c r="T43" s="148">
        <f>$F43*'POI Fisico'!W42</f>
        <v>0</v>
      </c>
      <c r="U43" s="148">
        <f>$F43*'POI Fisico'!X42</f>
        <v>0</v>
      </c>
      <c r="V43" s="147">
        <f>IF(OR(T43="",T43=0),0,U43/T43)</f>
        <v>0</v>
      </c>
      <c r="W43" s="146"/>
      <c r="X43" s="148">
        <f>$F43*'POI Fisico'!AB42</f>
        <v>0</v>
      </c>
      <c r="Y43" s="148">
        <f>$F43*'POI Fisico'!AC42</f>
        <v>0</v>
      </c>
      <c r="Z43" s="147">
        <f>IF(OR(X43="",X43=0),0,Y43/X43)</f>
        <v>0</v>
      </c>
      <c r="AA43" s="146"/>
      <c r="AB43" s="148">
        <f>$F43*'POI Fisico'!AG42</f>
        <v>0</v>
      </c>
      <c r="AC43" s="148">
        <f>$F43*'POI Fisico'!AH42</f>
        <v>0</v>
      </c>
      <c r="AD43" s="147">
        <f>IF(OR(AB43="",AB43=0),0,AC43/AB43)</f>
        <v>0</v>
      </c>
      <c r="AE43" s="146"/>
      <c r="AF43" s="148">
        <f>$F43*'POI Fisico'!AL42</f>
        <v>0</v>
      </c>
      <c r="AG43" s="148">
        <f>$F43*'POI Fisico'!AM42</f>
        <v>0</v>
      </c>
      <c r="AH43" s="147">
        <f>IF(OR(AF43="",AF43=0),0,AG43/AF43)</f>
        <v>0</v>
      </c>
      <c r="AI43" s="146"/>
      <c r="AJ43" s="148">
        <f>$F43*'POI Fisico'!AQ42</f>
        <v>0</v>
      </c>
      <c r="AK43" s="148">
        <f>$F43*'POI Fisico'!AR42</f>
        <v>0</v>
      </c>
      <c r="AL43" s="147">
        <f>IF(OR(AJ43="",AJ43=0),0,AK43/AJ43)</f>
        <v>0</v>
      </c>
      <c r="AM43" s="146"/>
      <c r="AN43" s="148">
        <f>$F43*'POI Fisico'!AV42</f>
        <v>0</v>
      </c>
      <c r="AO43" s="148">
        <f>$F43*'POI Fisico'!AW42</f>
        <v>0</v>
      </c>
      <c r="AP43" s="147">
        <f>IF(OR(AN43="",AN43=0),0,AO43/AN43)</f>
        <v>0</v>
      </c>
      <c r="AQ43" s="146"/>
      <c r="AR43" s="148">
        <f>$F43*'POI Fisico'!BA42</f>
        <v>0</v>
      </c>
      <c r="AS43" s="148">
        <f>$F43*'POI Fisico'!BB42</f>
        <v>0</v>
      </c>
      <c r="AT43" s="147">
        <f>IF(OR(AR43="",AR43=0),0,AS43/AR43)</f>
        <v>0</v>
      </c>
      <c r="AU43" s="146"/>
      <c r="AV43" s="148">
        <f>$F43*'POI Fisico'!BF42</f>
        <v>0</v>
      </c>
      <c r="AW43" s="148">
        <f>$F43*'POI Fisico'!BG42</f>
        <v>0</v>
      </c>
      <c r="AX43" s="147">
        <f>IF(OR(AV43="",AV43=0),0,AW43/AV43)</f>
        <v>0</v>
      </c>
      <c r="AY43" s="146"/>
      <c r="AZ43" s="148">
        <f>$F43*'POI Fisico'!BK42</f>
        <v>0</v>
      </c>
      <c r="BA43" s="148">
        <f>$F43*'POI Fisico'!BL42</f>
        <v>0</v>
      </c>
      <c r="BB43" s="147">
        <f>IF(OR(AZ43="",AZ43=0),0,BA43/AZ43)</f>
        <v>0</v>
      </c>
      <c r="BC43" s="146"/>
      <c r="BD43" s="148">
        <f>$F43*'POI Fisico'!BP42</f>
        <v>0</v>
      </c>
      <c r="BE43" s="148">
        <f>$F43*'POI Fisico'!BQ42</f>
        <v>0</v>
      </c>
      <c r="BF43" s="147">
        <f>IF(OR(BD43="",BD43=0),0,BE43/BD43)</f>
        <v>0</v>
      </c>
      <c r="BG43" s="146"/>
      <c r="BH43" s="148">
        <f>$F43*'POI Fisico'!BU42</f>
        <v>0</v>
      </c>
      <c r="BI43" s="148">
        <f>$F43*'POI Fisico'!BV42</f>
        <v>0</v>
      </c>
      <c r="BJ43" s="147">
        <f>IF(OR(BH43="",BH43=0),0,BI43/BH43)</f>
        <v>0</v>
      </c>
      <c r="BK43" s="146"/>
      <c r="BL43" s="145">
        <f t="shared" ref="BL43:BM45" si="4">H43+L43+P43+T43+X43+AB43+AF43+AJ43+AN43+AR43+AV43+AZ43+BD43+BH43</f>
        <v>44122801.615523405</v>
      </c>
      <c r="BM43" s="145">
        <f t="shared" si="4"/>
        <v>0</v>
      </c>
      <c r="BN43" s="144">
        <f>IF(OR(BL43="",BL43=0),0,BM43/BL43)</f>
        <v>0</v>
      </c>
    </row>
    <row r="44" spans="1:66" s="143" customFormat="1" ht="65.25" customHeight="1" x14ac:dyDescent="0.25">
      <c r="A44" s="153" t="str">
        <f>'POI Fisico'!B43</f>
        <v>5.2</v>
      </c>
      <c r="B44" s="153" t="str">
        <f>'POI Fisico'!C43</f>
        <v>Actividad 5.2</v>
      </c>
      <c r="C44" s="153" t="str">
        <f>'POI Fisico'!D43</f>
        <v>Desarrolar y acompañar el proceso de consulta previa (incluye 240 alimentaciones,  6 registros audivisulaes, 12 gastos de logística, y 12 viajes al garante)</v>
      </c>
      <c r="D44" s="151" t="str">
        <f>'POI Fisico'!F43</f>
        <v>Encuentro</v>
      </c>
      <c r="E44" s="151">
        <f>'POI Fisico'!E43</f>
        <v>12</v>
      </c>
      <c r="F44" s="150">
        <f>IFERROR(G44/E44,0)</f>
        <v>7630047.3977477746</v>
      </c>
      <c r="G44" s="149">
        <f>'Calculo de valores unitarios'!N29</f>
        <v>91560568.772973299</v>
      </c>
      <c r="H44" s="148">
        <f>$F44*'POI Fisico'!H43</f>
        <v>0</v>
      </c>
      <c r="I44" s="148">
        <f>$F44*'POI Fisico'!I43</f>
        <v>0</v>
      </c>
      <c r="J44" s="147">
        <f t="shared" ref="J44:J45" si="5">IF(OR(H44="",H44=0),0,I44/H44)</f>
        <v>0</v>
      </c>
      <c r="K44" s="146"/>
      <c r="L44" s="148">
        <f>$F44*'POI Fisico'!M43</f>
        <v>0</v>
      </c>
      <c r="M44" s="148">
        <f>$F44*'POI Fisico'!N43</f>
        <v>0</v>
      </c>
      <c r="N44" s="147">
        <f t="shared" ref="N44:N45" si="6">IF(OR(L44="",L44=0),0,M44/L44)</f>
        <v>0</v>
      </c>
      <c r="O44" s="146"/>
      <c r="P44" s="148">
        <f>$F44*'POI Fisico'!R43</f>
        <v>0</v>
      </c>
      <c r="Q44" s="148">
        <f>$F44*'POI Fisico'!S43</f>
        <v>0</v>
      </c>
      <c r="R44" s="147">
        <f t="shared" ref="R44:R45" si="7">IF(OR(P44="",P44=0),0,Q44/P44)</f>
        <v>0</v>
      </c>
      <c r="S44" s="146"/>
      <c r="T44" s="148">
        <f>$F44*'POI Fisico'!W43</f>
        <v>15260094.795495549</v>
      </c>
      <c r="U44" s="148">
        <f>$F44*'POI Fisico'!X43</f>
        <v>0</v>
      </c>
      <c r="V44" s="147">
        <f t="shared" ref="V44:V45" si="8">IF(OR(T44="",T44=0),0,U44/T44)</f>
        <v>0</v>
      </c>
      <c r="W44" s="146"/>
      <c r="X44" s="148">
        <f>$F44*'POI Fisico'!AB43</f>
        <v>15260094.795495549</v>
      </c>
      <c r="Y44" s="148">
        <f>$F44*'POI Fisico'!AC43</f>
        <v>0</v>
      </c>
      <c r="Z44" s="147">
        <f t="shared" ref="Z44:Z45" si="9">IF(OR(X44="",X44=0),0,Y44/X44)</f>
        <v>0</v>
      </c>
      <c r="AA44" s="146"/>
      <c r="AB44" s="148">
        <f>$F44*'POI Fisico'!AG43</f>
        <v>0</v>
      </c>
      <c r="AC44" s="148">
        <f>$F44*'POI Fisico'!AH43</f>
        <v>0</v>
      </c>
      <c r="AD44" s="147">
        <f t="shared" ref="AD44:AD45" si="10">IF(OR(AB44="",AB44=0),0,AC44/AB44)</f>
        <v>0</v>
      </c>
      <c r="AE44" s="146"/>
      <c r="AF44" s="148">
        <f>$F44*'POI Fisico'!AL43</f>
        <v>0</v>
      </c>
      <c r="AG44" s="148">
        <f>$F44*'POI Fisico'!AM43</f>
        <v>0</v>
      </c>
      <c r="AH44" s="147">
        <f t="shared" ref="AH44:AH45" si="11">IF(OR(AF44="",AF44=0),0,AG44/AF44)</f>
        <v>0</v>
      </c>
      <c r="AI44" s="146"/>
      <c r="AJ44" s="148">
        <f>$F44*'POI Fisico'!AQ43</f>
        <v>0</v>
      </c>
      <c r="AK44" s="148">
        <f>$F44*'POI Fisico'!AR43</f>
        <v>0</v>
      </c>
      <c r="AL44" s="147">
        <f t="shared" ref="AL44:AL45" si="12">IF(OR(AJ44="",AJ44=0),0,AK44/AJ44)</f>
        <v>0</v>
      </c>
      <c r="AM44" s="146"/>
      <c r="AN44" s="148">
        <f>$F44*'POI Fisico'!AV43</f>
        <v>15260094.795495549</v>
      </c>
      <c r="AO44" s="148">
        <f>$F44*'POI Fisico'!AW43</f>
        <v>0</v>
      </c>
      <c r="AP44" s="147">
        <f t="shared" ref="AP44:AP45" si="13">IF(OR(AN44="",AN44=0),0,AO44/AN44)</f>
        <v>0</v>
      </c>
      <c r="AQ44" s="146"/>
      <c r="AR44" s="148">
        <f>$F44*'POI Fisico'!BA43</f>
        <v>15260094.795495549</v>
      </c>
      <c r="AS44" s="148">
        <f>$F44*'POI Fisico'!BB43</f>
        <v>0</v>
      </c>
      <c r="AT44" s="147">
        <f t="shared" ref="AT44:AT45" si="14">IF(OR(AR44="",AR44=0),0,AS44/AR44)</f>
        <v>0</v>
      </c>
      <c r="AU44" s="146"/>
      <c r="AV44" s="148">
        <f>$F44*'POI Fisico'!BF43</f>
        <v>0</v>
      </c>
      <c r="AW44" s="148">
        <f>$F44*'POI Fisico'!BG43</f>
        <v>0</v>
      </c>
      <c r="AX44" s="147">
        <f t="shared" ref="AX44:AX45" si="15">IF(OR(AV44="",AV44=0),0,AW44/AV44)</f>
        <v>0</v>
      </c>
      <c r="AY44" s="146"/>
      <c r="AZ44" s="148">
        <f>$F44*'POI Fisico'!BK43</f>
        <v>15260094.795495549</v>
      </c>
      <c r="BA44" s="148">
        <f>$F44*'POI Fisico'!BL43</f>
        <v>0</v>
      </c>
      <c r="BB44" s="147">
        <f t="shared" ref="BB44:BB45" si="16">IF(OR(AZ44="",AZ44=0),0,BA44/AZ44)</f>
        <v>0</v>
      </c>
      <c r="BC44" s="146"/>
      <c r="BD44" s="148">
        <f>$F44*'POI Fisico'!BP43</f>
        <v>15260094.795495549</v>
      </c>
      <c r="BE44" s="148">
        <f>$F44*'POI Fisico'!BQ43</f>
        <v>0</v>
      </c>
      <c r="BF44" s="147">
        <f t="shared" ref="BF44:BF45" si="17">IF(OR(BD44="",BD44=0),0,BE44/BD44)</f>
        <v>0</v>
      </c>
      <c r="BG44" s="146"/>
      <c r="BH44" s="148">
        <f>$F44*'POI Fisico'!BU43</f>
        <v>0</v>
      </c>
      <c r="BI44" s="148">
        <f>$F44*'POI Fisico'!BV43</f>
        <v>0</v>
      </c>
      <c r="BJ44" s="147">
        <f t="shared" ref="BJ44:BJ45" si="18">IF(OR(BH44="",BH44=0),0,BI44/BH44)</f>
        <v>0</v>
      </c>
      <c r="BK44" s="146"/>
      <c r="BL44" s="145">
        <f t="shared" si="4"/>
        <v>91560568.772973299</v>
      </c>
      <c r="BM44" s="145">
        <f t="shared" si="4"/>
        <v>0</v>
      </c>
      <c r="BN44" s="144">
        <f>IF(OR(BL44="",BL44=0),0,BM44/BL44)</f>
        <v>0</v>
      </c>
    </row>
    <row r="45" spans="1:66" s="143" customFormat="1" ht="65.25" customHeight="1" x14ac:dyDescent="0.25">
      <c r="A45" s="153" t="str">
        <f>'POI Fisico'!B44</f>
        <v>5.3</v>
      </c>
      <c r="B45" s="153" t="str">
        <f>'POI Fisico'!C44</f>
        <v>Actividad 5.3</v>
      </c>
      <c r="C45" s="153" t="str">
        <f>'POI Fisico'!D44</f>
        <v>Transporte promotores (uno por comunidad de consulta previa) y profesionales (2) a encuentros</v>
      </c>
      <c r="D45" s="151" t="str">
        <f>'POI Fisico'!F44</f>
        <v>Viaje</v>
      </c>
      <c r="E45" s="151">
        <f>'POI Fisico'!E44</f>
        <v>12</v>
      </c>
      <c r="F45" s="150">
        <f>IFERROR(G45/E45,0)</f>
        <v>5406234.8977477746</v>
      </c>
      <c r="G45" s="149">
        <f>'Calculo de valores unitarios'!N30</f>
        <v>64874818.772973292</v>
      </c>
      <c r="H45" s="148">
        <f>$F45*'POI Fisico'!H44</f>
        <v>0</v>
      </c>
      <c r="I45" s="148">
        <f>$F45*'POI Fisico'!I44</f>
        <v>0</v>
      </c>
      <c r="J45" s="147">
        <f t="shared" si="5"/>
        <v>0</v>
      </c>
      <c r="K45" s="146"/>
      <c r="L45" s="148">
        <f>$F45*'POI Fisico'!M44</f>
        <v>0</v>
      </c>
      <c r="M45" s="148">
        <f>$F45*'POI Fisico'!N44</f>
        <v>0</v>
      </c>
      <c r="N45" s="147">
        <f t="shared" si="6"/>
        <v>0</v>
      </c>
      <c r="O45" s="146"/>
      <c r="P45" s="148">
        <f>$F45*'POI Fisico'!R44</f>
        <v>0</v>
      </c>
      <c r="Q45" s="148">
        <f>$F45*'POI Fisico'!S44</f>
        <v>0</v>
      </c>
      <c r="R45" s="147">
        <f t="shared" si="7"/>
        <v>0</v>
      </c>
      <c r="S45" s="146"/>
      <c r="T45" s="148">
        <f>$F45*'POI Fisico'!W44</f>
        <v>10812469.795495549</v>
      </c>
      <c r="U45" s="148">
        <f>$F45*'POI Fisico'!X44</f>
        <v>0</v>
      </c>
      <c r="V45" s="147">
        <f t="shared" si="8"/>
        <v>0</v>
      </c>
      <c r="W45" s="146"/>
      <c r="X45" s="148">
        <f>$F45*'POI Fisico'!AB44</f>
        <v>10812469.795495549</v>
      </c>
      <c r="Y45" s="148">
        <f>$F45*'POI Fisico'!AC44</f>
        <v>0</v>
      </c>
      <c r="Z45" s="147">
        <f t="shared" si="9"/>
        <v>0</v>
      </c>
      <c r="AA45" s="146"/>
      <c r="AB45" s="148">
        <f>$F45*'POI Fisico'!AG44</f>
        <v>0</v>
      </c>
      <c r="AC45" s="148">
        <f>$F45*'POI Fisico'!AH44</f>
        <v>0</v>
      </c>
      <c r="AD45" s="147">
        <f t="shared" si="10"/>
        <v>0</v>
      </c>
      <c r="AE45" s="146"/>
      <c r="AF45" s="148">
        <f>$F45*'POI Fisico'!AL44</f>
        <v>0</v>
      </c>
      <c r="AG45" s="148">
        <f>$F45*'POI Fisico'!AM44</f>
        <v>0</v>
      </c>
      <c r="AH45" s="147">
        <f t="shared" si="11"/>
        <v>0</v>
      </c>
      <c r="AI45" s="146"/>
      <c r="AJ45" s="148">
        <f>$F45*'POI Fisico'!AQ44</f>
        <v>0</v>
      </c>
      <c r="AK45" s="148">
        <f>$F45*'POI Fisico'!AR44</f>
        <v>0</v>
      </c>
      <c r="AL45" s="147">
        <f t="shared" si="12"/>
        <v>0</v>
      </c>
      <c r="AM45" s="146"/>
      <c r="AN45" s="148">
        <f>$F45*'POI Fisico'!AV44</f>
        <v>10812469.795495549</v>
      </c>
      <c r="AO45" s="148">
        <f>$F45*'POI Fisico'!AW44</f>
        <v>0</v>
      </c>
      <c r="AP45" s="147">
        <f t="shared" si="13"/>
        <v>0</v>
      </c>
      <c r="AQ45" s="146"/>
      <c r="AR45" s="148">
        <f>$F45*'POI Fisico'!BA44</f>
        <v>10812469.795495549</v>
      </c>
      <c r="AS45" s="148">
        <f>$F45*'POI Fisico'!BB44</f>
        <v>0</v>
      </c>
      <c r="AT45" s="147">
        <f t="shared" si="14"/>
        <v>0</v>
      </c>
      <c r="AU45" s="146"/>
      <c r="AV45" s="148">
        <f>$F45*'POI Fisico'!BF44</f>
        <v>0</v>
      </c>
      <c r="AW45" s="148">
        <f>$F45*'POI Fisico'!BG44</f>
        <v>0</v>
      </c>
      <c r="AX45" s="147">
        <f t="shared" si="15"/>
        <v>0</v>
      </c>
      <c r="AY45" s="146"/>
      <c r="AZ45" s="148">
        <f>$F45*'POI Fisico'!BK44</f>
        <v>10812469.795495549</v>
      </c>
      <c r="BA45" s="148">
        <f>$F45*'POI Fisico'!BL44</f>
        <v>0</v>
      </c>
      <c r="BB45" s="147">
        <f t="shared" si="16"/>
        <v>0</v>
      </c>
      <c r="BC45" s="146"/>
      <c r="BD45" s="148">
        <f>$F45*'POI Fisico'!BP44</f>
        <v>10812469.795495549</v>
      </c>
      <c r="BE45" s="148">
        <f>$F45*'POI Fisico'!BQ44</f>
        <v>0</v>
      </c>
      <c r="BF45" s="147">
        <f t="shared" si="17"/>
        <v>0</v>
      </c>
      <c r="BG45" s="146"/>
      <c r="BH45" s="148">
        <f>$F45*'POI Fisico'!BU44</f>
        <v>0</v>
      </c>
      <c r="BI45" s="148">
        <f>$F45*'POI Fisico'!BV44</f>
        <v>0</v>
      </c>
      <c r="BJ45" s="147">
        <f t="shared" si="18"/>
        <v>0</v>
      </c>
      <c r="BK45" s="146"/>
      <c r="BL45" s="145">
        <f t="shared" si="4"/>
        <v>64874818.772973292</v>
      </c>
      <c r="BM45" s="145">
        <f t="shared" si="4"/>
        <v>0</v>
      </c>
      <c r="BN45" s="144">
        <f>IF(OR(BL45="",BL45=0),0,BM45/BL45)</f>
        <v>0</v>
      </c>
    </row>
    <row r="46" spans="1:66" s="135" customFormat="1" ht="24.95" customHeight="1" thickBot="1" x14ac:dyDescent="0.3">
      <c r="A46" s="142"/>
      <c r="B46" s="572" t="str">
        <f>'POI Fisico'!C41</f>
        <v>ALCANCE 5</v>
      </c>
      <c r="C46" s="573"/>
      <c r="D46" s="141"/>
      <c r="E46" s="140"/>
      <c r="F46" s="139"/>
      <c r="G46" s="137">
        <f>SUM(G43:G45)</f>
        <v>200558189.16147</v>
      </c>
      <c r="H46" s="137">
        <f>SUM(H43:H45)</f>
        <v>44122801.615523405</v>
      </c>
      <c r="I46" s="137">
        <f>SUM(I43:I45)</f>
        <v>0</v>
      </c>
      <c r="J46" s="136">
        <f>IFERROR(IF(H46="",0,I46/H46),0)</f>
        <v>0</v>
      </c>
      <c r="K46" s="137">
        <f>SUM(K43:K45)</f>
        <v>0</v>
      </c>
      <c r="L46" s="137">
        <f>SUM(L43:L45)</f>
        <v>0</v>
      </c>
      <c r="M46" s="137">
        <f>SUM(M43:M45)</f>
        <v>0</v>
      </c>
      <c r="N46" s="136">
        <f>IFERROR(IF(L46="",0,M46/L46),0)</f>
        <v>0</v>
      </c>
      <c r="O46" s="137">
        <f>SUM(O43:O45)</f>
        <v>0</v>
      </c>
      <c r="P46" s="137">
        <f>SUM(P43:P45)</f>
        <v>0</v>
      </c>
      <c r="Q46" s="137">
        <f>SUM(Q43:Q45)</f>
        <v>0</v>
      </c>
      <c r="R46" s="136">
        <f>IFERROR(IF(P46="",0,Q46/P46),0)</f>
        <v>0</v>
      </c>
      <c r="S46" s="137">
        <f>SUM(S43:S45)</f>
        <v>0</v>
      </c>
      <c r="T46" s="137">
        <f>SUM(T43:T45)</f>
        <v>26072564.590991098</v>
      </c>
      <c r="U46" s="137">
        <f>SUM(U43:U45)</f>
        <v>0</v>
      </c>
      <c r="V46" s="136">
        <f>IFERROR(IF(T46="",0,U46/T46),0)</f>
        <v>0</v>
      </c>
      <c r="W46" s="137">
        <f>SUM(W43:W45)</f>
        <v>0</v>
      </c>
      <c r="X46" s="137">
        <f>SUM(X43:X45)</f>
        <v>26072564.590991098</v>
      </c>
      <c r="Y46" s="137">
        <f>SUM(Y43:Y45)</f>
        <v>0</v>
      </c>
      <c r="Z46" s="136">
        <f>IFERROR(IF(X46="",0,Y46/X46),0)</f>
        <v>0</v>
      </c>
      <c r="AA46" s="137">
        <f>SUM(AA43:AA45)</f>
        <v>0</v>
      </c>
      <c r="AB46" s="137">
        <f>SUM(AB43:AB45)</f>
        <v>0</v>
      </c>
      <c r="AC46" s="137">
        <f>SUM(AC43:AC45)</f>
        <v>0</v>
      </c>
      <c r="AD46" s="136">
        <f>IFERROR(IF(AB46="",0,AC46/AB46),0)</f>
        <v>0</v>
      </c>
      <c r="AE46" s="137">
        <f>SUM(AE43:AE45)</f>
        <v>0</v>
      </c>
      <c r="AF46" s="137">
        <f>SUM(AF43:AF45)</f>
        <v>0</v>
      </c>
      <c r="AG46" s="137">
        <f>SUM(AG43:AG45)</f>
        <v>0</v>
      </c>
      <c r="AH46" s="136">
        <f>IFERROR(IF(AF46="",0,AG46/AF46),0)</f>
        <v>0</v>
      </c>
      <c r="AI46" s="137">
        <f>SUM(AI43:AI45)</f>
        <v>0</v>
      </c>
      <c r="AJ46" s="137">
        <f>SUM(AJ43:AJ45)</f>
        <v>0</v>
      </c>
      <c r="AK46" s="137">
        <f>SUM(AK43:AK45)</f>
        <v>0</v>
      </c>
      <c r="AL46" s="136">
        <f>IFERROR(IF(AJ46="",0,AK46/AJ46),0)</f>
        <v>0</v>
      </c>
      <c r="AM46" s="137">
        <f>SUM(AM43:AM45)</f>
        <v>0</v>
      </c>
      <c r="AN46" s="137">
        <f>SUM(AN43:AN45)</f>
        <v>26072564.590991098</v>
      </c>
      <c r="AO46" s="137">
        <f>SUM(AO43:AO45)</f>
        <v>0</v>
      </c>
      <c r="AP46" s="136">
        <f>IFERROR(IF(AN46="",0,AO46/AN46),0)</f>
        <v>0</v>
      </c>
      <c r="AQ46" s="137">
        <f>SUM(AQ43:AQ45)</f>
        <v>0</v>
      </c>
      <c r="AR46" s="137">
        <f>SUM(AR43:AR45)</f>
        <v>26072564.590991098</v>
      </c>
      <c r="AS46" s="137">
        <f>SUM(AS43:AS45)</f>
        <v>0</v>
      </c>
      <c r="AT46" s="136">
        <f>IFERROR(IF(AR46="",0,AS46/AR46),0)</f>
        <v>0</v>
      </c>
      <c r="AU46" s="137">
        <f>SUM(AU43:AU45)</f>
        <v>0</v>
      </c>
      <c r="AV46" s="137">
        <f>SUM(AV43:AV45)</f>
        <v>0</v>
      </c>
      <c r="AW46" s="137">
        <f>SUM(AW43:AW45)</f>
        <v>0</v>
      </c>
      <c r="AX46" s="136">
        <f>IFERROR(IF(AV46="",0,AW46/AV46),0)</f>
        <v>0</v>
      </c>
      <c r="AY46" s="137">
        <f>SUM(AY43:AY45)</f>
        <v>0</v>
      </c>
      <c r="AZ46" s="137">
        <f>SUM(AZ43:AZ45)</f>
        <v>26072564.590991098</v>
      </c>
      <c r="BA46" s="137">
        <f>SUM(BA43:BA45)</f>
        <v>0</v>
      </c>
      <c r="BB46" s="136">
        <f>IFERROR(IF(AZ46="",0,BA46/AZ46),0)</f>
        <v>0</v>
      </c>
      <c r="BC46" s="137">
        <f>SUM(BC43:BC45)</f>
        <v>0</v>
      </c>
      <c r="BD46" s="137">
        <f>SUM(BD43:BD45)</f>
        <v>26072564.590991098</v>
      </c>
      <c r="BE46" s="137">
        <f>SUM(BE43:BE45)</f>
        <v>0</v>
      </c>
      <c r="BF46" s="136">
        <f>IFERROR(IF(BD46="",0,BE46/BD46),0)</f>
        <v>0</v>
      </c>
      <c r="BG46" s="137">
        <f>SUM(BG43:BG45)</f>
        <v>0</v>
      </c>
      <c r="BH46" s="137">
        <f>SUM(BH43:BH45)</f>
        <v>0</v>
      </c>
      <c r="BI46" s="137">
        <f>SUM(BI43:BI45)</f>
        <v>0</v>
      </c>
      <c r="BJ46" s="136">
        <f>IFERROR(IF(BH46="",0,BI46/BH46),0)</f>
        <v>0</v>
      </c>
      <c r="BK46" s="137">
        <f>SUM(BK43:BK45)</f>
        <v>0</v>
      </c>
      <c r="BL46" s="137">
        <f>SUM(BL43:BL45)</f>
        <v>200558189.16147</v>
      </c>
      <c r="BM46" s="137">
        <f>SUM(BM43:BM45)</f>
        <v>0</v>
      </c>
      <c r="BN46" s="136">
        <f>IFERROR(IF(BL46="",0,BM46/BL46),0)</f>
        <v>0</v>
      </c>
    </row>
    <row r="47" spans="1:66" s="143" customFormat="1" ht="24.95" customHeight="1" x14ac:dyDescent="0.25">
      <c r="A47" s="159">
        <v>6</v>
      </c>
      <c r="B47" s="158"/>
      <c r="C47" s="157" t="str">
        <f>'POI Fisico'!D46</f>
        <v>PLAN DE COMUNICACIONES Y PLAN DE MEDIOS</v>
      </c>
      <c r="D47" s="156"/>
      <c r="E47" s="156"/>
      <c r="F47" s="156"/>
      <c r="G47" s="155"/>
      <c r="H47" s="559"/>
      <c r="I47" s="560"/>
      <c r="J47" s="560"/>
      <c r="K47" s="561"/>
      <c r="L47" s="549"/>
      <c r="M47" s="550"/>
      <c r="N47" s="550"/>
      <c r="O47" s="551"/>
      <c r="P47" s="549"/>
      <c r="Q47" s="550"/>
      <c r="R47" s="550"/>
      <c r="S47" s="551"/>
      <c r="T47" s="549"/>
      <c r="U47" s="550"/>
      <c r="V47" s="550"/>
      <c r="W47" s="551"/>
      <c r="X47" s="549"/>
      <c r="Y47" s="550"/>
      <c r="Z47" s="550"/>
      <c r="AA47" s="551"/>
      <c r="AB47" s="549"/>
      <c r="AC47" s="550"/>
      <c r="AD47" s="550"/>
      <c r="AE47" s="551"/>
      <c r="AF47" s="549"/>
      <c r="AG47" s="550"/>
      <c r="AH47" s="550"/>
      <c r="AI47" s="551"/>
      <c r="AJ47" s="549"/>
      <c r="AK47" s="550"/>
      <c r="AL47" s="550"/>
      <c r="AM47" s="551"/>
      <c r="AN47" s="549"/>
      <c r="AO47" s="550"/>
      <c r="AP47" s="550"/>
      <c r="AQ47" s="551"/>
      <c r="AR47" s="549"/>
      <c r="AS47" s="550"/>
      <c r="AT47" s="550"/>
      <c r="AU47" s="551"/>
      <c r="AV47" s="549"/>
      <c r="AW47" s="550"/>
      <c r="AX47" s="550"/>
      <c r="AY47" s="551"/>
      <c r="AZ47" s="549"/>
      <c r="BA47" s="550"/>
      <c r="BB47" s="550"/>
      <c r="BC47" s="551"/>
      <c r="BD47" s="549"/>
      <c r="BE47" s="550"/>
      <c r="BF47" s="550"/>
      <c r="BG47" s="551"/>
      <c r="BH47" s="549"/>
      <c r="BI47" s="550"/>
      <c r="BJ47" s="550"/>
      <c r="BK47" s="551"/>
      <c r="BL47" s="549"/>
      <c r="BM47" s="550"/>
      <c r="BN47" s="551"/>
    </row>
    <row r="48" spans="1:66" s="143" customFormat="1" ht="65.25" customHeight="1" x14ac:dyDescent="0.25">
      <c r="A48" s="154" t="s">
        <v>63</v>
      </c>
      <c r="B48" s="153" t="str">
        <f>'POI Fisico'!C47</f>
        <v>Actividad 6.1</v>
      </c>
      <c r="C48" s="152" t="str">
        <f>'POI Fisico'!D47</f>
        <v>Formular la estrategía de comunicaciones</v>
      </c>
      <c r="D48" s="151" t="str">
        <f>'POI Fisico'!F47</f>
        <v>Documento</v>
      </c>
      <c r="E48" s="151">
        <f>'POI Fisico'!E47</f>
        <v>1</v>
      </c>
      <c r="F48" s="150">
        <f>IFERROR(G48/E48,0)</f>
        <v>15857630.724150319</v>
      </c>
      <c r="G48" s="149">
        <f>'Calculo de valores unitarios'!N33</f>
        <v>15857630.724150319</v>
      </c>
      <c r="H48" s="148">
        <f>$F48*'POI Fisico'!H47</f>
        <v>1219817.748011563</v>
      </c>
      <c r="I48" s="148">
        <f>$F48*'POI Fisico'!I47</f>
        <v>0</v>
      </c>
      <c r="J48" s="147">
        <f>IF(OR(H48="",H48=0),0,I48/H48)</f>
        <v>0</v>
      </c>
      <c r="K48" s="146"/>
      <c r="L48" s="148">
        <f>$F48*'POI Fisico'!M47</f>
        <v>1219817.748011563</v>
      </c>
      <c r="M48" s="148">
        <f>$F48*'POI Fisico'!N47</f>
        <v>0</v>
      </c>
      <c r="N48" s="147">
        <f>IF(OR(L48="",L48=0),0,M48/L48)</f>
        <v>0</v>
      </c>
      <c r="O48" s="146"/>
      <c r="P48" s="148">
        <f>$F48*'POI Fisico'!R47</f>
        <v>1219817.748011563</v>
      </c>
      <c r="Q48" s="148">
        <f>$F48*'POI Fisico'!S47</f>
        <v>0</v>
      </c>
      <c r="R48" s="147">
        <f>IF(OR(P48="",P48=0),0,Q48/P48)</f>
        <v>0</v>
      </c>
      <c r="S48" s="146"/>
      <c r="T48" s="148">
        <f>$F48*'POI Fisico'!W47</f>
        <v>1219817.748011563</v>
      </c>
      <c r="U48" s="148">
        <f>$F48*'POI Fisico'!X47</f>
        <v>0</v>
      </c>
      <c r="V48" s="147">
        <f>IF(OR(T48="",T48=0),0,U48/T48)</f>
        <v>0</v>
      </c>
      <c r="W48" s="146"/>
      <c r="X48" s="148">
        <f>$F48*'POI Fisico'!AB47</f>
        <v>1219817.748011563</v>
      </c>
      <c r="Y48" s="148">
        <f>$F48*'POI Fisico'!AC47</f>
        <v>0</v>
      </c>
      <c r="Z48" s="147">
        <f>IF(OR(X48="",X48=0),0,Y48/X48)</f>
        <v>0</v>
      </c>
      <c r="AA48" s="146"/>
      <c r="AB48" s="148">
        <f>$F48*'POI Fisico'!AG47</f>
        <v>1219817.748011563</v>
      </c>
      <c r="AC48" s="148">
        <f>$F48*'POI Fisico'!AH47</f>
        <v>0</v>
      </c>
      <c r="AD48" s="147">
        <f>IF(OR(AB48="",AB48=0),0,AC48/AB48)</f>
        <v>0</v>
      </c>
      <c r="AE48" s="146"/>
      <c r="AF48" s="148">
        <f>$F48*'POI Fisico'!AL47</f>
        <v>1219817.748011563</v>
      </c>
      <c r="AG48" s="148">
        <f>$F48*'POI Fisico'!AM47</f>
        <v>0</v>
      </c>
      <c r="AH48" s="147">
        <f>IF(OR(AF48="",AF48=0),0,AG48/AF48)</f>
        <v>0</v>
      </c>
      <c r="AI48" s="146"/>
      <c r="AJ48" s="148">
        <f>$F48*'POI Fisico'!AQ47</f>
        <v>1219817.748011563</v>
      </c>
      <c r="AK48" s="148">
        <f>$F48*'POI Fisico'!AR47</f>
        <v>0</v>
      </c>
      <c r="AL48" s="147">
        <f>IF(OR(AJ48="",AJ48=0),0,AK48/AJ48)</f>
        <v>0</v>
      </c>
      <c r="AM48" s="146"/>
      <c r="AN48" s="148">
        <f>$F48*'POI Fisico'!AV47</f>
        <v>1219817.748011563</v>
      </c>
      <c r="AO48" s="148">
        <f>$F48*'POI Fisico'!AW47</f>
        <v>0</v>
      </c>
      <c r="AP48" s="147">
        <f>IF(OR(AN48="",AN48=0),0,AO48/AN48)</f>
        <v>0</v>
      </c>
      <c r="AQ48" s="146"/>
      <c r="AR48" s="148">
        <f>$F48*'POI Fisico'!BA47</f>
        <v>1219817.748011563</v>
      </c>
      <c r="AS48" s="148">
        <f>$F48*'POI Fisico'!BB47</f>
        <v>0</v>
      </c>
      <c r="AT48" s="147">
        <f>IF(OR(AR48="",AR48=0),0,AS48/AR48)</f>
        <v>0</v>
      </c>
      <c r="AU48" s="146"/>
      <c r="AV48" s="148">
        <f>$F48*'POI Fisico'!BF47</f>
        <v>1219817.748011563</v>
      </c>
      <c r="AW48" s="148">
        <f>$F48*'POI Fisico'!BG47</f>
        <v>0</v>
      </c>
      <c r="AX48" s="147">
        <f>IF(OR(AV48="",AV48=0),0,AW48/AV48)</f>
        <v>0</v>
      </c>
      <c r="AY48" s="146"/>
      <c r="AZ48" s="148">
        <f>$F48*'POI Fisico'!BK47</f>
        <v>1219817.748011563</v>
      </c>
      <c r="BA48" s="148">
        <f>$F48*'POI Fisico'!BL47</f>
        <v>0</v>
      </c>
      <c r="BB48" s="147">
        <f>IF(OR(AZ48="",AZ48=0),0,BA48/AZ48)</f>
        <v>0</v>
      </c>
      <c r="BC48" s="146"/>
      <c r="BD48" s="148">
        <f>$F48*'POI Fisico'!BP47</f>
        <v>1219817.748011563</v>
      </c>
      <c r="BE48" s="148">
        <f>$F48*'POI Fisico'!BQ47</f>
        <v>0</v>
      </c>
      <c r="BF48" s="147">
        <f>IF(OR(BD48="",BD48=0),0,BE48/BD48)</f>
        <v>0</v>
      </c>
      <c r="BG48" s="146"/>
      <c r="BH48" s="148">
        <f>$F48*'POI Fisico'!BU47</f>
        <v>0</v>
      </c>
      <c r="BI48" s="148">
        <f>$F48*'POI Fisico'!BV47</f>
        <v>0</v>
      </c>
      <c r="BJ48" s="147">
        <f>IF(OR(BH48="",BH48=0),0,BI48/BH48)</f>
        <v>0</v>
      </c>
      <c r="BK48" s="146"/>
      <c r="BL48" s="145">
        <f t="shared" ref="BL48:BM50" si="19">H48+L48+P48+T48+X48+AB48+AF48+AJ48+AN48+AR48+AV48+AZ48+BD48+BH48</f>
        <v>15857630.724150319</v>
      </c>
      <c r="BM48" s="145">
        <f t="shared" si="19"/>
        <v>0</v>
      </c>
      <c r="BN48" s="144">
        <f>IF(OR(BL48="",BL48=0),0,BM48/BL48)</f>
        <v>0</v>
      </c>
    </row>
    <row r="49" spans="1:66" s="143" customFormat="1" ht="58.5" customHeight="1" x14ac:dyDescent="0.25">
      <c r="A49" s="154" t="s">
        <v>64</v>
      </c>
      <c r="B49" s="153" t="str">
        <f>'POI Fisico'!C48</f>
        <v>Actividad 6.2</v>
      </c>
      <c r="C49" s="152" t="str">
        <f>'POI Fisico'!D48</f>
        <v>Plan  de medios</v>
      </c>
      <c r="D49" s="151" t="str">
        <f>'POI Fisico'!F48</f>
        <v>Documento</v>
      </c>
      <c r="E49" s="151">
        <f>'POI Fisico'!E48</f>
        <v>1</v>
      </c>
      <c r="F49" s="150">
        <f>IFERROR(G49/E49,0)</f>
        <v>15314473.043112742</v>
      </c>
      <c r="G49" s="149">
        <f>'Calculo de valores unitarios'!N34</f>
        <v>15314473.043112742</v>
      </c>
      <c r="H49" s="148">
        <f>$F49*'POI Fisico'!H48</f>
        <v>1178036.3879317495</v>
      </c>
      <c r="I49" s="148">
        <f>$F49*'POI Fisico'!I48</f>
        <v>0</v>
      </c>
      <c r="J49" s="147">
        <f>IF(OR(H49="",H49=0),0,I49/H49)</f>
        <v>0</v>
      </c>
      <c r="K49" s="146"/>
      <c r="L49" s="148">
        <f>$F49*'POI Fisico'!M48</f>
        <v>1178036.3879317495</v>
      </c>
      <c r="M49" s="148">
        <f>$F49*'POI Fisico'!N48</f>
        <v>0</v>
      </c>
      <c r="N49" s="147">
        <f>IF(OR(L49="",L49=0),0,M49/L49)</f>
        <v>0</v>
      </c>
      <c r="O49" s="146"/>
      <c r="P49" s="148">
        <f>$F49*'POI Fisico'!R48</f>
        <v>1178036.3879317495</v>
      </c>
      <c r="Q49" s="148">
        <f>$F49*'POI Fisico'!S48</f>
        <v>0</v>
      </c>
      <c r="R49" s="147">
        <f>IF(OR(P49="",P49=0),0,Q49/P49)</f>
        <v>0</v>
      </c>
      <c r="S49" s="146"/>
      <c r="T49" s="148">
        <f>$F49*'POI Fisico'!W48</f>
        <v>1178036.3879317495</v>
      </c>
      <c r="U49" s="148">
        <f>$F49*'POI Fisico'!X48</f>
        <v>0</v>
      </c>
      <c r="V49" s="147">
        <f>IF(OR(T49="",T49=0),0,U49/T49)</f>
        <v>0</v>
      </c>
      <c r="W49" s="146"/>
      <c r="X49" s="148">
        <f>$F49*'POI Fisico'!AB48</f>
        <v>1178036.3879317495</v>
      </c>
      <c r="Y49" s="148">
        <f>$F49*'POI Fisico'!AC48</f>
        <v>0</v>
      </c>
      <c r="Z49" s="147">
        <f>IF(OR(X49="",X49=0),0,Y49/X49)</f>
        <v>0</v>
      </c>
      <c r="AA49" s="146"/>
      <c r="AB49" s="148">
        <f>$F49*'POI Fisico'!AG48</f>
        <v>1178036.3879317495</v>
      </c>
      <c r="AC49" s="148">
        <f>$F49*'POI Fisico'!AH48</f>
        <v>0</v>
      </c>
      <c r="AD49" s="147">
        <f>IF(OR(AB49="",AB49=0),0,AC49/AB49)</f>
        <v>0</v>
      </c>
      <c r="AE49" s="146"/>
      <c r="AF49" s="148">
        <f>$F49*'POI Fisico'!AL48</f>
        <v>1178036.3879317495</v>
      </c>
      <c r="AG49" s="148">
        <f>$F49*'POI Fisico'!AM48</f>
        <v>0</v>
      </c>
      <c r="AH49" s="147">
        <f>IF(OR(AF49="",AF49=0),0,AG49/AF49)</f>
        <v>0</v>
      </c>
      <c r="AI49" s="146"/>
      <c r="AJ49" s="148">
        <f>$F49*'POI Fisico'!AQ48</f>
        <v>1178036.3879317495</v>
      </c>
      <c r="AK49" s="148">
        <f>$F49*'POI Fisico'!AR48</f>
        <v>0</v>
      </c>
      <c r="AL49" s="147">
        <f>IF(OR(AJ49="",AJ49=0),0,AK49/AJ49)</f>
        <v>0</v>
      </c>
      <c r="AM49" s="146"/>
      <c r="AN49" s="148">
        <f>$F49*'POI Fisico'!AV48</f>
        <v>1178036.3879317495</v>
      </c>
      <c r="AO49" s="148">
        <f>$F49*'POI Fisico'!AW48</f>
        <v>0</v>
      </c>
      <c r="AP49" s="147">
        <f>IF(OR(AN49="",AN49=0),0,AO49/AN49)</f>
        <v>0</v>
      </c>
      <c r="AQ49" s="146"/>
      <c r="AR49" s="148">
        <f>$F49*'POI Fisico'!BA48</f>
        <v>1178036.3879317495</v>
      </c>
      <c r="AS49" s="148">
        <f>$F49*'POI Fisico'!BB48</f>
        <v>0</v>
      </c>
      <c r="AT49" s="147">
        <f>IF(OR(AR49="",AR49=0),0,AS49/AR49)</f>
        <v>0</v>
      </c>
      <c r="AU49" s="146"/>
      <c r="AV49" s="148">
        <f>$F49*'POI Fisico'!BF48</f>
        <v>1178036.3879317495</v>
      </c>
      <c r="AW49" s="148">
        <f>$F49*'POI Fisico'!BG48</f>
        <v>0</v>
      </c>
      <c r="AX49" s="147">
        <f>IF(OR(AV49="",AV49=0),0,AW49/AV49)</f>
        <v>0</v>
      </c>
      <c r="AY49" s="146"/>
      <c r="AZ49" s="148">
        <f>$F49*'POI Fisico'!BK48</f>
        <v>1178036.3879317495</v>
      </c>
      <c r="BA49" s="148">
        <f>$F49*'POI Fisico'!BL48</f>
        <v>0</v>
      </c>
      <c r="BB49" s="147">
        <f>IF(OR(AZ49="",AZ49=0),0,BA49/AZ49)</f>
        <v>0</v>
      </c>
      <c r="BC49" s="146"/>
      <c r="BD49" s="148">
        <f>$F49*'POI Fisico'!BP48</f>
        <v>1178036.3879317495</v>
      </c>
      <c r="BE49" s="148">
        <f>$F49*'POI Fisico'!BQ48</f>
        <v>0</v>
      </c>
      <c r="BF49" s="147">
        <f>IF(OR(BD49="",BD49=0),0,BE49/BD49)</f>
        <v>0</v>
      </c>
      <c r="BG49" s="146"/>
      <c r="BH49" s="148">
        <f>$F49*'POI Fisico'!BU48</f>
        <v>0</v>
      </c>
      <c r="BI49" s="148">
        <f>$F49*'POI Fisico'!BV48</f>
        <v>0</v>
      </c>
      <c r="BJ49" s="147">
        <f>IF(OR(BH49="",BH49=0),0,BI49/BH49)</f>
        <v>0</v>
      </c>
      <c r="BK49" s="146"/>
      <c r="BL49" s="145">
        <f t="shared" si="19"/>
        <v>15314473.043112742</v>
      </c>
      <c r="BM49" s="145">
        <f t="shared" si="19"/>
        <v>0</v>
      </c>
      <c r="BN49" s="144">
        <f>IF(OR(BL49="",BL49=0),0,BM49/BL49)</f>
        <v>0</v>
      </c>
    </row>
    <row r="50" spans="1:66" s="143" customFormat="1" ht="58.5" customHeight="1" x14ac:dyDescent="0.25">
      <c r="A50" s="154" t="s">
        <v>137</v>
      </c>
      <c r="B50" s="153" t="str">
        <f>'POI Fisico'!C49</f>
        <v>Actividad 6.3</v>
      </c>
      <c r="C50" s="152" t="str">
        <f>'POI Fisico'!D49</f>
        <v>Entregar distintivos al equipo consultor</v>
      </c>
      <c r="D50" s="151" t="str">
        <f>'POI Fisico'!F49</f>
        <v>Kit Distintivos</v>
      </c>
      <c r="E50" s="151">
        <f>'POI Fisico'!E49</f>
        <v>26</v>
      </c>
      <c r="F50" s="150">
        <f>IFERROR(G50/E50,0)</f>
        <v>131097.0401197208</v>
      </c>
      <c r="G50" s="149">
        <f>'Calculo de valores unitarios'!N35</f>
        <v>3408523.0431127404</v>
      </c>
      <c r="H50" s="148">
        <f>$F50*'POI Fisico'!H49</f>
        <v>3408523.0431127409</v>
      </c>
      <c r="I50" s="148">
        <f>$F50*'POI Fisico'!I49</f>
        <v>0</v>
      </c>
      <c r="J50" s="147">
        <f>IF(OR(H50="",H50=0),0,I50/H50)</f>
        <v>0</v>
      </c>
      <c r="K50" s="146"/>
      <c r="L50" s="148">
        <f>$F50*'POI Fisico'!M49</f>
        <v>0</v>
      </c>
      <c r="M50" s="148">
        <f>$F50*'POI Fisico'!N49</f>
        <v>0</v>
      </c>
      <c r="N50" s="147">
        <f>IF(OR(L50="",L50=0),0,M50/L50)</f>
        <v>0</v>
      </c>
      <c r="O50" s="146"/>
      <c r="P50" s="148">
        <f>$F50*'POI Fisico'!R49</f>
        <v>0</v>
      </c>
      <c r="Q50" s="148">
        <f>$F50*'POI Fisico'!S49</f>
        <v>0</v>
      </c>
      <c r="R50" s="147">
        <f>IF(OR(P50="",P50=0),0,Q50/P50)</f>
        <v>0</v>
      </c>
      <c r="S50" s="146"/>
      <c r="T50" s="148">
        <f>$F50*'POI Fisico'!W49</f>
        <v>0</v>
      </c>
      <c r="U50" s="148">
        <f>$F50*'POI Fisico'!X49</f>
        <v>0</v>
      </c>
      <c r="V50" s="147">
        <f>IF(OR(T50="",T50=0),0,U50/T50)</f>
        <v>0</v>
      </c>
      <c r="W50" s="146"/>
      <c r="X50" s="148">
        <f>$F50*'POI Fisico'!AB49</f>
        <v>0</v>
      </c>
      <c r="Y50" s="148">
        <f>$F50*'POI Fisico'!AC49</f>
        <v>0</v>
      </c>
      <c r="Z50" s="147">
        <f>IF(OR(X50="",X50=0),0,Y50/X50)</f>
        <v>0</v>
      </c>
      <c r="AA50" s="146"/>
      <c r="AB50" s="148">
        <f>$F50*'POI Fisico'!AG49</f>
        <v>0</v>
      </c>
      <c r="AC50" s="148">
        <f>$F50*'POI Fisico'!AH49</f>
        <v>0</v>
      </c>
      <c r="AD50" s="147">
        <f>IF(OR(AB50="",AB50=0),0,AC50/AB50)</f>
        <v>0</v>
      </c>
      <c r="AE50" s="146"/>
      <c r="AF50" s="148">
        <f>$F50*'POI Fisico'!AL49</f>
        <v>0</v>
      </c>
      <c r="AG50" s="148">
        <f>$F50*'POI Fisico'!AM49</f>
        <v>0</v>
      </c>
      <c r="AH50" s="147">
        <f>IF(OR(AF50="",AF50=0),0,AG50/AF50)</f>
        <v>0</v>
      </c>
      <c r="AI50" s="146"/>
      <c r="AJ50" s="148">
        <f>$F50*'POI Fisico'!AQ49</f>
        <v>0</v>
      </c>
      <c r="AK50" s="148">
        <f>$F50*'POI Fisico'!AR49</f>
        <v>0</v>
      </c>
      <c r="AL50" s="147">
        <f>IF(OR(AJ50="",AJ50=0),0,AK50/AJ50)</f>
        <v>0</v>
      </c>
      <c r="AM50" s="146"/>
      <c r="AN50" s="148">
        <f>$F50*'POI Fisico'!AV49</f>
        <v>0</v>
      </c>
      <c r="AO50" s="148">
        <f>$F50*'POI Fisico'!AW49</f>
        <v>0</v>
      </c>
      <c r="AP50" s="147">
        <f>IF(OR(AN50="",AN50=0),0,AO50/AN50)</f>
        <v>0</v>
      </c>
      <c r="AQ50" s="146"/>
      <c r="AR50" s="148">
        <f>$F50*'POI Fisico'!BA49</f>
        <v>0</v>
      </c>
      <c r="AS50" s="148">
        <f>$F50*'POI Fisico'!BB49</f>
        <v>0</v>
      </c>
      <c r="AT50" s="147">
        <f>IF(OR(AR50="",AR50=0),0,AS50/AR50)</f>
        <v>0</v>
      </c>
      <c r="AU50" s="146"/>
      <c r="AV50" s="148">
        <f>$F50*'POI Fisico'!BF49</f>
        <v>0</v>
      </c>
      <c r="AW50" s="148">
        <f>$F50*'POI Fisico'!BG49</f>
        <v>0</v>
      </c>
      <c r="AX50" s="147">
        <f>IF(OR(AV50="",AV50=0),0,AW50/AV50)</f>
        <v>0</v>
      </c>
      <c r="AY50" s="146"/>
      <c r="AZ50" s="148">
        <f>$F50*'POI Fisico'!BK49</f>
        <v>0</v>
      </c>
      <c r="BA50" s="148">
        <f>$F50*'POI Fisico'!BL49</f>
        <v>0</v>
      </c>
      <c r="BB50" s="147">
        <f>IF(OR(AZ50="",AZ50=0),0,BA50/AZ50)</f>
        <v>0</v>
      </c>
      <c r="BC50" s="146"/>
      <c r="BD50" s="148">
        <f>$F50*'POI Fisico'!BP49</f>
        <v>0</v>
      </c>
      <c r="BE50" s="148">
        <f>$F50*'POI Fisico'!BQ49</f>
        <v>0</v>
      </c>
      <c r="BF50" s="147">
        <f>IF(OR(BD50="",BD50=0),0,BE50/BD50)</f>
        <v>0</v>
      </c>
      <c r="BG50" s="146"/>
      <c r="BH50" s="148">
        <f>$F50*'POI Fisico'!BU49</f>
        <v>0</v>
      </c>
      <c r="BI50" s="148">
        <f>$F50*'POI Fisico'!BV49</f>
        <v>0</v>
      </c>
      <c r="BJ50" s="147">
        <f>IF(OR(BH50="",BH50=0),0,BI50/BH50)</f>
        <v>0</v>
      </c>
      <c r="BK50" s="146"/>
      <c r="BL50" s="145">
        <f t="shared" si="19"/>
        <v>3408523.0431127409</v>
      </c>
      <c r="BM50" s="145">
        <f t="shared" si="19"/>
        <v>0</v>
      </c>
      <c r="BN50" s="144">
        <f>IF(OR(BL50="",BL50=0),0,BM50/BL50)</f>
        <v>0</v>
      </c>
    </row>
    <row r="51" spans="1:66" s="135" customFormat="1" ht="24.95" customHeight="1" thickBot="1" x14ac:dyDescent="0.3">
      <c r="A51" s="142"/>
      <c r="B51" s="574" t="str">
        <f>'POI Fisico'!C50</f>
        <v>Total PLAN</v>
      </c>
      <c r="C51" s="574"/>
      <c r="D51" s="141"/>
      <c r="E51" s="140"/>
      <c r="F51" s="139"/>
      <c r="G51" s="137">
        <f>SUM(G48:G50)</f>
        <v>34580626.810375802</v>
      </c>
      <c r="H51" s="137">
        <f>SUM(H48:H50)</f>
        <v>5806377.179056053</v>
      </c>
      <c r="I51" s="137">
        <f>SUM(I48:I50)</f>
        <v>0</v>
      </c>
      <c r="J51" s="136">
        <f>IFERROR(IF(H51="",0,I51/H51),0)</f>
        <v>0</v>
      </c>
      <c r="K51" s="138"/>
      <c r="L51" s="137">
        <f>SUM(L48:L50)</f>
        <v>2397854.1359433122</v>
      </c>
      <c r="M51" s="137">
        <f>SUM(M48:M50)</f>
        <v>0</v>
      </c>
      <c r="N51" s="136">
        <f>IFERROR(IF(L51="",0,M51/L51),0)</f>
        <v>0</v>
      </c>
      <c r="O51" s="138"/>
      <c r="P51" s="137">
        <f>SUM(P48:P50)</f>
        <v>2397854.1359433122</v>
      </c>
      <c r="Q51" s="137">
        <f>SUM(Q48:Q50)</f>
        <v>0</v>
      </c>
      <c r="R51" s="136">
        <f>IFERROR(IF(P51="",0,Q51/P51),0)</f>
        <v>0</v>
      </c>
      <c r="S51" s="138"/>
      <c r="T51" s="137">
        <f>SUM(T48:T50)</f>
        <v>2397854.1359433122</v>
      </c>
      <c r="U51" s="137">
        <f>SUM(U48:U50)</f>
        <v>0</v>
      </c>
      <c r="V51" s="136">
        <f>IFERROR(IF(T51="",0,U51/T51),0)</f>
        <v>0</v>
      </c>
      <c r="W51" s="138"/>
      <c r="X51" s="137">
        <f>SUM(X48:X50)</f>
        <v>2397854.1359433122</v>
      </c>
      <c r="Y51" s="137">
        <f>SUM(Y48:Y50)</f>
        <v>0</v>
      </c>
      <c r="Z51" s="136">
        <f>IFERROR(IF(X51="",0,Y51/X51),0)</f>
        <v>0</v>
      </c>
      <c r="AA51" s="138"/>
      <c r="AB51" s="137">
        <f>SUM(AB48:AB50)</f>
        <v>2397854.1359433122</v>
      </c>
      <c r="AC51" s="137">
        <f>SUM(AC48:AC50)</f>
        <v>0</v>
      </c>
      <c r="AD51" s="136">
        <f>IFERROR(IF(AB51="",0,AC51/AB51),0)</f>
        <v>0</v>
      </c>
      <c r="AE51" s="138"/>
      <c r="AF51" s="137">
        <f>SUM(AF48:AF50)</f>
        <v>2397854.1359433122</v>
      </c>
      <c r="AG51" s="137">
        <f>SUM(AG48:AG50)</f>
        <v>0</v>
      </c>
      <c r="AH51" s="136">
        <f>IFERROR(IF(AF51="",0,AG51/AF51),0)</f>
        <v>0</v>
      </c>
      <c r="AI51" s="138"/>
      <c r="AJ51" s="137">
        <f>SUM(AJ48:AJ50)</f>
        <v>2397854.1359433122</v>
      </c>
      <c r="AK51" s="137">
        <f>SUM(AK48:AK50)</f>
        <v>0</v>
      </c>
      <c r="AL51" s="136">
        <f>IFERROR(IF(AJ51="",0,AK51/AJ51),0)</f>
        <v>0</v>
      </c>
      <c r="AM51" s="138"/>
      <c r="AN51" s="137">
        <f>SUM(AN48:AN50)</f>
        <v>2397854.1359433122</v>
      </c>
      <c r="AO51" s="137">
        <f>SUM(AO48:AO50)</f>
        <v>0</v>
      </c>
      <c r="AP51" s="136">
        <f>IFERROR(IF(AN51="",0,AO51/AN51),0)</f>
        <v>0</v>
      </c>
      <c r="AQ51" s="138"/>
      <c r="AR51" s="137">
        <f>SUM(AR48:AR50)</f>
        <v>2397854.1359433122</v>
      </c>
      <c r="AS51" s="137">
        <f>SUM(AS48:AS50)</f>
        <v>0</v>
      </c>
      <c r="AT51" s="136">
        <f>IFERROR(IF(AR51="",0,AS51/AR51),0)</f>
        <v>0</v>
      </c>
      <c r="AU51" s="138"/>
      <c r="AV51" s="137">
        <f>SUM(AV48:AV50)</f>
        <v>2397854.1359433122</v>
      </c>
      <c r="AW51" s="137">
        <f>SUM(AW48:AW50)</f>
        <v>0</v>
      </c>
      <c r="AX51" s="136">
        <f>IFERROR(IF(AV51="",0,AW51/AV51),0)</f>
        <v>0</v>
      </c>
      <c r="AY51" s="138"/>
      <c r="AZ51" s="137">
        <f>SUM(AZ48:AZ50)</f>
        <v>2397854.1359433122</v>
      </c>
      <c r="BA51" s="137">
        <f>SUM(BA48:BA50)</f>
        <v>0</v>
      </c>
      <c r="BB51" s="136">
        <f>IFERROR(IF(AZ51="",0,BA51/AZ51),0)</f>
        <v>0</v>
      </c>
      <c r="BC51" s="138"/>
      <c r="BD51" s="137">
        <f>SUM(BD48:BD50)</f>
        <v>2397854.1359433122</v>
      </c>
      <c r="BE51" s="137">
        <f>SUM(BE48:BE50)</f>
        <v>0</v>
      </c>
      <c r="BF51" s="136">
        <f>IFERROR(IF(BD51="",0,BE51/BD51),0)</f>
        <v>0</v>
      </c>
      <c r="BG51" s="138"/>
      <c r="BH51" s="137">
        <f>SUM(BH48:BH50)</f>
        <v>0</v>
      </c>
      <c r="BI51" s="137">
        <f>SUM(BI48:BI50)</f>
        <v>0</v>
      </c>
      <c r="BJ51" s="136">
        <f>IFERROR(IF(BH51="",0,BI51/BH51),0)</f>
        <v>0</v>
      </c>
      <c r="BK51" s="138"/>
      <c r="BL51" s="137">
        <f>SUM(BL48:BL50)</f>
        <v>34580626.810375802</v>
      </c>
      <c r="BM51" s="137">
        <f>SUM(BM48:BM50)</f>
        <v>0</v>
      </c>
      <c r="BN51" s="136">
        <f>IFERROR(IF(BL51="",0,BM51/BL51),0)</f>
        <v>0</v>
      </c>
    </row>
    <row r="52" spans="1:66" s="127" customFormat="1" ht="24.95" customHeight="1" thickBot="1" x14ac:dyDescent="0.3">
      <c r="A52" s="134"/>
      <c r="B52" s="565" t="s">
        <v>142</v>
      </c>
      <c r="C52" s="566"/>
      <c r="D52" s="133"/>
      <c r="E52" s="132"/>
      <c r="F52" s="131"/>
      <c r="G52" s="129">
        <f>G51+G46+G41+G35+G28+G22</f>
        <v>1299981929.4098001</v>
      </c>
      <c r="H52" s="129">
        <f>H51+H46+H41+H35+H28+H22</f>
        <v>304792434.97879159</v>
      </c>
      <c r="I52" s="129">
        <f>I51+I46+I41+I35+I28+I22</f>
        <v>0</v>
      </c>
      <c r="J52" s="128"/>
      <c r="K52" s="130"/>
      <c r="L52" s="129">
        <f>L51+L46+L41+L35+L28+L22</f>
        <v>87532438.959952354</v>
      </c>
      <c r="M52" s="129">
        <f>M51+M46+M41+M35+M28+M22</f>
        <v>0</v>
      </c>
      <c r="N52" s="128"/>
      <c r="O52" s="130"/>
      <c r="P52" s="129">
        <f>P51+P46+P41+P35+P28+P22</f>
        <v>111988056.82923709</v>
      </c>
      <c r="Q52" s="129">
        <f>Q51+Q46+Q41+Q35+Q28+Q22</f>
        <v>0</v>
      </c>
      <c r="R52" s="128"/>
      <c r="S52" s="130"/>
      <c r="T52" s="129">
        <f>T51+T46+T41+T35+T28+T22</f>
        <v>168643355.84355164</v>
      </c>
      <c r="U52" s="129">
        <f>U51+U46+U41+U35+U28+U22</f>
        <v>0</v>
      </c>
      <c r="V52" s="128"/>
      <c r="W52" s="130"/>
      <c r="X52" s="129">
        <f>X51+X46+X41+X35+X28+X22</f>
        <v>85711314.229412168</v>
      </c>
      <c r="Y52" s="129">
        <f>Y51+Y46+Y41+Y35+Y28+Y22</f>
        <v>0</v>
      </c>
      <c r="Z52" s="128"/>
      <c r="AA52" s="130"/>
      <c r="AB52" s="129">
        <f>AB51+AB46+AB41+AB35+AB28+AB22</f>
        <v>44953391.437429965</v>
      </c>
      <c r="AC52" s="129">
        <f>AC51+AC46+AC41+AC35+AC28+AC22</f>
        <v>0</v>
      </c>
      <c r="AD52" s="128"/>
      <c r="AE52" s="130"/>
      <c r="AF52" s="129">
        <f>AF51+AF46+AF41+AF35+AF28+AF22</f>
        <v>30768212.336934414</v>
      </c>
      <c r="AG52" s="129">
        <f>AG51+AG46+AG41+AG35+AG28+AG22</f>
        <v>0</v>
      </c>
      <c r="AH52" s="128"/>
      <c r="AI52" s="130"/>
      <c r="AJ52" s="129">
        <f>AJ51+AJ46+AJ41+AJ35+AJ28+AJ22</f>
        <v>2397854.1359433122</v>
      </c>
      <c r="AK52" s="129">
        <f>AK51+AK46+AK41+AK35+AK28+AK22</f>
        <v>0</v>
      </c>
      <c r="AL52" s="128"/>
      <c r="AM52" s="130"/>
      <c r="AN52" s="129">
        <f>AN51+AN46+AN41+AN35+AN28+AN22</f>
        <v>28470418.726934411</v>
      </c>
      <c r="AO52" s="129">
        <f>AO51+AO46+AO41+AO35+AO28+AO22</f>
        <v>0</v>
      </c>
      <c r="AP52" s="128"/>
      <c r="AQ52" s="130"/>
      <c r="AR52" s="129">
        <f>AR51+AR46+AR41+AR35+AR28+AR22</f>
        <v>65122247.028421067</v>
      </c>
      <c r="AS52" s="129">
        <f>AS51+AS46+AS41+AS35+AS28+AS22</f>
        <v>0</v>
      </c>
      <c r="AT52" s="128"/>
      <c r="AU52" s="130"/>
      <c r="AV52" s="129">
        <f>AV51+AV46+AV41+AV35+AV28+AV22</f>
        <v>131936722.96139438</v>
      </c>
      <c r="AW52" s="129">
        <f>AW51+AW46+AW41+AW35+AW28+AW22</f>
        <v>0</v>
      </c>
      <c r="AX52" s="128"/>
      <c r="AY52" s="130"/>
      <c r="AZ52" s="129">
        <f>AZ51+AZ46+AZ41+AZ35+AZ28+AZ22</f>
        <v>139143606.34489289</v>
      </c>
      <c r="BA52" s="129">
        <f>BA51+BA46+BA41+BA35+BA28+BA22</f>
        <v>0</v>
      </c>
      <c r="BB52" s="128"/>
      <c r="BC52" s="130"/>
      <c r="BD52" s="129">
        <f>BD51+BD46+BD41+BD35+BD28+BD22</f>
        <v>28470418.726934411</v>
      </c>
      <c r="BE52" s="129">
        <f>BE51+BE46+BE41+BE35+BE28+BE22</f>
        <v>0</v>
      </c>
      <c r="BF52" s="128"/>
      <c r="BG52" s="130"/>
      <c r="BH52" s="129">
        <f>BH51+BH46+BH41+BH35+BH28+BH22</f>
        <v>70051456.869970351</v>
      </c>
      <c r="BI52" s="129">
        <f>BI51+BI46+BI41+BI35+BI28+BI22</f>
        <v>0</v>
      </c>
      <c r="BJ52" s="128"/>
      <c r="BK52" s="130"/>
      <c r="BL52" s="129">
        <f>BL51+BL46+BL41+BL35+BL28+BL22</f>
        <v>1299981929.4098001</v>
      </c>
      <c r="BM52" s="129">
        <f>BM51+BM46+BM41+BM35+BM28+BM22</f>
        <v>0</v>
      </c>
      <c r="BN52" s="128"/>
    </row>
    <row r="53" spans="1:66" s="116" customFormat="1" ht="24.95" customHeight="1" x14ac:dyDescent="0.25">
      <c r="A53" s="126"/>
      <c r="B53" s="125"/>
      <c r="C53" s="124"/>
      <c r="D53" s="123"/>
      <c r="E53" s="122"/>
      <c r="F53" s="121"/>
      <c r="G53" s="118" t="s">
        <v>157</v>
      </c>
      <c r="H53" s="119">
        <f>H52/$G$52</f>
        <v>0.23445897830069781</v>
      </c>
      <c r="I53" s="118"/>
      <c r="J53" s="120"/>
      <c r="K53" s="118"/>
      <c r="L53" s="119">
        <f>L52/$G$52</f>
        <v>6.7333581321159311E-2</v>
      </c>
      <c r="M53" s="118"/>
      <c r="N53" s="120"/>
      <c r="O53" s="118"/>
      <c r="P53" s="119">
        <f>P52/$G$52</f>
        <v>8.6145856565929629E-2</v>
      </c>
      <c r="Q53" s="118"/>
      <c r="R53" s="120"/>
      <c r="S53" s="118"/>
      <c r="T53" s="119">
        <f>T52/$G$52</f>
        <v>0.12972746161180623</v>
      </c>
      <c r="U53" s="118"/>
      <c r="V53" s="120"/>
      <c r="W53" s="118"/>
      <c r="X53" s="119">
        <f>X52/$G$52</f>
        <v>6.5932696670888066E-2</v>
      </c>
      <c r="Y53" s="118"/>
      <c r="Z53" s="120"/>
      <c r="AA53" s="118"/>
      <c r="AB53" s="119">
        <f>AB52/$G$52</f>
        <v>3.4580012552819936E-2</v>
      </c>
      <c r="AC53" s="118"/>
      <c r="AD53" s="120"/>
      <c r="AE53" s="118"/>
      <c r="AF53" s="119">
        <f>AF52/$G$52</f>
        <v>2.3668184642307587E-2</v>
      </c>
      <c r="AG53" s="118"/>
      <c r="AH53" s="120"/>
      <c r="AI53" s="118"/>
      <c r="AJ53" s="119">
        <f>AJ52/$G$52</f>
        <v>1.8445288212828874E-3</v>
      </c>
      <c r="AK53" s="118"/>
      <c r="AL53" s="120"/>
      <c r="AM53" s="118"/>
      <c r="AN53" s="119">
        <f>AN52/$G$52</f>
        <v>2.1900626526293453E-2</v>
      </c>
      <c r="AO53" s="118"/>
      <c r="AP53" s="120"/>
      <c r="AQ53" s="118"/>
      <c r="AR53" s="119">
        <f>AR52/$G$52</f>
        <v>5.0094732515233484E-2</v>
      </c>
      <c r="AS53" s="118"/>
      <c r="AT53" s="120"/>
      <c r="AU53" s="118"/>
      <c r="AV53" s="119">
        <f>AV52/$G$52</f>
        <v>0.10149119766710486</v>
      </c>
      <c r="AW53" s="118"/>
      <c r="AX53" s="120"/>
      <c r="AY53" s="118"/>
      <c r="AZ53" s="119">
        <f>AZ52/$G$52</f>
        <v>0.10703503117775257</v>
      </c>
      <c r="BA53" s="118"/>
      <c r="BB53" s="120"/>
      <c r="BC53" s="118"/>
      <c r="BD53" s="119">
        <f>BD52/$G$52</f>
        <v>2.1900626526293453E-2</v>
      </c>
      <c r="BE53" s="118"/>
      <c r="BF53" s="120"/>
      <c r="BG53" s="118"/>
      <c r="BH53" s="119">
        <f>BH52/$G$52</f>
        <v>5.3886485100430703E-2</v>
      </c>
      <c r="BI53" s="118"/>
      <c r="BJ53" s="120"/>
      <c r="BK53" s="118"/>
      <c r="BL53" s="119">
        <f>BL52/$G$52</f>
        <v>1</v>
      </c>
      <c r="BM53" s="118"/>
      <c r="BN53" s="117"/>
    </row>
    <row r="54" spans="1:66" s="116" customFormat="1" ht="24.95" customHeight="1" thickBot="1" x14ac:dyDescent="0.3">
      <c r="A54" s="126"/>
      <c r="B54" s="125"/>
      <c r="C54" s="124"/>
      <c r="D54" s="123"/>
      <c r="E54" s="122"/>
      <c r="F54" s="121"/>
      <c r="G54" s="118" t="s">
        <v>158</v>
      </c>
      <c r="H54" s="119">
        <f>H53</f>
        <v>0.23445897830069781</v>
      </c>
      <c r="I54" s="118"/>
      <c r="J54" s="120"/>
      <c r="K54" s="118"/>
      <c r="L54" s="119">
        <f>H54+L53</f>
        <v>0.30179255962185714</v>
      </c>
      <c r="M54" s="118"/>
      <c r="N54" s="120"/>
      <c r="O54" s="118"/>
      <c r="P54" s="119">
        <f>L54+P53</f>
        <v>0.38793841618778679</v>
      </c>
      <c r="Q54" s="118"/>
      <c r="R54" s="120"/>
      <c r="S54" s="118"/>
      <c r="T54" s="119">
        <f>P54+T53</f>
        <v>0.51766587779959305</v>
      </c>
      <c r="U54" s="118"/>
      <c r="V54" s="120"/>
      <c r="W54" s="118"/>
      <c r="X54" s="119">
        <f>T54+X53</f>
        <v>0.58359857447048114</v>
      </c>
      <c r="Y54" s="118"/>
      <c r="Z54" s="120"/>
      <c r="AA54" s="118"/>
      <c r="AB54" s="119">
        <f>X54+AB53</f>
        <v>0.61817858702330108</v>
      </c>
      <c r="AC54" s="118"/>
      <c r="AD54" s="120"/>
      <c r="AE54" s="118"/>
      <c r="AF54" s="119">
        <f>AB54+AF53</f>
        <v>0.64184677166560866</v>
      </c>
      <c r="AG54" s="118"/>
      <c r="AH54" s="120"/>
      <c r="AI54" s="118"/>
      <c r="AJ54" s="119">
        <f>AF54+AJ53</f>
        <v>0.6436913004868916</v>
      </c>
      <c r="AK54" s="118"/>
      <c r="AL54" s="120"/>
      <c r="AM54" s="118"/>
      <c r="AN54" s="119">
        <f>AJ54+AN53</f>
        <v>0.66559192701318504</v>
      </c>
      <c r="AO54" s="118"/>
      <c r="AP54" s="120"/>
      <c r="AQ54" s="118"/>
      <c r="AR54" s="119">
        <f>AN54+AR53</f>
        <v>0.71568665952841848</v>
      </c>
      <c r="AS54" s="118"/>
      <c r="AT54" s="120"/>
      <c r="AU54" s="118"/>
      <c r="AV54" s="119">
        <f>AR54+AV53</f>
        <v>0.81717785719552338</v>
      </c>
      <c r="AW54" s="118"/>
      <c r="AX54" s="120"/>
      <c r="AY54" s="118"/>
      <c r="AZ54" s="119">
        <f>AV54+AZ53</f>
        <v>0.92421288837327598</v>
      </c>
      <c r="BA54" s="118"/>
      <c r="BB54" s="120"/>
      <c r="BC54" s="118"/>
      <c r="BD54" s="119">
        <f>AZ54+BD53</f>
        <v>0.94611351489956941</v>
      </c>
      <c r="BE54" s="118"/>
      <c r="BF54" s="120"/>
      <c r="BG54" s="118"/>
      <c r="BH54" s="119">
        <f>BD54+BH53</f>
        <v>1</v>
      </c>
      <c r="BI54" s="118"/>
      <c r="BJ54" s="120"/>
      <c r="BK54" s="118"/>
      <c r="BL54" s="119"/>
      <c r="BM54" s="118"/>
      <c r="BN54" s="117"/>
    </row>
    <row r="55" spans="1:66" ht="24.95" customHeight="1" thickBot="1" x14ac:dyDescent="0.3">
      <c r="A55" s="115"/>
      <c r="C55" s="111"/>
      <c r="D55" s="111"/>
      <c r="E55" s="111"/>
      <c r="F55" s="114"/>
      <c r="G55" s="562"/>
      <c r="H55" s="563"/>
      <c r="I55" s="563"/>
      <c r="J55" s="563"/>
      <c r="K55" s="563"/>
      <c r="L55" s="564"/>
      <c r="M55" s="107"/>
      <c r="BL55" s="113" t="s">
        <v>65</v>
      </c>
      <c r="BM55" s="113"/>
      <c r="BN55" s="112"/>
    </row>
    <row r="56" spans="1:66" ht="16.5" thickBot="1" x14ac:dyDescent="0.3">
      <c r="C56" s="111"/>
      <c r="D56" s="111"/>
      <c r="E56" s="110"/>
      <c r="G56" s="109"/>
      <c r="J56" s="108"/>
      <c r="BL56" s="553"/>
      <c r="BM56" s="554"/>
      <c r="BN56" s="555"/>
    </row>
    <row r="57" spans="1:66" x14ac:dyDescent="0.25">
      <c r="F57" s="107"/>
    </row>
    <row r="58" spans="1:66" x14ac:dyDescent="0.25">
      <c r="BL58" s="107"/>
    </row>
    <row r="59" spans="1:66" x14ac:dyDescent="0.25">
      <c r="M59" s="107"/>
      <c r="N59" s="106"/>
    </row>
  </sheetData>
  <sheetProtection formatCells="0" formatColumns="0" formatRows="0"/>
  <mergeCells count="141">
    <mergeCell ref="BL42:BN42"/>
    <mergeCell ref="B46:C46"/>
    <mergeCell ref="AF47:AI47"/>
    <mergeCell ref="AN47:AQ47"/>
    <mergeCell ref="AZ47:BC47"/>
    <mergeCell ref="AB47:AE47"/>
    <mergeCell ref="AR47:AU47"/>
    <mergeCell ref="AZ42:BC42"/>
    <mergeCell ref="BD42:BG42"/>
    <mergeCell ref="BH42:BK42"/>
    <mergeCell ref="BH47:BK47"/>
    <mergeCell ref="AB42:AE42"/>
    <mergeCell ref="AF42:AI42"/>
    <mergeCell ref="AJ42:AM42"/>
    <mergeCell ref="AN42:AQ42"/>
    <mergeCell ref="BD47:BG47"/>
    <mergeCell ref="AV47:AY47"/>
    <mergeCell ref="A24:A25"/>
    <mergeCell ref="AR16:AU16"/>
    <mergeCell ref="AR18:AU18"/>
    <mergeCell ref="AR23:AU23"/>
    <mergeCell ref="AB18:AE18"/>
    <mergeCell ref="B52:C52"/>
    <mergeCell ref="H42:K42"/>
    <mergeCell ref="L42:O42"/>
    <mergeCell ref="P42:S42"/>
    <mergeCell ref="T42:W42"/>
    <mergeCell ref="X42:AA42"/>
    <mergeCell ref="AR42:AU42"/>
    <mergeCell ref="A32:A33"/>
    <mergeCell ref="B32:B33"/>
    <mergeCell ref="A37:A38"/>
    <mergeCell ref="AJ47:AM47"/>
    <mergeCell ref="B35:C35"/>
    <mergeCell ref="B41:C41"/>
    <mergeCell ref="B51:C51"/>
    <mergeCell ref="B37:B38"/>
    <mergeCell ref="T18:W18"/>
    <mergeCell ref="H16:K16"/>
    <mergeCell ref="L16:O16"/>
    <mergeCell ref="P16:S16"/>
    <mergeCell ref="BH16:BK16"/>
    <mergeCell ref="BH18:BK18"/>
    <mergeCell ref="BH23:BK23"/>
    <mergeCell ref="BH29:BK29"/>
    <mergeCell ref="BH36:BK36"/>
    <mergeCell ref="BD16:BG16"/>
    <mergeCell ref="BD18:BG18"/>
    <mergeCell ref="BD23:BG23"/>
    <mergeCell ref="BD29:BG29"/>
    <mergeCell ref="BD36:BG36"/>
    <mergeCell ref="AV18:AY18"/>
    <mergeCell ref="AV42:AY42"/>
    <mergeCell ref="G55:L55"/>
    <mergeCell ref="T47:W47"/>
    <mergeCell ref="X47:AA47"/>
    <mergeCell ref="X23:AA23"/>
    <mergeCell ref="X29:AA29"/>
    <mergeCell ref="X36:AA36"/>
    <mergeCell ref="AF23:AI23"/>
    <mergeCell ref="AF29:AI29"/>
    <mergeCell ref="AJ23:AM23"/>
    <mergeCell ref="AJ29:AM29"/>
    <mergeCell ref="AJ36:AM36"/>
    <mergeCell ref="AF36:AI36"/>
    <mergeCell ref="AV36:AY36"/>
    <mergeCell ref="H18:K18"/>
    <mergeCell ref="L18:O18"/>
    <mergeCell ref="P18:S18"/>
    <mergeCell ref="BL56:BN56"/>
    <mergeCell ref="H23:K23"/>
    <mergeCell ref="L23:O23"/>
    <mergeCell ref="P23:S23"/>
    <mergeCell ref="T23:W23"/>
    <mergeCell ref="BL47:BN47"/>
    <mergeCell ref="H47:K47"/>
    <mergeCell ref="L47:O47"/>
    <mergeCell ref="P47:S47"/>
    <mergeCell ref="AR36:AU36"/>
    <mergeCell ref="BL23:BN23"/>
    <mergeCell ref="H29:K29"/>
    <mergeCell ref="L29:O29"/>
    <mergeCell ref="AB23:AE23"/>
    <mergeCell ref="AB29:AE29"/>
    <mergeCell ref="AB36:AE36"/>
    <mergeCell ref="AN23:AQ23"/>
    <mergeCell ref="P29:S29"/>
    <mergeCell ref="T29:W29"/>
    <mergeCell ref="H36:K36"/>
    <mergeCell ref="L36:O36"/>
    <mergeCell ref="P36:S36"/>
    <mergeCell ref="T36:W36"/>
    <mergeCell ref="BL29:BN29"/>
    <mergeCell ref="C11:H11"/>
    <mergeCell ref="B26:B27"/>
    <mergeCell ref="BL36:BN36"/>
    <mergeCell ref="AV23:AY23"/>
    <mergeCell ref="AV29:AY29"/>
    <mergeCell ref="AN29:AQ29"/>
    <mergeCell ref="AN36:AQ36"/>
    <mergeCell ref="AR29:AU29"/>
    <mergeCell ref="X16:AA16"/>
    <mergeCell ref="X18:AA18"/>
    <mergeCell ref="AF16:AI16"/>
    <mergeCell ref="AF18:AI18"/>
    <mergeCell ref="AN16:AQ16"/>
    <mergeCell ref="AN18:AQ18"/>
    <mergeCell ref="AJ18:AM18"/>
    <mergeCell ref="AJ16:AM16"/>
    <mergeCell ref="AB16:AE16"/>
    <mergeCell ref="BL16:BN16"/>
    <mergeCell ref="AZ16:BC16"/>
    <mergeCell ref="AZ18:BC18"/>
    <mergeCell ref="AZ23:BC23"/>
    <mergeCell ref="AZ29:BC29"/>
    <mergeCell ref="AZ36:BC36"/>
    <mergeCell ref="AV16:AY16"/>
    <mergeCell ref="A26:A27"/>
    <mergeCell ref="B24:B25"/>
    <mergeCell ref="T16:W16"/>
    <mergeCell ref="BL18:BN18"/>
    <mergeCell ref="B30:B31"/>
    <mergeCell ref="A30:A31"/>
    <mergeCell ref="B2:D3"/>
    <mergeCell ref="E2:L3"/>
    <mergeCell ref="C7:H7"/>
    <mergeCell ref="G16:G17"/>
    <mergeCell ref="C10:H10"/>
    <mergeCell ref="A16:A17"/>
    <mergeCell ref="M2:O2"/>
    <mergeCell ref="M3:O3"/>
    <mergeCell ref="B4:O4"/>
    <mergeCell ref="B6:D6"/>
    <mergeCell ref="E6:F6"/>
    <mergeCell ref="G6:H6"/>
    <mergeCell ref="B16:C17"/>
    <mergeCell ref="D16:D17"/>
    <mergeCell ref="E16:E17"/>
    <mergeCell ref="F16:F17"/>
    <mergeCell ref="C8:H8"/>
    <mergeCell ref="C9:H9"/>
  </mergeCells>
  <phoneticPr fontId="24" type="noConversion"/>
  <conditionalFormatting sqref="BN19:BN21 V19:V21 R19:R21 N19:N21 J19:J21 N24:N25 J24:J25 N30:N32 J30:J32 J38:J41">
    <cfRule type="cellIs" dxfId="847" priority="912" stopIfTrue="1" operator="between">
      <formula>0</formula>
      <formula>0.4</formula>
    </cfRule>
    <cfRule type="cellIs" dxfId="846" priority="913" stopIfTrue="1" operator="between">
      <formula>0.4001</formula>
      <formula>0.65</formula>
    </cfRule>
    <cfRule type="cellIs" dxfId="845" priority="914" stopIfTrue="1" operator="between">
      <formula>0.6501</formula>
      <formula>1</formula>
    </cfRule>
  </conditionalFormatting>
  <conditionalFormatting sqref="G55:L55">
    <cfRule type="cellIs" dxfId="844" priority="910" stopIfTrue="1" operator="equal">
      <formula>"Los valores totales por componente no son iguales al valor total registrado en el contrato"</formula>
    </cfRule>
    <cfRule type="cellIs" dxfId="843" priority="911" stopIfTrue="1" operator="notEqual">
      <formula>"Los valores totales por componente no son iguales al valor total registrado en el contrato"</formula>
    </cfRule>
  </conditionalFormatting>
  <conditionalFormatting sqref="BN28">
    <cfRule type="cellIs" dxfId="842" priority="901" stopIfTrue="1" operator="between">
      <formula>0</formula>
      <formula>0.4</formula>
    </cfRule>
    <cfRule type="cellIs" dxfId="841" priority="902" stopIfTrue="1" operator="between">
      <formula>0.4001</formula>
      <formula>0.65</formula>
    </cfRule>
    <cfRule type="cellIs" dxfId="840" priority="903" stopIfTrue="1" operator="between">
      <formula>0.6501</formula>
      <formula>1</formula>
    </cfRule>
  </conditionalFormatting>
  <conditionalFormatting sqref="J28">
    <cfRule type="cellIs" dxfId="839" priority="907" stopIfTrue="1" operator="between">
      <formula>0</formula>
      <formula>0.4</formula>
    </cfRule>
    <cfRule type="cellIs" dxfId="838" priority="908" stopIfTrue="1" operator="between">
      <formula>0.4001</formula>
      <formula>0.65</formula>
    </cfRule>
    <cfRule type="cellIs" dxfId="837" priority="909" stopIfTrue="1" operator="between">
      <formula>0.6501</formula>
      <formula>1</formula>
    </cfRule>
  </conditionalFormatting>
  <conditionalFormatting sqref="N28">
    <cfRule type="cellIs" dxfId="836" priority="904" stopIfTrue="1" operator="between">
      <formula>0</formula>
      <formula>0.4</formula>
    </cfRule>
    <cfRule type="cellIs" dxfId="835" priority="905" stopIfTrue="1" operator="between">
      <formula>0.4001</formula>
      <formula>0.65</formula>
    </cfRule>
    <cfRule type="cellIs" dxfId="834" priority="906" stopIfTrue="1" operator="between">
      <formula>0.6501</formula>
      <formula>1</formula>
    </cfRule>
  </conditionalFormatting>
  <conditionalFormatting sqref="N35">
    <cfRule type="cellIs" dxfId="833" priority="898" stopIfTrue="1" operator="between">
      <formula>0</formula>
      <formula>0.4</formula>
    </cfRule>
    <cfRule type="cellIs" dxfId="832" priority="899" stopIfTrue="1" operator="between">
      <formula>0.4001</formula>
      <formula>0.65</formula>
    </cfRule>
    <cfRule type="cellIs" dxfId="831" priority="900" stopIfTrue="1" operator="between">
      <formula>0.6501</formula>
      <formula>1</formula>
    </cfRule>
  </conditionalFormatting>
  <conditionalFormatting sqref="R35">
    <cfRule type="cellIs" dxfId="830" priority="895" stopIfTrue="1" operator="between">
      <formula>0</formula>
      <formula>0.4</formula>
    </cfRule>
    <cfRule type="cellIs" dxfId="829" priority="896" stopIfTrue="1" operator="between">
      <formula>0.4001</formula>
      <formula>0.65</formula>
    </cfRule>
    <cfRule type="cellIs" dxfId="828" priority="897" stopIfTrue="1" operator="between">
      <formula>0.6501</formula>
      <formula>1</formula>
    </cfRule>
  </conditionalFormatting>
  <conditionalFormatting sqref="V35">
    <cfRule type="cellIs" dxfId="827" priority="892" stopIfTrue="1" operator="between">
      <formula>0</formula>
      <formula>0.4</formula>
    </cfRule>
    <cfRule type="cellIs" dxfId="826" priority="893" stopIfTrue="1" operator="between">
      <formula>0.4001</formula>
      <formula>0.65</formula>
    </cfRule>
    <cfRule type="cellIs" dxfId="825" priority="894" stopIfTrue="1" operator="between">
      <formula>0.6501</formula>
      <formula>1</formula>
    </cfRule>
  </conditionalFormatting>
  <conditionalFormatting sqref="BN35">
    <cfRule type="cellIs" dxfId="824" priority="889" stopIfTrue="1" operator="between">
      <formula>0</formula>
      <formula>0.4</formula>
    </cfRule>
    <cfRule type="cellIs" dxfId="823" priority="890" stopIfTrue="1" operator="between">
      <formula>0.4001</formula>
      <formula>0.65</formula>
    </cfRule>
    <cfRule type="cellIs" dxfId="822" priority="891" stopIfTrue="1" operator="between">
      <formula>0.6501</formula>
      <formula>1</formula>
    </cfRule>
  </conditionalFormatting>
  <conditionalFormatting sqref="J22">
    <cfRule type="cellIs" dxfId="821" priority="886" stopIfTrue="1" operator="between">
      <formula>0</formula>
      <formula>0.4</formula>
    </cfRule>
    <cfRule type="cellIs" dxfId="820" priority="887" stopIfTrue="1" operator="between">
      <formula>0.4001</formula>
      <formula>0.65</formula>
    </cfRule>
    <cfRule type="cellIs" dxfId="819" priority="888" stopIfTrue="1" operator="between">
      <formula>0.6501</formula>
      <formula>1</formula>
    </cfRule>
  </conditionalFormatting>
  <conditionalFormatting sqref="N22">
    <cfRule type="cellIs" dxfId="818" priority="883" stopIfTrue="1" operator="between">
      <formula>0</formula>
      <formula>0.4</formula>
    </cfRule>
    <cfRule type="cellIs" dxfId="817" priority="884" stopIfTrue="1" operator="between">
      <formula>0.4001</formula>
      <formula>0.65</formula>
    </cfRule>
    <cfRule type="cellIs" dxfId="816" priority="885" stopIfTrue="1" operator="between">
      <formula>0.6501</formula>
      <formula>1</formula>
    </cfRule>
  </conditionalFormatting>
  <conditionalFormatting sqref="R22">
    <cfRule type="cellIs" dxfId="815" priority="880" stopIfTrue="1" operator="between">
      <formula>0</formula>
      <formula>0.4</formula>
    </cfRule>
    <cfRule type="cellIs" dxfId="814" priority="881" stopIfTrue="1" operator="between">
      <formula>0.4001</formula>
      <formula>0.65</formula>
    </cfRule>
    <cfRule type="cellIs" dxfId="813" priority="882" stopIfTrue="1" operator="between">
      <formula>0.6501</formula>
      <formula>1</formula>
    </cfRule>
  </conditionalFormatting>
  <conditionalFormatting sqref="V22">
    <cfRule type="cellIs" dxfId="812" priority="877" stopIfTrue="1" operator="between">
      <formula>0</formula>
      <formula>0.4</formula>
    </cfRule>
    <cfRule type="cellIs" dxfId="811" priority="878" stopIfTrue="1" operator="between">
      <formula>0.4001</formula>
      <formula>0.65</formula>
    </cfRule>
    <cfRule type="cellIs" dxfId="810" priority="879" stopIfTrue="1" operator="between">
      <formula>0.6501</formula>
      <formula>1</formula>
    </cfRule>
  </conditionalFormatting>
  <conditionalFormatting sqref="BN22">
    <cfRule type="cellIs" dxfId="809" priority="874" stopIfTrue="1" operator="between">
      <formula>0</formula>
      <formula>0.4</formula>
    </cfRule>
    <cfRule type="cellIs" dxfId="808" priority="875" stopIfTrue="1" operator="between">
      <formula>0.4001</formula>
      <formula>0.65</formula>
    </cfRule>
    <cfRule type="cellIs" dxfId="807" priority="876" stopIfTrue="1" operator="between">
      <formula>0.6501</formula>
      <formula>1</formula>
    </cfRule>
  </conditionalFormatting>
  <conditionalFormatting sqref="C11">
    <cfRule type="cellIs" dxfId="806" priority="871" stopIfTrue="1" operator="lessThan">
      <formula>0.5001</formula>
    </cfRule>
    <cfRule type="cellIs" dxfId="805" priority="872" stopIfTrue="1" operator="between">
      <formula>0.5001</formula>
      <formula>0.7</formula>
    </cfRule>
    <cfRule type="cellIs" dxfId="804" priority="873" stopIfTrue="1" operator="greaterThan">
      <formula>0.7</formula>
    </cfRule>
  </conditionalFormatting>
  <conditionalFormatting sqref="Z19:Z21">
    <cfRule type="cellIs" dxfId="803" priority="868" stopIfTrue="1" operator="between">
      <formula>0</formula>
      <formula>0.4</formula>
    </cfRule>
    <cfRule type="cellIs" dxfId="802" priority="869" stopIfTrue="1" operator="between">
      <formula>0.4001</formula>
      <formula>0.65</formula>
    </cfRule>
    <cfRule type="cellIs" dxfId="801" priority="870" stopIfTrue="1" operator="between">
      <formula>0.6501</formula>
      <formula>1</formula>
    </cfRule>
  </conditionalFormatting>
  <conditionalFormatting sqref="AH19:AH21">
    <cfRule type="cellIs" dxfId="800" priority="850" stopIfTrue="1" operator="between">
      <formula>0</formula>
      <formula>0.4</formula>
    </cfRule>
    <cfRule type="cellIs" dxfId="799" priority="851" stopIfTrue="1" operator="between">
      <formula>0.4001</formula>
      <formula>0.65</formula>
    </cfRule>
    <cfRule type="cellIs" dxfId="798" priority="852" stopIfTrue="1" operator="between">
      <formula>0.6501</formula>
      <formula>1</formula>
    </cfRule>
  </conditionalFormatting>
  <conditionalFormatting sqref="Z35">
    <cfRule type="cellIs" dxfId="797" priority="865" stopIfTrue="1" operator="between">
      <formula>0</formula>
      <formula>0.4</formula>
    </cfRule>
    <cfRule type="cellIs" dxfId="796" priority="866" stopIfTrue="1" operator="between">
      <formula>0.4001</formula>
      <formula>0.65</formula>
    </cfRule>
    <cfRule type="cellIs" dxfId="795" priority="867" stopIfTrue="1" operator="between">
      <formula>0.6501</formula>
      <formula>1</formula>
    </cfRule>
  </conditionalFormatting>
  <conditionalFormatting sqref="Z22">
    <cfRule type="cellIs" dxfId="794" priority="862" stopIfTrue="1" operator="between">
      <formula>0</formula>
      <formula>0.4</formula>
    </cfRule>
    <cfRule type="cellIs" dxfId="793" priority="863" stopIfTrue="1" operator="between">
      <formula>0.4001</formula>
      <formula>0.65</formula>
    </cfRule>
    <cfRule type="cellIs" dxfId="792" priority="864" stopIfTrue="1" operator="between">
      <formula>0.6501</formula>
      <formula>1</formula>
    </cfRule>
  </conditionalFormatting>
  <conditionalFormatting sqref="AD19:AD21">
    <cfRule type="cellIs" dxfId="791" priority="859" stopIfTrue="1" operator="between">
      <formula>0</formula>
      <formula>0.4</formula>
    </cfRule>
    <cfRule type="cellIs" dxfId="790" priority="860" stopIfTrue="1" operator="between">
      <formula>0.4001</formula>
      <formula>0.65</formula>
    </cfRule>
    <cfRule type="cellIs" dxfId="789" priority="861" stopIfTrue="1" operator="between">
      <formula>0.6501</formula>
      <formula>1</formula>
    </cfRule>
  </conditionalFormatting>
  <conditionalFormatting sqref="AD35">
    <cfRule type="cellIs" dxfId="788" priority="856" stopIfTrue="1" operator="between">
      <formula>0</formula>
      <formula>0.4</formula>
    </cfRule>
    <cfRule type="cellIs" dxfId="787" priority="857" stopIfTrue="1" operator="between">
      <formula>0.4001</formula>
      <formula>0.65</formula>
    </cfRule>
    <cfRule type="cellIs" dxfId="786" priority="858" stopIfTrue="1" operator="between">
      <formula>0.6501</formula>
      <formula>1</formula>
    </cfRule>
  </conditionalFormatting>
  <conditionalFormatting sqref="AD22">
    <cfRule type="cellIs" dxfId="785" priority="853" stopIfTrue="1" operator="between">
      <formula>0</formula>
      <formula>0.4</formula>
    </cfRule>
    <cfRule type="cellIs" dxfId="784" priority="854" stopIfTrue="1" operator="between">
      <formula>0.4001</formula>
      <formula>0.65</formula>
    </cfRule>
    <cfRule type="cellIs" dxfId="783" priority="855" stopIfTrue="1" operator="between">
      <formula>0.6501</formula>
      <formula>1</formula>
    </cfRule>
  </conditionalFormatting>
  <conditionalFormatting sqref="AL22">
    <cfRule type="cellIs" dxfId="782" priority="835" stopIfTrue="1" operator="between">
      <formula>0</formula>
      <formula>0.4</formula>
    </cfRule>
    <cfRule type="cellIs" dxfId="781" priority="836" stopIfTrue="1" operator="between">
      <formula>0.4001</formula>
      <formula>0.65</formula>
    </cfRule>
    <cfRule type="cellIs" dxfId="780" priority="837" stopIfTrue="1" operator="between">
      <formula>0.6501</formula>
      <formula>1</formula>
    </cfRule>
  </conditionalFormatting>
  <conditionalFormatting sqref="AH35">
    <cfRule type="cellIs" dxfId="779" priority="847" stopIfTrue="1" operator="between">
      <formula>0</formula>
      <formula>0.4</formula>
    </cfRule>
    <cfRule type="cellIs" dxfId="778" priority="848" stopIfTrue="1" operator="between">
      <formula>0.4001</formula>
      <formula>0.65</formula>
    </cfRule>
    <cfRule type="cellIs" dxfId="777" priority="849" stopIfTrue="1" operator="between">
      <formula>0.6501</formula>
      <formula>1</formula>
    </cfRule>
  </conditionalFormatting>
  <conditionalFormatting sqref="AH22">
    <cfRule type="cellIs" dxfId="776" priority="844" stopIfTrue="1" operator="between">
      <formula>0</formula>
      <formula>0.4</formula>
    </cfRule>
    <cfRule type="cellIs" dxfId="775" priority="845" stopIfTrue="1" operator="between">
      <formula>0.4001</formula>
      <formula>0.65</formula>
    </cfRule>
    <cfRule type="cellIs" dxfId="774" priority="846" stopIfTrue="1" operator="between">
      <formula>0.6501</formula>
      <formula>1</formula>
    </cfRule>
  </conditionalFormatting>
  <conditionalFormatting sqref="AL19:AL21">
    <cfRule type="cellIs" dxfId="773" priority="841" stopIfTrue="1" operator="between">
      <formula>0</formula>
      <formula>0.4</formula>
    </cfRule>
    <cfRule type="cellIs" dxfId="772" priority="842" stopIfTrue="1" operator="between">
      <formula>0.4001</formula>
      <formula>0.65</formula>
    </cfRule>
    <cfRule type="cellIs" dxfId="771" priority="843" stopIfTrue="1" operator="between">
      <formula>0.6501</formula>
      <formula>1</formula>
    </cfRule>
  </conditionalFormatting>
  <conditionalFormatting sqref="AP35">
    <cfRule type="cellIs" dxfId="770" priority="829" stopIfTrue="1" operator="between">
      <formula>0</formula>
      <formula>0.4</formula>
    </cfRule>
    <cfRule type="cellIs" dxfId="769" priority="830" stopIfTrue="1" operator="between">
      <formula>0.4001</formula>
      <formula>0.65</formula>
    </cfRule>
    <cfRule type="cellIs" dxfId="768" priority="831" stopIfTrue="1" operator="between">
      <formula>0.6501</formula>
      <formula>1</formula>
    </cfRule>
  </conditionalFormatting>
  <conditionalFormatting sqref="AL35">
    <cfRule type="cellIs" dxfId="767" priority="838" stopIfTrue="1" operator="between">
      <formula>0</formula>
      <formula>0.4</formula>
    </cfRule>
    <cfRule type="cellIs" dxfId="766" priority="839" stopIfTrue="1" operator="between">
      <formula>0.4001</formula>
      <formula>0.65</formula>
    </cfRule>
    <cfRule type="cellIs" dxfId="765" priority="840" stopIfTrue="1" operator="between">
      <formula>0.6501</formula>
      <formula>1</formula>
    </cfRule>
  </conditionalFormatting>
  <conditionalFormatting sqref="AP19:AP21">
    <cfRule type="cellIs" dxfId="764" priority="832" stopIfTrue="1" operator="between">
      <formula>0</formula>
      <formula>0.4</formula>
    </cfRule>
    <cfRule type="cellIs" dxfId="763" priority="833" stopIfTrue="1" operator="between">
      <formula>0.4001</formula>
      <formula>0.65</formula>
    </cfRule>
    <cfRule type="cellIs" dxfId="762" priority="834" stopIfTrue="1" operator="between">
      <formula>0.6501</formula>
      <formula>1</formula>
    </cfRule>
  </conditionalFormatting>
  <conditionalFormatting sqref="AP22">
    <cfRule type="cellIs" dxfId="761" priority="826" stopIfTrue="1" operator="between">
      <formula>0</formula>
      <formula>0.4</formula>
    </cfRule>
    <cfRule type="cellIs" dxfId="760" priority="827" stopIfTrue="1" operator="between">
      <formula>0.4001</formula>
      <formula>0.65</formula>
    </cfRule>
    <cfRule type="cellIs" dxfId="759" priority="828" stopIfTrue="1" operator="between">
      <formula>0.6501</formula>
      <formula>1</formula>
    </cfRule>
  </conditionalFormatting>
  <conditionalFormatting sqref="AT19:AT21">
    <cfRule type="cellIs" dxfId="758" priority="823" stopIfTrue="1" operator="between">
      <formula>0</formula>
      <formula>0.4</formula>
    </cfRule>
    <cfRule type="cellIs" dxfId="757" priority="824" stopIfTrue="1" operator="between">
      <formula>0.4001</formula>
      <formula>0.65</formula>
    </cfRule>
    <cfRule type="cellIs" dxfId="756" priority="825" stopIfTrue="1" operator="between">
      <formula>0.6501</formula>
      <formula>1</formula>
    </cfRule>
  </conditionalFormatting>
  <conditionalFormatting sqref="AT35">
    <cfRule type="cellIs" dxfId="755" priority="820" stopIfTrue="1" operator="between">
      <formula>0</formula>
      <formula>0.4</formula>
    </cfRule>
    <cfRule type="cellIs" dxfId="754" priority="821" stopIfTrue="1" operator="between">
      <formula>0.4001</formula>
      <formula>0.65</formula>
    </cfRule>
    <cfRule type="cellIs" dxfId="753" priority="822" stopIfTrue="1" operator="between">
      <formula>0.6501</formula>
      <formula>1</formula>
    </cfRule>
  </conditionalFormatting>
  <conditionalFormatting sqref="AT22">
    <cfRule type="cellIs" dxfId="752" priority="817" stopIfTrue="1" operator="between">
      <formula>0</formula>
      <formula>0.4</formula>
    </cfRule>
    <cfRule type="cellIs" dxfId="751" priority="818" stopIfTrue="1" operator="between">
      <formula>0.4001</formula>
      <formula>0.65</formula>
    </cfRule>
    <cfRule type="cellIs" dxfId="750" priority="819" stopIfTrue="1" operator="between">
      <formula>0.6501</formula>
      <formula>1</formula>
    </cfRule>
  </conditionalFormatting>
  <conditionalFormatting sqref="AX19:AX21">
    <cfRule type="cellIs" dxfId="749" priority="814" stopIfTrue="1" operator="between">
      <formula>0</formula>
      <formula>0.4</formula>
    </cfRule>
    <cfRule type="cellIs" dxfId="748" priority="815" stopIfTrue="1" operator="between">
      <formula>0.4001</formula>
      <formula>0.65</formula>
    </cfRule>
    <cfRule type="cellIs" dxfId="747" priority="816" stopIfTrue="1" operator="between">
      <formula>0.6501</formula>
      <formula>1</formula>
    </cfRule>
  </conditionalFormatting>
  <conditionalFormatting sqref="BB19:BB21">
    <cfRule type="cellIs" dxfId="746" priority="805" stopIfTrue="1" operator="between">
      <formula>0</formula>
      <formula>0.4</formula>
    </cfRule>
    <cfRule type="cellIs" dxfId="745" priority="806" stopIfTrue="1" operator="between">
      <formula>0.4001</formula>
      <formula>0.65</formula>
    </cfRule>
    <cfRule type="cellIs" dxfId="744" priority="807" stopIfTrue="1" operator="between">
      <formula>0.6501</formula>
      <formula>1</formula>
    </cfRule>
  </conditionalFormatting>
  <conditionalFormatting sqref="AX35">
    <cfRule type="cellIs" dxfId="743" priority="811" stopIfTrue="1" operator="between">
      <formula>0</formula>
      <formula>0.4</formula>
    </cfRule>
    <cfRule type="cellIs" dxfId="742" priority="812" stopIfTrue="1" operator="between">
      <formula>0.4001</formula>
      <formula>0.65</formula>
    </cfRule>
    <cfRule type="cellIs" dxfId="741" priority="813" stopIfTrue="1" operator="between">
      <formula>0.6501</formula>
      <formula>1</formula>
    </cfRule>
  </conditionalFormatting>
  <conditionalFormatting sqref="AX22">
    <cfRule type="cellIs" dxfId="740" priority="808" stopIfTrue="1" operator="between">
      <formula>0</formula>
      <formula>0.4</formula>
    </cfRule>
    <cfRule type="cellIs" dxfId="739" priority="809" stopIfTrue="1" operator="between">
      <formula>0.4001</formula>
      <formula>0.65</formula>
    </cfRule>
    <cfRule type="cellIs" dxfId="738" priority="810" stopIfTrue="1" operator="between">
      <formula>0.6501</formula>
      <formula>1</formula>
    </cfRule>
  </conditionalFormatting>
  <conditionalFormatting sqref="BB35">
    <cfRule type="cellIs" dxfId="737" priority="802" stopIfTrue="1" operator="between">
      <formula>0</formula>
      <formula>0.4</formula>
    </cfRule>
    <cfRule type="cellIs" dxfId="736" priority="803" stopIfTrue="1" operator="between">
      <formula>0.4001</formula>
      <formula>0.65</formula>
    </cfRule>
    <cfRule type="cellIs" dxfId="735" priority="804" stopIfTrue="1" operator="between">
      <formula>0.6501</formula>
      <formula>1</formula>
    </cfRule>
  </conditionalFormatting>
  <conditionalFormatting sqref="BB22">
    <cfRule type="cellIs" dxfId="734" priority="799" stopIfTrue="1" operator="between">
      <formula>0</formula>
      <formula>0.4</formula>
    </cfRule>
    <cfRule type="cellIs" dxfId="733" priority="800" stopIfTrue="1" operator="between">
      <formula>0.4001</formula>
      <formula>0.65</formula>
    </cfRule>
    <cfRule type="cellIs" dxfId="732" priority="801" stopIfTrue="1" operator="between">
      <formula>0.6501</formula>
      <formula>1</formula>
    </cfRule>
  </conditionalFormatting>
  <conditionalFormatting sqref="BF19:BF21">
    <cfRule type="cellIs" dxfId="731" priority="796" stopIfTrue="1" operator="between">
      <formula>0</formula>
      <formula>0.4</formula>
    </cfRule>
    <cfRule type="cellIs" dxfId="730" priority="797" stopIfTrue="1" operator="between">
      <formula>0.4001</formula>
      <formula>0.65</formula>
    </cfRule>
    <cfRule type="cellIs" dxfId="729" priority="798" stopIfTrue="1" operator="between">
      <formula>0.6501</formula>
      <formula>1</formula>
    </cfRule>
  </conditionalFormatting>
  <conditionalFormatting sqref="BF22">
    <cfRule type="cellIs" dxfId="728" priority="790" stopIfTrue="1" operator="between">
      <formula>0</formula>
      <formula>0.4</formula>
    </cfRule>
    <cfRule type="cellIs" dxfId="727" priority="791" stopIfTrue="1" operator="between">
      <formula>0.4001</formula>
      <formula>0.65</formula>
    </cfRule>
    <cfRule type="cellIs" dxfId="726" priority="792" stopIfTrue="1" operator="between">
      <formula>0.6501</formula>
      <formula>1</formula>
    </cfRule>
  </conditionalFormatting>
  <conditionalFormatting sqref="BF35">
    <cfRule type="cellIs" dxfId="725" priority="793" stopIfTrue="1" operator="between">
      <formula>0</formula>
      <formula>0.4</formula>
    </cfRule>
    <cfRule type="cellIs" dxfId="724" priority="794" stopIfTrue="1" operator="between">
      <formula>0.4001</formula>
      <formula>0.65</formula>
    </cfRule>
    <cfRule type="cellIs" dxfId="723" priority="795" stopIfTrue="1" operator="between">
      <formula>0.6501</formula>
      <formula>1</formula>
    </cfRule>
  </conditionalFormatting>
  <conditionalFormatting sqref="BJ19:BJ21">
    <cfRule type="cellIs" dxfId="722" priority="787" stopIfTrue="1" operator="between">
      <formula>0</formula>
      <formula>0.4</formula>
    </cfRule>
    <cfRule type="cellIs" dxfId="721" priority="788" stopIfTrue="1" operator="between">
      <formula>0.4001</formula>
      <formula>0.65</formula>
    </cfRule>
    <cfRule type="cellIs" dxfId="720" priority="789" stopIfTrue="1" operator="between">
      <formula>0.6501</formula>
      <formula>1</formula>
    </cfRule>
  </conditionalFormatting>
  <conditionalFormatting sqref="BJ35">
    <cfRule type="cellIs" dxfId="719" priority="784" stopIfTrue="1" operator="between">
      <formula>0</formula>
      <formula>0.4</formula>
    </cfRule>
    <cfRule type="cellIs" dxfId="718" priority="785" stopIfTrue="1" operator="between">
      <formula>0.4001</formula>
      <formula>0.65</formula>
    </cfRule>
    <cfRule type="cellIs" dxfId="717" priority="786" stopIfTrue="1" operator="between">
      <formula>0.6501</formula>
      <formula>1</formula>
    </cfRule>
  </conditionalFormatting>
  <conditionalFormatting sqref="BJ22">
    <cfRule type="cellIs" dxfId="716" priority="781" stopIfTrue="1" operator="between">
      <formula>0</formula>
      <formula>0.4</formula>
    </cfRule>
    <cfRule type="cellIs" dxfId="715" priority="782" stopIfTrue="1" operator="between">
      <formula>0.4001</formula>
      <formula>0.65</formula>
    </cfRule>
    <cfRule type="cellIs" dxfId="714" priority="783" stopIfTrue="1" operator="between">
      <formula>0.6501</formula>
      <formula>1</formula>
    </cfRule>
  </conditionalFormatting>
  <conditionalFormatting sqref="V24:V25 R24:R25">
    <cfRule type="cellIs" dxfId="713" priority="778" stopIfTrue="1" operator="between">
      <formula>0</formula>
      <formula>0.4</formula>
    </cfRule>
    <cfRule type="cellIs" dxfId="712" priority="779" stopIfTrue="1" operator="between">
      <formula>0.4001</formula>
      <formula>0.65</formula>
    </cfRule>
    <cfRule type="cellIs" dxfId="711" priority="780" stopIfTrue="1" operator="between">
      <formula>0.6501</formula>
      <formula>1</formula>
    </cfRule>
  </conditionalFormatting>
  <conditionalFormatting sqref="Z24:Z25">
    <cfRule type="cellIs" dxfId="710" priority="775" stopIfTrue="1" operator="between">
      <formula>0</formula>
      <formula>0.4</formula>
    </cfRule>
    <cfRule type="cellIs" dxfId="709" priority="776" stopIfTrue="1" operator="between">
      <formula>0.4001</formula>
      <formula>0.65</formula>
    </cfRule>
    <cfRule type="cellIs" dxfId="708" priority="777" stopIfTrue="1" operator="between">
      <formula>0.6501</formula>
      <formula>1</formula>
    </cfRule>
  </conditionalFormatting>
  <conditionalFormatting sqref="AD24:AD25">
    <cfRule type="cellIs" dxfId="707" priority="772" stopIfTrue="1" operator="between">
      <formula>0</formula>
      <formula>0.4</formula>
    </cfRule>
    <cfRule type="cellIs" dxfId="706" priority="773" stopIfTrue="1" operator="between">
      <formula>0.4001</formula>
      <formula>0.65</formula>
    </cfRule>
    <cfRule type="cellIs" dxfId="705" priority="774" stopIfTrue="1" operator="between">
      <formula>0.6501</formula>
      <formula>1</formula>
    </cfRule>
  </conditionalFormatting>
  <conditionalFormatting sqref="AH24:AH25">
    <cfRule type="cellIs" dxfId="704" priority="769" stopIfTrue="1" operator="between">
      <formula>0</formula>
      <formula>0.4</formula>
    </cfRule>
    <cfRule type="cellIs" dxfId="703" priority="770" stopIfTrue="1" operator="between">
      <formula>0.4001</formula>
      <formula>0.65</formula>
    </cfRule>
    <cfRule type="cellIs" dxfId="702" priority="771" stopIfTrue="1" operator="between">
      <formula>0.6501</formula>
      <formula>1</formula>
    </cfRule>
  </conditionalFormatting>
  <conditionalFormatting sqref="AL24:AL25">
    <cfRule type="cellIs" dxfId="701" priority="766" stopIfTrue="1" operator="between">
      <formula>0</formula>
      <formula>0.4</formula>
    </cfRule>
    <cfRule type="cellIs" dxfId="700" priority="767" stopIfTrue="1" operator="between">
      <formula>0.4001</formula>
      <formula>0.65</formula>
    </cfRule>
    <cfRule type="cellIs" dxfId="699" priority="768" stopIfTrue="1" operator="between">
      <formula>0.6501</formula>
      <formula>1</formula>
    </cfRule>
  </conditionalFormatting>
  <conditionalFormatting sqref="AP24:AP25">
    <cfRule type="cellIs" dxfId="698" priority="763" stopIfTrue="1" operator="between">
      <formula>0</formula>
      <formula>0.4</formula>
    </cfRule>
    <cfRule type="cellIs" dxfId="697" priority="764" stopIfTrue="1" operator="between">
      <formula>0.4001</formula>
      <formula>0.65</formula>
    </cfRule>
    <cfRule type="cellIs" dxfId="696" priority="765" stopIfTrue="1" operator="between">
      <formula>0.6501</formula>
      <formula>1</formula>
    </cfRule>
  </conditionalFormatting>
  <conditionalFormatting sqref="AT24:AT25">
    <cfRule type="cellIs" dxfId="695" priority="760" stopIfTrue="1" operator="between">
      <formula>0</formula>
      <formula>0.4</formula>
    </cfRule>
    <cfRule type="cellIs" dxfId="694" priority="761" stopIfTrue="1" operator="between">
      <formula>0.4001</formula>
      <formula>0.65</formula>
    </cfRule>
    <cfRule type="cellIs" dxfId="693" priority="762" stopIfTrue="1" operator="between">
      <formula>0.6501</formula>
      <formula>1</formula>
    </cfRule>
  </conditionalFormatting>
  <conditionalFormatting sqref="AX24:AX25">
    <cfRule type="cellIs" dxfId="692" priority="757" stopIfTrue="1" operator="between">
      <formula>0</formula>
      <formula>0.4</formula>
    </cfRule>
    <cfRule type="cellIs" dxfId="691" priority="758" stopIfTrue="1" operator="between">
      <formula>0.4001</formula>
      <formula>0.65</formula>
    </cfRule>
    <cfRule type="cellIs" dxfId="690" priority="759" stopIfTrue="1" operator="between">
      <formula>0.6501</formula>
      <formula>1</formula>
    </cfRule>
  </conditionalFormatting>
  <conditionalFormatting sqref="BB24:BB25">
    <cfRule type="cellIs" dxfId="689" priority="754" stopIfTrue="1" operator="between">
      <formula>0</formula>
      <formula>0.4</formula>
    </cfRule>
    <cfRule type="cellIs" dxfId="688" priority="755" stopIfTrue="1" operator="between">
      <formula>0.4001</formula>
      <formula>0.65</formula>
    </cfRule>
    <cfRule type="cellIs" dxfId="687" priority="756" stopIfTrue="1" operator="between">
      <formula>0.6501</formula>
      <formula>1</formula>
    </cfRule>
  </conditionalFormatting>
  <conditionalFormatting sqref="BF24:BF25">
    <cfRule type="cellIs" dxfId="686" priority="751" stopIfTrue="1" operator="between">
      <formula>0</formula>
      <formula>0.4</formula>
    </cfRule>
    <cfRule type="cellIs" dxfId="685" priority="752" stopIfTrue="1" operator="between">
      <formula>0.4001</formula>
      <formula>0.65</formula>
    </cfRule>
    <cfRule type="cellIs" dxfId="684" priority="753" stopIfTrue="1" operator="between">
      <formula>0.6501</formula>
      <formula>1</formula>
    </cfRule>
  </conditionalFormatting>
  <conditionalFormatting sqref="BJ24:BJ25">
    <cfRule type="cellIs" dxfId="683" priority="748" stopIfTrue="1" operator="between">
      <formula>0</formula>
      <formula>0.4</formula>
    </cfRule>
    <cfRule type="cellIs" dxfId="682" priority="749" stopIfTrue="1" operator="between">
      <formula>0.4001</formula>
      <formula>0.65</formula>
    </cfRule>
    <cfRule type="cellIs" dxfId="681" priority="750" stopIfTrue="1" operator="between">
      <formula>0.6501</formula>
      <formula>1</formula>
    </cfRule>
  </conditionalFormatting>
  <conditionalFormatting sqref="V30:V31 R30:R31">
    <cfRule type="cellIs" dxfId="680" priority="712" stopIfTrue="1" operator="between">
      <formula>0</formula>
      <formula>0.4</formula>
    </cfRule>
    <cfRule type="cellIs" dxfId="679" priority="713" stopIfTrue="1" operator="between">
      <formula>0.4001</formula>
      <formula>0.65</formula>
    </cfRule>
    <cfRule type="cellIs" dxfId="678" priority="714" stopIfTrue="1" operator="between">
      <formula>0.6501</formula>
      <formula>1</formula>
    </cfRule>
  </conditionalFormatting>
  <conditionalFormatting sqref="Z30:Z31">
    <cfRule type="cellIs" dxfId="677" priority="709" stopIfTrue="1" operator="between">
      <formula>0</formula>
      <formula>0.4</formula>
    </cfRule>
    <cfRule type="cellIs" dxfId="676" priority="710" stopIfTrue="1" operator="between">
      <formula>0.4001</formula>
      <formula>0.65</formula>
    </cfRule>
    <cfRule type="cellIs" dxfId="675" priority="711" stopIfTrue="1" operator="between">
      <formula>0.6501</formula>
      <formula>1</formula>
    </cfRule>
  </conditionalFormatting>
  <conditionalFormatting sqref="AD30:AD31">
    <cfRule type="cellIs" dxfId="674" priority="706" stopIfTrue="1" operator="between">
      <formula>0</formula>
      <formula>0.4</formula>
    </cfRule>
    <cfRule type="cellIs" dxfId="673" priority="707" stopIfTrue="1" operator="between">
      <formula>0.4001</formula>
      <formula>0.65</formula>
    </cfRule>
    <cfRule type="cellIs" dxfId="672" priority="708" stopIfTrue="1" operator="between">
      <formula>0.6501</formula>
      <formula>1</formula>
    </cfRule>
  </conditionalFormatting>
  <conditionalFormatting sqref="AH30:AH31">
    <cfRule type="cellIs" dxfId="671" priority="703" stopIfTrue="1" operator="between">
      <formula>0</formula>
      <formula>0.4</formula>
    </cfRule>
    <cfRule type="cellIs" dxfId="670" priority="704" stopIfTrue="1" operator="between">
      <formula>0.4001</formula>
      <formula>0.65</formula>
    </cfRule>
    <cfRule type="cellIs" dxfId="669" priority="705" stopIfTrue="1" operator="between">
      <formula>0.6501</formula>
      <formula>1</formula>
    </cfRule>
  </conditionalFormatting>
  <conditionalFormatting sqref="AL30:AL31">
    <cfRule type="cellIs" dxfId="668" priority="700" stopIfTrue="1" operator="between">
      <formula>0</formula>
      <formula>0.4</formula>
    </cfRule>
    <cfRule type="cellIs" dxfId="667" priority="701" stopIfTrue="1" operator="between">
      <formula>0.4001</formula>
      <formula>0.65</formula>
    </cfRule>
    <cfRule type="cellIs" dxfId="666" priority="702" stopIfTrue="1" operator="between">
      <formula>0.6501</formula>
      <formula>1</formula>
    </cfRule>
  </conditionalFormatting>
  <conditionalFormatting sqref="AP30:AP31">
    <cfRule type="cellIs" dxfId="665" priority="697" stopIfTrue="1" operator="between">
      <formula>0</formula>
      <formula>0.4</formula>
    </cfRule>
    <cfRule type="cellIs" dxfId="664" priority="698" stopIfTrue="1" operator="between">
      <formula>0.4001</formula>
      <formula>0.65</formula>
    </cfRule>
    <cfRule type="cellIs" dxfId="663" priority="699" stopIfTrue="1" operator="between">
      <formula>0.6501</formula>
      <formula>1</formula>
    </cfRule>
  </conditionalFormatting>
  <conditionalFormatting sqref="AT30:AT31">
    <cfRule type="cellIs" dxfId="662" priority="694" stopIfTrue="1" operator="between">
      <formula>0</formula>
      <formula>0.4</formula>
    </cfRule>
    <cfRule type="cellIs" dxfId="661" priority="695" stopIfTrue="1" operator="between">
      <formula>0.4001</formula>
      <formula>0.65</formula>
    </cfRule>
    <cfRule type="cellIs" dxfId="660" priority="696" stopIfTrue="1" operator="between">
      <formula>0.6501</formula>
      <formula>1</formula>
    </cfRule>
  </conditionalFormatting>
  <conditionalFormatting sqref="AX30:AX31">
    <cfRule type="cellIs" dxfId="659" priority="691" stopIfTrue="1" operator="between">
      <formula>0</formula>
      <formula>0.4</formula>
    </cfRule>
    <cfRule type="cellIs" dxfId="658" priority="692" stopIfTrue="1" operator="between">
      <formula>0.4001</formula>
      <formula>0.65</formula>
    </cfRule>
    <cfRule type="cellIs" dxfId="657" priority="693" stopIfTrue="1" operator="between">
      <formula>0.6501</formula>
      <formula>1</formula>
    </cfRule>
  </conditionalFormatting>
  <conditionalFormatting sqref="BB30:BB31">
    <cfRule type="cellIs" dxfId="656" priority="688" stopIfTrue="1" operator="between">
      <formula>0</formula>
      <formula>0.4</formula>
    </cfRule>
    <cfRule type="cellIs" dxfId="655" priority="689" stopIfTrue="1" operator="between">
      <formula>0.4001</formula>
      <formula>0.65</formula>
    </cfRule>
    <cfRule type="cellIs" dxfId="654" priority="690" stopIfTrue="1" operator="between">
      <formula>0.6501</formula>
      <formula>1</formula>
    </cfRule>
  </conditionalFormatting>
  <conditionalFormatting sqref="BF30:BF31">
    <cfRule type="cellIs" dxfId="653" priority="685" stopIfTrue="1" operator="between">
      <formula>0</formula>
      <formula>0.4</formula>
    </cfRule>
    <cfRule type="cellIs" dxfId="652" priority="686" stopIfTrue="1" operator="between">
      <formula>0.4001</formula>
      <formula>0.65</formula>
    </cfRule>
    <cfRule type="cellIs" dxfId="651" priority="687" stopIfTrue="1" operator="between">
      <formula>0.6501</formula>
      <formula>1</formula>
    </cfRule>
  </conditionalFormatting>
  <conditionalFormatting sqref="BJ30:BJ31">
    <cfRule type="cellIs" dxfId="650" priority="682" stopIfTrue="1" operator="between">
      <formula>0</formula>
      <formula>0.4</formula>
    </cfRule>
    <cfRule type="cellIs" dxfId="649" priority="683" stopIfTrue="1" operator="between">
      <formula>0.4001</formula>
      <formula>0.65</formula>
    </cfRule>
    <cfRule type="cellIs" dxfId="648" priority="684" stopIfTrue="1" operator="between">
      <formula>0.6501</formula>
      <formula>1</formula>
    </cfRule>
  </conditionalFormatting>
  <conditionalFormatting sqref="V32 R32">
    <cfRule type="cellIs" dxfId="647" priority="679" stopIfTrue="1" operator="between">
      <formula>0</formula>
      <formula>0.4</formula>
    </cfRule>
    <cfRule type="cellIs" dxfId="646" priority="680" stopIfTrue="1" operator="between">
      <formula>0.4001</formula>
      <formula>0.65</formula>
    </cfRule>
    <cfRule type="cellIs" dxfId="645" priority="681" stopIfTrue="1" operator="between">
      <formula>0.6501</formula>
      <formula>1</formula>
    </cfRule>
  </conditionalFormatting>
  <conditionalFormatting sqref="Z32">
    <cfRule type="cellIs" dxfId="644" priority="676" stopIfTrue="1" operator="between">
      <formula>0</formula>
      <formula>0.4</formula>
    </cfRule>
    <cfRule type="cellIs" dxfId="643" priority="677" stopIfTrue="1" operator="between">
      <formula>0.4001</formula>
      <formula>0.65</formula>
    </cfRule>
    <cfRule type="cellIs" dxfId="642" priority="678" stopIfTrue="1" operator="between">
      <formula>0.6501</formula>
      <formula>1</formula>
    </cfRule>
  </conditionalFormatting>
  <conditionalFormatting sqref="AD32">
    <cfRule type="cellIs" dxfId="641" priority="673" stopIfTrue="1" operator="between">
      <formula>0</formula>
      <formula>0.4</formula>
    </cfRule>
    <cfRule type="cellIs" dxfId="640" priority="674" stopIfTrue="1" operator="between">
      <formula>0.4001</formula>
      <formula>0.65</formula>
    </cfRule>
    <cfRule type="cellIs" dxfId="639" priority="675" stopIfTrue="1" operator="between">
      <formula>0.6501</formula>
      <formula>1</formula>
    </cfRule>
  </conditionalFormatting>
  <conditionalFormatting sqref="AH32">
    <cfRule type="cellIs" dxfId="638" priority="670" stopIfTrue="1" operator="between">
      <formula>0</formula>
      <formula>0.4</formula>
    </cfRule>
    <cfRule type="cellIs" dxfId="637" priority="671" stopIfTrue="1" operator="between">
      <formula>0.4001</formula>
      <formula>0.65</formula>
    </cfRule>
    <cfRule type="cellIs" dxfId="636" priority="672" stopIfTrue="1" operator="between">
      <formula>0.6501</formula>
      <formula>1</formula>
    </cfRule>
  </conditionalFormatting>
  <conditionalFormatting sqref="AL32">
    <cfRule type="cellIs" dxfId="635" priority="667" stopIfTrue="1" operator="between">
      <formula>0</formula>
      <formula>0.4</formula>
    </cfRule>
    <cfRule type="cellIs" dxfId="634" priority="668" stopIfTrue="1" operator="between">
      <formula>0.4001</formula>
      <formula>0.65</formula>
    </cfRule>
    <cfRule type="cellIs" dxfId="633" priority="669" stopIfTrue="1" operator="between">
      <formula>0.6501</formula>
      <formula>1</formula>
    </cfRule>
  </conditionalFormatting>
  <conditionalFormatting sqref="AP32">
    <cfRule type="cellIs" dxfId="632" priority="664" stopIfTrue="1" operator="between">
      <formula>0</formula>
      <formula>0.4</formula>
    </cfRule>
    <cfRule type="cellIs" dxfId="631" priority="665" stopIfTrue="1" operator="between">
      <formula>0.4001</formula>
      <formula>0.65</formula>
    </cfRule>
    <cfRule type="cellIs" dxfId="630" priority="666" stopIfTrue="1" operator="between">
      <formula>0.6501</formula>
      <formula>1</formula>
    </cfRule>
  </conditionalFormatting>
  <conditionalFormatting sqref="AT32">
    <cfRule type="cellIs" dxfId="629" priority="661" stopIfTrue="1" operator="between">
      <formula>0</formula>
      <formula>0.4</formula>
    </cfRule>
    <cfRule type="cellIs" dxfId="628" priority="662" stopIfTrue="1" operator="between">
      <formula>0.4001</formula>
      <formula>0.65</formula>
    </cfRule>
    <cfRule type="cellIs" dxfId="627" priority="663" stopIfTrue="1" operator="between">
      <formula>0.6501</formula>
      <formula>1</formula>
    </cfRule>
  </conditionalFormatting>
  <conditionalFormatting sqref="AX32">
    <cfRule type="cellIs" dxfId="626" priority="658" stopIfTrue="1" operator="between">
      <formula>0</formula>
      <formula>0.4</formula>
    </cfRule>
    <cfRule type="cellIs" dxfId="625" priority="659" stopIfTrue="1" operator="between">
      <formula>0.4001</formula>
      <formula>0.65</formula>
    </cfRule>
    <cfRule type="cellIs" dxfId="624" priority="660" stopIfTrue="1" operator="between">
      <formula>0.6501</formula>
      <formula>1</formula>
    </cfRule>
  </conditionalFormatting>
  <conditionalFormatting sqref="BB32">
    <cfRule type="cellIs" dxfId="623" priority="655" stopIfTrue="1" operator="between">
      <formula>0</formula>
      <formula>0.4</formula>
    </cfRule>
    <cfRule type="cellIs" dxfId="622" priority="656" stopIfTrue="1" operator="between">
      <formula>0.4001</formula>
      <formula>0.65</formula>
    </cfRule>
    <cfRule type="cellIs" dxfId="621" priority="657" stopIfTrue="1" operator="between">
      <formula>0.6501</formula>
      <formula>1</formula>
    </cfRule>
  </conditionalFormatting>
  <conditionalFormatting sqref="BF32">
    <cfRule type="cellIs" dxfId="620" priority="652" stopIfTrue="1" operator="between">
      <formula>0</formula>
      <formula>0.4</formula>
    </cfRule>
    <cfRule type="cellIs" dxfId="619" priority="653" stopIfTrue="1" operator="between">
      <formula>0.4001</formula>
      <formula>0.65</formula>
    </cfRule>
    <cfRule type="cellIs" dxfId="618" priority="654" stopIfTrue="1" operator="between">
      <formula>0.6501</formula>
      <formula>1</formula>
    </cfRule>
  </conditionalFormatting>
  <conditionalFormatting sqref="BJ32">
    <cfRule type="cellIs" dxfId="617" priority="649" stopIfTrue="1" operator="between">
      <formula>0</formula>
      <formula>0.4</formula>
    </cfRule>
    <cfRule type="cellIs" dxfId="616" priority="650" stopIfTrue="1" operator="between">
      <formula>0.4001</formula>
      <formula>0.65</formula>
    </cfRule>
    <cfRule type="cellIs" dxfId="615" priority="651" stopIfTrue="1" operator="between">
      <formula>0.6501</formula>
      <formula>1</formula>
    </cfRule>
  </conditionalFormatting>
  <conditionalFormatting sqref="BN30:BN31">
    <cfRule type="cellIs" dxfId="614" priority="640" stopIfTrue="1" operator="between">
      <formula>0</formula>
      <formula>0.4</formula>
    </cfRule>
    <cfRule type="cellIs" dxfId="613" priority="641" stopIfTrue="1" operator="between">
      <formula>0.4001</formula>
      <formula>0.65</formula>
    </cfRule>
    <cfRule type="cellIs" dxfId="612" priority="642" stopIfTrue="1" operator="between">
      <formula>0.6501</formula>
      <formula>1</formula>
    </cfRule>
  </conditionalFormatting>
  <conditionalFormatting sqref="BN32">
    <cfRule type="cellIs" dxfId="611" priority="637" stopIfTrue="1" operator="between">
      <formula>0</formula>
      <formula>0.4</formula>
    </cfRule>
    <cfRule type="cellIs" dxfId="610" priority="638" stopIfTrue="1" operator="between">
      <formula>0.4001</formula>
      <formula>0.65</formula>
    </cfRule>
    <cfRule type="cellIs" dxfId="609" priority="639" stopIfTrue="1" operator="between">
      <formula>0.6501</formula>
      <formula>1</formula>
    </cfRule>
  </conditionalFormatting>
  <conditionalFormatting sqref="BJ38:BJ40">
    <cfRule type="cellIs" dxfId="608" priority="601" stopIfTrue="1" operator="between">
      <formula>0</formula>
      <formula>0.4</formula>
    </cfRule>
    <cfRule type="cellIs" dxfId="607" priority="602" stopIfTrue="1" operator="between">
      <formula>0.4001</formula>
      <formula>0.65</formula>
    </cfRule>
    <cfRule type="cellIs" dxfId="606" priority="603" stopIfTrue="1" operator="between">
      <formula>0.6501</formula>
      <formula>1</formula>
    </cfRule>
  </conditionalFormatting>
  <conditionalFormatting sqref="N38:N40">
    <cfRule type="cellIs" dxfId="605" priority="634" stopIfTrue="1" operator="between">
      <formula>0</formula>
      <formula>0.4</formula>
    </cfRule>
    <cfRule type="cellIs" dxfId="604" priority="635" stopIfTrue="1" operator="between">
      <formula>0.4001</formula>
      <formula>0.65</formula>
    </cfRule>
    <cfRule type="cellIs" dxfId="603" priority="636" stopIfTrue="1" operator="between">
      <formula>0.6501</formula>
      <formula>1</formula>
    </cfRule>
  </conditionalFormatting>
  <conditionalFormatting sqref="V38:V40 R38:R40">
    <cfRule type="cellIs" dxfId="602" priority="631" stopIfTrue="1" operator="between">
      <formula>0</formula>
      <formula>0.4</formula>
    </cfRule>
    <cfRule type="cellIs" dxfId="601" priority="632" stopIfTrue="1" operator="between">
      <formula>0.4001</formula>
      <formula>0.65</formula>
    </cfRule>
    <cfRule type="cellIs" dxfId="600" priority="633" stopIfTrue="1" operator="between">
      <formula>0.6501</formula>
      <formula>1</formula>
    </cfRule>
  </conditionalFormatting>
  <conditionalFormatting sqref="Z38:Z40">
    <cfRule type="cellIs" dxfId="599" priority="628" stopIfTrue="1" operator="between">
      <formula>0</formula>
      <formula>0.4</formula>
    </cfRule>
    <cfRule type="cellIs" dxfId="598" priority="629" stopIfTrue="1" operator="between">
      <formula>0.4001</formula>
      <formula>0.65</formula>
    </cfRule>
    <cfRule type="cellIs" dxfId="597" priority="630" stopIfTrue="1" operator="between">
      <formula>0.6501</formula>
      <formula>1</formula>
    </cfRule>
  </conditionalFormatting>
  <conditionalFormatting sqref="AD38:AD40">
    <cfRule type="cellIs" dxfId="596" priority="625" stopIfTrue="1" operator="between">
      <formula>0</formula>
      <formula>0.4</formula>
    </cfRule>
    <cfRule type="cellIs" dxfId="595" priority="626" stopIfTrue="1" operator="between">
      <formula>0.4001</formula>
      <formula>0.65</formula>
    </cfRule>
    <cfRule type="cellIs" dxfId="594" priority="627" stopIfTrue="1" operator="between">
      <formula>0.6501</formula>
      <formula>1</formula>
    </cfRule>
  </conditionalFormatting>
  <conditionalFormatting sqref="AH38:AH40">
    <cfRule type="cellIs" dxfId="593" priority="622" stopIfTrue="1" operator="between">
      <formula>0</formula>
      <formula>0.4</formula>
    </cfRule>
    <cfRule type="cellIs" dxfId="592" priority="623" stopIfTrue="1" operator="between">
      <formula>0.4001</formula>
      <formula>0.65</formula>
    </cfRule>
    <cfRule type="cellIs" dxfId="591" priority="624" stopIfTrue="1" operator="between">
      <formula>0.6501</formula>
      <formula>1</formula>
    </cfRule>
  </conditionalFormatting>
  <conditionalFormatting sqref="AL38:AL40">
    <cfRule type="cellIs" dxfId="590" priority="619" stopIfTrue="1" operator="between">
      <formula>0</formula>
      <formula>0.4</formula>
    </cfRule>
    <cfRule type="cellIs" dxfId="589" priority="620" stopIfTrue="1" operator="between">
      <formula>0.4001</formula>
      <formula>0.65</formula>
    </cfRule>
    <cfRule type="cellIs" dxfId="588" priority="621" stopIfTrue="1" operator="between">
      <formula>0.6501</formula>
      <formula>1</formula>
    </cfRule>
  </conditionalFormatting>
  <conditionalFormatting sqref="AP38:AP40">
    <cfRule type="cellIs" dxfId="587" priority="616" stopIfTrue="1" operator="between">
      <formula>0</formula>
      <formula>0.4</formula>
    </cfRule>
    <cfRule type="cellIs" dxfId="586" priority="617" stopIfTrue="1" operator="between">
      <formula>0.4001</formula>
      <formula>0.65</formula>
    </cfRule>
    <cfRule type="cellIs" dxfId="585" priority="618" stopIfTrue="1" operator="between">
      <formula>0.6501</formula>
      <formula>1</formula>
    </cfRule>
  </conditionalFormatting>
  <conditionalFormatting sqref="BN24:BN25">
    <cfRule type="cellIs" dxfId="584" priority="646" stopIfTrue="1" operator="between">
      <formula>0</formula>
      <formula>0.4</formula>
    </cfRule>
    <cfRule type="cellIs" dxfId="583" priority="647" stopIfTrue="1" operator="between">
      <formula>0.4001</formula>
      <formula>0.65</formula>
    </cfRule>
    <cfRule type="cellIs" dxfId="582" priority="648" stopIfTrue="1" operator="between">
      <formula>0.6501</formula>
      <formula>1</formula>
    </cfRule>
  </conditionalFormatting>
  <conditionalFormatting sqref="BB38:BB40">
    <cfRule type="cellIs" dxfId="581" priority="607" stopIfTrue="1" operator="between">
      <formula>0</formula>
      <formula>0.4</formula>
    </cfRule>
    <cfRule type="cellIs" dxfId="580" priority="608" stopIfTrue="1" operator="between">
      <formula>0.4001</formula>
      <formula>0.65</formula>
    </cfRule>
    <cfRule type="cellIs" dxfId="579" priority="609" stopIfTrue="1" operator="between">
      <formula>0.6501</formula>
      <formula>1</formula>
    </cfRule>
  </conditionalFormatting>
  <conditionalFormatting sqref="BF38:BF40">
    <cfRule type="cellIs" dxfId="578" priority="604" stopIfTrue="1" operator="between">
      <formula>0</formula>
      <formula>0.4</formula>
    </cfRule>
    <cfRule type="cellIs" dxfId="577" priority="605" stopIfTrue="1" operator="between">
      <formula>0.4001</formula>
      <formula>0.65</formula>
    </cfRule>
    <cfRule type="cellIs" dxfId="576" priority="606" stopIfTrue="1" operator="between">
      <formula>0.6501</formula>
      <formula>1</formula>
    </cfRule>
  </conditionalFormatting>
  <conditionalFormatting sqref="AT38:AT40">
    <cfRule type="cellIs" dxfId="575" priority="613" stopIfTrue="1" operator="between">
      <formula>0</formula>
      <formula>0.4</formula>
    </cfRule>
    <cfRule type="cellIs" dxfId="574" priority="614" stopIfTrue="1" operator="between">
      <formula>0.4001</formula>
      <formula>0.65</formula>
    </cfRule>
    <cfRule type="cellIs" dxfId="573" priority="615" stopIfTrue="1" operator="between">
      <formula>0.6501</formula>
      <formula>1</formula>
    </cfRule>
  </conditionalFormatting>
  <conditionalFormatting sqref="AX38:AX40">
    <cfRule type="cellIs" dxfId="572" priority="610" stopIfTrue="1" operator="between">
      <formula>0</formula>
      <formula>0.4</formula>
    </cfRule>
    <cfRule type="cellIs" dxfId="571" priority="611" stopIfTrue="1" operator="between">
      <formula>0.4001</formula>
      <formula>0.65</formula>
    </cfRule>
    <cfRule type="cellIs" dxfId="570" priority="612" stopIfTrue="1" operator="between">
      <formula>0.6501</formula>
      <formula>1</formula>
    </cfRule>
  </conditionalFormatting>
  <conditionalFormatting sqref="BN38:BN40">
    <cfRule type="cellIs" dxfId="569" priority="598" stopIfTrue="1" operator="between">
      <formula>0</formula>
      <formula>0.4</formula>
    </cfRule>
    <cfRule type="cellIs" dxfId="568" priority="599" stopIfTrue="1" operator="between">
      <formula>0.4001</formula>
      <formula>0.65</formula>
    </cfRule>
    <cfRule type="cellIs" dxfId="567" priority="600" stopIfTrue="1" operator="between">
      <formula>0.6501</formula>
      <formula>1</formula>
    </cfRule>
  </conditionalFormatting>
  <conditionalFormatting sqref="N41">
    <cfRule type="cellIs" dxfId="566" priority="595" stopIfTrue="1" operator="between">
      <formula>0</formula>
      <formula>0.4</formula>
    </cfRule>
    <cfRule type="cellIs" dxfId="565" priority="596" stopIfTrue="1" operator="between">
      <formula>0.4001</formula>
      <formula>0.65</formula>
    </cfRule>
    <cfRule type="cellIs" dxfId="564" priority="597" stopIfTrue="1" operator="between">
      <formula>0.6501</formula>
      <formula>1</formula>
    </cfRule>
  </conditionalFormatting>
  <conditionalFormatting sqref="R41">
    <cfRule type="cellIs" dxfId="563" priority="592" stopIfTrue="1" operator="between">
      <formula>0</formula>
      <formula>0.4</formula>
    </cfRule>
    <cfRule type="cellIs" dxfId="562" priority="593" stopIfTrue="1" operator="between">
      <formula>0.4001</formula>
      <formula>0.65</formula>
    </cfRule>
    <cfRule type="cellIs" dxfId="561" priority="594" stopIfTrue="1" operator="between">
      <formula>0.6501</formula>
      <formula>1</formula>
    </cfRule>
  </conditionalFormatting>
  <conditionalFormatting sqref="V41">
    <cfRule type="cellIs" dxfId="560" priority="589" stopIfTrue="1" operator="between">
      <formula>0</formula>
      <formula>0.4</formula>
    </cfRule>
    <cfRule type="cellIs" dxfId="559" priority="590" stopIfTrue="1" operator="between">
      <formula>0.4001</formula>
      <formula>0.65</formula>
    </cfRule>
    <cfRule type="cellIs" dxfId="558" priority="591" stopIfTrue="1" operator="between">
      <formula>0.6501</formula>
      <formula>1</formula>
    </cfRule>
  </conditionalFormatting>
  <conditionalFormatting sqref="BN41">
    <cfRule type="cellIs" dxfId="557" priority="586" stopIfTrue="1" operator="between">
      <formula>0</formula>
      <formula>0.4</formula>
    </cfRule>
    <cfRule type="cellIs" dxfId="556" priority="587" stopIfTrue="1" operator="between">
      <formula>0.4001</formula>
      <formula>0.65</formula>
    </cfRule>
    <cfRule type="cellIs" dxfId="555" priority="588" stopIfTrue="1" operator="between">
      <formula>0.6501</formula>
      <formula>1</formula>
    </cfRule>
  </conditionalFormatting>
  <conditionalFormatting sqref="Z41">
    <cfRule type="cellIs" dxfId="554" priority="583" stopIfTrue="1" operator="between">
      <formula>0</formula>
      <formula>0.4</formula>
    </cfRule>
    <cfRule type="cellIs" dxfId="553" priority="584" stopIfTrue="1" operator="between">
      <formula>0.4001</formula>
      <formula>0.65</formula>
    </cfRule>
    <cfRule type="cellIs" dxfId="552" priority="585" stopIfTrue="1" operator="between">
      <formula>0.6501</formula>
      <formula>1</formula>
    </cfRule>
  </conditionalFormatting>
  <conditionalFormatting sqref="AD41">
    <cfRule type="cellIs" dxfId="551" priority="580" stopIfTrue="1" operator="between">
      <formula>0</formula>
      <formula>0.4</formula>
    </cfRule>
    <cfRule type="cellIs" dxfId="550" priority="581" stopIfTrue="1" operator="between">
      <formula>0.4001</formula>
      <formula>0.65</formula>
    </cfRule>
    <cfRule type="cellIs" dxfId="549" priority="582" stopIfTrue="1" operator="between">
      <formula>0.6501</formula>
      <formula>1</formula>
    </cfRule>
  </conditionalFormatting>
  <conditionalFormatting sqref="AH41">
    <cfRule type="cellIs" dxfId="548" priority="577" stopIfTrue="1" operator="between">
      <formula>0</formula>
      <formula>0.4</formula>
    </cfRule>
    <cfRule type="cellIs" dxfId="547" priority="578" stopIfTrue="1" operator="between">
      <formula>0.4001</formula>
      <formula>0.65</formula>
    </cfRule>
    <cfRule type="cellIs" dxfId="546" priority="579" stopIfTrue="1" operator="between">
      <formula>0.6501</formula>
      <formula>1</formula>
    </cfRule>
  </conditionalFormatting>
  <conditionalFormatting sqref="AL41">
    <cfRule type="cellIs" dxfId="545" priority="574" stopIfTrue="1" operator="between">
      <formula>0</formula>
      <formula>0.4</formula>
    </cfRule>
    <cfRule type="cellIs" dxfId="544" priority="575" stopIfTrue="1" operator="between">
      <formula>0.4001</formula>
      <formula>0.65</formula>
    </cfRule>
    <cfRule type="cellIs" dxfId="543" priority="576" stopIfTrue="1" operator="between">
      <formula>0.6501</formula>
      <formula>1</formula>
    </cfRule>
  </conditionalFormatting>
  <conditionalFormatting sqref="AP41">
    <cfRule type="cellIs" dxfId="542" priority="571" stopIfTrue="1" operator="between">
      <formula>0</formula>
      <formula>0.4</formula>
    </cfRule>
    <cfRule type="cellIs" dxfId="541" priority="572" stopIfTrue="1" operator="between">
      <formula>0.4001</formula>
      <formula>0.65</formula>
    </cfRule>
    <cfRule type="cellIs" dxfId="540" priority="573" stopIfTrue="1" operator="between">
      <formula>0.6501</formula>
      <formula>1</formula>
    </cfRule>
  </conditionalFormatting>
  <conditionalFormatting sqref="AT41">
    <cfRule type="cellIs" dxfId="539" priority="568" stopIfTrue="1" operator="between">
      <formula>0</formula>
      <formula>0.4</formula>
    </cfRule>
    <cfRule type="cellIs" dxfId="538" priority="569" stopIfTrue="1" operator="between">
      <formula>0.4001</formula>
      <formula>0.65</formula>
    </cfRule>
    <cfRule type="cellIs" dxfId="537" priority="570" stopIfTrue="1" operator="between">
      <formula>0.6501</formula>
      <formula>1</formula>
    </cfRule>
  </conditionalFormatting>
  <conditionalFormatting sqref="AX41">
    <cfRule type="cellIs" dxfId="536" priority="565" stopIfTrue="1" operator="between">
      <formula>0</formula>
      <formula>0.4</formula>
    </cfRule>
    <cfRule type="cellIs" dxfId="535" priority="566" stopIfTrue="1" operator="between">
      <formula>0.4001</formula>
      <formula>0.65</formula>
    </cfRule>
    <cfRule type="cellIs" dxfId="534" priority="567" stopIfTrue="1" operator="between">
      <formula>0.6501</formula>
      <formula>1</formula>
    </cfRule>
  </conditionalFormatting>
  <conditionalFormatting sqref="BB41">
    <cfRule type="cellIs" dxfId="533" priority="562" stopIfTrue="1" operator="between">
      <formula>0</formula>
      <formula>0.4</formula>
    </cfRule>
    <cfRule type="cellIs" dxfId="532" priority="563" stopIfTrue="1" operator="between">
      <formula>0.4001</formula>
      <formula>0.65</formula>
    </cfRule>
    <cfRule type="cellIs" dxfId="531" priority="564" stopIfTrue="1" operator="between">
      <formula>0.6501</formula>
      <formula>1</formula>
    </cfRule>
  </conditionalFormatting>
  <conditionalFormatting sqref="BF41">
    <cfRule type="cellIs" dxfId="530" priority="559" stopIfTrue="1" operator="between">
      <formula>0</formula>
      <formula>0.4</formula>
    </cfRule>
    <cfRule type="cellIs" dxfId="529" priority="560" stopIfTrue="1" operator="between">
      <formula>0.4001</formula>
      <formula>0.65</formula>
    </cfRule>
    <cfRule type="cellIs" dxfId="528" priority="561" stopIfTrue="1" operator="between">
      <formula>0.6501</formula>
      <formula>1</formula>
    </cfRule>
  </conditionalFormatting>
  <conditionalFormatting sqref="BJ41">
    <cfRule type="cellIs" dxfId="527" priority="556" stopIfTrue="1" operator="between">
      <formula>0</formula>
      <formula>0.4</formula>
    </cfRule>
    <cfRule type="cellIs" dxfId="526" priority="557" stopIfTrue="1" operator="between">
      <formula>0.4001</formula>
      <formula>0.65</formula>
    </cfRule>
    <cfRule type="cellIs" dxfId="525" priority="558" stopIfTrue="1" operator="between">
      <formula>0.6501</formula>
      <formula>1</formula>
    </cfRule>
  </conditionalFormatting>
  <conditionalFormatting sqref="V50 R50">
    <cfRule type="cellIs" dxfId="524" priority="433" stopIfTrue="1" operator="between">
      <formula>0</formula>
      <formula>0.4</formula>
    </cfRule>
    <cfRule type="cellIs" dxfId="523" priority="434" stopIfTrue="1" operator="between">
      <formula>0.4001</formula>
      <formula>0.65</formula>
    </cfRule>
    <cfRule type="cellIs" dxfId="522" priority="435" stopIfTrue="1" operator="between">
      <formula>0.6501</formula>
      <formula>1</formula>
    </cfRule>
  </conditionalFormatting>
  <conditionalFormatting sqref="Z50">
    <cfRule type="cellIs" dxfId="521" priority="430" stopIfTrue="1" operator="between">
      <formula>0</formula>
      <formula>0.4</formula>
    </cfRule>
    <cfRule type="cellIs" dxfId="520" priority="431" stopIfTrue="1" operator="between">
      <formula>0.4001</formula>
      <formula>0.65</formula>
    </cfRule>
    <cfRule type="cellIs" dxfId="519" priority="432" stopIfTrue="1" operator="between">
      <formula>0.6501</formula>
      <formula>1</formula>
    </cfRule>
  </conditionalFormatting>
  <conditionalFormatting sqref="AD50">
    <cfRule type="cellIs" dxfId="518" priority="427" stopIfTrue="1" operator="between">
      <formula>0</formula>
      <formula>0.4</formula>
    </cfRule>
    <cfRule type="cellIs" dxfId="517" priority="428" stopIfTrue="1" operator="between">
      <formula>0.4001</formula>
      <formula>0.65</formula>
    </cfRule>
    <cfRule type="cellIs" dxfId="516" priority="429" stopIfTrue="1" operator="between">
      <formula>0.6501</formula>
      <formula>1</formula>
    </cfRule>
  </conditionalFormatting>
  <conditionalFormatting sqref="AH50">
    <cfRule type="cellIs" dxfId="515" priority="424" stopIfTrue="1" operator="between">
      <formula>0</formula>
      <formula>0.4</formula>
    </cfRule>
    <cfRule type="cellIs" dxfId="514" priority="425" stopIfTrue="1" operator="between">
      <formula>0.4001</formula>
      <formula>0.65</formula>
    </cfRule>
    <cfRule type="cellIs" dxfId="513" priority="426" stopIfTrue="1" operator="between">
      <formula>0.6501</formula>
      <formula>1</formula>
    </cfRule>
  </conditionalFormatting>
  <conditionalFormatting sqref="AL50">
    <cfRule type="cellIs" dxfId="512" priority="421" stopIfTrue="1" operator="between">
      <formula>0</formula>
      <formula>0.4</formula>
    </cfRule>
    <cfRule type="cellIs" dxfId="511" priority="422" stopIfTrue="1" operator="between">
      <formula>0.4001</formula>
      <formula>0.65</formula>
    </cfRule>
    <cfRule type="cellIs" dxfId="510" priority="423" stopIfTrue="1" operator="between">
      <formula>0.6501</formula>
      <formula>1</formula>
    </cfRule>
  </conditionalFormatting>
  <conditionalFormatting sqref="AP50">
    <cfRule type="cellIs" dxfId="509" priority="418" stopIfTrue="1" operator="between">
      <formula>0</formula>
      <formula>0.4</formula>
    </cfRule>
    <cfRule type="cellIs" dxfId="508" priority="419" stopIfTrue="1" operator="between">
      <formula>0.4001</formula>
      <formula>0.65</formula>
    </cfRule>
    <cfRule type="cellIs" dxfId="507" priority="420" stopIfTrue="1" operator="between">
      <formula>0.6501</formula>
      <formula>1</formula>
    </cfRule>
  </conditionalFormatting>
  <conditionalFormatting sqref="AT50">
    <cfRule type="cellIs" dxfId="506" priority="415" stopIfTrue="1" operator="between">
      <formula>0</formula>
      <formula>0.4</formula>
    </cfRule>
    <cfRule type="cellIs" dxfId="505" priority="416" stopIfTrue="1" operator="between">
      <formula>0.4001</formula>
      <formula>0.65</formula>
    </cfRule>
    <cfRule type="cellIs" dxfId="504" priority="417" stopIfTrue="1" operator="between">
      <formula>0.6501</formula>
      <formula>1</formula>
    </cfRule>
  </conditionalFormatting>
  <conditionalFormatting sqref="AX50">
    <cfRule type="cellIs" dxfId="503" priority="412" stopIfTrue="1" operator="between">
      <formula>0</formula>
      <formula>0.4</formula>
    </cfRule>
    <cfRule type="cellIs" dxfId="502" priority="413" stopIfTrue="1" operator="between">
      <formula>0.4001</formula>
      <formula>0.65</formula>
    </cfRule>
    <cfRule type="cellIs" dxfId="501" priority="414" stopIfTrue="1" operator="between">
      <formula>0.6501</formula>
      <formula>1</formula>
    </cfRule>
  </conditionalFormatting>
  <conditionalFormatting sqref="BB50">
    <cfRule type="cellIs" dxfId="500" priority="409" stopIfTrue="1" operator="between">
      <formula>0</formula>
      <formula>0.4</formula>
    </cfRule>
    <cfRule type="cellIs" dxfId="499" priority="410" stopIfTrue="1" operator="between">
      <formula>0.4001</formula>
      <formula>0.65</formula>
    </cfRule>
    <cfRule type="cellIs" dxfId="498" priority="411" stopIfTrue="1" operator="between">
      <formula>0.6501</formula>
      <formula>1</formula>
    </cfRule>
  </conditionalFormatting>
  <conditionalFormatting sqref="BF50">
    <cfRule type="cellIs" dxfId="497" priority="406" stopIfTrue="1" operator="between">
      <formula>0</formula>
      <formula>0.4</formula>
    </cfRule>
    <cfRule type="cellIs" dxfId="496" priority="407" stopIfTrue="1" operator="between">
      <formula>0.4001</formula>
      <formula>0.65</formula>
    </cfRule>
    <cfRule type="cellIs" dxfId="495" priority="408" stopIfTrue="1" operator="between">
      <formula>0.6501</formula>
      <formula>1</formula>
    </cfRule>
  </conditionalFormatting>
  <conditionalFormatting sqref="BJ50">
    <cfRule type="cellIs" dxfId="494" priority="403" stopIfTrue="1" operator="between">
      <formula>0</formula>
      <formula>0.4</formula>
    </cfRule>
    <cfRule type="cellIs" dxfId="493" priority="404" stopIfTrue="1" operator="between">
      <formula>0.4001</formula>
      <formula>0.65</formula>
    </cfRule>
    <cfRule type="cellIs" dxfId="492" priority="405" stopIfTrue="1" operator="between">
      <formula>0.6501</formula>
      <formula>1</formula>
    </cfRule>
  </conditionalFormatting>
  <conditionalFormatting sqref="BN45">
    <cfRule type="cellIs" dxfId="491" priority="517" stopIfTrue="1" operator="between">
      <formula>0</formula>
      <formula>0.4</formula>
    </cfRule>
    <cfRule type="cellIs" dxfId="490" priority="518" stopIfTrue="1" operator="between">
      <formula>0.4001</formula>
      <formula>0.65</formula>
    </cfRule>
    <cfRule type="cellIs" dxfId="489" priority="519" stopIfTrue="1" operator="between">
      <formula>0.6501</formula>
      <formula>1</formula>
    </cfRule>
  </conditionalFormatting>
  <conditionalFormatting sqref="BN50">
    <cfRule type="cellIs" dxfId="488" priority="397" stopIfTrue="1" operator="between">
      <formula>0</formula>
      <formula>0.4</formula>
    </cfRule>
    <cfRule type="cellIs" dxfId="487" priority="398" stopIfTrue="1" operator="between">
      <formula>0.4001</formula>
      <formula>0.65</formula>
    </cfRule>
    <cfRule type="cellIs" dxfId="486" priority="399" stopIfTrue="1" operator="between">
      <formula>0.6501</formula>
      <formula>1</formula>
    </cfRule>
  </conditionalFormatting>
  <conditionalFormatting sqref="J46">
    <cfRule type="cellIs" dxfId="485" priority="514" stopIfTrue="1" operator="between">
      <formula>0</formula>
      <formula>0.4</formula>
    </cfRule>
    <cfRule type="cellIs" dxfId="484" priority="515" stopIfTrue="1" operator="between">
      <formula>0.4001</formula>
      <formula>0.65</formula>
    </cfRule>
    <cfRule type="cellIs" dxfId="483" priority="516" stopIfTrue="1" operator="between">
      <formula>0.6501</formula>
      <formula>1</formula>
    </cfRule>
  </conditionalFormatting>
  <conditionalFormatting sqref="N46">
    <cfRule type="cellIs" dxfId="482" priority="511" stopIfTrue="1" operator="between">
      <formula>0</formula>
      <formula>0.4</formula>
    </cfRule>
    <cfRule type="cellIs" dxfId="481" priority="512" stopIfTrue="1" operator="between">
      <formula>0.4001</formula>
      <formula>0.65</formula>
    </cfRule>
    <cfRule type="cellIs" dxfId="480" priority="513" stopIfTrue="1" operator="between">
      <formula>0.6501</formula>
      <formula>1</formula>
    </cfRule>
  </conditionalFormatting>
  <conditionalFormatting sqref="R46">
    <cfRule type="cellIs" dxfId="479" priority="508" stopIfTrue="1" operator="between">
      <formula>0</formula>
      <formula>0.4</formula>
    </cfRule>
    <cfRule type="cellIs" dxfId="478" priority="509" stopIfTrue="1" operator="between">
      <formula>0.4001</formula>
      <formula>0.65</formula>
    </cfRule>
    <cfRule type="cellIs" dxfId="477" priority="510" stopIfTrue="1" operator="between">
      <formula>0.6501</formula>
      <formula>1</formula>
    </cfRule>
  </conditionalFormatting>
  <conditionalFormatting sqref="V46">
    <cfRule type="cellIs" dxfId="476" priority="505" stopIfTrue="1" operator="between">
      <formula>0</formula>
      <formula>0.4</formula>
    </cfRule>
    <cfRule type="cellIs" dxfId="475" priority="506" stopIfTrue="1" operator="between">
      <formula>0.4001</formula>
      <formula>0.65</formula>
    </cfRule>
    <cfRule type="cellIs" dxfId="474" priority="507" stopIfTrue="1" operator="between">
      <formula>0.6501</formula>
      <formula>1</formula>
    </cfRule>
  </conditionalFormatting>
  <conditionalFormatting sqref="BN46">
    <cfRule type="cellIs" dxfId="473" priority="502" stopIfTrue="1" operator="between">
      <formula>0</formula>
      <formula>0.4</formula>
    </cfRule>
    <cfRule type="cellIs" dxfId="472" priority="503" stopIfTrue="1" operator="between">
      <formula>0.4001</formula>
      <formula>0.65</formula>
    </cfRule>
    <cfRule type="cellIs" dxfId="471" priority="504" stopIfTrue="1" operator="between">
      <formula>0.6501</formula>
      <formula>1</formula>
    </cfRule>
  </conditionalFormatting>
  <conditionalFormatting sqref="Z46">
    <cfRule type="cellIs" dxfId="470" priority="499" stopIfTrue="1" operator="between">
      <formula>0</formula>
      <formula>0.4</formula>
    </cfRule>
    <cfRule type="cellIs" dxfId="469" priority="500" stopIfTrue="1" operator="between">
      <formula>0.4001</formula>
      <formula>0.65</formula>
    </cfRule>
    <cfRule type="cellIs" dxfId="468" priority="501" stopIfTrue="1" operator="between">
      <formula>0.6501</formula>
      <formula>1</formula>
    </cfRule>
  </conditionalFormatting>
  <conditionalFormatting sqref="AD46">
    <cfRule type="cellIs" dxfId="467" priority="496" stopIfTrue="1" operator="between">
      <formula>0</formula>
      <formula>0.4</formula>
    </cfRule>
    <cfRule type="cellIs" dxfId="466" priority="497" stopIfTrue="1" operator="between">
      <formula>0.4001</formula>
      <formula>0.65</formula>
    </cfRule>
    <cfRule type="cellIs" dxfId="465" priority="498" stopIfTrue="1" operator="between">
      <formula>0.6501</formula>
      <formula>1</formula>
    </cfRule>
  </conditionalFormatting>
  <conditionalFormatting sqref="AH46">
    <cfRule type="cellIs" dxfId="464" priority="493" stopIfTrue="1" operator="between">
      <formula>0</formula>
      <formula>0.4</formula>
    </cfRule>
    <cfRule type="cellIs" dxfId="463" priority="494" stopIfTrue="1" operator="between">
      <formula>0.4001</formula>
      <formula>0.65</formula>
    </cfRule>
    <cfRule type="cellIs" dxfId="462" priority="495" stopIfTrue="1" operator="between">
      <formula>0.6501</formula>
      <formula>1</formula>
    </cfRule>
  </conditionalFormatting>
  <conditionalFormatting sqref="AL46">
    <cfRule type="cellIs" dxfId="461" priority="490" stopIfTrue="1" operator="between">
      <formula>0</formula>
      <formula>0.4</formula>
    </cfRule>
    <cfRule type="cellIs" dxfId="460" priority="491" stopIfTrue="1" operator="between">
      <formula>0.4001</formula>
      <formula>0.65</formula>
    </cfRule>
    <cfRule type="cellIs" dxfId="459" priority="492" stopIfTrue="1" operator="between">
      <formula>0.6501</formula>
      <formula>1</formula>
    </cfRule>
  </conditionalFormatting>
  <conditionalFormatting sqref="AP46">
    <cfRule type="cellIs" dxfId="458" priority="487" stopIfTrue="1" operator="between">
      <formula>0</formula>
      <formula>0.4</formula>
    </cfRule>
    <cfRule type="cellIs" dxfId="457" priority="488" stopIfTrue="1" operator="between">
      <formula>0.4001</formula>
      <formula>0.65</formula>
    </cfRule>
    <cfRule type="cellIs" dxfId="456" priority="489" stopIfTrue="1" operator="between">
      <formula>0.6501</formula>
      <formula>1</formula>
    </cfRule>
  </conditionalFormatting>
  <conditionalFormatting sqref="AT46">
    <cfRule type="cellIs" dxfId="455" priority="484" stopIfTrue="1" operator="between">
      <formula>0</formula>
      <formula>0.4</formula>
    </cfRule>
    <cfRule type="cellIs" dxfId="454" priority="485" stopIfTrue="1" operator="between">
      <formula>0.4001</formula>
      <formula>0.65</formula>
    </cfRule>
    <cfRule type="cellIs" dxfId="453" priority="486" stopIfTrue="1" operator="between">
      <formula>0.6501</formula>
      <formula>1</formula>
    </cfRule>
  </conditionalFormatting>
  <conditionalFormatting sqref="AX46">
    <cfRule type="cellIs" dxfId="452" priority="481" stopIfTrue="1" operator="between">
      <formula>0</formula>
      <formula>0.4</formula>
    </cfRule>
    <cfRule type="cellIs" dxfId="451" priority="482" stopIfTrue="1" operator="between">
      <formula>0.4001</formula>
      <formula>0.65</formula>
    </cfRule>
    <cfRule type="cellIs" dxfId="450" priority="483" stopIfTrue="1" operator="between">
      <formula>0.6501</formula>
      <formula>1</formula>
    </cfRule>
  </conditionalFormatting>
  <conditionalFormatting sqref="BB46">
    <cfRule type="cellIs" dxfId="449" priority="478" stopIfTrue="1" operator="between">
      <formula>0</formula>
      <formula>0.4</formula>
    </cfRule>
    <cfRule type="cellIs" dxfId="448" priority="479" stopIfTrue="1" operator="between">
      <formula>0.4001</formula>
      <formula>0.65</formula>
    </cfRule>
    <cfRule type="cellIs" dxfId="447" priority="480" stopIfTrue="1" operator="between">
      <formula>0.6501</formula>
      <formula>1</formula>
    </cfRule>
  </conditionalFormatting>
  <conditionalFormatting sqref="BF46">
    <cfRule type="cellIs" dxfId="446" priority="475" stopIfTrue="1" operator="between">
      <formula>0</formula>
      <formula>0.4</formula>
    </cfRule>
    <cfRule type="cellIs" dxfId="445" priority="476" stopIfTrue="1" operator="between">
      <formula>0.4001</formula>
      <formula>0.65</formula>
    </cfRule>
    <cfRule type="cellIs" dxfId="444" priority="477" stopIfTrue="1" operator="between">
      <formula>0.6501</formula>
      <formula>1</formula>
    </cfRule>
  </conditionalFormatting>
  <conditionalFormatting sqref="BJ46">
    <cfRule type="cellIs" dxfId="443" priority="472" stopIfTrue="1" operator="between">
      <formula>0</formula>
      <formula>0.4</formula>
    </cfRule>
    <cfRule type="cellIs" dxfId="442" priority="473" stopIfTrue="1" operator="between">
      <formula>0.4001</formula>
      <formula>0.65</formula>
    </cfRule>
    <cfRule type="cellIs" dxfId="441" priority="474" stopIfTrue="1" operator="between">
      <formula>0.6501</formula>
      <formula>1</formula>
    </cfRule>
  </conditionalFormatting>
  <conditionalFormatting sqref="N48 J48 J50 N50">
    <cfRule type="cellIs" dxfId="440" priority="469" stopIfTrue="1" operator="between">
      <formula>0</formula>
      <formula>0.4</formula>
    </cfRule>
    <cfRule type="cellIs" dxfId="439" priority="470" stopIfTrue="1" operator="between">
      <formula>0.4001</formula>
      <formula>0.65</formula>
    </cfRule>
    <cfRule type="cellIs" dxfId="438" priority="471" stopIfTrue="1" operator="between">
      <formula>0.6501</formula>
      <formula>1</formula>
    </cfRule>
  </conditionalFormatting>
  <conditionalFormatting sqref="V48 R48">
    <cfRule type="cellIs" dxfId="437" priority="466" stopIfTrue="1" operator="between">
      <formula>0</formula>
      <formula>0.4</formula>
    </cfRule>
    <cfRule type="cellIs" dxfId="436" priority="467" stopIfTrue="1" operator="between">
      <formula>0.4001</formula>
      <formula>0.65</formula>
    </cfRule>
    <cfRule type="cellIs" dxfId="435" priority="468" stopIfTrue="1" operator="between">
      <formula>0.6501</formula>
      <formula>1</formula>
    </cfRule>
  </conditionalFormatting>
  <conditionalFormatting sqref="Z48">
    <cfRule type="cellIs" dxfId="434" priority="463" stopIfTrue="1" operator="between">
      <formula>0</formula>
      <formula>0.4</formula>
    </cfRule>
    <cfRule type="cellIs" dxfId="433" priority="464" stopIfTrue="1" operator="between">
      <formula>0.4001</formula>
      <formula>0.65</formula>
    </cfRule>
    <cfRule type="cellIs" dxfId="432" priority="465" stopIfTrue="1" operator="between">
      <formula>0.6501</formula>
      <formula>1</formula>
    </cfRule>
  </conditionalFormatting>
  <conditionalFormatting sqref="AD48">
    <cfRule type="cellIs" dxfId="431" priority="460" stopIfTrue="1" operator="between">
      <formula>0</formula>
      <formula>0.4</formula>
    </cfRule>
    <cfRule type="cellIs" dxfId="430" priority="461" stopIfTrue="1" operator="between">
      <formula>0.4001</formula>
      <formula>0.65</formula>
    </cfRule>
    <cfRule type="cellIs" dxfId="429" priority="462" stopIfTrue="1" operator="between">
      <formula>0.6501</formula>
      <formula>1</formula>
    </cfRule>
  </conditionalFormatting>
  <conditionalFormatting sqref="AH48">
    <cfRule type="cellIs" dxfId="428" priority="457" stopIfTrue="1" operator="between">
      <formula>0</formula>
      <formula>0.4</formula>
    </cfRule>
    <cfRule type="cellIs" dxfId="427" priority="458" stopIfTrue="1" operator="between">
      <formula>0.4001</formula>
      <formula>0.65</formula>
    </cfRule>
    <cfRule type="cellIs" dxfId="426" priority="459" stopIfTrue="1" operator="between">
      <formula>0.6501</formula>
      <formula>1</formula>
    </cfRule>
  </conditionalFormatting>
  <conditionalFormatting sqref="AL48">
    <cfRule type="cellIs" dxfId="425" priority="454" stopIfTrue="1" operator="between">
      <formula>0</formula>
      <formula>0.4</formula>
    </cfRule>
    <cfRule type="cellIs" dxfId="424" priority="455" stopIfTrue="1" operator="between">
      <formula>0.4001</formula>
      <formula>0.65</formula>
    </cfRule>
    <cfRule type="cellIs" dxfId="423" priority="456" stopIfTrue="1" operator="between">
      <formula>0.6501</formula>
      <formula>1</formula>
    </cfRule>
  </conditionalFormatting>
  <conditionalFormatting sqref="AP48">
    <cfRule type="cellIs" dxfId="422" priority="451" stopIfTrue="1" operator="between">
      <formula>0</formula>
      <formula>0.4</formula>
    </cfRule>
    <cfRule type="cellIs" dxfId="421" priority="452" stopIfTrue="1" operator="between">
      <formula>0.4001</formula>
      <formula>0.65</formula>
    </cfRule>
    <cfRule type="cellIs" dxfId="420" priority="453" stopIfTrue="1" operator="between">
      <formula>0.6501</formula>
      <formula>1</formula>
    </cfRule>
  </conditionalFormatting>
  <conditionalFormatting sqref="AT48">
    <cfRule type="cellIs" dxfId="419" priority="448" stopIfTrue="1" operator="between">
      <formula>0</formula>
      <formula>0.4</formula>
    </cfRule>
    <cfRule type="cellIs" dxfId="418" priority="449" stopIfTrue="1" operator="between">
      <formula>0.4001</formula>
      <formula>0.65</formula>
    </cfRule>
    <cfRule type="cellIs" dxfId="417" priority="450" stopIfTrue="1" operator="between">
      <formula>0.6501</formula>
      <formula>1</formula>
    </cfRule>
  </conditionalFormatting>
  <conditionalFormatting sqref="AX48">
    <cfRule type="cellIs" dxfId="416" priority="445" stopIfTrue="1" operator="between">
      <formula>0</formula>
      <formula>0.4</formula>
    </cfRule>
    <cfRule type="cellIs" dxfId="415" priority="446" stopIfTrue="1" operator="between">
      <formula>0.4001</formula>
      <formula>0.65</formula>
    </cfRule>
    <cfRule type="cellIs" dxfId="414" priority="447" stopIfTrue="1" operator="between">
      <formula>0.6501</formula>
      <formula>1</formula>
    </cfRule>
  </conditionalFormatting>
  <conditionalFormatting sqref="BB48">
    <cfRule type="cellIs" dxfId="413" priority="442" stopIfTrue="1" operator="between">
      <formula>0</formula>
      <formula>0.4</formula>
    </cfRule>
    <cfRule type="cellIs" dxfId="412" priority="443" stopIfTrue="1" operator="between">
      <formula>0.4001</formula>
      <formula>0.65</formula>
    </cfRule>
    <cfRule type="cellIs" dxfId="411" priority="444" stopIfTrue="1" operator="between">
      <formula>0.6501</formula>
      <formula>1</formula>
    </cfRule>
  </conditionalFormatting>
  <conditionalFormatting sqref="BF48">
    <cfRule type="cellIs" dxfId="410" priority="439" stopIfTrue="1" operator="between">
      <formula>0</formula>
      <formula>0.4</formula>
    </cfRule>
    <cfRule type="cellIs" dxfId="409" priority="440" stopIfTrue="1" operator="between">
      <formula>0.4001</formula>
      <formula>0.65</formula>
    </cfRule>
    <cfRule type="cellIs" dxfId="408" priority="441" stopIfTrue="1" operator="between">
      <formula>0.6501</formula>
      <formula>1</formula>
    </cfRule>
  </conditionalFormatting>
  <conditionalFormatting sqref="BJ48">
    <cfRule type="cellIs" dxfId="407" priority="436" stopIfTrue="1" operator="between">
      <formula>0</formula>
      <formula>0.4</formula>
    </cfRule>
    <cfRule type="cellIs" dxfId="406" priority="437" stopIfTrue="1" operator="between">
      <formula>0.4001</formula>
      <formula>0.65</formula>
    </cfRule>
    <cfRule type="cellIs" dxfId="405" priority="438" stopIfTrue="1" operator="between">
      <formula>0.6501</formula>
      <formula>1</formula>
    </cfRule>
  </conditionalFormatting>
  <conditionalFormatting sqref="BN48">
    <cfRule type="cellIs" dxfId="404" priority="400" stopIfTrue="1" operator="between">
      <formula>0</formula>
      <formula>0.4</formula>
    </cfRule>
    <cfRule type="cellIs" dxfId="403" priority="401" stopIfTrue="1" operator="between">
      <formula>0.4001</formula>
      <formula>0.65</formula>
    </cfRule>
    <cfRule type="cellIs" dxfId="402" priority="402" stopIfTrue="1" operator="between">
      <formula>0.6501</formula>
      <formula>1</formula>
    </cfRule>
  </conditionalFormatting>
  <conditionalFormatting sqref="J51">
    <cfRule type="cellIs" dxfId="401" priority="394" stopIfTrue="1" operator="between">
      <formula>0</formula>
      <formula>0.4</formula>
    </cfRule>
    <cfRule type="cellIs" dxfId="400" priority="395" stopIfTrue="1" operator="between">
      <formula>0.4001</formula>
      <formula>0.65</formula>
    </cfRule>
    <cfRule type="cellIs" dxfId="399" priority="396" stopIfTrue="1" operator="between">
      <formula>0.6501</formula>
      <formula>1</formula>
    </cfRule>
  </conditionalFormatting>
  <conditionalFormatting sqref="N51">
    <cfRule type="cellIs" dxfId="398" priority="391" stopIfTrue="1" operator="between">
      <formula>0</formula>
      <formula>0.4</formula>
    </cfRule>
    <cfRule type="cellIs" dxfId="397" priority="392" stopIfTrue="1" operator="between">
      <formula>0.4001</formula>
      <formula>0.65</formula>
    </cfRule>
    <cfRule type="cellIs" dxfId="396" priority="393" stopIfTrue="1" operator="between">
      <formula>0.6501</formula>
      <formula>1</formula>
    </cfRule>
  </conditionalFormatting>
  <conditionalFormatting sqref="R51">
    <cfRule type="cellIs" dxfId="395" priority="388" stopIfTrue="1" operator="between">
      <formula>0</formula>
      <formula>0.4</formula>
    </cfRule>
    <cfRule type="cellIs" dxfId="394" priority="389" stopIfTrue="1" operator="between">
      <formula>0.4001</formula>
      <formula>0.65</formula>
    </cfRule>
    <cfRule type="cellIs" dxfId="393" priority="390" stopIfTrue="1" operator="between">
      <formula>0.6501</formula>
      <formula>1</formula>
    </cfRule>
  </conditionalFormatting>
  <conditionalFormatting sqref="V51">
    <cfRule type="cellIs" dxfId="392" priority="385" stopIfTrue="1" operator="between">
      <formula>0</formula>
      <formula>0.4</formula>
    </cfRule>
    <cfRule type="cellIs" dxfId="391" priority="386" stopIfTrue="1" operator="between">
      <formula>0.4001</formula>
      <formula>0.65</formula>
    </cfRule>
    <cfRule type="cellIs" dxfId="390" priority="387" stopIfTrue="1" operator="between">
      <formula>0.6501</formula>
      <formula>1</formula>
    </cfRule>
  </conditionalFormatting>
  <conditionalFormatting sqref="BN51">
    <cfRule type="cellIs" dxfId="389" priority="382" stopIfTrue="1" operator="between">
      <formula>0</formula>
      <formula>0.4</formula>
    </cfRule>
    <cfRule type="cellIs" dxfId="388" priority="383" stopIfTrue="1" operator="between">
      <formula>0.4001</formula>
      <formula>0.65</formula>
    </cfRule>
    <cfRule type="cellIs" dxfId="387" priority="384" stopIfTrue="1" operator="between">
      <formula>0.6501</formula>
      <formula>1</formula>
    </cfRule>
  </conditionalFormatting>
  <conditionalFormatting sqref="Z51">
    <cfRule type="cellIs" dxfId="386" priority="379" stopIfTrue="1" operator="between">
      <formula>0</formula>
      <formula>0.4</formula>
    </cfRule>
    <cfRule type="cellIs" dxfId="385" priority="380" stopIfTrue="1" operator="between">
      <formula>0.4001</formula>
      <formula>0.65</formula>
    </cfRule>
    <cfRule type="cellIs" dxfId="384" priority="381" stopIfTrue="1" operator="between">
      <formula>0.6501</formula>
      <formula>1</formula>
    </cfRule>
  </conditionalFormatting>
  <conditionalFormatting sqref="AD51">
    <cfRule type="cellIs" dxfId="383" priority="376" stopIfTrue="1" operator="between">
      <formula>0</formula>
      <formula>0.4</formula>
    </cfRule>
    <cfRule type="cellIs" dxfId="382" priority="377" stopIfTrue="1" operator="between">
      <formula>0.4001</formula>
      <formula>0.65</formula>
    </cfRule>
    <cfRule type="cellIs" dxfId="381" priority="378" stopIfTrue="1" operator="between">
      <formula>0.6501</formula>
      <formula>1</formula>
    </cfRule>
  </conditionalFormatting>
  <conditionalFormatting sqref="AH51">
    <cfRule type="cellIs" dxfId="380" priority="373" stopIfTrue="1" operator="between">
      <formula>0</formula>
      <formula>0.4</formula>
    </cfRule>
    <cfRule type="cellIs" dxfId="379" priority="374" stopIfTrue="1" operator="between">
      <formula>0.4001</formula>
      <formula>0.65</formula>
    </cfRule>
    <cfRule type="cellIs" dxfId="378" priority="375" stopIfTrue="1" operator="between">
      <formula>0.6501</formula>
      <formula>1</formula>
    </cfRule>
  </conditionalFormatting>
  <conditionalFormatting sqref="AL51">
    <cfRule type="cellIs" dxfId="377" priority="370" stopIfTrue="1" operator="between">
      <formula>0</formula>
      <formula>0.4</formula>
    </cfRule>
    <cfRule type="cellIs" dxfId="376" priority="371" stopIfTrue="1" operator="between">
      <formula>0.4001</formula>
      <formula>0.65</formula>
    </cfRule>
    <cfRule type="cellIs" dxfId="375" priority="372" stopIfTrue="1" operator="between">
      <formula>0.6501</formula>
      <formula>1</formula>
    </cfRule>
  </conditionalFormatting>
  <conditionalFormatting sqref="AP51">
    <cfRule type="cellIs" dxfId="374" priority="367" stopIfTrue="1" operator="between">
      <formula>0</formula>
      <formula>0.4</formula>
    </cfRule>
    <cfRule type="cellIs" dxfId="373" priority="368" stopIfTrue="1" operator="between">
      <formula>0.4001</formula>
      <formula>0.65</formula>
    </cfRule>
    <cfRule type="cellIs" dxfId="372" priority="369" stopIfTrue="1" operator="between">
      <formula>0.6501</formula>
      <formula>1</formula>
    </cfRule>
  </conditionalFormatting>
  <conditionalFormatting sqref="AT51">
    <cfRule type="cellIs" dxfId="371" priority="364" stopIfTrue="1" operator="between">
      <formula>0</formula>
      <formula>0.4</formula>
    </cfRule>
    <cfRule type="cellIs" dxfId="370" priority="365" stopIfTrue="1" operator="between">
      <formula>0.4001</formula>
      <formula>0.65</formula>
    </cfRule>
    <cfRule type="cellIs" dxfId="369" priority="366" stopIfTrue="1" operator="between">
      <formula>0.6501</formula>
      <formula>1</formula>
    </cfRule>
  </conditionalFormatting>
  <conditionalFormatting sqref="AX51">
    <cfRule type="cellIs" dxfId="368" priority="361" stopIfTrue="1" operator="between">
      <formula>0</formula>
      <formula>0.4</formula>
    </cfRule>
    <cfRule type="cellIs" dxfId="367" priority="362" stopIfTrue="1" operator="between">
      <formula>0.4001</formula>
      <formula>0.65</formula>
    </cfRule>
    <cfRule type="cellIs" dxfId="366" priority="363" stopIfTrue="1" operator="between">
      <formula>0.6501</formula>
      <formula>1</formula>
    </cfRule>
  </conditionalFormatting>
  <conditionalFormatting sqref="BB51">
    <cfRule type="cellIs" dxfId="365" priority="358" stopIfTrue="1" operator="between">
      <formula>0</formula>
      <formula>0.4</formula>
    </cfRule>
    <cfRule type="cellIs" dxfId="364" priority="359" stopIfTrue="1" operator="between">
      <formula>0.4001</formula>
      <formula>0.65</formula>
    </cfRule>
    <cfRule type="cellIs" dxfId="363" priority="360" stopIfTrue="1" operator="between">
      <formula>0.6501</formula>
      <formula>1</formula>
    </cfRule>
  </conditionalFormatting>
  <conditionalFormatting sqref="BF51">
    <cfRule type="cellIs" dxfId="362" priority="355" stopIfTrue="1" operator="between">
      <formula>0</formula>
      <formula>0.4</formula>
    </cfRule>
    <cfRule type="cellIs" dxfId="361" priority="356" stopIfTrue="1" operator="between">
      <formula>0.4001</formula>
      <formula>0.65</formula>
    </cfRule>
    <cfRule type="cellIs" dxfId="360" priority="357" stopIfTrue="1" operator="between">
      <formula>0.6501</formula>
      <formula>1</formula>
    </cfRule>
  </conditionalFormatting>
  <conditionalFormatting sqref="BJ51">
    <cfRule type="cellIs" dxfId="359" priority="352" stopIfTrue="1" operator="between">
      <formula>0</formula>
      <formula>0.4</formula>
    </cfRule>
    <cfRule type="cellIs" dxfId="358" priority="353" stopIfTrue="1" operator="between">
      <formula>0.4001</formula>
      <formula>0.65</formula>
    </cfRule>
    <cfRule type="cellIs" dxfId="357" priority="354" stopIfTrue="1" operator="between">
      <formula>0.6501</formula>
      <formula>1</formula>
    </cfRule>
  </conditionalFormatting>
  <conditionalFormatting sqref="J33:J34 N33:N34">
    <cfRule type="cellIs" dxfId="356" priority="271" stopIfTrue="1" operator="between">
      <formula>0</formula>
      <formula>0.4</formula>
    </cfRule>
    <cfRule type="cellIs" dxfId="355" priority="272" stopIfTrue="1" operator="between">
      <formula>0.4001</formula>
      <formula>0.65</formula>
    </cfRule>
    <cfRule type="cellIs" dxfId="354" priority="273" stopIfTrue="1" operator="between">
      <formula>0.6501</formula>
      <formula>1</formula>
    </cfRule>
  </conditionalFormatting>
  <conditionalFormatting sqref="R33:R34 V33:V34">
    <cfRule type="cellIs" dxfId="353" priority="268" stopIfTrue="1" operator="between">
      <formula>0</formula>
      <formula>0.4</formula>
    </cfRule>
    <cfRule type="cellIs" dxfId="352" priority="269" stopIfTrue="1" operator="between">
      <formula>0.4001</formula>
      <formula>0.65</formula>
    </cfRule>
    <cfRule type="cellIs" dxfId="351" priority="270" stopIfTrue="1" operator="between">
      <formula>0.6501</formula>
      <formula>1</formula>
    </cfRule>
  </conditionalFormatting>
  <conditionalFormatting sqref="Z33:Z34">
    <cfRule type="cellIs" dxfId="350" priority="265" stopIfTrue="1" operator="between">
      <formula>0</formula>
      <formula>0.4</formula>
    </cfRule>
    <cfRule type="cellIs" dxfId="349" priority="266" stopIfTrue="1" operator="between">
      <formula>0.4001</formula>
      <formula>0.65</formula>
    </cfRule>
    <cfRule type="cellIs" dxfId="348" priority="267" stopIfTrue="1" operator="between">
      <formula>0.6501</formula>
      <formula>1</formula>
    </cfRule>
  </conditionalFormatting>
  <conditionalFormatting sqref="AD33:AD34">
    <cfRule type="cellIs" dxfId="347" priority="262" stopIfTrue="1" operator="between">
      <formula>0</formula>
      <formula>0.4</formula>
    </cfRule>
    <cfRule type="cellIs" dxfId="346" priority="263" stopIfTrue="1" operator="between">
      <formula>0.4001</formula>
      <formula>0.65</formula>
    </cfRule>
    <cfRule type="cellIs" dxfId="345" priority="264" stopIfTrue="1" operator="between">
      <formula>0.6501</formula>
      <formula>1</formula>
    </cfRule>
  </conditionalFormatting>
  <conditionalFormatting sqref="AH33:AH34">
    <cfRule type="cellIs" dxfId="344" priority="259" stopIfTrue="1" operator="between">
      <formula>0</formula>
      <formula>0.4</formula>
    </cfRule>
    <cfRule type="cellIs" dxfId="343" priority="260" stopIfTrue="1" operator="between">
      <formula>0.4001</formula>
      <formula>0.65</formula>
    </cfRule>
    <cfRule type="cellIs" dxfId="342" priority="261" stopIfTrue="1" operator="between">
      <formula>0.6501</formula>
      <formula>1</formula>
    </cfRule>
  </conditionalFormatting>
  <conditionalFormatting sqref="AL33:AL34">
    <cfRule type="cellIs" dxfId="341" priority="256" stopIfTrue="1" operator="between">
      <formula>0</formula>
      <formula>0.4</formula>
    </cfRule>
    <cfRule type="cellIs" dxfId="340" priority="257" stopIfTrue="1" operator="between">
      <formula>0.4001</formula>
      <formula>0.65</formula>
    </cfRule>
    <cfRule type="cellIs" dxfId="339" priority="258" stopIfTrue="1" operator="between">
      <formula>0.6501</formula>
      <formula>1</formula>
    </cfRule>
  </conditionalFormatting>
  <conditionalFormatting sqref="AP33:AP34">
    <cfRule type="cellIs" dxfId="338" priority="253" stopIfTrue="1" operator="between">
      <formula>0</formula>
      <formula>0.4</formula>
    </cfRule>
    <cfRule type="cellIs" dxfId="337" priority="254" stopIfTrue="1" operator="between">
      <formula>0.4001</formula>
      <formula>0.65</formula>
    </cfRule>
    <cfRule type="cellIs" dxfId="336" priority="255" stopIfTrue="1" operator="between">
      <formula>0.6501</formula>
      <formula>1</formula>
    </cfRule>
  </conditionalFormatting>
  <conditionalFormatting sqref="AT33:AT34">
    <cfRule type="cellIs" dxfId="335" priority="250" stopIfTrue="1" operator="between">
      <formula>0</formula>
      <formula>0.4</formula>
    </cfRule>
    <cfRule type="cellIs" dxfId="334" priority="251" stopIfTrue="1" operator="between">
      <formula>0.4001</formula>
      <formula>0.65</formula>
    </cfRule>
    <cfRule type="cellIs" dxfId="333" priority="252" stopIfTrue="1" operator="between">
      <formula>0.6501</formula>
      <formula>1</formula>
    </cfRule>
  </conditionalFormatting>
  <conditionalFormatting sqref="AX33:AX34">
    <cfRule type="cellIs" dxfId="332" priority="247" stopIfTrue="1" operator="between">
      <formula>0</formula>
      <formula>0.4</formula>
    </cfRule>
    <cfRule type="cellIs" dxfId="331" priority="248" stopIfTrue="1" operator="between">
      <formula>0.4001</formula>
      <formula>0.65</formula>
    </cfRule>
    <cfRule type="cellIs" dxfId="330" priority="249" stopIfTrue="1" operator="between">
      <formula>0.6501</formula>
      <formula>1</formula>
    </cfRule>
  </conditionalFormatting>
  <conditionalFormatting sqref="BB33:BB34">
    <cfRule type="cellIs" dxfId="329" priority="244" stopIfTrue="1" operator="between">
      <formula>0</formula>
      <formula>0.4</formula>
    </cfRule>
    <cfRule type="cellIs" dxfId="328" priority="245" stopIfTrue="1" operator="between">
      <formula>0.4001</formula>
      <formula>0.65</formula>
    </cfRule>
    <cfRule type="cellIs" dxfId="327" priority="246" stopIfTrue="1" operator="between">
      <formula>0.6501</formula>
      <formula>1</formula>
    </cfRule>
  </conditionalFormatting>
  <conditionalFormatting sqref="BF33:BF34">
    <cfRule type="cellIs" dxfId="326" priority="241" stopIfTrue="1" operator="between">
      <formula>0</formula>
      <formula>0.4</formula>
    </cfRule>
    <cfRule type="cellIs" dxfId="325" priority="242" stopIfTrue="1" operator="between">
      <formula>0.4001</formula>
      <formula>0.65</formula>
    </cfRule>
    <cfRule type="cellIs" dxfId="324" priority="243" stopIfTrue="1" operator="between">
      <formula>0.6501</formula>
      <formula>1</formula>
    </cfRule>
  </conditionalFormatting>
  <conditionalFormatting sqref="BJ33:BJ34">
    <cfRule type="cellIs" dxfId="323" priority="238" stopIfTrue="1" operator="between">
      <formula>0</formula>
      <formula>0.4</formula>
    </cfRule>
    <cfRule type="cellIs" dxfId="322" priority="239" stopIfTrue="1" operator="between">
      <formula>0.4001</formula>
      <formula>0.65</formula>
    </cfRule>
    <cfRule type="cellIs" dxfId="321" priority="240" stopIfTrue="1" operator="between">
      <formula>0.6501</formula>
      <formula>1</formula>
    </cfRule>
  </conditionalFormatting>
  <conditionalFormatting sqref="BN33:BN34">
    <cfRule type="cellIs" dxfId="320" priority="235" stopIfTrue="1" operator="between">
      <formula>0</formula>
      <formula>0.4</formula>
    </cfRule>
    <cfRule type="cellIs" dxfId="319" priority="236" stopIfTrue="1" operator="between">
      <formula>0.4001</formula>
      <formula>0.65</formula>
    </cfRule>
    <cfRule type="cellIs" dxfId="318" priority="237" stopIfTrue="1" operator="between">
      <formula>0.6501</formula>
      <formula>1</formula>
    </cfRule>
  </conditionalFormatting>
  <conditionalFormatting sqref="J26:J27 N26:N27">
    <cfRule type="cellIs" dxfId="317" priority="232" stopIfTrue="1" operator="between">
      <formula>0</formula>
      <formula>0.4</formula>
    </cfRule>
    <cfRule type="cellIs" dxfId="316" priority="233" stopIfTrue="1" operator="between">
      <formula>0.4001</formula>
      <formula>0.65</formula>
    </cfRule>
    <cfRule type="cellIs" dxfId="315" priority="234" stopIfTrue="1" operator="between">
      <formula>0.6501</formula>
      <formula>1</formula>
    </cfRule>
  </conditionalFormatting>
  <conditionalFormatting sqref="V26:V27 R26:R27">
    <cfRule type="cellIs" dxfId="314" priority="229" stopIfTrue="1" operator="between">
      <formula>0</formula>
      <formula>0.4</formula>
    </cfRule>
    <cfRule type="cellIs" dxfId="313" priority="230" stopIfTrue="1" operator="between">
      <formula>0.4001</formula>
      <formula>0.65</formula>
    </cfRule>
    <cfRule type="cellIs" dxfId="312" priority="231" stopIfTrue="1" operator="between">
      <formula>0.6501</formula>
      <formula>1</formula>
    </cfRule>
  </conditionalFormatting>
  <conditionalFormatting sqref="Z26:Z27">
    <cfRule type="cellIs" dxfId="311" priority="226" stopIfTrue="1" operator="between">
      <formula>0</formula>
      <formula>0.4</formula>
    </cfRule>
    <cfRule type="cellIs" dxfId="310" priority="227" stopIfTrue="1" operator="between">
      <formula>0.4001</formula>
      <formula>0.65</formula>
    </cfRule>
    <cfRule type="cellIs" dxfId="309" priority="228" stopIfTrue="1" operator="between">
      <formula>0.6501</formula>
      <formula>1</formula>
    </cfRule>
  </conditionalFormatting>
  <conditionalFormatting sqref="AD26:AD27">
    <cfRule type="cellIs" dxfId="308" priority="223" stopIfTrue="1" operator="between">
      <formula>0</formula>
      <formula>0.4</formula>
    </cfRule>
    <cfRule type="cellIs" dxfId="307" priority="224" stopIfTrue="1" operator="between">
      <formula>0.4001</formula>
      <formula>0.65</formula>
    </cfRule>
    <cfRule type="cellIs" dxfId="306" priority="225" stopIfTrue="1" operator="between">
      <formula>0.6501</formula>
      <formula>1</formula>
    </cfRule>
  </conditionalFormatting>
  <conditionalFormatting sqref="AH26:AH27">
    <cfRule type="cellIs" dxfId="305" priority="220" stopIfTrue="1" operator="between">
      <formula>0</formula>
      <formula>0.4</formula>
    </cfRule>
    <cfRule type="cellIs" dxfId="304" priority="221" stopIfTrue="1" operator="between">
      <formula>0.4001</formula>
      <formula>0.65</formula>
    </cfRule>
    <cfRule type="cellIs" dxfId="303" priority="222" stopIfTrue="1" operator="between">
      <formula>0.6501</formula>
      <formula>1</formula>
    </cfRule>
  </conditionalFormatting>
  <conditionalFormatting sqref="AL26:AL27">
    <cfRule type="cellIs" dxfId="302" priority="217" stopIfTrue="1" operator="between">
      <formula>0</formula>
      <formula>0.4</formula>
    </cfRule>
    <cfRule type="cellIs" dxfId="301" priority="218" stopIfTrue="1" operator="between">
      <formula>0.4001</formula>
      <formula>0.65</formula>
    </cfRule>
    <cfRule type="cellIs" dxfId="300" priority="219" stopIfTrue="1" operator="between">
      <formula>0.6501</formula>
      <formula>1</formula>
    </cfRule>
  </conditionalFormatting>
  <conditionalFormatting sqref="AP26:AP27">
    <cfRule type="cellIs" dxfId="299" priority="214" stopIfTrue="1" operator="between">
      <formula>0</formula>
      <formula>0.4</formula>
    </cfRule>
    <cfRule type="cellIs" dxfId="298" priority="215" stopIfTrue="1" operator="between">
      <formula>0.4001</formula>
      <formula>0.65</formula>
    </cfRule>
    <cfRule type="cellIs" dxfId="297" priority="216" stopIfTrue="1" operator="between">
      <formula>0.6501</formula>
      <formula>1</formula>
    </cfRule>
  </conditionalFormatting>
  <conditionalFormatting sqref="AT26:AT27">
    <cfRule type="cellIs" dxfId="296" priority="211" stopIfTrue="1" operator="between">
      <formula>0</formula>
      <formula>0.4</formula>
    </cfRule>
    <cfRule type="cellIs" dxfId="295" priority="212" stopIfTrue="1" operator="between">
      <formula>0.4001</formula>
      <formula>0.65</formula>
    </cfRule>
    <cfRule type="cellIs" dxfId="294" priority="213" stopIfTrue="1" operator="between">
      <formula>0.6501</formula>
      <formula>1</formula>
    </cfRule>
  </conditionalFormatting>
  <conditionalFormatting sqref="AX26:AX27">
    <cfRule type="cellIs" dxfId="293" priority="208" stopIfTrue="1" operator="between">
      <formula>0</formula>
      <formula>0.4</formula>
    </cfRule>
    <cfRule type="cellIs" dxfId="292" priority="209" stopIfTrue="1" operator="between">
      <formula>0.4001</formula>
      <formula>0.65</formula>
    </cfRule>
    <cfRule type="cellIs" dxfId="291" priority="210" stopIfTrue="1" operator="between">
      <formula>0.6501</formula>
      <formula>1</formula>
    </cfRule>
  </conditionalFormatting>
  <conditionalFormatting sqref="BB26:BB27">
    <cfRule type="cellIs" dxfId="290" priority="205" stopIfTrue="1" operator="between">
      <formula>0</formula>
      <formula>0.4</formula>
    </cfRule>
    <cfRule type="cellIs" dxfId="289" priority="206" stopIfTrue="1" operator="between">
      <formula>0.4001</formula>
      <formula>0.65</formula>
    </cfRule>
    <cfRule type="cellIs" dxfId="288" priority="207" stopIfTrue="1" operator="between">
      <formula>0.6501</formula>
      <formula>1</formula>
    </cfRule>
  </conditionalFormatting>
  <conditionalFormatting sqref="BF26:BF27">
    <cfRule type="cellIs" dxfId="287" priority="202" stopIfTrue="1" operator="between">
      <formula>0</formula>
      <formula>0.4</formula>
    </cfRule>
    <cfRule type="cellIs" dxfId="286" priority="203" stopIfTrue="1" operator="between">
      <formula>0.4001</formula>
      <formula>0.65</formula>
    </cfRule>
    <cfRule type="cellIs" dxfId="285" priority="204" stopIfTrue="1" operator="between">
      <formula>0.6501</formula>
      <formula>1</formula>
    </cfRule>
  </conditionalFormatting>
  <conditionalFormatting sqref="BJ26:BJ27">
    <cfRule type="cellIs" dxfId="284" priority="199" stopIfTrue="1" operator="between">
      <formula>0</formula>
      <formula>0.4</formula>
    </cfRule>
    <cfRule type="cellIs" dxfId="283" priority="200" stopIfTrue="1" operator="between">
      <formula>0.4001</formula>
      <formula>0.65</formula>
    </cfRule>
    <cfRule type="cellIs" dxfId="282" priority="201" stopIfTrue="1" operator="between">
      <formula>0.6501</formula>
      <formula>1</formula>
    </cfRule>
  </conditionalFormatting>
  <conditionalFormatting sqref="BN26:BN27">
    <cfRule type="cellIs" dxfId="281" priority="196" stopIfTrue="1" operator="between">
      <formula>0</formula>
      <formula>0.4</formula>
    </cfRule>
    <cfRule type="cellIs" dxfId="280" priority="197" stopIfTrue="1" operator="between">
      <formula>0.4001</formula>
      <formula>0.65</formula>
    </cfRule>
    <cfRule type="cellIs" dxfId="279" priority="198" stopIfTrue="1" operator="between">
      <formula>0.6501</formula>
      <formula>1</formula>
    </cfRule>
  </conditionalFormatting>
  <conditionalFormatting sqref="V49 R49">
    <cfRule type="cellIs" dxfId="278" priority="190" stopIfTrue="1" operator="between">
      <formula>0</formula>
      <formula>0.4</formula>
    </cfRule>
    <cfRule type="cellIs" dxfId="277" priority="191" stopIfTrue="1" operator="between">
      <formula>0.4001</formula>
      <formula>0.65</formula>
    </cfRule>
    <cfRule type="cellIs" dxfId="276" priority="192" stopIfTrue="1" operator="between">
      <formula>0.6501</formula>
      <formula>1</formula>
    </cfRule>
  </conditionalFormatting>
  <conditionalFormatting sqref="Z49">
    <cfRule type="cellIs" dxfId="275" priority="187" stopIfTrue="1" operator="between">
      <formula>0</formula>
      <formula>0.4</formula>
    </cfRule>
    <cfRule type="cellIs" dxfId="274" priority="188" stopIfTrue="1" operator="between">
      <formula>0.4001</formula>
      <formula>0.65</formula>
    </cfRule>
    <cfRule type="cellIs" dxfId="273" priority="189" stopIfTrue="1" operator="between">
      <formula>0.6501</formula>
      <formula>1</formula>
    </cfRule>
  </conditionalFormatting>
  <conditionalFormatting sqref="AD49">
    <cfRule type="cellIs" dxfId="272" priority="184" stopIfTrue="1" operator="between">
      <formula>0</formula>
      <formula>0.4</formula>
    </cfRule>
    <cfRule type="cellIs" dxfId="271" priority="185" stopIfTrue="1" operator="between">
      <formula>0.4001</formula>
      <formula>0.65</formula>
    </cfRule>
    <cfRule type="cellIs" dxfId="270" priority="186" stopIfTrue="1" operator="between">
      <formula>0.6501</formula>
      <formula>1</formula>
    </cfRule>
  </conditionalFormatting>
  <conditionalFormatting sqref="AH49">
    <cfRule type="cellIs" dxfId="269" priority="181" stopIfTrue="1" operator="between">
      <formula>0</formula>
      <formula>0.4</formula>
    </cfRule>
    <cfRule type="cellIs" dxfId="268" priority="182" stopIfTrue="1" operator="between">
      <formula>0.4001</formula>
      <formula>0.65</formula>
    </cfRule>
    <cfRule type="cellIs" dxfId="267" priority="183" stopIfTrue="1" operator="between">
      <formula>0.6501</formula>
      <formula>1</formula>
    </cfRule>
  </conditionalFormatting>
  <conditionalFormatting sqref="AL49">
    <cfRule type="cellIs" dxfId="266" priority="178" stopIfTrue="1" operator="between">
      <formula>0</formula>
      <formula>0.4</formula>
    </cfRule>
    <cfRule type="cellIs" dxfId="265" priority="179" stopIfTrue="1" operator="between">
      <formula>0.4001</formula>
      <formula>0.65</formula>
    </cfRule>
    <cfRule type="cellIs" dxfId="264" priority="180" stopIfTrue="1" operator="between">
      <formula>0.6501</formula>
      <formula>1</formula>
    </cfRule>
  </conditionalFormatting>
  <conditionalFormatting sqref="AP49">
    <cfRule type="cellIs" dxfId="263" priority="175" stopIfTrue="1" operator="between">
      <formula>0</formula>
      <formula>0.4</formula>
    </cfRule>
    <cfRule type="cellIs" dxfId="262" priority="176" stopIfTrue="1" operator="between">
      <formula>0.4001</formula>
      <formula>0.65</formula>
    </cfRule>
    <cfRule type="cellIs" dxfId="261" priority="177" stopIfTrue="1" operator="between">
      <formula>0.6501</formula>
      <formula>1</formula>
    </cfRule>
  </conditionalFormatting>
  <conditionalFormatting sqref="AT49">
    <cfRule type="cellIs" dxfId="260" priority="172" stopIfTrue="1" operator="between">
      <formula>0</formula>
      <formula>0.4</formula>
    </cfRule>
    <cfRule type="cellIs" dxfId="259" priority="173" stopIfTrue="1" operator="between">
      <formula>0.4001</formula>
      <formula>0.65</formula>
    </cfRule>
    <cfRule type="cellIs" dxfId="258" priority="174" stopIfTrue="1" operator="between">
      <formula>0.6501</formula>
      <formula>1</formula>
    </cfRule>
  </conditionalFormatting>
  <conditionalFormatting sqref="AX49">
    <cfRule type="cellIs" dxfId="257" priority="169" stopIfTrue="1" operator="between">
      <formula>0</formula>
      <formula>0.4</formula>
    </cfRule>
    <cfRule type="cellIs" dxfId="256" priority="170" stopIfTrue="1" operator="between">
      <formula>0.4001</formula>
      <formula>0.65</formula>
    </cfRule>
    <cfRule type="cellIs" dxfId="255" priority="171" stopIfTrue="1" operator="between">
      <formula>0.6501</formula>
      <formula>1</formula>
    </cfRule>
  </conditionalFormatting>
  <conditionalFormatting sqref="BB49">
    <cfRule type="cellIs" dxfId="254" priority="166" stopIfTrue="1" operator="between">
      <formula>0</formula>
      <formula>0.4</formula>
    </cfRule>
    <cfRule type="cellIs" dxfId="253" priority="167" stopIfTrue="1" operator="between">
      <formula>0.4001</formula>
      <formula>0.65</formula>
    </cfRule>
    <cfRule type="cellIs" dxfId="252" priority="168" stopIfTrue="1" operator="between">
      <formula>0.6501</formula>
      <formula>1</formula>
    </cfRule>
  </conditionalFormatting>
  <conditionalFormatting sqref="BF49">
    <cfRule type="cellIs" dxfId="251" priority="163" stopIfTrue="1" operator="between">
      <formula>0</formula>
      <formula>0.4</formula>
    </cfRule>
    <cfRule type="cellIs" dxfId="250" priority="164" stopIfTrue="1" operator="between">
      <formula>0.4001</formula>
      <formula>0.65</formula>
    </cfRule>
    <cfRule type="cellIs" dxfId="249" priority="165" stopIfTrue="1" operator="between">
      <formula>0.6501</formula>
      <formula>1</formula>
    </cfRule>
  </conditionalFormatting>
  <conditionalFormatting sqref="BJ49">
    <cfRule type="cellIs" dxfId="248" priority="160" stopIfTrue="1" operator="between">
      <formula>0</formula>
      <formula>0.4</formula>
    </cfRule>
    <cfRule type="cellIs" dxfId="247" priority="161" stopIfTrue="1" operator="between">
      <formula>0.4001</formula>
      <formula>0.65</formula>
    </cfRule>
    <cfRule type="cellIs" dxfId="246" priority="162" stopIfTrue="1" operator="between">
      <formula>0.6501</formula>
      <formula>1</formula>
    </cfRule>
  </conditionalFormatting>
  <conditionalFormatting sqref="BN49">
    <cfRule type="cellIs" dxfId="245" priority="157" stopIfTrue="1" operator="between">
      <formula>0</formula>
      <formula>0.4</formula>
    </cfRule>
    <cfRule type="cellIs" dxfId="244" priority="158" stopIfTrue="1" operator="between">
      <formula>0.4001</formula>
      <formula>0.65</formula>
    </cfRule>
    <cfRule type="cellIs" dxfId="243" priority="159" stopIfTrue="1" operator="between">
      <formula>0.6501</formula>
      <formula>1</formula>
    </cfRule>
  </conditionalFormatting>
  <conditionalFormatting sqref="J49 N49">
    <cfRule type="cellIs" dxfId="242" priority="193" stopIfTrue="1" operator="between">
      <formula>0</formula>
      <formula>0.4</formula>
    </cfRule>
    <cfRule type="cellIs" dxfId="241" priority="194" stopIfTrue="1" operator="between">
      <formula>0.4001</formula>
      <formula>0.65</formula>
    </cfRule>
    <cfRule type="cellIs" dxfId="240" priority="195" stopIfTrue="1" operator="between">
      <formula>0.6501</formula>
      <formula>1</formula>
    </cfRule>
  </conditionalFormatting>
  <conditionalFormatting sqref="J35">
    <cfRule type="cellIs" dxfId="239" priority="154" stopIfTrue="1" operator="between">
      <formula>0</formula>
      <formula>0.4</formula>
    </cfRule>
    <cfRule type="cellIs" dxfId="238" priority="155" stopIfTrue="1" operator="between">
      <formula>0.4001</formula>
      <formula>0.65</formula>
    </cfRule>
    <cfRule type="cellIs" dxfId="237" priority="156" stopIfTrue="1" operator="between">
      <formula>0.6501</formula>
      <formula>1</formula>
    </cfRule>
  </conditionalFormatting>
  <conditionalFormatting sqref="R28">
    <cfRule type="cellIs" dxfId="236" priority="151" stopIfTrue="1" operator="between">
      <formula>0</formula>
      <formula>0.4</formula>
    </cfRule>
    <cfRule type="cellIs" dxfId="235" priority="152" stopIfTrue="1" operator="between">
      <formula>0.4001</formula>
      <formula>0.65</formula>
    </cfRule>
    <cfRule type="cellIs" dxfId="234" priority="153" stopIfTrue="1" operator="between">
      <formula>0.6501</formula>
      <formula>1</formula>
    </cfRule>
  </conditionalFormatting>
  <conditionalFormatting sqref="V28">
    <cfRule type="cellIs" dxfId="233" priority="148" stopIfTrue="1" operator="between">
      <formula>0</formula>
      <formula>0.4</formula>
    </cfRule>
    <cfRule type="cellIs" dxfId="232" priority="149" stopIfTrue="1" operator="between">
      <formula>0.4001</formula>
      <formula>0.65</formula>
    </cfRule>
    <cfRule type="cellIs" dxfId="231" priority="150" stopIfTrue="1" operator="between">
      <formula>0.6501</formula>
      <formula>1</formula>
    </cfRule>
  </conditionalFormatting>
  <conditionalFormatting sqref="Z28">
    <cfRule type="cellIs" dxfId="230" priority="145" stopIfTrue="1" operator="between">
      <formula>0</formula>
      <formula>0.4</formula>
    </cfRule>
    <cfRule type="cellIs" dxfId="229" priority="146" stopIfTrue="1" operator="between">
      <formula>0.4001</formula>
      <formula>0.65</formula>
    </cfRule>
    <cfRule type="cellIs" dxfId="228" priority="147" stopIfTrue="1" operator="between">
      <formula>0.6501</formula>
      <formula>1</formula>
    </cfRule>
  </conditionalFormatting>
  <conditionalFormatting sqref="AD28">
    <cfRule type="cellIs" dxfId="227" priority="142" stopIfTrue="1" operator="between">
      <formula>0</formula>
      <formula>0.4</formula>
    </cfRule>
    <cfRule type="cellIs" dxfId="226" priority="143" stopIfTrue="1" operator="between">
      <formula>0.4001</formula>
      <formula>0.65</formula>
    </cfRule>
    <cfRule type="cellIs" dxfId="225" priority="144" stopIfTrue="1" operator="between">
      <formula>0.6501</formula>
      <formula>1</formula>
    </cfRule>
  </conditionalFormatting>
  <conditionalFormatting sqref="AH28">
    <cfRule type="cellIs" dxfId="224" priority="139" stopIfTrue="1" operator="between">
      <formula>0</formula>
      <formula>0.4</formula>
    </cfRule>
    <cfRule type="cellIs" dxfId="223" priority="140" stopIfTrue="1" operator="between">
      <formula>0.4001</formula>
      <formula>0.65</formula>
    </cfRule>
    <cfRule type="cellIs" dxfId="222" priority="141" stopIfTrue="1" operator="between">
      <formula>0.6501</formula>
      <formula>1</formula>
    </cfRule>
  </conditionalFormatting>
  <conditionalFormatting sqref="AL28">
    <cfRule type="cellIs" dxfId="221" priority="136" stopIfTrue="1" operator="between">
      <formula>0</formula>
      <formula>0.4</formula>
    </cfRule>
    <cfRule type="cellIs" dxfId="220" priority="137" stopIfTrue="1" operator="between">
      <formula>0.4001</formula>
      <formula>0.65</formula>
    </cfRule>
    <cfRule type="cellIs" dxfId="219" priority="138" stopIfTrue="1" operator="between">
      <formula>0.6501</formula>
      <formula>1</formula>
    </cfRule>
  </conditionalFormatting>
  <conditionalFormatting sqref="AP28">
    <cfRule type="cellIs" dxfId="218" priority="133" stopIfTrue="1" operator="between">
      <formula>0</formula>
      <formula>0.4</formula>
    </cfRule>
    <cfRule type="cellIs" dxfId="217" priority="134" stopIfTrue="1" operator="between">
      <formula>0.4001</formula>
      <formula>0.65</formula>
    </cfRule>
    <cfRule type="cellIs" dxfId="216" priority="135" stopIfTrue="1" operator="between">
      <formula>0.6501</formula>
      <formula>1</formula>
    </cfRule>
  </conditionalFormatting>
  <conditionalFormatting sqref="AT28">
    <cfRule type="cellIs" dxfId="215" priority="130" stopIfTrue="1" operator="between">
      <formula>0</formula>
      <formula>0.4</formula>
    </cfRule>
    <cfRule type="cellIs" dxfId="214" priority="131" stopIfTrue="1" operator="between">
      <formula>0.4001</formula>
      <formula>0.65</formula>
    </cfRule>
    <cfRule type="cellIs" dxfId="213" priority="132" stopIfTrue="1" operator="between">
      <formula>0.6501</formula>
      <formula>1</formula>
    </cfRule>
  </conditionalFormatting>
  <conditionalFormatting sqref="AX28">
    <cfRule type="cellIs" dxfId="212" priority="127" stopIfTrue="1" operator="between">
      <formula>0</formula>
      <formula>0.4</formula>
    </cfRule>
    <cfRule type="cellIs" dxfId="211" priority="128" stopIfTrue="1" operator="between">
      <formula>0.4001</formula>
      <formula>0.65</formula>
    </cfRule>
    <cfRule type="cellIs" dxfId="210" priority="129" stopIfTrue="1" operator="between">
      <formula>0.6501</formula>
      <formula>1</formula>
    </cfRule>
  </conditionalFormatting>
  <conditionalFormatting sqref="BB28">
    <cfRule type="cellIs" dxfId="209" priority="124" stopIfTrue="1" operator="between">
      <formula>0</formula>
      <formula>0.4</formula>
    </cfRule>
    <cfRule type="cellIs" dxfId="208" priority="125" stopIfTrue="1" operator="between">
      <formula>0.4001</formula>
      <formula>0.65</formula>
    </cfRule>
    <cfRule type="cellIs" dxfId="207" priority="126" stopIfTrue="1" operator="between">
      <formula>0.6501</formula>
      <formula>1</formula>
    </cfRule>
  </conditionalFormatting>
  <conditionalFormatting sqref="BF28">
    <cfRule type="cellIs" dxfId="206" priority="121" stopIfTrue="1" operator="between">
      <formula>0</formula>
      <formula>0.4</formula>
    </cfRule>
    <cfRule type="cellIs" dxfId="205" priority="122" stopIfTrue="1" operator="between">
      <formula>0.4001</formula>
      <formula>0.65</formula>
    </cfRule>
    <cfRule type="cellIs" dxfId="204" priority="123" stopIfTrue="1" operator="between">
      <formula>0.6501</formula>
      <formula>1</formula>
    </cfRule>
  </conditionalFormatting>
  <conditionalFormatting sqref="BJ28">
    <cfRule type="cellIs" dxfId="203" priority="118" stopIfTrue="1" operator="between">
      <formula>0</formula>
      <formula>0.4</formula>
    </cfRule>
    <cfRule type="cellIs" dxfId="202" priority="119" stopIfTrue="1" operator="between">
      <formula>0.4001</formula>
      <formula>0.65</formula>
    </cfRule>
    <cfRule type="cellIs" dxfId="201" priority="120" stopIfTrue="1" operator="between">
      <formula>0.6501</formula>
      <formula>1</formula>
    </cfRule>
  </conditionalFormatting>
  <conditionalFormatting sqref="N37 J37">
    <cfRule type="cellIs" dxfId="200" priority="115" stopIfTrue="1" operator="between">
      <formula>0</formula>
      <formula>0.4</formula>
    </cfRule>
    <cfRule type="cellIs" dxfId="199" priority="116" stopIfTrue="1" operator="between">
      <formula>0.4001</formula>
      <formula>0.65</formula>
    </cfRule>
    <cfRule type="cellIs" dxfId="198" priority="117" stopIfTrue="1" operator="between">
      <formula>0.6501</formula>
      <formula>1</formula>
    </cfRule>
  </conditionalFormatting>
  <conditionalFormatting sqref="V37 R37">
    <cfRule type="cellIs" dxfId="197" priority="112" stopIfTrue="1" operator="between">
      <formula>0</formula>
      <formula>0.4</formula>
    </cfRule>
    <cfRule type="cellIs" dxfId="196" priority="113" stopIfTrue="1" operator="between">
      <formula>0.4001</formula>
      <formula>0.65</formula>
    </cfRule>
    <cfRule type="cellIs" dxfId="195" priority="114" stopIfTrue="1" operator="between">
      <formula>0.6501</formula>
      <formula>1</formula>
    </cfRule>
  </conditionalFormatting>
  <conditionalFormatting sqref="Z37">
    <cfRule type="cellIs" dxfId="194" priority="109" stopIfTrue="1" operator="between">
      <formula>0</formula>
      <formula>0.4</formula>
    </cfRule>
    <cfRule type="cellIs" dxfId="193" priority="110" stopIfTrue="1" operator="between">
      <formula>0.4001</formula>
      <formula>0.65</formula>
    </cfRule>
    <cfRule type="cellIs" dxfId="192" priority="111" stopIfTrue="1" operator="between">
      <formula>0.6501</formula>
      <formula>1</formula>
    </cfRule>
  </conditionalFormatting>
  <conditionalFormatting sqref="AD37">
    <cfRule type="cellIs" dxfId="191" priority="106" stopIfTrue="1" operator="between">
      <formula>0</formula>
      <formula>0.4</formula>
    </cfRule>
    <cfRule type="cellIs" dxfId="190" priority="107" stopIfTrue="1" operator="between">
      <formula>0.4001</formula>
      <formula>0.65</formula>
    </cfRule>
    <cfRule type="cellIs" dxfId="189" priority="108" stopIfTrue="1" operator="between">
      <formula>0.6501</formula>
      <formula>1</formula>
    </cfRule>
  </conditionalFormatting>
  <conditionalFormatting sqref="AH37">
    <cfRule type="cellIs" dxfId="188" priority="103" stopIfTrue="1" operator="between">
      <formula>0</formula>
      <formula>0.4</formula>
    </cfRule>
    <cfRule type="cellIs" dxfId="187" priority="104" stopIfTrue="1" operator="between">
      <formula>0.4001</formula>
      <formula>0.65</formula>
    </cfRule>
    <cfRule type="cellIs" dxfId="186" priority="105" stopIfTrue="1" operator="between">
      <formula>0.6501</formula>
      <formula>1</formula>
    </cfRule>
  </conditionalFormatting>
  <conditionalFormatting sqref="AL37">
    <cfRule type="cellIs" dxfId="185" priority="100" stopIfTrue="1" operator="between">
      <formula>0</formula>
      <formula>0.4</formula>
    </cfRule>
    <cfRule type="cellIs" dxfId="184" priority="101" stopIfTrue="1" operator="between">
      <formula>0.4001</formula>
      <formula>0.65</formula>
    </cfRule>
    <cfRule type="cellIs" dxfId="183" priority="102" stopIfTrue="1" operator="between">
      <formula>0.6501</formula>
      <formula>1</formula>
    </cfRule>
  </conditionalFormatting>
  <conditionalFormatting sqref="AP37">
    <cfRule type="cellIs" dxfId="182" priority="97" stopIfTrue="1" operator="between">
      <formula>0</formula>
      <formula>0.4</formula>
    </cfRule>
    <cfRule type="cellIs" dxfId="181" priority="98" stopIfTrue="1" operator="between">
      <formula>0.4001</formula>
      <formula>0.65</formula>
    </cfRule>
    <cfRule type="cellIs" dxfId="180" priority="99" stopIfTrue="1" operator="between">
      <formula>0.6501</formula>
      <formula>1</formula>
    </cfRule>
  </conditionalFormatting>
  <conditionalFormatting sqref="AT37">
    <cfRule type="cellIs" dxfId="179" priority="94" stopIfTrue="1" operator="between">
      <formula>0</formula>
      <formula>0.4</formula>
    </cfRule>
    <cfRule type="cellIs" dxfId="178" priority="95" stopIfTrue="1" operator="between">
      <formula>0.4001</formula>
      <formula>0.65</formula>
    </cfRule>
    <cfRule type="cellIs" dxfId="177" priority="96" stopIfTrue="1" operator="between">
      <formula>0.6501</formula>
      <formula>1</formula>
    </cfRule>
  </conditionalFormatting>
  <conditionalFormatting sqref="AX37">
    <cfRule type="cellIs" dxfId="176" priority="91" stopIfTrue="1" operator="between">
      <formula>0</formula>
      <formula>0.4</formula>
    </cfRule>
    <cfRule type="cellIs" dxfId="175" priority="92" stopIfTrue="1" operator="between">
      <formula>0.4001</formula>
      <formula>0.65</formula>
    </cfRule>
    <cfRule type="cellIs" dxfId="174" priority="93" stopIfTrue="1" operator="between">
      <formula>0.6501</formula>
      <formula>1</formula>
    </cfRule>
  </conditionalFormatting>
  <conditionalFormatting sqref="BB37">
    <cfRule type="cellIs" dxfId="173" priority="88" stopIfTrue="1" operator="between">
      <formula>0</formula>
      <formula>0.4</formula>
    </cfRule>
    <cfRule type="cellIs" dxfId="172" priority="89" stopIfTrue="1" operator="between">
      <formula>0.4001</formula>
      <formula>0.65</formula>
    </cfRule>
    <cfRule type="cellIs" dxfId="171" priority="90" stopIfTrue="1" operator="between">
      <formula>0.6501</formula>
      <formula>1</formula>
    </cfRule>
  </conditionalFormatting>
  <conditionalFormatting sqref="BF37">
    <cfRule type="cellIs" dxfId="170" priority="85" stopIfTrue="1" operator="between">
      <formula>0</formula>
      <formula>0.4</formula>
    </cfRule>
    <cfRule type="cellIs" dxfId="169" priority="86" stopIfTrue="1" operator="between">
      <formula>0.4001</formula>
      <formula>0.65</formula>
    </cfRule>
    <cfRule type="cellIs" dxfId="168" priority="87" stopIfTrue="1" operator="between">
      <formula>0.6501</formula>
      <formula>1</formula>
    </cfRule>
  </conditionalFormatting>
  <conditionalFormatting sqref="BJ37">
    <cfRule type="cellIs" dxfId="167" priority="82" stopIfTrue="1" operator="between">
      <formula>0</formula>
      <formula>0.4</formula>
    </cfRule>
    <cfRule type="cellIs" dxfId="166" priority="83" stopIfTrue="1" operator="between">
      <formula>0.4001</formula>
      <formula>0.65</formula>
    </cfRule>
    <cfRule type="cellIs" dxfId="165" priority="84" stopIfTrue="1" operator="between">
      <formula>0.6501</formula>
      <formula>1</formula>
    </cfRule>
  </conditionalFormatting>
  <conditionalFormatting sqref="BN37">
    <cfRule type="cellIs" dxfId="164" priority="79" stopIfTrue="1" operator="between">
      <formula>0</formula>
      <formula>0.4</formula>
    </cfRule>
    <cfRule type="cellIs" dxfId="163" priority="80" stopIfTrue="1" operator="between">
      <formula>0.4001</formula>
      <formula>0.65</formula>
    </cfRule>
    <cfRule type="cellIs" dxfId="162" priority="81" stopIfTrue="1" operator="between">
      <formula>0.6501</formula>
      <formula>1</formula>
    </cfRule>
  </conditionalFormatting>
  <conditionalFormatting sqref="N43:N45 J43:J45">
    <cfRule type="cellIs" dxfId="161" priority="76" stopIfTrue="1" operator="between">
      <formula>0</formula>
      <formula>0.4</formula>
    </cfRule>
    <cfRule type="cellIs" dxfId="160" priority="77" stopIfTrue="1" operator="between">
      <formula>0.4001</formula>
      <formula>0.65</formula>
    </cfRule>
    <cfRule type="cellIs" dxfId="159" priority="78" stopIfTrue="1" operator="between">
      <formula>0.6501</formula>
      <formula>1</formula>
    </cfRule>
  </conditionalFormatting>
  <conditionalFormatting sqref="V43:V45 R43:R45">
    <cfRule type="cellIs" dxfId="158" priority="73" stopIfTrue="1" operator="between">
      <formula>0</formula>
      <formula>0.4</formula>
    </cfRule>
    <cfRule type="cellIs" dxfId="157" priority="74" stopIfTrue="1" operator="between">
      <formula>0.4001</formula>
      <formula>0.65</formula>
    </cfRule>
    <cfRule type="cellIs" dxfId="156" priority="75" stopIfTrue="1" operator="between">
      <formula>0.6501</formula>
      <formula>1</formula>
    </cfRule>
  </conditionalFormatting>
  <conditionalFormatting sqref="Z43:Z45">
    <cfRule type="cellIs" dxfId="155" priority="70" stopIfTrue="1" operator="between">
      <formula>0</formula>
      <formula>0.4</formula>
    </cfRule>
    <cfRule type="cellIs" dxfId="154" priority="71" stopIfTrue="1" operator="between">
      <formula>0.4001</formula>
      <formula>0.65</formula>
    </cfRule>
    <cfRule type="cellIs" dxfId="153" priority="72" stopIfTrue="1" operator="between">
      <formula>0.6501</formula>
      <formula>1</formula>
    </cfRule>
  </conditionalFormatting>
  <conditionalFormatting sqref="AD43:AD45">
    <cfRule type="cellIs" dxfId="152" priority="67" stopIfTrue="1" operator="between">
      <formula>0</formula>
      <formula>0.4</formula>
    </cfRule>
    <cfRule type="cellIs" dxfId="151" priority="68" stopIfTrue="1" operator="between">
      <formula>0.4001</formula>
      <formula>0.65</formula>
    </cfRule>
    <cfRule type="cellIs" dxfId="150" priority="69" stopIfTrue="1" operator="between">
      <formula>0.6501</formula>
      <formula>1</formula>
    </cfRule>
  </conditionalFormatting>
  <conditionalFormatting sqref="AH43:AH45">
    <cfRule type="cellIs" dxfId="149" priority="64" stopIfTrue="1" operator="between">
      <formula>0</formula>
      <formula>0.4</formula>
    </cfRule>
    <cfRule type="cellIs" dxfId="148" priority="65" stopIfTrue="1" operator="between">
      <formula>0.4001</formula>
      <formula>0.65</formula>
    </cfRule>
    <cfRule type="cellIs" dxfId="147" priority="66" stopIfTrue="1" operator="between">
      <formula>0.6501</formula>
      <formula>1</formula>
    </cfRule>
  </conditionalFormatting>
  <conditionalFormatting sqref="AL43:AL45">
    <cfRule type="cellIs" dxfId="146" priority="61" stopIfTrue="1" operator="between">
      <formula>0</formula>
      <formula>0.4</formula>
    </cfRule>
    <cfRule type="cellIs" dxfId="145" priority="62" stopIfTrue="1" operator="between">
      <formula>0.4001</formula>
      <formula>0.65</formula>
    </cfRule>
    <cfRule type="cellIs" dxfId="144" priority="63" stopIfTrue="1" operator="between">
      <formula>0.6501</formula>
      <formula>1</formula>
    </cfRule>
  </conditionalFormatting>
  <conditionalFormatting sqref="AP43:AP45">
    <cfRule type="cellIs" dxfId="143" priority="58" stopIfTrue="1" operator="between">
      <formula>0</formula>
      <formula>0.4</formula>
    </cfRule>
    <cfRule type="cellIs" dxfId="142" priority="59" stopIfTrue="1" operator="between">
      <formula>0.4001</formula>
      <formula>0.65</formula>
    </cfRule>
    <cfRule type="cellIs" dxfId="141" priority="60" stopIfTrue="1" operator="between">
      <formula>0.6501</formula>
      <formula>1</formula>
    </cfRule>
  </conditionalFormatting>
  <conditionalFormatting sqref="AT43:AT45">
    <cfRule type="cellIs" dxfId="140" priority="55" stopIfTrue="1" operator="between">
      <formula>0</formula>
      <formula>0.4</formula>
    </cfRule>
    <cfRule type="cellIs" dxfId="139" priority="56" stopIfTrue="1" operator="between">
      <formula>0.4001</formula>
      <formula>0.65</formula>
    </cfRule>
    <cfRule type="cellIs" dxfId="138" priority="57" stopIfTrue="1" operator="between">
      <formula>0.6501</formula>
      <formula>1</formula>
    </cfRule>
  </conditionalFormatting>
  <conditionalFormatting sqref="AX43:AX45">
    <cfRule type="cellIs" dxfId="137" priority="52" stopIfTrue="1" operator="between">
      <formula>0</formula>
      <formula>0.4</formula>
    </cfRule>
    <cfRule type="cellIs" dxfId="136" priority="53" stopIfTrue="1" operator="between">
      <formula>0.4001</formula>
      <formula>0.65</formula>
    </cfRule>
    <cfRule type="cellIs" dxfId="135" priority="54" stopIfTrue="1" operator="between">
      <formula>0.6501</formula>
      <formula>1</formula>
    </cfRule>
  </conditionalFormatting>
  <conditionalFormatting sqref="BB43:BB45">
    <cfRule type="cellIs" dxfId="134" priority="49" stopIfTrue="1" operator="between">
      <formula>0</formula>
      <formula>0.4</formula>
    </cfRule>
    <cfRule type="cellIs" dxfId="133" priority="50" stopIfTrue="1" operator="between">
      <formula>0.4001</formula>
      <formula>0.65</formula>
    </cfRule>
    <cfRule type="cellIs" dxfId="132" priority="51" stopIfTrue="1" operator="between">
      <formula>0.6501</formula>
      <formula>1</formula>
    </cfRule>
  </conditionalFormatting>
  <conditionalFormatting sqref="BF43:BF45">
    <cfRule type="cellIs" dxfId="131" priority="46" stopIfTrue="1" operator="between">
      <formula>0</formula>
      <formula>0.4</formula>
    </cfRule>
    <cfRule type="cellIs" dxfId="130" priority="47" stopIfTrue="1" operator="between">
      <formula>0.4001</formula>
      <formula>0.65</formula>
    </cfRule>
    <cfRule type="cellIs" dxfId="129" priority="48" stopIfTrue="1" operator="between">
      <formula>0.6501</formula>
      <formula>1</formula>
    </cfRule>
  </conditionalFormatting>
  <conditionalFormatting sqref="BJ43:BJ45">
    <cfRule type="cellIs" dxfId="128" priority="43" stopIfTrue="1" operator="between">
      <formula>0</formula>
      <formula>0.4</formula>
    </cfRule>
    <cfRule type="cellIs" dxfId="127" priority="44" stopIfTrue="1" operator="between">
      <formula>0.4001</formula>
      <formula>0.65</formula>
    </cfRule>
    <cfRule type="cellIs" dxfId="126" priority="45" stopIfTrue="1" operator="between">
      <formula>0.6501</formula>
      <formula>1</formula>
    </cfRule>
  </conditionalFormatting>
  <conditionalFormatting sqref="BN43">
    <cfRule type="cellIs" dxfId="125" priority="40" stopIfTrue="1" operator="between">
      <formula>0</formula>
      <formula>0.4</formula>
    </cfRule>
    <cfRule type="cellIs" dxfId="124" priority="41" stopIfTrue="1" operator="between">
      <formula>0.4001</formula>
      <formula>0.65</formula>
    </cfRule>
    <cfRule type="cellIs" dxfId="123" priority="42" stopIfTrue="1" operator="between">
      <formula>0.6501</formula>
      <formula>1</formula>
    </cfRule>
  </conditionalFormatting>
  <conditionalFormatting sqref="BN44">
    <cfRule type="cellIs" dxfId="122" priority="1" stopIfTrue="1" operator="between">
      <formula>0</formula>
      <formula>0.4</formula>
    </cfRule>
    <cfRule type="cellIs" dxfId="121" priority="2" stopIfTrue="1" operator="between">
      <formula>0.4001</formula>
      <formula>0.65</formula>
    </cfRule>
    <cfRule type="cellIs" dxfId="120" priority="3" stopIfTrue="1" operator="between">
      <formula>0.6501</formula>
      <formula>1</formula>
    </cfRule>
  </conditionalFormatting>
  <pageMargins left="0" right="0" top="0" bottom="0" header="0.39370078740157483" footer="0.39370078740157483"/>
  <pageSetup scale="55" orientation="landscape" horizontalDpi="4294967295" verticalDpi="4294967295" r:id="rId1"/>
  <headerFooter alignWithMargins="0"/>
  <colBreaks count="2" manualBreakCount="2">
    <brk id="15" min="1" max="116" man="1"/>
    <brk id="63" min="1" max="116"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B7BC-6DFC-4B66-A84A-8BF717FAF572}">
  <dimension ref="A1:P36"/>
  <sheetViews>
    <sheetView workbookViewId="0">
      <selection activeCell="P13" sqref="P13"/>
    </sheetView>
  </sheetViews>
  <sheetFormatPr baseColWidth="10" defaultColWidth="11.42578125" defaultRowHeight="15" x14ac:dyDescent="0.25"/>
  <cols>
    <col min="1" max="1" width="5.28515625" style="410" customWidth="1"/>
    <col min="2" max="2" width="12.7109375" style="410" customWidth="1"/>
    <col min="3" max="3" width="44" style="410" customWidth="1"/>
    <col min="4" max="4" width="10.28515625" style="410" bestFit="1" customWidth="1"/>
    <col min="5" max="5" width="14.42578125" style="410" customWidth="1"/>
    <col min="6" max="6" width="11.28515625" style="410" customWidth="1"/>
    <col min="7" max="7" width="18" style="410" customWidth="1"/>
    <col min="8" max="8" width="13" style="410" bestFit="1" customWidth="1"/>
    <col min="9" max="9" width="18.140625" style="410" customWidth="1"/>
    <col min="10" max="10" width="13.140625" style="410" bestFit="1" customWidth="1"/>
    <col min="11" max="11" width="13" style="410" bestFit="1" customWidth="1"/>
    <col min="12" max="12" width="14.140625" style="410" customWidth="1"/>
    <col min="13" max="13" width="14.28515625" style="410" customWidth="1"/>
    <col min="14" max="14" width="16" style="410" customWidth="1"/>
    <col min="15" max="15" width="15.85546875" style="410" customWidth="1"/>
    <col min="16" max="16" width="13.28515625" style="410" customWidth="1"/>
    <col min="17" max="16384" width="11.42578125" style="410"/>
  </cols>
  <sheetData>
    <row r="1" spans="1:16" x14ac:dyDescent="0.25">
      <c r="A1" s="631" t="s">
        <v>10</v>
      </c>
      <c r="B1" s="632"/>
      <c r="C1" s="633"/>
      <c r="D1" s="637" t="s">
        <v>54</v>
      </c>
      <c r="E1" s="637" t="s">
        <v>98</v>
      </c>
      <c r="F1" s="637" t="s">
        <v>11</v>
      </c>
      <c r="G1" s="421" t="s">
        <v>457</v>
      </c>
    </row>
    <row r="2" spans="1:16" x14ac:dyDescent="0.25">
      <c r="A2" s="634"/>
      <c r="B2" s="635"/>
      <c r="C2" s="636"/>
      <c r="D2" s="638"/>
      <c r="E2" s="638"/>
      <c r="F2" s="638"/>
      <c r="L2" s="427"/>
      <c r="M2" s="427"/>
    </row>
    <row r="3" spans="1:16" x14ac:dyDescent="0.25">
      <c r="A3" s="418">
        <v>1</v>
      </c>
      <c r="B3" s="420" t="s">
        <v>30</v>
      </c>
      <c r="C3" s="419" t="s">
        <v>111</v>
      </c>
      <c r="D3" s="418"/>
      <c r="E3" s="417"/>
      <c r="F3" s="416">
        <v>0.1</v>
      </c>
      <c r="G3" s="425" t="s">
        <v>456</v>
      </c>
      <c r="H3" s="426" t="s">
        <v>323</v>
      </c>
      <c r="I3" s="426" t="s">
        <v>461</v>
      </c>
      <c r="J3" s="426" t="s">
        <v>462</v>
      </c>
      <c r="K3" s="426" t="s">
        <v>463</v>
      </c>
      <c r="L3" s="426" t="s">
        <v>469</v>
      </c>
      <c r="M3" s="426" t="s">
        <v>459</v>
      </c>
      <c r="N3" s="433" t="s">
        <v>460</v>
      </c>
    </row>
    <row r="4" spans="1:16" ht="33.75" x14ac:dyDescent="0.25">
      <c r="A4" s="154" t="s">
        <v>22</v>
      </c>
      <c r="B4" s="414" t="s">
        <v>41</v>
      </c>
      <c r="C4" s="415" t="s">
        <v>112</v>
      </c>
      <c r="D4" s="412">
        <v>5</v>
      </c>
      <c r="E4" s="412" t="s">
        <v>143</v>
      </c>
      <c r="F4" s="411">
        <v>0.3</v>
      </c>
      <c r="G4" s="428">
        <f>('C. B - Alcance 1 Declaratoria'!$H$29/3)</f>
        <v>25577732.951066669</v>
      </c>
      <c r="H4" s="428"/>
      <c r="I4" s="428"/>
      <c r="J4" s="428"/>
      <c r="K4" s="429">
        <f>SUM(G4:J4)</f>
        <v>25577732.951066669</v>
      </c>
      <c r="L4" s="429">
        <f>K4*0.15</f>
        <v>3836659.9426600002</v>
      </c>
      <c r="M4" s="429">
        <f>(K4+L4)*0.19</f>
        <v>5588734.6498080669</v>
      </c>
      <c r="N4" s="430">
        <f>SUM(K4:M4)</f>
        <v>35003127.543534733</v>
      </c>
      <c r="O4" s="422"/>
    </row>
    <row r="5" spans="1:16" ht="33.75" x14ac:dyDescent="0.25">
      <c r="A5" s="154" t="s">
        <v>23</v>
      </c>
      <c r="B5" s="414" t="s">
        <v>42</v>
      </c>
      <c r="C5" s="415" t="s">
        <v>162</v>
      </c>
      <c r="D5" s="412">
        <v>7</v>
      </c>
      <c r="E5" s="412" t="s">
        <v>144</v>
      </c>
      <c r="F5" s="411">
        <v>0.1</v>
      </c>
      <c r="G5" s="428">
        <f>'C. B - Alcance 1 Declaratoria'!H28-'Calculo de valores unitarios'!G4-'Calculo de valores unitarios'!G6</f>
        <v>12788866.475533329</v>
      </c>
      <c r="H5" s="428">
        <f>'C. B - Alcance 1 Declaratoria'!G36</f>
        <v>1000000</v>
      </c>
      <c r="I5" s="428">
        <f>SUM('C. B - Alcance 1 Declaratoria'!G37:G43)</f>
        <v>1890000</v>
      </c>
      <c r="J5" s="428">
        <f>SUM('C. B - Alcance 1 Declaratoria'!G52:G58)</f>
        <v>1470000</v>
      </c>
      <c r="K5" s="429">
        <f>SUM(G5:J5)</f>
        <v>17148866.475533329</v>
      </c>
      <c r="L5" s="429">
        <f>K5*0.15</f>
        <v>2572329.9713299992</v>
      </c>
      <c r="M5" s="429">
        <f>(K5+L5)*0.19</f>
        <v>3747027.3249040321</v>
      </c>
      <c r="N5" s="430">
        <f>SUM(K5:M5)</f>
        <v>23468223.771767359</v>
      </c>
      <c r="O5" s="422"/>
    </row>
    <row r="6" spans="1:16" ht="33.75" x14ac:dyDescent="0.25">
      <c r="A6" s="154" t="s">
        <v>25</v>
      </c>
      <c r="B6" s="414" t="s">
        <v>43</v>
      </c>
      <c r="C6" s="413" t="s">
        <v>163</v>
      </c>
      <c r="D6" s="412">
        <v>100</v>
      </c>
      <c r="E6" s="412" t="s">
        <v>129</v>
      </c>
      <c r="F6" s="411">
        <v>0.5</v>
      </c>
      <c r="G6" s="428">
        <f>F6*'C. B - Alcance 1 Declaratoria'!H29</f>
        <v>38366599.426600002</v>
      </c>
      <c r="H6" s="427"/>
      <c r="I6" s="428">
        <f>SUM('C. B - Alcance 1 Declaratoria'!G44:G48)</f>
        <v>9000000</v>
      </c>
      <c r="J6" s="428">
        <f>SUM('C. B - Alcance 1 Declaratoria'!G59:G70)</f>
        <v>8960000</v>
      </c>
      <c r="K6" s="429">
        <f>SUM(G6:J6)</f>
        <v>56326599.426600002</v>
      </c>
      <c r="L6" s="429">
        <f>K6*0.15</f>
        <v>8448989.9139900003</v>
      </c>
      <c r="M6" s="429">
        <f>(K6+L6)*0.19</f>
        <v>12307361.9747121</v>
      </c>
      <c r="N6" s="430">
        <f>SUM(K6:M6)</f>
        <v>77082951.315302104</v>
      </c>
      <c r="O6" s="422"/>
    </row>
    <row r="7" spans="1:16" x14ac:dyDescent="0.25">
      <c r="N7" s="423">
        <f>SUM(N4:N6)</f>
        <v>135554302.63060421</v>
      </c>
      <c r="O7" s="422">
        <f>'Cuadro C'!G10</f>
        <v>135554303</v>
      </c>
      <c r="P7" s="423">
        <f>N7-O7</f>
        <v>-0.36939579248428345</v>
      </c>
    </row>
    <row r="8" spans="1:16" x14ac:dyDescent="0.25">
      <c r="A8" s="17">
        <v>2</v>
      </c>
      <c r="B8" s="18" t="s">
        <v>32</v>
      </c>
      <c r="C8" s="37" t="s">
        <v>128</v>
      </c>
      <c r="D8" s="17"/>
      <c r="E8" s="92"/>
      <c r="F8" s="19">
        <v>0.25</v>
      </c>
      <c r="G8" s="425" t="s">
        <v>456</v>
      </c>
      <c r="H8" s="426" t="s">
        <v>323</v>
      </c>
      <c r="I8" s="426" t="s">
        <v>461</v>
      </c>
      <c r="J8" s="426" t="s">
        <v>462</v>
      </c>
      <c r="K8" s="426" t="s">
        <v>463</v>
      </c>
      <c r="L8" s="426" t="s">
        <v>458</v>
      </c>
      <c r="M8" s="426" t="s">
        <v>459</v>
      </c>
      <c r="N8" s="433" t="s">
        <v>460</v>
      </c>
    </row>
    <row r="9" spans="1:16" x14ac:dyDescent="0.25">
      <c r="A9" s="493" t="s">
        <v>26</v>
      </c>
      <c r="B9" s="492" t="s">
        <v>44</v>
      </c>
      <c r="C9" s="51" t="s">
        <v>153</v>
      </c>
      <c r="D9" s="40">
        <v>5</v>
      </c>
      <c r="E9" s="40" t="s">
        <v>146</v>
      </c>
      <c r="F9" s="89">
        <v>0.22</v>
      </c>
      <c r="G9" s="428">
        <f>'Cuadro C'!C11*F9</f>
        <v>51476809.494000003</v>
      </c>
      <c r="H9" s="428"/>
      <c r="I9" s="428"/>
      <c r="J9" s="428"/>
      <c r="K9" s="429">
        <f>SUM(G9:J9)</f>
        <v>51476809.494000003</v>
      </c>
      <c r="L9" s="429">
        <f>K9*0.15</f>
        <v>7721521.4241000004</v>
      </c>
      <c r="M9" s="429">
        <f>(K9+L9)*0.19</f>
        <v>11247682.874438999</v>
      </c>
      <c r="N9" s="430">
        <f>SUM(K9:M9)</f>
        <v>70446013.792539001</v>
      </c>
    </row>
    <row r="10" spans="1:16" ht="22.5" x14ac:dyDescent="0.25">
      <c r="A10" s="493"/>
      <c r="B10" s="492"/>
      <c r="C10" s="51" t="s">
        <v>164</v>
      </c>
      <c r="D10" s="40">
        <v>15</v>
      </c>
      <c r="E10" s="40" t="s">
        <v>159</v>
      </c>
      <c r="F10" s="89">
        <v>0.3</v>
      </c>
      <c r="G10" s="428">
        <f>('C. B - Alcance 2 Diagnostico'!$H$29-$G$9)/3</f>
        <v>50092896.068666674</v>
      </c>
      <c r="H10" s="428">
        <f>'C. B - Alcance 2 Diagnostico'!G36</f>
        <v>1000000</v>
      </c>
      <c r="I10" s="428">
        <f>SUM('C. B - Alcance 2 Diagnostico'!G37:G41)</f>
        <v>1350000</v>
      </c>
      <c r="J10" s="428">
        <f>SUM('C. B - Alcance 2 Diagnostico'!G50:G56)</f>
        <v>1470000</v>
      </c>
      <c r="K10" s="429">
        <f t="shared" ref="K10:K12" si="0">SUM(G10:J10)</f>
        <v>53912896.068666674</v>
      </c>
      <c r="L10" s="429">
        <f t="shared" ref="L10:L12" si="1">K10*0.15</f>
        <v>8086934.4103000006</v>
      </c>
      <c r="M10" s="429">
        <f t="shared" ref="M10:M12" si="2">(K10+L10)*0.19</f>
        <v>11779967.791003669</v>
      </c>
      <c r="N10" s="430">
        <f>SUM(K10:M10)</f>
        <v>73779798.269970343</v>
      </c>
    </row>
    <row r="11" spans="1:16" ht="45" x14ac:dyDescent="0.25">
      <c r="A11" s="493" t="s">
        <v>27</v>
      </c>
      <c r="B11" s="492" t="s">
        <v>45</v>
      </c>
      <c r="C11" s="38" t="s">
        <v>160</v>
      </c>
      <c r="D11" s="40">
        <v>150</v>
      </c>
      <c r="E11" s="40" t="s">
        <v>129</v>
      </c>
      <c r="F11" s="89">
        <v>0.4</v>
      </c>
      <c r="G11" s="428">
        <f>('C. B - Alcance 2 Diagnostico'!$H$29-$G$9)/3</f>
        <v>50092896.068666674</v>
      </c>
      <c r="H11" s="428"/>
      <c r="I11" s="428">
        <f>SUM('C. B - Alcance 2 Diagnostico'!G42:G46)</f>
        <v>13500000</v>
      </c>
      <c r="J11" s="428">
        <f>SUM('C. B - Alcance 2 Diagnostico'!G57:G68)</f>
        <v>14910000</v>
      </c>
      <c r="K11" s="429">
        <f t="shared" si="0"/>
        <v>78502896.068666667</v>
      </c>
      <c r="L11" s="429">
        <f t="shared" si="1"/>
        <v>11775434.4103</v>
      </c>
      <c r="M11" s="429">
        <f t="shared" si="2"/>
        <v>17152882.791003667</v>
      </c>
      <c r="N11" s="430">
        <f>SUM(K11:M11)</f>
        <v>107431213.26997033</v>
      </c>
    </row>
    <row r="12" spans="1:16" x14ac:dyDescent="0.25">
      <c r="A12" s="493"/>
      <c r="B12" s="492"/>
      <c r="C12" s="38" t="s">
        <v>161</v>
      </c>
      <c r="D12" s="40">
        <v>5</v>
      </c>
      <c r="E12" s="40" t="s">
        <v>146</v>
      </c>
      <c r="F12" s="89">
        <v>0.1</v>
      </c>
      <c r="G12" s="428">
        <f>('C. B - Alcance 2 Diagnostico'!$H$29-$G$9)/3</f>
        <v>50092896.068666674</v>
      </c>
      <c r="H12" s="428"/>
      <c r="I12" s="428"/>
      <c r="J12" s="428"/>
      <c r="K12" s="429">
        <f t="shared" si="0"/>
        <v>50092896.068666674</v>
      </c>
      <c r="L12" s="429">
        <f t="shared" si="1"/>
        <v>7513934.4103000006</v>
      </c>
      <c r="M12" s="429">
        <f t="shared" si="2"/>
        <v>10945297.791003669</v>
      </c>
      <c r="N12" s="430">
        <f>SUM(K12:M12)</f>
        <v>68552128.269970343</v>
      </c>
    </row>
    <row r="13" spans="1:16" x14ac:dyDescent="0.25">
      <c r="N13" s="423">
        <f>SUM(N9:N12)</f>
        <v>320209153.60245001</v>
      </c>
      <c r="O13" s="422">
        <f>'Cuadro C'!G11</f>
        <v>320209154</v>
      </c>
      <c r="P13" s="423">
        <f>N13-O13</f>
        <v>-0.39754998683929443</v>
      </c>
    </row>
    <row r="14" spans="1:16" ht="22.5" customHeight="1" x14ac:dyDescent="0.25">
      <c r="A14" s="17">
        <v>3</v>
      </c>
      <c r="B14" s="18" t="s">
        <v>34</v>
      </c>
      <c r="C14" s="37" t="s">
        <v>130</v>
      </c>
      <c r="D14" s="17"/>
      <c r="E14" s="92" t="s">
        <v>145</v>
      </c>
      <c r="F14" s="19">
        <v>0.25</v>
      </c>
      <c r="G14" s="425" t="s">
        <v>456</v>
      </c>
      <c r="H14" s="426" t="s">
        <v>323</v>
      </c>
      <c r="I14" s="426" t="s">
        <v>461</v>
      </c>
      <c r="J14" s="426" t="s">
        <v>462</v>
      </c>
      <c r="K14" s="426" t="s">
        <v>463</v>
      </c>
      <c r="L14" s="426" t="s">
        <v>458</v>
      </c>
      <c r="M14" s="426" t="s">
        <v>459</v>
      </c>
      <c r="N14" s="433" t="s">
        <v>460</v>
      </c>
    </row>
    <row r="15" spans="1:16" ht="25.5" customHeight="1" x14ac:dyDescent="0.25">
      <c r="A15" s="488" t="s">
        <v>28</v>
      </c>
      <c r="B15" s="494" t="s">
        <v>46</v>
      </c>
      <c r="C15" s="51" t="s">
        <v>154</v>
      </c>
      <c r="D15" s="40">
        <v>5</v>
      </c>
      <c r="E15" s="40" t="s">
        <v>146</v>
      </c>
      <c r="F15" s="89">
        <v>0.22</v>
      </c>
      <c r="G15" s="428">
        <f>'Cuadro C'!C12*F15</f>
        <v>49725609.494000003</v>
      </c>
      <c r="H15" s="428"/>
      <c r="I15" s="428"/>
      <c r="J15" s="428"/>
      <c r="K15" s="429">
        <f>SUM(G15:J15)</f>
        <v>49725609.494000003</v>
      </c>
      <c r="L15" s="429">
        <f>K15*0.15</f>
        <v>7458841.4241000004</v>
      </c>
      <c r="M15" s="429">
        <f>(K15+L15)*0.19</f>
        <v>10865045.674439</v>
      </c>
      <c r="N15" s="430">
        <f>SUM(K15:M15)</f>
        <v>68049496.592538998</v>
      </c>
    </row>
    <row r="16" spans="1:16" ht="72.75" customHeight="1" x14ac:dyDescent="0.25">
      <c r="A16" s="497"/>
      <c r="B16" s="496"/>
      <c r="C16" s="38" t="s">
        <v>466</v>
      </c>
      <c r="D16" s="40">
        <v>10</v>
      </c>
      <c r="E16" s="25" t="s">
        <v>144</v>
      </c>
      <c r="F16" s="89">
        <v>0.1</v>
      </c>
      <c r="G16" s="428">
        <f>('C. B - Alcance 3 Usos'!$H$29-$G$15)/4</f>
        <v>38007472.051500008</v>
      </c>
      <c r="H16" s="428">
        <f>'C. B - Alcance 3 Usos'!G40</f>
        <v>5730000</v>
      </c>
      <c r="I16" s="427"/>
      <c r="J16" s="428">
        <f>'C. B - Alcance 3 Usos'!G55</f>
        <v>900000</v>
      </c>
      <c r="K16" s="429">
        <f>SUM(G16:J16)</f>
        <v>44637472.051500008</v>
      </c>
      <c r="L16" s="429">
        <f t="shared" ref="L16:L19" si="3">K16*0.15</f>
        <v>6695620.8077250011</v>
      </c>
      <c r="M16" s="429">
        <f t="shared" ref="M16:M18" si="4">(K16+L16)*0.19</f>
        <v>9753287.6432527509</v>
      </c>
      <c r="N16" s="430">
        <f t="shared" ref="N16:N19" si="5">SUM(K16:M16)</f>
        <v>61086380.502477758</v>
      </c>
    </row>
    <row r="17" spans="1:16" ht="51" customHeight="1" x14ac:dyDescent="0.25">
      <c r="A17" s="99" t="s">
        <v>39</v>
      </c>
      <c r="B17" s="97" t="s">
        <v>108</v>
      </c>
      <c r="C17" s="51" t="s">
        <v>464</v>
      </c>
      <c r="D17" s="40">
        <v>15</v>
      </c>
      <c r="E17" s="25" t="s">
        <v>144</v>
      </c>
      <c r="F17" s="89">
        <v>0.2</v>
      </c>
      <c r="G17" s="428">
        <f>('C. B - Alcance 3 Usos'!$H$29-$G$15)/4</f>
        <v>38007472.051500008</v>
      </c>
      <c r="H17" s="428">
        <f>'C. B - Alcance 3 Usos'!G49</f>
        <v>1000000</v>
      </c>
      <c r="I17" s="428">
        <f>SUM('C. B - Alcance 3 Usos'!G50:G54)</f>
        <v>1350000</v>
      </c>
      <c r="J17" s="428">
        <f>SUM('C. B - Alcance 3 Usos'!G64:G70)</f>
        <v>1470000</v>
      </c>
      <c r="K17" s="429">
        <f t="shared" ref="K17:K19" si="6">SUM(G17:J17)</f>
        <v>41827472.051500008</v>
      </c>
      <c r="L17" s="429">
        <f t="shared" si="3"/>
        <v>6274120.8077250011</v>
      </c>
      <c r="M17" s="429">
        <f t="shared" si="4"/>
        <v>9139302.6432527509</v>
      </c>
      <c r="N17" s="430">
        <f t="shared" si="5"/>
        <v>57240895.502477758</v>
      </c>
    </row>
    <row r="18" spans="1:16" ht="33.75" x14ac:dyDescent="0.25">
      <c r="A18" s="99" t="s">
        <v>131</v>
      </c>
      <c r="B18" s="98" t="s">
        <v>132</v>
      </c>
      <c r="C18" s="86" t="s">
        <v>165</v>
      </c>
      <c r="D18" s="40">
        <v>75</v>
      </c>
      <c r="E18" s="25" t="s">
        <v>129</v>
      </c>
      <c r="F18" s="89">
        <v>0.4</v>
      </c>
      <c r="G18" s="428">
        <f>('C. B - Alcance 3 Usos'!$H$29-$G$15)/4</f>
        <v>38007472.051500008</v>
      </c>
      <c r="H18" s="428"/>
      <c r="I18" s="428">
        <f>SUM('C. B - Alcance 3 Usos'!G56:G60)</f>
        <v>6750000</v>
      </c>
      <c r="J18" s="428">
        <f>SUM('C. B - Alcance 3 Usos'!G71:G87)</f>
        <v>7070000</v>
      </c>
      <c r="K18" s="429">
        <f t="shared" si="6"/>
        <v>51827472.051500008</v>
      </c>
      <c r="L18" s="429">
        <f t="shared" si="3"/>
        <v>7774120.8077250011</v>
      </c>
      <c r="M18" s="429">
        <f t="shared" si="4"/>
        <v>11324302.643252751</v>
      </c>
      <c r="N18" s="430">
        <f t="shared" si="5"/>
        <v>70925895.50247775</v>
      </c>
    </row>
    <row r="19" spans="1:16" x14ac:dyDescent="0.25">
      <c r="A19" s="99" t="s">
        <v>166</v>
      </c>
      <c r="B19" s="98" t="s">
        <v>465</v>
      </c>
      <c r="C19" s="100" t="s">
        <v>167</v>
      </c>
      <c r="D19" s="40">
        <v>5</v>
      </c>
      <c r="E19" s="40" t="s">
        <v>146</v>
      </c>
      <c r="F19" s="89">
        <v>0.1</v>
      </c>
      <c r="G19" s="428">
        <f>('C. B - Alcance 3 Usos'!$H$29-$G$15)/4</f>
        <v>38007472.051500008</v>
      </c>
      <c r="H19" s="427"/>
      <c r="I19" s="427"/>
      <c r="J19" s="427"/>
      <c r="K19" s="429">
        <f t="shared" si="6"/>
        <v>38007472.051500008</v>
      </c>
      <c r="L19" s="429">
        <f t="shared" si="3"/>
        <v>5701120.8077250011</v>
      </c>
      <c r="M19" s="429">
        <f t="shared" ref="M19" si="7">(K19+L19)*0.19</f>
        <v>8304632.6432527509</v>
      </c>
      <c r="N19" s="430">
        <f t="shared" si="5"/>
        <v>52013225.502477758</v>
      </c>
    </row>
    <row r="20" spans="1:16" x14ac:dyDescent="0.25">
      <c r="N20" s="423">
        <f>SUM(N15:N19)</f>
        <v>309315893.60245001</v>
      </c>
      <c r="O20" s="422">
        <f>'Cuadro C'!G12</f>
        <v>309315894</v>
      </c>
      <c r="P20" s="423">
        <f>N20-O20</f>
        <v>-0.39754998683929443</v>
      </c>
    </row>
    <row r="21" spans="1:16" x14ac:dyDescent="0.25">
      <c r="A21" s="17">
        <v>4</v>
      </c>
      <c r="B21" s="18" t="s">
        <v>40</v>
      </c>
      <c r="C21" s="37" t="s">
        <v>133</v>
      </c>
      <c r="D21" s="17">
        <v>5</v>
      </c>
      <c r="E21" s="92"/>
      <c r="F21" s="19">
        <v>0.22</v>
      </c>
      <c r="G21" s="425" t="s">
        <v>456</v>
      </c>
      <c r="H21" s="426" t="s">
        <v>323</v>
      </c>
      <c r="I21" s="426" t="s">
        <v>461</v>
      </c>
      <c r="J21" s="426" t="s">
        <v>462</v>
      </c>
      <c r="K21" s="426" t="s">
        <v>463</v>
      </c>
      <c r="L21" s="426" t="s">
        <v>458</v>
      </c>
      <c r="M21" s="426" t="s">
        <v>459</v>
      </c>
      <c r="N21" s="433" t="s">
        <v>460</v>
      </c>
    </row>
    <row r="22" spans="1:16" ht="22.5" x14ac:dyDescent="0.25">
      <c r="A22" s="493" t="s">
        <v>60</v>
      </c>
      <c r="B22" s="492" t="s">
        <v>47</v>
      </c>
      <c r="C22" s="51" t="s">
        <v>155</v>
      </c>
      <c r="D22" s="40">
        <v>5</v>
      </c>
      <c r="E22" s="40" t="s">
        <v>146</v>
      </c>
      <c r="F22" s="89">
        <v>0.22</v>
      </c>
      <c r="G22" s="428">
        <f>'Cuadro C'!C13*F22</f>
        <v>48190009.494000003</v>
      </c>
      <c r="H22" s="428"/>
      <c r="I22" s="428"/>
      <c r="J22" s="428"/>
      <c r="K22" s="429">
        <f>SUM(G22:J22)</f>
        <v>48190009.494000003</v>
      </c>
      <c r="L22" s="429">
        <f>K22*0.15</f>
        <v>7228501.4241000004</v>
      </c>
      <c r="M22" s="429">
        <f>(K22+L22)*0.19</f>
        <v>10529517.074439</v>
      </c>
      <c r="N22" s="430">
        <f>SUM(K22:M22)</f>
        <v>65948027.992539003</v>
      </c>
    </row>
    <row r="23" spans="1:16" ht="33.75" x14ac:dyDescent="0.25">
      <c r="A23" s="493"/>
      <c r="B23" s="492"/>
      <c r="C23" s="51" t="s">
        <v>168</v>
      </c>
      <c r="D23" s="40">
        <v>5</v>
      </c>
      <c r="E23" s="40" t="s">
        <v>144</v>
      </c>
      <c r="F23" s="89">
        <v>0.1</v>
      </c>
      <c r="G23" s="428">
        <f>('C. B - Alcance 4 Elaboración'!$H$29-'Calculo de valores unitarios'!$G$22)/3</f>
        <v>51188496.068666674</v>
      </c>
      <c r="H23" s="428">
        <f>'C. B - Alcance 4 Elaboración'!G36</f>
        <v>1000000</v>
      </c>
      <c r="I23" s="428">
        <f>SUM('C. B - Alcance 4 Elaboración'!G37:G41)</f>
        <v>1350000</v>
      </c>
      <c r="J23" s="428">
        <f>SUM('C. B - Alcance 4 Elaboración'!G50:G56)</f>
        <v>1470000</v>
      </c>
      <c r="K23" s="429">
        <f>SUM(G23:J23)</f>
        <v>55008496.068666674</v>
      </c>
      <c r="L23" s="429">
        <f t="shared" ref="L23:L25" si="8">K23*0.15</f>
        <v>8251274.4103000006</v>
      </c>
      <c r="M23" s="429">
        <f t="shared" ref="M23:M25" si="9">(K23+L23)*0.19</f>
        <v>12019356.391003668</v>
      </c>
      <c r="N23" s="430">
        <f t="shared" ref="N23:N25" si="10">SUM(K23:M23)</f>
        <v>75279126.869970351</v>
      </c>
    </row>
    <row r="24" spans="1:16" ht="22.5" x14ac:dyDescent="0.25">
      <c r="A24" s="80" t="s">
        <v>61</v>
      </c>
      <c r="B24" s="95" t="s">
        <v>134</v>
      </c>
      <c r="C24" s="51" t="s">
        <v>172</v>
      </c>
      <c r="D24" s="40">
        <v>75</v>
      </c>
      <c r="E24" s="40" t="s">
        <v>129</v>
      </c>
      <c r="F24" s="89">
        <v>0.5</v>
      </c>
      <c r="G24" s="428">
        <f>('C. B - Alcance 4 Elaboración'!$H$29-'Calculo de valores unitarios'!$G$22)/3</f>
        <v>51188496.068666674</v>
      </c>
      <c r="H24" s="428"/>
      <c r="I24" s="428">
        <f>SUM('C. B - Alcance 4 Elaboración'!G42:G46)</f>
        <v>6750000</v>
      </c>
      <c r="J24" s="428">
        <f>SUM('C. B - Alcance 4 Elaboración'!G57:G68)</f>
        <v>6720000</v>
      </c>
      <c r="K24" s="429">
        <f t="shared" ref="K24:K25" si="11">SUM(G24:J24)</f>
        <v>64658496.068666674</v>
      </c>
      <c r="L24" s="429">
        <f t="shared" si="8"/>
        <v>9698774.4103000015</v>
      </c>
      <c r="M24" s="429">
        <f t="shared" si="9"/>
        <v>14127881.39100367</v>
      </c>
      <c r="N24" s="430">
        <f t="shared" si="10"/>
        <v>88485151.869970351</v>
      </c>
    </row>
    <row r="25" spans="1:16" ht="25.5" customHeight="1" x14ac:dyDescent="0.25">
      <c r="A25" s="93" t="s">
        <v>170</v>
      </c>
      <c r="B25" s="94" t="s">
        <v>169</v>
      </c>
      <c r="C25" s="85" t="s">
        <v>171</v>
      </c>
      <c r="D25" s="40">
        <v>5</v>
      </c>
      <c r="E25" s="40" t="s">
        <v>146</v>
      </c>
      <c r="F25" s="89">
        <v>0.2</v>
      </c>
      <c r="G25" s="428">
        <f>('C. B - Alcance 4 Elaboración'!$H$29-'Calculo de valores unitarios'!$G$22)/3</f>
        <v>51188496.068666674</v>
      </c>
      <c r="H25" s="428"/>
      <c r="I25" s="428"/>
      <c r="J25" s="428"/>
      <c r="K25" s="429">
        <f t="shared" si="11"/>
        <v>51188496.068666674</v>
      </c>
      <c r="L25" s="429">
        <f t="shared" si="8"/>
        <v>7678274.4103000006</v>
      </c>
      <c r="M25" s="429">
        <f t="shared" si="9"/>
        <v>11184686.391003668</v>
      </c>
      <c r="N25" s="430">
        <f t="shared" si="10"/>
        <v>70051456.869970351</v>
      </c>
    </row>
    <row r="26" spans="1:16" x14ac:dyDescent="0.25">
      <c r="N26" s="423">
        <f>SUM(N22:N25)</f>
        <v>299763763.60245007</v>
      </c>
      <c r="O26" s="422">
        <f>'Cuadro C'!G13</f>
        <v>299763764</v>
      </c>
      <c r="P26" s="423">
        <f>N26-O26</f>
        <v>-0.39754992723464966</v>
      </c>
    </row>
    <row r="27" spans="1:16" x14ac:dyDescent="0.25">
      <c r="A27" s="17">
        <v>5</v>
      </c>
      <c r="B27" s="18" t="s">
        <v>74</v>
      </c>
      <c r="C27" s="37" t="s">
        <v>136</v>
      </c>
      <c r="D27" s="17"/>
      <c r="E27" s="92"/>
      <c r="F27" s="19">
        <v>0.15</v>
      </c>
      <c r="G27" s="425" t="s">
        <v>456</v>
      </c>
      <c r="H27" s="426" t="s">
        <v>323</v>
      </c>
      <c r="I27" s="426" t="s">
        <v>461</v>
      </c>
      <c r="J27" s="426" t="s">
        <v>462</v>
      </c>
      <c r="K27" s="426" t="s">
        <v>463</v>
      </c>
      <c r="L27" s="426" t="s">
        <v>458</v>
      </c>
      <c r="M27" s="426" t="s">
        <v>459</v>
      </c>
      <c r="N27" s="433" t="s">
        <v>460</v>
      </c>
    </row>
    <row r="28" spans="1:16" ht="22.5" x14ac:dyDescent="0.25">
      <c r="A28" s="99" t="s">
        <v>62</v>
      </c>
      <c r="B28" s="97" t="s">
        <v>77</v>
      </c>
      <c r="C28" s="51" t="s">
        <v>173</v>
      </c>
      <c r="D28" s="40">
        <v>1</v>
      </c>
      <c r="E28" s="40" t="s">
        <v>145</v>
      </c>
      <c r="F28" s="89">
        <v>0.22</v>
      </c>
      <c r="G28" s="428">
        <f>'Cuadro C'!C14*$F$28</f>
        <v>32241725.696400002</v>
      </c>
      <c r="H28" s="428"/>
      <c r="I28" s="428"/>
      <c r="J28" s="428"/>
      <c r="K28" s="429">
        <f>SUM(G28:J28)</f>
        <v>32241725.696400002</v>
      </c>
      <c r="L28" s="429">
        <f>K28*0.15</f>
        <v>4836258.8544600001</v>
      </c>
      <c r="M28" s="429">
        <f>(K28+L28)*0.19</f>
        <v>7044817.0646634009</v>
      </c>
      <c r="N28" s="430">
        <f>SUM(K28:M28)</f>
        <v>44122801.615523405</v>
      </c>
    </row>
    <row r="29" spans="1:16" ht="33.75" x14ac:dyDescent="0.25">
      <c r="A29" s="99" t="s">
        <v>177</v>
      </c>
      <c r="B29" s="97" t="s">
        <v>174</v>
      </c>
      <c r="C29" s="51" t="s">
        <v>468</v>
      </c>
      <c r="D29" s="40">
        <v>12</v>
      </c>
      <c r="E29" s="40" t="s">
        <v>135</v>
      </c>
      <c r="F29" s="22">
        <v>0.8</v>
      </c>
      <c r="G29" s="428">
        <f>('C. B - Alcance 5 Consulta Prev.'!$M$29-'Calculo de valores unitarios'!$G$28)/2</f>
        <v>44405786.461799994</v>
      </c>
      <c r="H29" s="428">
        <f>'C. B - Alcance 5 Consulta Prev.'!L41</f>
        <v>22500000</v>
      </c>
      <c r="I29" s="428"/>
      <c r="J29" s="428"/>
      <c r="K29" s="429">
        <f>SUM(G29:J29)</f>
        <v>66905786.461799994</v>
      </c>
      <c r="L29" s="429">
        <f t="shared" ref="L29:L30" si="12">K29*0.15</f>
        <v>10035867.969269998</v>
      </c>
      <c r="M29" s="429">
        <f t="shared" ref="M29:M30" si="13">(K29+L29)*0.19</f>
        <v>14618914.341903301</v>
      </c>
      <c r="N29" s="430">
        <f t="shared" ref="N29:N30" si="14">SUM(K29:M29)</f>
        <v>91560568.772973299</v>
      </c>
    </row>
    <row r="30" spans="1:16" ht="22.5" x14ac:dyDescent="0.25">
      <c r="A30" s="99" t="s">
        <v>178</v>
      </c>
      <c r="B30" s="97" t="s">
        <v>175</v>
      </c>
      <c r="C30" s="85" t="s">
        <v>467</v>
      </c>
      <c r="D30" s="40">
        <v>12</v>
      </c>
      <c r="E30" s="40" t="s">
        <v>176</v>
      </c>
      <c r="F30" s="89">
        <v>0.1</v>
      </c>
      <c r="G30" s="428">
        <f>('C. B - Alcance 5 Consulta Prev.'!$M$29-'Calculo de valores unitarios'!$G$28)/2</f>
        <v>44405786.461799994</v>
      </c>
      <c r="H30" s="428"/>
      <c r="I30" s="428"/>
      <c r="J30" s="428">
        <f>'C. B - Alcance 5 Consulta Prev.'!L46</f>
        <v>3000000</v>
      </c>
      <c r="K30" s="429">
        <f t="shared" ref="K30" si="15">SUM(G30:J30)</f>
        <v>47405786.461799994</v>
      </c>
      <c r="L30" s="429">
        <f t="shared" si="12"/>
        <v>7110867.9692699993</v>
      </c>
      <c r="M30" s="429">
        <f t="shared" si="13"/>
        <v>10358164.341903299</v>
      </c>
      <c r="N30" s="430">
        <f t="shared" si="14"/>
        <v>64874818.772973292</v>
      </c>
    </row>
    <row r="31" spans="1:16" x14ac:dyDescent="0.25">
      <c r="N31" s="423">
        <f>SUM(N28:N30)</f>
        <v>200558189.16147</v>
      </c>
      <c r="O31" s="422">
        <f>'Cuadro C'!G14</f>
        <v>200558189</v>
      </c>
      <c r="P31" s="423">
        <f>N31-O31</f>
        <v>0.16146999597549438</v>
      </c>
    </row>
    <row r="32" spans="1:16" x14ac:dyDescent="0.25">
      <c r="A32" s="17"/>
      <c r="B32" s="18"/>
      <c r="C32" s="37" t="s">
        <v>148</v>
      </c>
      <c r="D32" s="17"/>
      <c r="E32" s="92"/>
      <c r="F32" s="19">
        <v>0.03</v>
      </c>
      <c r="G32" s="425" t="s">
        <v>456</v>
      </c>
      <c r="H32" s="426" t="s">
        <v>190</v>
      </c>
      <c r="I32" s="426"/>
      <c r="J32" s="426"/>
      <c r="K32" s="426" t="s">
        <v>463</v>
      </c>
      <c r="L32" s="426" t="s">
        <v>458</v>
      </c>
      <c r="M32" s="426" t="s">
        <v>459</v>
      </c>
      <c r="N32" s="433" t="s">
        <v>460</v>
      </c>
    </row>
    <row r="33" spans="1:16" x14ac:dyDescent="0.25">
      <c r="A33" s="80" t="s">
        <v>63</v>
      </c>
      <c r="B33" s="32" t="s">
        <v>138</v>
      </c>
      <c r="C33" s="51" t="s">
        <v>150</v>
      </c>
      <c r="D33" s="40">
        <v>1</v>
      </c>
      <c r="E33" s="40" t="s">
        <v>145</v>
      </c>
      <c r="F33" s="22">
        <v>0.4</v>
      </c>
      <c r="G33" s="428">
        <f>'C. B - Plan de Comunicaciones'!$H$10*'Calculo de valores unitarios'!F33</f>
        <v>1587600.0907200002</v>
      </c>
      <c r="H33" s="428">
        <f>'C. B - Plan de Comunicaciones'!E17</f>
        <v>10000000</v>
      </c>
      <c r="I33" s="428"/>
      <c r="J33" s="428"/>
      <c r="K33" s="429">
        <f>SUM(G33:J33)</f>
        <v>11587600.09072</v>
      </c>
      <c r="L33" s="429">
        <f>K33*0.15</f>
        <v>1738140.013608</v>
      </c>
      <c r="M33" s="429">
        <f>(K33+L33)*0.19</f>
        <v>2531890.6198223201</v>
      </c>
      <c r="N33" s="430">
        <f>SUM(K33:M33)</f>
        <v>15857630.724150319</v>
      </c>
    </row>
    <row r="34" spans="1:16" x14ac:dyDescent="0.25">
      <c r="A34" s="80" t="s">
        <v>64</v>
      </c>
      <c r="B34" s="32" t="s">
        <v>139</v>
      </c>
      <c r="C34" s="85" t="s">
        <v>151</v>
      </c>
      <c r="D34" s="40">
        <v>1</v>
      </c>
      <c r="E34" s="40" t="s">
        <v>145</v>
      </c>
      <c r="F34" s="22">
        <v>0.3</v>
      </c>
      <c r="G34" s="428">
        <f>'C. B - Plan de Comunicaciones'!$H$10*'Calculo de valores unitarios'!F34</f>
        <v>1190700.06804</v>
      </c>
      <c r="H34" s="428">
        <f>'C. B - Plan de Comunicaciones'!E21</f>
        <v>10000000</v>
      </c>
      <c r="I34" s="428"/>
      <c r="J34" s="428"/>
      <c r="K34" s="429">
        <f>SUM(G34:J34)</f>
        <v>11190700.06804</v>
      </c>
      <c r="L34" s="429">
        <f t="shared" ref="L34:L35" si="16">K34*0.15</f>
        <v>1678605.0102059999</v>
      </c>
      <c r="M34" s="429">
        <f t="shared" ref="M34:M35" si="17">(K34+L34)*0.19</f>
        <v>2445167.9648667402</v>
      </c>
      <c r="N34" s="430">
        <f t="shared" ref="N34:N35" si="18">SUM(K34:M34)</f>
        <v>15314473.043112742</v>
      </c>
    </row>
    <row r="35" spans="1:16" x14ac:dyDescent="0.25">
      <c r="A35" s="80" t="s">
        <v>137</v>
      </c>
      <c r="B35" s="32" t="s">
        <v>149</v>
      </c>
      <c r="C35" s="85" t="s">
        <v>140</v>
      </c>
      <c r="D35" s="40">
        <v>26</v>
      </c>
      <c r="E35" s="40" t="s">
        <v>179</v>
      </c>
      <c r="F35" s="22">
        <v>0.3</v>
      </c>
      <c r="G35" s="428">
        <f>'C. B - Plan de Comunicaciones'!$H$10*'Calculo de valores unitarios'!F35</f>
        <v>1190700.06804</v>
      </c>
      <c r="H35" s="428">
        <f>'C. B - Plan de Comunicaciones'!E25</f>
        <v>1300000</v>
      </c>
      <c r="I35" s="428"/>
      <c r="J35" s="428"/>
      <c r="K35" s="429">
        <f t="shared" ref="K35" si="19">SUM(G35:J35)</f>
        <v>2490700.0680400003</v>
      </c>
      <c r="L35" s="429">
        <f t="shared" si="16"/>
        <v>373605.01020600001</v>
      </c>
      <c r="M35" s="429">
        <f t="shared" si="17"/>
        <v>544217.96486674005</v>
      </c>
      <c r="N35" s="430">
        <f t="shared" si="18"/>
        <v>3408523.0431127404</v>
      </c>
    </row>
    <row r="36" spans="1:16" x14ac:dyDescent="0.25">
      <c r="N36" s="423">
        <f>SUM(N33:N35)</f>
        <v>34580626.810375802</v>
      </c>
      <c r="O36" s="422">
        <f>'Cuadro C'!G15</f>
        <v>34580627</v>
      </c>
      <c r="P36" s="423">
        <f>N36-O36</f>
        <v>-0.18962419778108597</v>
      </c>
    </row>
  </sheetData>
  <mergeCells count="12">
    <mergeCell ref="A1:C2"/>
    <mergeCell ref="D1:D2"/>
    <mergeCell ref="E1:E2"/>
    <mergeCell ref="F1:F2"/>
    <mergeCell ref="A15:A16"/>
    <mergeCell ref="B15:B16"/>
    <mergeCell ref="A22:A23"/>
    <mergeCell ref="B22:B23"/>
    <mergeCell ref="A9:A10"/>
    <mergeCell ref="B9:B10"/>
    <mergeCell ref="A11:A12"/>
    <mergeCell ref="B11:B12"/>
  </mergeCells>
  <dataValidations count="2">
    <dataValidation allowBlank="1" showInputMessage="1" showErrorMessage="1" prompt="Defina la unidad de medida de la actividad. No emplee unidad GLOBAL, ya que no es descriptiva." sqref="E4:E6 E9:E12 E15:E19 E22:E25 E28:E30 E33:E35" xr:uid="{475F09C2-388C-42BA-A729-AA858CE663A9}"/>
    <dataValidation allowBlank="1" showInputMessage="1" showErrorMessage="1" prompt="Los porcentajes de los actividades deben sumar el 100% para cada alcance._x000a_Los porcentajes de los alcances deben sumar el 100% de la meta o producto a obtener." sqref="F4:F6 F9:F12 F15:F19 F22:F25 F28:F30 F33:F35" xr:uid="{75E9EB3C-6813-4036-A279-F5703B463C88}"/>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43EAC-6474-4E36-9790-5B78019338C8}">
  <sheetPr>
    <pageSetUpPr fitToPage="1"/>
  </sheetPr>
  <dimension ref="A1:J59"/>
  <sheetViews>
    <sheetView showGridLines="0" view="pageBreakPreview" topLeftCell="A28" zoomScale="85" zoomScaleNormal="100" zoomScaleSheetLayoutView="85" workbookViewId="0">
      <selection activeCell="I53" sqref="I53"/>
    </sheetView>
  </sheetViews>
  <sheetFormatPr baseColWidth="10" defaultColWidth="13" defaultRowHeight="12.75" x14ac:dyDescent="0.2"/>
  <cols>
    <col min="1" max="1" width="2.42578125" style="192" customWidth="1"/>
    <col min="2" max="2" width="30" style="192" customWidth="1"/>
    <col min="3" max="3" width="11" style="192" customWidth="1"/>
    <col min="4" max="4" width="16.140625" style="192" customWidth="1"/>
    <col min="5" max="5" width="11" style="192" customWidth="1"/>
    <col min="6" max="6" width="12.28515625" style="192" customWidth="1"/>
    <col min="7" max="7" width="18.28515625" style="192" customWidth="1"/>
    <col min="8" max="8" width="17" style="192" bestFit="1" customWidth="1"/>
    <col min="9" max="9" width="22.42578125" style="192" customWidth="1"/>
    <col min="10" max="10" width="16.42578125" style="192" customWidth="1"/>
    <col min="11" max="16384" width="13" style="192"/>
  </cols>
  <sheetData>
    <row r="1" spans="1:10" ht="3" customHeight="1" x14ac:dyDescent="0.2"/>
    <row r="2" spans="1:10" ht="25.5" customHeight="1" x14ac:dyDescent="0.3">
      <c r="B2" s="582" t="s">
        <v>230</v>
      </c>
      <c r="C2" s="582"/>
      <c r="D2" s="582"/>
      <c r="E2" s="582"/>
      <c r="F2" s="582"/>
      <c r="G2" s="582"/>
      <c r="H2" s="582"/>
      <c r="I2" s="582"/>
      <c r="J2" s="575"/>
    </row>
    <row r="3" spans="1:10" ht="15" x14ac:dyDescent="0.25">
      <c r="B3" s="583" t="s">
        <v>229</v>
      </c>
      <c r="C3" s="583"/>
      <c r="D3" s="583"/>
      <c r="E3" s="583"/>
      <c r="F3" s="583"/>
      <c r="G3" s="583"/>
      <c r="H3" s="583"/>
      <c r="I3" s="583"/>
      <c r="J3" s="575"/>
    </row>
    <row r="4" spans="1:10" ht="6" customHeight="1" thickBot="1" x14ac:dyDescent="0.25">
      <c r="J4" s="235"/>
    </row>
    <row r="5" spans="1:10" ht="19.5" customHeight="1" thickBot="1" x14ac:dyDescent="0.25">
      <c r="B5" s="584" t="s">
        <v>228</v>
      </c>
      <c r="C5" s="585"/>
      <c r="D5" s="585"/>
      <c r="E5" s="585"/>
      <c r="F5" s="585"/>
      <c r="G5" s="585"/>
      <c r="H5" s="585"/>
      <c r="I5" s="586"/>
      <c r="J5" s="235"/>
    </row>
    <row r="6" spans="1:10" ht="13.5" thickBot="1" x14ac:dyDescent="0.25">
      <c r="E6" s="237"/>
      <c r="F6" s="237"/>
      <c r="G6" s="237"/>
      <c r="H6" s="236"/>
      <c r="I6" s="236"/>
      <c r="J6" s="235"/>
    </row>
    <row r="7" spans="1:10" ht="13.5" thickBot="1" x14ac:dyDescent="0.25">
      <c r="B7" s="576" t="s">
        <v>227</v>
      </c>
      <c r="C7" s="577"/>
      <c r="D7" s="577"/>
      <c r="E7" s="577"/>
      <c r="F7" s="577"/>
      <c r="G7" s="577"/>
      <c r="H7" s="577"/>
      <c r="I7" s="578"/>
    </row>
    <row r="8" spans="1:10" ht="39" thickBot="1" x14ac:dyDescent="0.25">
      <c r="B8" s="234" t="s">
        <v>197</v>
      </c>
      <c r="C8" s="233" t="s">
        <v>226</v>
      </c>
      <c r="D8" s="233" t="s">
        <v>225</v>
      </c>
      <c r="E8" s="233" t="s">
        <v>196</v>
      </c>
      <c r="F8" s="233" t="s">
        <v>195</v>
      </c>
      <c r="G8" s="233" t="s">
        <v>194</v>
      </c>
      <c r="H8" s="233" t="s">
        <v>224</v>
      </c>
      <c r="I8" s="232" t="s">
        <v>193</v>
      </c>
    </row>
    <row r="9" spans="1:10" x14ac:dyDescent="0.2">
      <c r="B9" s="587" t="s">
        <v>223</v>
      </c>
      <c r="C9" s="588"/>
      <c r="D9" s="588"/>
      <c r="E9" s="588"/>
      <c r="F9" s="588"/>
      <c r="G9" s="588"/>
      <c r="H9" s="588"/>
      <c r="I9" s="589"/>
    </row>
    <row r="10" spans="1:10" ht="38.25" x14ac:dyDescent="0.2">
      <c r="A10" s="224"/>
      <c r="B10" s="230" t="s">
        <v>222</v>
      </c>
      <c r="C10" s="229">
        <v>1</v>
      </c>
      <c r="D10" s="228">
        <v>1</v>
      </c>
      <c r="E10" s="226" t="s">
        <v>201</v>
      </c>
      <c r="F10" s="227">
        <v>14</v>
      </c>
      <c r="G10" s="231">
        <v>3987342</v>
      </c>
      <c r="H10" s="226">
        <v>1.58</v>
      </c>
      <c r="I10" s="225">
        <f t="shared" ref="I10:I30" si="0">+C10*D10*F10*G10*H10</f>
        <v>88200005.040000007</v>
      </c>
    </row>
    <row r="11" spans="1:10" ht="25.5" x14ac:dyDescent="0.2">
      <c r="A11" s="224"/>
      <c r="B11" s="230" t="s">
        <v>221</v>
      </c>
      <c r="C11" s="229">
        <v>1</v>
      </c>
      <c r="D11" s="228">
        <v>1</v>
      </c>
      <c r="E11" s="226" t="s">
        <v>201</v>
      </c>
      <c r="F11" s="227">
        <v>14</v>
      </c>
      <c r="G11" s="231">
        <v>3322785</v>
      </c>
      <c r="H11" s="226">
        <v>1.58</v>
      </c>
      <c r="I11" s="225">
        <f t="shared" si="0"/>
        <v>73500004.200000003</v>
      </c>
    </row>
    <row r="12" spans="1:10" ht="25.5" x14ac:dyDescent="0.2">
      <c r="A12" s="224"/>
      <c r="B12" s="230" t="s">
        <v>220</v>
      </c>
      <c r="C12" s="229">
        <v>1</v>
      </c>
      <c r="D12" s="228">
        <v>0.5</v>
      </c>
      <c r="E12" s="226" t="s">
        <v>201</v>
      </c>
      <c r="F12" s="227">
        <v>14</v>
      </c>
      <c r="G12" s="231">
        <v>3322785</v>
      </c>
      <c r="H12" s="226">
        <v>1.58</v>
      </c>
      <c r="I12" s="225">
        <f t="shared" si="0"/>
        <v>36750002.100000001</v>
      </c>
    </row>
    <row r="13" spans="1:10" ht="25.5" x14ac:dyDescent="0.2">
      <c r="A13" s="224"/>
      <c r="B13" s="230" t="s">
        <v>219</v>
      </c>
      <c r="C13" s="229">
        <v>1</v>
      </c>
      <c r="D13" s="228">
        <v>0.5</v>
      </c>
      <c r="E13" s="226" t="s">
        <v>201</v>
      </c>
      <c r="F13" s="227">
        <v>14</v>
      </c>
      <c r="G13" s="231">
        <v>3322785</v>
      </c>
      <c r="H13" s="226">
        <v>1.58</v>
      </c>
      <c r="I13" s="225">
        <f t="shared" si="0"/>
        <v>36750002.100000001</v>
      </c>
    </row>
    <row r="14" spans="1:10" ht="25.5" x14ac:dyDescent="0.2">
      <c r="A14" s="224"/>
      <c r="B14" s="230" t="s">
        <v>218</v>
      </c>
      <c r="C14" s="229">
        <v>1</v>
      </c>
      <c r="D14" s="228">
        <v>0.5</v>
      </c>
      <c r="E14" s="226" t="s">
        <v>201</v>
      </c>
      <c r="F14" s="227">
        <v>14</v>
      </c>
      <c r="G14" s="231">
        <v>3322785</v>
      </c>
      <c r="H14" s="226">
        <v>1.58</v>
      </c>
      <c r="I14" s="225">
        <f t="shared" si="0"/>
        <v>36750002.100000001</v>
      </c>
    </row>
    <row r="15" spans="1:10" ht="25.5" x14ac:dyDescent="0.2">
      <c r="A15" s="224"/>
      <c r="B15" s="230" t="s">
        <v>217</v>
      </c>
      <c r="C15" s="229">
        <v>1</v>
      </c>
      <c r="D15" s="228">
        <v>0.5</v>
      </c>
      <c r="E15" s="226" t="s">
        <v>201</v>
      </c>
      <c r="F15" s="227">
        <v>5</v>
      </c>
      <c r="G15" s="231">
        <v>3322785</v>
      </c>
      <c r="H15" s="226">
        <v>1.58</v>
      </c>
      <c r="I15" s="225">
        <f t="shared" si="0"/>
        <v>13125000.75</v>
      </c>
    </row>
    <row r="16" spans="1:10" x14ac:dyDescent="0.2">
      <c r="A16" s="224"/>
      <c r="B16" s="230" t="s">
        <v>216</v>
      </c>
      <c r="C16" s="229">
        <v>5</v>
      </c>
      <c r="D16" s="228">
        <v>1</v>
      </c>
      <c r="E16" s="226" t="s">
        <v>201</v>
      </c>
      <c r="F16" s="227">
        <v>10</v>
      </c>
      <c r="G16" s="231">
        <v>2120253</v>
      </c>
      <c r="H16" s="226">
        <v>1.58</v>
      </c>
      <c r="I16" s="225">
        <f t="shared" si="0"/>
        <v>167499987</v>
      </c>
    </row>
    <row r="17" spans="1:9" x14ac:dyDescent="0.2">
      <c r="A17" s="224"/>
      <c r="B17" s="230" t="s">
        <v>215</v>
      </c>
      <c r="C17" s="229">
        <v>2</v>
      </c>
      <c r="D17" s="228">
        <v>1</v>
      </c>
      <c r="E17" s="226" t="s">
        <v>201</v>
      </c>
      <c r="F17" s="227">
        <v>6</v>
      </c>
      <c r="G17" s="231">
        <v>1827848</v>
      </c>
      <c r="H17" s="226">
        <v>1.58</v>
      </c>
      <c r="I17" s="225">
        <f t="shared" si="0"/>
        <v>34655998.079999998</v>
      </c>
    </row>
    <row r="18" spans="1:9" ht="25.5" x14ac:dyDescent="0.2">
      <c r="A18" s="224"/>
      <c r="B18" s="230" t="s">
        <v>214</v>
      </c>
      <c r="C18" s="229">
        <v>1</v>
      </c>
      <c r="D18" s="228">
        <v>0.5</v>
      </c>
      <c r="E18" s="226" t="s">
        <v>201</v>
      </c>
      <c r="F18" s="227">
        <v>7</v>
      </c>
      <c r="G18" s="231">
        <v>3322785</v>
      </c>
      <c r="H18" s="226">
        <v>1.58</v>
      </c>
      <c r="I18" s="225">
        <f t="shared" si="0"/>
        <v>18375001.050000001</v>
      </c>
    </row>
    <row r="19" spans="1:9" x14ac:dyDescent="0.2">
      <c r="A19" s="224"/>
      <c r="B19" s="230" t="s">
        <v>213</v>
      </c>
      <c r="C19" s="229">
        <v>1</v>
      </c>
      <c r="D19" s="228">
        <v>0.5</v>
      </c>
      <c r="E19" s="226" t="s">
        <v>201</v>
      </c>
      <c r="F19" s="227">
        <v>14</v>
      </c>
      <c r="G19" s="231">
        <v>3322785</v>
      </c>
      <c r="H19" s="226">
        <v>1.58</v>
      </c>
      <c r="I19" s="225">
        <f t="shared" si="0"/>
        <v>36750002.100000001</v>
      </c>
    </row>
    <row r="20" spans="1:9" ht="25.5" x14ac:dyDescent="0.2">
      <c r="A20" s="224"/>
      <c r="B20" s="230" t="s">
        <v>212</v>
      </c>
      <c r="C20" s="229">
        <v>1</v>
      </c>
      <c r="D20" s="228">
        <v>0.5</v>
      </c>
      <c r="E20" s="226" t="s">
        <v>201</v>
      </c>
      <c r="F20" s="227">
        <v>14</v>
      </c>
      <c r="G20" s="231">
        <v>3322785</v>
      </c>
      <c r="H20" s="226">
        <v>1.58</v>
      </c>
      <c r="I20" s="225">
        <f t="shared" si="0"/>
        <v>36750002.100000001</v>
      </c>
    </row>
    <row r="21" spans="1:9" x14ac:dyDescent="0.2">
      <c r="A21" s="224"/>
      <c r="B21" s="230" t="s">
        <v>211</v>
      </c>
      <c r="C21" s="229">
        <v>1</v>
      </c>
      <c r="D21" s="228">
        <v>0.5</v>
      </c>
      <c r="E21" s="226" t="s">
        <v>201</v>
      </c>
      <c r="F21" s="227">
        <v>14</v>
      </c>
      <c r="G21" s="231">
        <v>3322785</v>
      </c>
      <c r="H21" s="226">
        <v>1.58</v>
      </c>
      <c r="I21" s="225">
        <f t="shared" si="0"/>
        <v>36750002.100000001</v>
      </c>
    </row>
    <row r="22" spans="1:9" ht="25.5" x14ac:dyDescent="0.2">
      <c r="A22" s="224"/>
      <c r="B22" s="230" t="s">
        <v>210</v>
      </c>
      <c r="C22" s="229">
        <v>1</v>
      </c>
      <c r="D22" s="228">
        <v>0.5</v>
      </c>
      <c r="E22" s="226" t="s">
        <v>201</v>
      </c>
      <c r="F22" s="227">
        <v>14</v>
      </c>
      <c r="G22" s="231">
        <v>3322785</v>
      </c>
      <c r="H22" s="226">
        <v>1.58</v>
      </c>
      <c r="I22" s="225">
        <f t="shared" si="0"/>
        <v>36750002.100000001</v>
      </c>
    </row>
    <row r="23" spans="1:9" ht="25.5" x14ac:dyDescent="0.2">
      <c r="A23" s="224"/>
      <c r="B23" s="230" t="s">
        <v>209</v>
      </c>
      <c r="C23" s="229">
        <v>1</v>
      </c>
      <c r="D23" s="228">
        <v>0.5</v>
      </c>
      <c r="E23" s="226" t="s">
        <v>201</v>
      </c>
      <c r="F23" s="227">
        <v>14</v>
      </c>
      <c r="G23" s="231">
        <v>1827848</v>
      </c>
      <c r="H23" s="226">
        <v>1.58</v>
      </c>
      <c r="I23" s="225">
        <f t="shared" si="0"/>
        <v>20215998.880000003</v>
      </c>
    </row>
    <row r="24" spans="1:9" ht="25.5" x14ac:dyDescent="0.2">
      <c r="A24" s="224"/>
      <c r="B24" s="230" t="s">
        <v>208</v>
      </c>
      <c r="C24" s="229">
        <v>1</v>
      </c>
      <c r="D24" s="228">
        <v>0.5</v>
      </c>
      <c r="E24" s="226" t="s">
        <v>201</v>
      </c>
      <c r="F24" s="227">
        <v>6</v>
      </c>
      <c r="G24" s="231">
        <v>3322785</v>
      </c>
      <c r="H24" s="226">
        <v>1.58</v>
      </c>
      <c r="I24" s="225">
        <f t="shared" si="0"/>
        <v>15750000.9</v>
      </c>
    </row>
    <row r="25" spans="1:9" ht="25.5" x14ac:dyDescent="0.2">
      <c r="A25" s="224"/>
      <c r="B25" s="230" t="s">
        <v>207</v>
      </c>
      <c r="C25" s="229">
        <v>1</v>
      </c>
      <c r="D25" s="228">
        <v>1</v>
      </c>
      <c r="E25" s="226" t="s">
        <v>201</v>
      </c>
      <c r="F25" s="227">
        <v>10</v>
      </c>
      <c r="G25" s="231">
        <v>2259494</v>
      </c>
      <c r="H25" s="226">
        <v>1.58</v>
      </c>
      <c r="I25" s="225">
        <f t="shared" si="0"/>
        <v>35700005.200000003</v>
      </c>
    </row>
    <row r="26" spans="1:9" ht="25.5" x14ac:dyDescent="0.2">
      <c r="A26" s="224"/>
      <c r="B26" s="230" t="s">
        <v>206</v>
      </c>
      <c r="C26" s="229">
        <v>1</v>
      </c>
      <c r="D26" s="228">
        <v>1</v>
      </c>
      <c r="E26" s="226" t="s">
        <v>201</v>
      </c>
      <c r="F26" s="227">
        <v>10</v>
      </c>
      <c r="G26" s="219">
        <v>1003030</v>
      </c>
      <c r="H26" s="226">
        <v>1.65</v>
      </c>
      <c r="I26" s="225">
        <f t="shared" si="0"/>
        <v>16549995</v>
      </c>
    </row>
    <row r="27" spans="1:9" ht="25.5" x14ac:dyDescent="0.2">
      <c r="A27" s="224"/>
      <c r="B27" s="230" t="s">
        <v>205</v>
      </c>
      <c r="C27" s="229">
        <v>1</v>
      </c>
      <c r="D27" s="228">
        <v>1</v>
      </c>
      <c r="E27" s="226" t="s">
        <v>201</v>
      </c>
      <c r="F27" s="227">
        <v>10</v>
      </c>
      <c r="G27" s="219">
        <v>1003030</v>
      </c>
      <c r="H27" s="226">
        <v>1.65</v>
      </c>
      <c r="I27" s="225">
        <f t="shared" si="0"/>
        <v>16549995</v>
      </c>
    </row>
    <row r="28" spans="1:9" ht="25.5" x14ac:dyDescent="0.2">
      <c r="A28" s="224"/>
      <c r="B28" s="230" t="s">
        <v>204</v>
      </c>
      <c r="C28" s="229">
        <v>1</v>
      </c>
      <c r="D28" s="228">
        <v>1</v>
      </c>
      <c r="E28" s="226" t="s">
        <v>201</v>
      </c>
      <c r="F28" s="227">
        <v>10</v>
      </c>
      <c r="G28" s="219">
        <v>1003030</v>
      </c>
      <c r="H28" s="226">
        <v>1.65</v>
      </c>
      <c r="I28" s="225">
        <f t="shared" si="0"/>
        <v>16549995</v>
      </c>
    </row>
    <row r="29" spans="1:9" ht="25.5" x14ac:dyDescent="0.2">
      <c r="A29" s="224"/>
      <c r="B29" s="230" t="s">
        <v>203</v>
      </c>
      <c r="C29" s="229">
        <v>1</v>
      </c>
      <c r="D29" s="228">
        <v>1</v>
      </c>
      <c r="E29" s="226" t="s">
        <v>201</v>
      </c>
      <c r="F29" s="227">
        <v>10</v>
      </c>
      <c r="G29" s="219">
        <v>1003030</v>
      </c>
      <c r="H29" s="226">
        <v>1.65</v>
      </c>
      <c r="I29" s="225">
        <f t="shared" si="0"/>
        <v>16549995</v>
      </c>
    </row>
    <row r="30" spans="1:9" ht="26.25" thickBot="1" x14ac:dyDescent="0.25">
      <c r="A30" s="224"/>
      <c r="B30" s="223" t="s">
        <v>202</v>
      </c>
      <c r="C30" s="222">
        <v>1</v>
      </c>
      <c r="D30" s="221">
        <v>1</v>
      </c>
      <c r="E30" s="218" t="s">
        <v>201</v>
      </c>
      <c r="F30" s="220">
        <v>10</v>
      </c>
      <c r="G30" s="219">
        <v>1003030</v>
      </c>
      <c r="H30" s="218">
        <v>1.65</v>
      </c>
      <c r="I30" s="217">
        <f t="shared" si="0"/>
        <v>16549995</v>
      </c>
    </row>
    <row r="31" spans="1:9" ht="13.5" thickBot="1" x14ac:dyDescent="0.25">
      <c r="B31" s="590" t="s">
        <v>200</v>
      </c>
      <c r="C31" s="591"/>
      <c r="D31" s="591"/>
      <c r="E31" s="592"/>
      <c r="F31" s="592"/>
      <c r="G31" s="592"/>
      <c r="H31" s="593"/>
      <c r="I31" s="216">
        <f>SUM(I10:I30)</f>
        <v>807021990.80000007</v>
      </c>
    </row>
    <row r="32" spans="1:9" ht="13.5" thickBot="1" x14ac:dyDescent="0.25">
      <c r="B32" s="600" t="s">
        <v>199</v>
      </c>
      <c r="C32" s="601"/>
      <c r="D32" s="601"/>
      <c r="E32" s="602"/>
      <c r="F32" s="602"/>
      <c r="G32" s="602"/>
      <c r="H32" s="603"/>
      <c r="I32" s="215">
        <f>I31</f>
        <v>807021990.80000007</v>
      </c>
    </row>
    <row r="33" spans="2:9" ht="13.5" thickBot="1" x14ac:dyDescent="0.25">
      <c r="B33" s="214"/>
      <c r="C33" s="214"/>
      <c r="D33" s="214"/>
      <c r="E33" s="213"/>
      <c r="F33" s="213"/>
      <c r="G33" s="213"/>
      <c r="H33" s="213"/>
      <c r="I33" s="212"/>
    </row>
    <row r="34" spans="2:9" ht="13.5" thickBot="1" x14ac:dyDescent="0.25">
      <c r="B34" s="576" t="s">
        <v>198</v>
      </c>
      <c r="C34" s="577"/>
      <c r="D34" s="577"/>
      <c r="E34" s="577"/>
      <c r="F34" s="577"/>
      <c r="G34" s="577"/>
      <c r="H34" s="577"/>
      <c r="I34" s="578"/>
    </row>
    <row r="35" spans="2:9" ht="26.25" thickBot="1" x14ac:dyDescent="0.25">
      <c r="B35" s="604" t="s">
        <v>197</v>
      </c>
      <c r="C35" s="605"/>
      <c r="D35" s="606"/>
      <c r="E35" s="607" t="s">
        <v>196</v>
      </c>
      <c r="F35" s="606"/>
      <c r="G35" s="211" t="s">
        <v>195</v>
      </c>
      <c r="H35" s="211" t="s">
        <v>194</v>
      </c>
      <c r="I35" s="210" t="s">
        <v>193</v>
      </c>
    </row>
    <row r="36" spans="2:9" x14ac:dyDescent="0.2">
      <c r="B36" s="579" t="str">
        <f>+'C. B - Alcance 1 Declaratoria'!A35</f>
        <v>Actividad 1.1 Socialización, acercamiento y diligenciamiento RURH</v>
      </c>
      <c r="C36" s="580"/>
      <c r="D36" s="580"/>
      <c r="E36" s="581" t="s">
        <v>192</v>
      </c>
      <c r="F36" s="581"/>
      <c r="G36" s="209">
        <f>+'C. B - Alcance 1 Declaratoria'!C50</f>
        <v>57</v>
      </c>
      <c r="H36" s="208">
        <f>+'C. B - Alcance 1 Declaratoria'!G50</f>
        <v>208596.49122807017</v>
      </c>
      <c r="I36" s="207">
        <f t="shared" ref="I36:I47" si="1">+G36*H36</f>
        <v>11890000</v>
      </c>
    </row>
    <row r="37" spans="2:9" ht="24.75" customHeight="1" x14ac:dyDescent="0.2">
      <c r="B37" s="598" t="str">
        <f>+'C. B - Alcance 1 Declaratoria'!A51</f>
        <v>Actividad 1.2 Recorridos para socialización y diligenciamiento RURH</v>
      </c>
      <c r="C37" s="599"/>
      <c r="D37" s="599"/>
      <c r="E37" s="594" t="str">
        <f>+'C. B - Alcance 1 Declaratoria'!B69</f>
        <v>Viaje</v>
      </c>
      <c r="F37" s="594"/>
      <c r="G37" s="206">
        <f>+'C. B - Alcance 1 Declaratoria'!C72</f>
        <v>71</v>
      </c>
      <c r="H37" s="205">
        <f>+'C. B - Alcance 1 Declaratoria'!G72</f>
        <v>146901.40845070421</v>
      </c>
      <c r="I37" s="204">
        <f t="shared" si="1"/>
        <v>10430000</v>
      </c>
    </row>
    <row r="38" spans="2:9" x14ac:dyDescent="0.2">
      <c r="B38" s="598" t="str">
        <f>+'C. B - Alcance 2 Diagnostico'!A35</f>
        <v>Actividad 2.1 Realización de diagnóstico participativo</v>
      </c>
      <c r="C38" s="599"/>
      <c r="D38" s="599"/>
      <c r="E38" s="594" t="s">
        <v>192</v>
      </c>
      <c r="F38" s="594"/>
      <c r="G38" s="206">
        <f>+'C. B - Alcance 2 Diagnostico'!C48</f>
        <v>5</v>
      </c>
      <c r="H38" s="205">
        <f>+'C. B - Alcance 2 Diagnostico'!G48</f>
        <v>3170000</v>
      </c>
      <c r="I38" s="204">
        <f t="shared" si="1"/>
        <v>15850000</v>
      </c>
    </row>
    <row r="39" spans="2:9" ht="26.25" customHeight="1" x14ac:dyDescent="0.2">
      <c r="B39" s="598" t="str">
        <f>+'C. B - Alcance 2 Diagnostico'!A49</f>
        <v>Actividad 2.2 Visitas a usuarios, estructuras y demas aspectos relacionados con el diagnóstico</v>
      </c>
      <c r="C39" s="599"/>
      <c r="D39" s="599"/>
      <c r="E39" s="594" t="s">
        <v>176</v>
      </c>
      <c r="F39" s="594"/>
      <c r="G39" s="206">
        <f>+'C. B - Alcance 2 Diagnostico'!C70</f>
        <v>78</v>
      </c>
      <c r="H39" s="205">
        <f>+'C. B - Alcance 2 Diagnostico'!G70</f>
        <v>210000</v>
      </c>
      <c r="I39" s="204">
        <f t="shared" si="1"/>
        <v>16380000</v>
      </c>
    </row>
    <row r="40" spans="2:9" ht="14.25" customHeight="1" x14ac:dyDescent="0.2">
      <c r="B40" s="598" t="str">
        <f>+'C. B - Alcance 3 Usos'!A35</f>
        <v>Actividad 3.1 Fortalecimiento en modelación y planificación</v>
      </c>
      <c r="C40" s="599"/>
      <c r="D40" s="599"/>
      <c r="E40" s="594" t="s">
        <v>144</v>
      </c>
      <c r="F40" s="594"/>
      <c r="G40" s="206">
        <f>+'C. B - Alcance 3 Usos'!C41</f>
        <v>10</v>
      </c>
      <c r="H40" s="205">
        <f>+'C. B - Alcance 3 Usos'!G41</f>
        <v>573000</v>
      </c>
      <c r="I40" s="204">
        <f t="shared" si="1"/>
        <v>5730000</v>
      </c>
    </row>
    <row r="41" spans="2:9" ht="13.5" customHeight="1" x14ac:dyDescent="0.2">
      <c r="B41" s="598" t="str">
        <f>+'C. B - Alcance 3 Usos'!A48</f>
        <v>Actividad 3.2 Definición de usos actuales y potenciales participativo</v>
      </c>
      <c r="C41" s="599"/>
      <c r="D41" s="599"/>
      <c r="E41" s="594" t="s">
        <v>192</v>
      </c>
      <c r="F41" s="594"/>
      <c r="G41" s="206">
        <f>+'C. B - Alcance 3 Usos'!C62</f>
        <v>5</v>
      </c>
      <c r="H41" s="205">
        <f>+'C. B - Alcance 3 Usos'!G62</f>
        <v>2000000</v>
      </c>
      <c r="I41" s="204">
        <f t="shared" si="1"/>
        <v>10000000</v>
      </c>
    </row>
    <row r="42" spans="2:9" ht="26.25" customHeight="1" x14ac:dyDescent="0.2">
      <c r="B42" s="596" t="str">
        <f>+'C. B - Alcance 3 Usos'!A63</f>
        <v>Actividad 3.3 Transporte a municipios para definición de usos actuales y potenciales</v>
      </c>
      <c r="C42" s="597"/>
      <c r="D42" s="597"/>
      <c r="E42" s="594" t="s">
        <v>159</v>
      </c>
      <c r="F42" s="594"/>
      <c r="G42" s="206">
        <f>+'C. B - Alcance 3 Usos'!C89</f>
        <v>44</v>
      </c>
      <c r="H42" s="205">
        <f>+'C. B - Alcance 3 Usos'!G89</f>
        <v>194090.90909090909</v>
      </c>
      <c r="I42" s="204">
        <f t="shared" si="1"/>
        <v>8540000</v>
      </c>
    </row>
    <row r="43" spans="2:9" ht="15" customHeight="1" x14ac:dyDescent="0.2">
      <c r="B43" s="596" t="str">
        <f>+'C. B - Alcance 4 Elaboración'!A35</f>
        <v>Actividad 4.1 fase de formulación participativa</v>
      </c>
      <c r="C43" s="597"/>
      <c r="D43" s="597"/>
      <c r="E43" s="594" t="s">
        <v>192</v>
      </c>
      <c r="F43" s="594"/>
      <c r="G43" s="206">
        <f>+'C. B - Alcance 4 Elaboración'!C48</f>
        <v>5</v>
      </c>
      <c r="H43" s="205">
        <f>+'C. B - Alcance 4 Elaboración'!G48</f>
        <v>1820000</v>
      </c>
      <c r="I43" s="204">
        <f t="shared" si="1"/>
        <v>9100000</v>
      </c>
    </row>
    <row r="44" spans="2:9" ht="14.25" customHeight="1" x14ac:dyDescent="0.2">
      <c r="B44" s="596" t="str">
        <f>+'C. B - Alcance 4 Elaboración'!A49</f>
        <v>Actividad 4.2 Transporte a municipios para fase de formulación</v>
      </c>
      <c r="C44" s="597"/>
      <c r="D44" s="597"/>
      <c r="E44" s="594" t="s">
        <v>176</v>
      </c>
      <c r="F44" s="594"/>
      <c r="G44" s="206">
        <f>+'C. B - Alcance 4 Elaboración'!C70</f>
        <v>39</v>
      </c>
      <c r="H44" s="205">
        <f>+'C. B - Alcance 4 Elaboración'!G70</f>
        <v>210000</v>
      </c>
      <c r="I44" s="204">
        <f t="shared" si="1"/>
        <v>8190000</v>
      </c>
    </row>
    <row r="45" spans="2:9" ht="15" customHeight="1" x14ac:dyDescent="0.2">
      <c r="B45" s="596" t="str">
        <f>+'C. B - Alcance 5 Consulta Prev.'!F36</f>
        <v>Actividad 5.1 Encuentros Proceso de Consulta Previa</v>
      </c>
      <c r="C45" s="597"/>
      <c r="D45" s="597"/>
      <c r="E45" s="594" t="s">
        <v>191</v>
      </c>
      <c r="F45" s="594"/>
      <c r="G45" s="206">
        <f>+'C. B - Alcance 5 Consulta Prev.'!H42</f>
        <v>6</v>
      </c>
      <c r="H45" s="205">
        <f>+'C. B - Alcance 5 Consulta Prev.'!L42</f>
        <v>3750000</v>
      </c>
      <c r="I45" s="204">
        <f t="shared" si="1"/>
        <v>22500000</v>
      </c>
    </row>
    <row r="46" spans="2:9" ht="12.75" customHeight="1" x14ac:dyDescent="0.2">
      <c r="B46" s="596" t="str">
        <f>+'C. B - Alcance 5 Consulta Prev.'!F43</f>
        <v>Actividad 5.2 Transporte proceso Consulta Previa</v>
      </c>
      <c r="C46" s="597"/>
      <c r="D46" s="597"/>
      <c r="E46" s="594" t="s">
        <v>176</v>
      </c>
      <c r="F46" s="594"/>
      <c r="G46" s="206">
        <f>+'C. B - Alcance 5 Consulta Prev.'!H47</f>
        <v>6</v>
      </c>
      <c r="H46" s="205">
        <f>+'C. B - Alcance 5 Consulta Prev.'!L47</f>
        <v>500000</v>
      </c>
      <c r="I46" s="204">
        <f t="shared" si="1"/>
        <v>3000000</v>
      </c>
    </row>
    <row r="47" spans="2:9" ht="15" customHeight="1" thickBot="1" x14ac:dyDescent="0.25">
      <c r="B47" s="610" t="str">
        <f>'C. B - Plan de Comunicaciones'!B15</f>
        <v>Estrategia de comunicaciones y plan de medios</v>
      </c>
      <c r="C47" s="611"/>
      <c r="D47" s="611"/>
      <c r="E47" s="595" t="s">
        <v>190</v>
      </c>
      <c r="F47" s="595"/>
      <c r="G47" s="203">
        <f>+'C. B - Plan de Comunicaciones'!B23</f>
        <v>1</v>
      </c>
      <c r="H47" s="202">
        <f>+'C. B - Plan de Comunicaciones'!E28</f>
        <v>21300000</v>
      </c>
      <c r="I47" s="201">
        <f t="shared" si="1"/>
        <v>21300000</v>
      </c>
    </row>
    <row r="48" spans="2:9" x14ac:dyDescent="0.2">
      <c r="B48" s="617" t="s">
        <v>189</v>
      </c>
      <c r="C48" s="618"/>
      <c r="D48" s="618"/>
      <c r="E48" s="618"/>
      <c r="F48" s="618"/>
      <c r="G48" s="618"/>
      <c r="H48" s="618"/>
      <c r="I48" s="200">
        <f>SUM(I36:I47)</f>
        <v>142910000</v>
      </c>
    </row>
    <row r="49" spans="2:9" x14ac:dyDescent="0.2">
      <c r="B49" s="608" t="s">
        <v>188</v>
      </c>
      <c r="C49" s="619"/>
      <c r="D49" s="619"/>
      <c r="E49" s="619"/>
      <c r="F49" s="619"/>
      <c r="G49" s="619"/>
      <c r="H49" s="619"/>
      <c r="I49" s="197">
        <f>I31+I48</f>
        <v>949931990.80000007</v>
      </c>
    </row>
    <row r="50" spans="2:9" x14ac:dyDescent="0.2">
      <c r="B50" s="608" t="s">
        <v>187</v>
      </c>
      <c r="C50" s="609"/>
      <c r="D50" s="609"/>
      <c r="E50" s="609"/>
      <c r="F50" s="609"/>
      <c r="G50" s="609"/>
      <c r="H50" s="199">
        <v>0.15</v>
      </c>
      <c r="I50" s="198">
        <f>ROUND(I49*H50,0)</f>
        <v>142489799</v>
      </c>
    </row>
    <row r="51" spans="2:9" x14ac:dyDescent="0.2">
      <c r="B51" s="608" t="s">
        <v>186</v>
      </c>
      <c r="C51" s="609"/>
      <c r="D51" s="609"/>
      <c r="E51" s="609"/>
      <c r="F51" s="609"/>
      <c r="G51" s="609"/>
      <c r="H51" s="609"/>
      <c r="I51" s="197">
        <f>SUM(I49:I50)</f>
        <v>1092421789.8000002</v>
      </c>
    </row>
    <row r="52" spans="2:9" ht="13.5" thickBot="1" x14ac:dyDescent="0.25">
      <c r="B52" s="620" t="s">
        <v>185</v>
      </c>
      <c r="C52" s="621"/>
      <c r="D52" s="621"/>
      <c r="E52" s="621"/>
      <c r="F52" s="621"/>
      <c r="G52" s="621"/>
      <c r="H52" s="196">
        <v>0.19</v>
      </c>
      <c r="I52" s="195">
        <f>ROUND(I51*H52,0)</f>
        <v>207560140</v>
      </c>
    </row>
    <row r="53" spans="2:9" ht="16.5" thickBot="1" x14ac:dyDescent="0.3">
      <c r="B53" s="615" t="s">
        <v>184</v>
      </c>
      <c r="C53" s="616"/>
      <c r="D53" s="616"/>
      <c r="E53" s="616"/>
      <c r="F53" s="616"/>
      <c r="G53" s="616"/>
      <c r="H53" s="616"/>
      <c r="I53" s="194">
        <f>+I51+I52</f>
        <v>1299981929.8000002</v>
      </c>
    </row>
    <row r="54" spans="2:9" ht="14.25" x14ac:dyDescent="0.2">
      <c r="B54" s="612"/>
      <c r="C54" s="613"/>
      <c r="D54" s="613"/>
      <c r="E54" s="614"/>
      <c r="F54" s="614"/>
      <c r="G54" s="614"/>
      <c r="H54" s="614"/>
      <c r="I54" s="614"/>
    </row>
    <row r="55" spans="2:9" x14ac:dyDescent="0.2">
      <c r="I55" s="193"/>
    </row>
    <row r="56" spans="2:9" x14ac:dyDescent="0.2">
      <c r="B56" s="192" t="s">
        <v>183</v>
      </c>
    </row>
    <row r="57" spans="2:9" x14ac:dyDescent="0.2">
      <c r="B57" s="192" t="s">
        <v>182</v>
      </c>
      <c r="I57" s="193"/>
    </row>
    <row r="58" spans="2:9" x14ac:dyDescent="0.2">
      <c r="B58" s="192" t="s">
        <v>181</v>
      </c>
    </row>
    <row r="59" spans="2:9" x14ac:dyDescent="0.2">
      <c r="B59" s="192" t="s">
        <v>180</v>
      </c>
    </row>
  </sheetData>
  <sheetProtection algorithmName="SHA-512" hashValue="PRtq/gcL9waRtJ9Vx3fIQzoLNeuH/zrRyG6y7A5IUSxpaCITmcW9x05d7WTTzvapLoauPiRVisNQKU14QbECPg==" saltValue="jz6XrIoCEHR7XtJx5CGndw==" spinCount="100000" sheet="1" formatCells="0" formatColumns="0" formatRows="0" insertColumns="0" insertRows="0"/>
  <mergeCells count="42">
    <mergeCell ref="B54:I54"/>
    <mergeCell ref="B53:H53"/>
    <mergeCell ref="B48:H48"/>
    <mergeCell ref="B49:H49"/>
    <mergeCell ref="B50:G50"/>
    <mergeCell ref="B52:G52"/>
    <mergeCell ref="B51:H51"/>
    <mergeCell ref="B40:D40"/>
    <mergeCell ref="E40:F40"/>
    <mergeCell ref="B45:D45"/>
    <mergeCell ref="E45:F45"/>
    <mergeCell ref="E46:F46"/>
    <mergeCell ref="B44:D44"/>
    <mergeCell ref="B47:D47"/>
    <mergeCell ref="B46:D46"/>
    <mergeCell ref="B42:D42"/>
    <mergeCell ref="E42:F42"/>
    <mergeCell ref="E43:F43"/>
    <mergeCell ref="E44:F44"/>
    <mergeCell ref="E47:F47"/>
    <mergeCell ref="B43:D43"/>
    <mergeCell ref="B38:D38"/>
    <mergeCell ref="B32:H32"/>
    <mergeCell ref="B35:D35"/>
    <mergeCell ref="E35:F35"/>
    <mergeCell ref="E38:F38"/>
    <mergeCell ref="B34:I34"/>
    <mergeCell ref="B37:D37"/>
    <mergeCell ref="E37:F37"/>
    <mergeCell ref="B39:D39"/>
    <mergeCell ref="E39:F39"/>
    <mergeCell ref="B41:D41"/>
    <mergeCell ref="E41:F41"/>
    <mergeCell ref="J2:J3"/>
    <mergeCell ref="B7:I7"/>
    <mergeCell ref="B36:D36"/>
    <mergeCell ref="E36:F36"/>
    <mergeCell ref="B2:I2"/>
    <mergeCell ref="B3:I3"/>
    <mergeCell ref="B5:I5"/>
    <mergeCell ref="B9:I9"/>
    <mergeCell ref="B31:H31"/>
  </mergeCells>
  <dataValidations disablePrompts="1" count="7">
    <dataValidation allowBlank="1" showInputMessage="1" showErrorMessage="1" promptTitle="Determinación AU" prompt="La Corporación estima para el presupuesto de este proceso un AU de máximo el 15%, el cual podrá ser modificado en un porcentaje inferior o superior de acuerdo a las pretensiones del oferente, sin llegar a exceder el ppto oficial" sqref="H50" xr:uid="{CDF3AB51-BC87-43D5-8B17-BB654C73975B}"/>
    <dataValidation allowBlank="1" showInputMessage="1" showErrorMessage="1" prompt="diligencie la dedicación del personal relacionado._x000a_" sqref="D10:D30" xr:uid="{00000000-0002-0000-0000-000005000000}"/>
    <dataValidation allowBlank="1" showInputMessage="1" showErrorMessage="1" prompt="diligencie la cantidad del personal requerido" sqref="C10:C30" xr:uid="{00000000-0002-0000-0000-000004000000}"/>
    <dataValidation allowBlank="1" showInputMessage="1" showErrorMessage="1" prompt="definir la unidad de medida con la cual se asigna el valor unitario." sqref="E10:E30" xr:uid="{00000000-0002-0000-0000-000003000000}"/>
    <dataValidation allowBlank="1" showInputMessage="1" showErrorMessage="1" prompt="diligencie la cantidad de unidad de medida del valor unitario" sqref="F10:F30" xr:uid="{00000000-0002-0000-0000-000002000000}"/>
    <dataValidation allowBlank="1" showInputMessage="1" showErrorMessage="1" promptTitle="Observación:" prompt="El personal por prestación de servicios, se deberá remunerar como mínimo, con la tabla de honorarios corporativa para la vigencia 2020. En caso de contrato de trabajo, la remuneración deberá ser como mínimo los honorarios menos el factor prestacional." sqref="G10:G30" xr:uid="{00000000-0002-0000-0000-000001000000}"/>
    <dataValidation allowBlank="1" showInputMessage="1" showErrorMessage="1" prompt="ingrese el valor del Factor Prestacional asignado para el personal." sqref="H10:H30" xr:uid="{00000000-0002-0000-0000-000000000000}"/>
  </dataValidations>
  <printOptions horizontalCentered="1"/>
  <pageMargins left="0.7" right="0.7" top="0.75" bottom="0.75" header="0.3" footer="0.3"/>
  <pageSetup scale="6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80E66-83D6-4300-AEF1-B61D10445E8F}">
  <sheetPr>
    <pageSetUpPr fitToPage="1"/>
  </sheetPr>
  <dimension ref="A1:G17"/>
  <sheetViews>
    <sheetView view="pageBreakPreview" topLeftCell="A7" zoomScaleNormal="100" zoomScaleSheetLayoutView="100" workbookViewId="0">
      <selection activeCell="G10" sqref="G10"/>
    </sheetView>
  </sheetViews>
  <sheetFormatPr baseColWidth="10" defaultColWidth="10.28515625" defaultRowHeight="12.75" x14ac:dyDescent="0.2"/>
  <cols>
    <col min="1" max="1" width="16" style="391" customWidth="1"/>
    <col min="2" max="2" width="24.28515625" style="391" bestFit="1" customWidth="1"/>
    <col min="3" max="4" width="13.7109375" style="391" customWidth="1"/>
    <col min="5" max="5" width="14.42578125" style="391" customWidth="1"/>
    <col min="6" max="6" width="16" style="391" customWidth="1"/>
    <col min="7" max="7" width="17.140625" style="391" customWidth="1"/>
    <col min="8" max="16384" width="10.28515625" style="391"/>
  </cols>
  <sheetData>
    <row r="1" spans="1:7" ht="13.5" thickBot="1" x14ac:dyDescent="0.25"/>
    <row r="2" spans="1:7" ht="34.5" thickBot="1" x14ac:dyDescent="0.25">
      <c r="A2" s="622" t="s">
        <v>455</v>
      </c>
      <c r="B2" s="623"/>
      <c r="C2" s="623"/>
      <c r="D2" s="623"/>
      <c r="E2" s="623"/>
      <c r="F2" s="623"/>
      <c r="G2" s="624"/>
    </row>
    <row r="3" spans="1:7" x14ac:dyDescent="0.2">
      <c r="A3" s="409"/>
    </row>
    <row r="4" spans="1:7" ht="12.75" customHeight="1" x14ac:dyDescent="0.2">
      <c r="A4" s="625" t="s">
        <v>454</v>
      </c>
      <c r="B4" s="625"/>
      <c r="C4" s="625"/>
      <c r="D4" s="625"/>
      <c r="E4" s="625"/>
      <c r="F4" s="625"/>
      <c r="G4" s="625"/>
    </row>
    <row r="5" spans="1:7" ht="12.75" customHeight="1" x14ac:dyDescent="0.2">
      <c r="A5" s="625"/>
      <c r="B5" s="625"/>
      <c r="C5" s="625"/>
      <c r="D5" s="625"/>
      <c r="E5" s="625"/>
      <c r="F5" s="625"/>
      <c r="G5" s="625"/>
    </row>
    <row r="6" spans="1:7" ht="12.75" customHeight="1" x14ac:dyDescent="0.2">
      <c r="A6" s="625"/>
      <c r="B6" s="625"/>
      <c r="C6" s="625"/>
      <c r="D6" s="625"/>
      <c r="E6" s="625"/>
      <c r="F6" s="625"/>
      <c r="G6" s="625"/>
    </row>
    <row r="7" spans="1:7" ht="13.5" thickBot="1" x14ac:dyDescent="0.25">
      <c r="A7" s="392"/>
    </row>
    <row r="8" spans="1:7" ht="30" customHeight="1" x14ac:dyDescent="0.2">
      <c r="A8" s="626" t="s">
        <v>229</v>
      </c>
      <c r="B8" s="627"/>
      <c r="C8" s="627"/>
      <c r="D8" s="627"/>
      <c r="E8" s="627"/>
      <c r="F8" s="627"/>
      <c r="G8" s="628"/>
    </row>
    <row r="9" spans="1:7" ht="60.75" x14ac:dyDescent="0.2">
      <c r="A9" s="408" t="s">
        <v>453</v>
      </c>
      <c r="B9" s="407" t="s">
        <v>452</v>
      </c>
      <c r="C9" s="407" t="s">
        <v>451</v>
      </c>
      <c r="D9" s="406" t="s">
        <v>450</v>
      </c>
      <c r="E9" s="407" t="s">
        <v>449</v>
      </c>
      <c r="F9" s="406" t="s">
        <v>448</v>
      </c>
      <c r="G9" s="405" t="s">
        <v>447</v>
      </c>
    </row>
    <row r="10" spans="1:7" ht="102" x14ac:dyDescent="0.2">
      <c r="A10" s="404" t="s">
        <v>446</v>
      </c>
      <c r="B10" s="403" t="s">
        <v>445</v>
      </c>
      <c r="C10" s="402">
        <f>+'C. B - Alcance 1 Declaratoria'!G75</f>
        <v>99053198.853200004</v>
      </c>
      <c r="D10" s="401">
        <f>C10*'Cuadro A - Presupuesto'!$H$50</f>
        <v>14857979.827980001</v>
      </c>
      <c r="E10" s="401">
        <f t="shared" ref="E10:E15" si="0">SUM(C10:D10)</f>
        <v>113911178.68118</v>
      </c>
      <c r="F10" s="401">
        <f>E10*'Cuadro A - Presupuesto'!$H$52</f>
        <v>21643123.9494242</v>
      </c>
      <c r="G10" s="400">
        <f t="shared" ref="G10:G15" si="1">ROUND(SUM(E10:F10),0)</f>
        <v>135554303</v>
      </c>
    </row>
    <row r="11" spans="1:7" ht="76.5" x14ac:dyDescent="0.2">
      <c r="A11" s="404" t="s">
        <v>444</v>
      </c>
      <c r="B11" s="403" t="s">
        <v>443</v>
      </c>
      <c r="C11" s="402">
        <f>+'C. B - Alcance 2 Diagnostico'!G73</f>
        <v>233985497.70000002</v>
      </c>
      <c r="D11" s="401">
        <f>C11*'Cuadro A - Presupuesto'!$H$50</f>
        <v>35097824.655000001</v>
      </c>
      <c r="E11" s="401">
        <f t="shared" si="0"/>
        <v>269083322.35500002</v>
      </c>
      <c r="F11" s="401">
        <f>E11*'Cuadro A - Presupuesto'!$H$52</f>
        <v>51125831.247450002</v>
      </c>
      <c r="G11" s="400">
        <f t="shared" si="1"/>
        <v>320209154</v>
      </c>
    </row>
    <row r="12" spans="1:7" ht="38.25" x14ac:dyDescent="0.2">
      <c r="A12" s="404" t="s">
        <v>442</v>
      </c>
      <c r="B12" s="403" t="s">
        <v>441</v>
      </c>
      <c r="C12" s="402">
        <f>+'C. B - Alcance 3 Usos'!G92</f>
        <v>226025497.70000002</v>
      </c>
      <c r="D12" s="401">
        <f>C12*'Cuadro A - Presupuesto'!$H$50</f>
        <v>33903824.655000001</v>
      </c>
      <c r="E12" s="401">
        <f t="shared" si="0"/>
        <v>259929322.35500002</v>
      </c>
      <c r="F12" s="401">
        <f>E12*'Cuadro A - Presupuesto'!$H$52</f>
        <v>49386571.247450002</v>
      </c>
      <c r="G12" s="400">
        <f t="shared" si="1"/>
        <v>309315894</v>
      </c>
    </row>
    <row r="13" spans="1:7" ht="89.25" x14ac:dyDescent="0.2">
      <c r="A13" s="404" t="s">
        <v>440</v>
      </c>
      <c r="B13" s="403" t="s">
        <v>439</v>
      </c>
      <c r="C13" s="402">
        <f>+'C. B - Alcance 4 Elaboración'!G73</f>
        <v>219045497.70000002</v>
      </c>
      <c r="D13" s="401">
        <f>C13*'Cuadro A - Presupuesto'!$H$50</f>
        <v>32856824.655000001</v>
      </c>
      <c r="E13" s="401">
        <f t="shared" si="0"/>
        <v>251902322.35500002</v>
      </c>
      <c r="F13" s="401">
        <f>E13*'Cuadro A - Presupuesto'!$H$52</f>
        <v>47861441.247450002</v>
      </c>
      <c r="G13" s="400">
        <f t="shared" si="1"/>
        <v>299763764</v>
      </c>
    </row>
    <row r="14" spans="1:7" ht="63.75" x14ac:dyDescent="0.2">
      <c r="A14" s="404" t="s">
        <v>438</v>
      </c>
      <c r="B14" s="403" t="s">
        <v>437</v>
      </c>
      <c r="C14" s="402">
        <f>+'C. B - Alcance 5 Consulta Prev.'!L50</f>
        <v>146553298.62</v>
      </c>
      <c r="D14" s="401">
        <f>C14*'Cuadro A - Presupuesto'!$H$50</f>
        <v>21982994.793000001</v>
      </c>
      <c r="E14" s="401">
        <f t="shared" si="0"/>
        <v>168536293.41300002</v>
      </c>
      <c r="F14" s="401">
        <f>E14*'Cuadro A - Presupuesto'!$H$52</f>
        <v>32021895.748470005</v>
      </c>
      <c r="G14" s="400">
        <f t="shared" si="1"/>
        <v>200558189</v>
      </c>
    </row>
    <row r="15" spans="1:7" ht="39" thickBot="1" x14ac:dyDescent="0.25">
      <c r="A15" s="399" t="s">
        <v>436</v>
      </c>
      <c r="B15" s="398" t="s">
        <v>435</v>
      </c>
      <c r="C15" s="397">
        <f>'C. B - Plan de Comunicaciones'!E30</f>
        <v>25269000.226800002</v>
      </c>
      <c r="D15" s="396">
        <f>C15*'Cuadro A - Presupuesto'!$H$50</f>
        <v>3790350.0340200001</v>
      </c>
      <c r="E15" s="396">
        <f t="shared" si="0"/>
        <v>29059350.260820001</v>
      </c>
      <c r="F15" s="396">
        <f>E15*'Cuadro A - Presupuesto'!$H$52</f>
        <v>5521276.5495557999</v>
      </c>
      <c r="G15" s="395">
        <f t="shared" si="1"/>
        <v>34580627</v>
      </c>
    </row>
    <row r="16" spans="1:7" ht="15.75" thickBot="1" x14ac:dyDescent="0.25">
      <c r="A16" s="629" t="s">
        <v>434</v>
      </c>
      <c r="B16" s="630"/>
      <c r="C16" s="394">
        <f>SUM(C10:C15)</f>
        <v>949931990.80000007</v>
      </c>
      <c r="D16" s="394">
        <f>ROUND(SUM(D10:D15),0)</f>
        <v>142489799</v>
      </c>
      <c r="E16" s="394">
        <f>SUM(E10:E15)</f>
        <v>1092421789.4200001</v>
      </c>
      <c r="F16" s="394">
        <f>ROUND(SUM(F10:F15),0)</f>
        <v>207560140</v>
      </c>
      <c r="G16" s="393">
        <f>SUM(G10:G15)</f>
        <v>1299981931</v>
      </c>
    </row>
    <row r="17" spans="1:1" x14ac:dyDescent="0.2">
      <c r="A17" s="392"/>
    </row>
  </sheetData>
  <sheetProtection algorithmName="SHA-512" hashValue="9GYxvA2IcDP3Mh/GY4X8wmkpxE8x3cVvVyKOUfc61ObXlbAEdCu7NwukuyJ0hzIVCvERLS9cYLgLMiNGNxZswg==" saltValue="YClijKW/QRX0c2T3GNmjkg==" spinCount="100000" sheet="1" formatCells="0" formatColumns="0" formatRows="0"/>
  <mergeCells count="4">
    <mergeCell ref="A2:G2"/>
    <mergeCell ref="A4:G6"/>
    <mergeCell ref="A8:G8"/>
    <mergeCell ref="A16:B16"/>
  </mergeCells>
  <pageMargins left="0.7" right="0.7" top="0.75" bottom="0.75" header="0.3" footer="0.3"/>
  <pageSetup scale="7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0D084-CC22-4E91-B05F-DF50A39F3AB2}">
  <sheetPr>
    <pageSetUpPr fitToPage="1"/>
  </sheetPr>
  <dimension ref="A1:H83"/>
  <sheetViews>
    <sheetView showGridLines="0" view="pageBreakPreview" topLeftCell="A24" zoomScale="115" zoomScaleNormal="100" zoomScaleSheetLayoutView="115" workbookViewId="0">
      <selection activeCell="G59" sqref="G59:G70"/>
    </sheetView>
  </sheetViews>
  <sheetFormatPr baseColWidth="10" defaultColWidth="9.7109375" defaultRowHeight="15.75" customHeight="1" x14ac:dyDescent="0.2"/>
  <cols>
    <col min="1" max="1" width="62.85546875" style="240" customWidth="1"/>
    <col min="2" max="3" width="12.140625" style="240" customWidth="1"/>
    <col min="4" max="4" width="15.140625" style="240" customWidth="1"/>
    <col min="5" max="5" width="12.140625" style="239" customWidth="1"/>
    <col min="6" max="6" width="15.7109375" style="238" bestFit="1" customWidth="1"/>
    <col min="7" max="7" width="15.42578125" style="238" customWidth="1"/>
    <col min="8" max="8" width="15.28515625" style="238" customWidth="1"/>
    <col min="9" max="16384" width="9.7109375" style="238"/>
  </cols>
  <sheetData>
    <row r="1" spans="1:8" ht="15.75" customHeight="1" thickBot="1" x14ac:dyDescent="0.25"/>
    <row r="2" spans="1:8" ht="27" thickBot="1" x14ac:dyDescent="0.45">
      <c r="A2" s="639" t="s">
        <v>285</v>
      </c>
      <c r="B2" s="640"/>
      <c r="C2" s="640"/>
      <c r="D2" s="640"/>
      <c r="E2" s="640"/>
      <c r="F2" s="640"/>
      <c r="G2" s="640"/>
      <c r="H2" s="641"/>
    </row>
    <row r="3" spans="1:8" ht="15.75" customHeight="1" thickBot="1" x14ac:dyDescent="0.25"/>
    <row r="4" spans="1:8" ht="15.75" customHeight="1" thickBot="1" x14ac:dyDescent="0.25">
      <c r="A4" s="653" t="s">
        <v>227</v>
      </c>
      <c r="B4" s="654"/>
      <c r="C4" s="654"/>
      <c r="D4" s="654"/>
      <c r="E4" s="654"/>
      <c r="F4" s="654"/>
      <c r="G4" s="654"/>
      <c r="H4" s="655"/>
    </row>
    <row r="5" spans="1:8" ht="39" thickBot="1" x14ac:dyDescent="0.25">
      <c r="A5" s="276" t="s">
        <v>197</v>
      </c>
      <c r="B5" s="275" t="s">
        <v>226</v>
      </c>
      <c r="C5" s="275" t="s">
        <v>225</v>
      </c>
      <c r="D5" s="275" t="s">
        <v>196</v>
      </c>
      <c r="E5" s="275" t="s">
        <v>195</v>
      </c>
      <c r="F5" s="275" t="s">
        <v>194</v>
      </c>
      <c r="G5" s="275" t="s">
        <v>224</v>
      </c>
      <c r="H5" s="274" t="s">
        <v>193</v>
      </c>
    </row>
    <row r="6" spans="1:8" ht="15.75" customHeight="1" x14ac:dyDescent="0.2">
      <c r="A6" s="667" t="s">
        <v>223</v>
      </c>
      <c r="B6" s="668"/>
      <c r="C6" s="668"/>
      <c r="D6" s="668"/>
      <c r="E6" s="668"/>
      <c r="F6" s="668"/>
      <c r="G6" s="668"/>
      <c r="H6" s="669"/>
    </row>
    <row r="7" spans="1:8" ht="24.75" customHeight="1" x14ac:dyDescent="0.2">
      <c r="A7" s="230" t="str">
        <f>+'Cuadro A - Presupuesto'!B10</f>
        <v>Profesional con experiencia en el área ambiental – Coordinador de Proyectos</v>
      </c>
      <c r="B7" s="229">
        <v>1</v>
      </c>
      <c r="C7" s="228">
        <v>0.08</v>
      </c>
      <c r="D7" s="226" t="s">
        <v>201</v>
      </c>
      <c r="E7" s="227">
        <f>+'Cuadro A - Presupuesto'!F10</f>
        <v>14</v>
      </c>
      <c r="F7" s="273">
        <f>+'Cuadro A - Presupuesto'!G10</f>
        <v>3987342</v>
      </c>
      <c r="G7" s="226">
        <v>1.58</v>
      </c>
      <c r="H7" s="225">
        <f t="shared" ref="H7:H27" si="0">+B7*C7*E7*F7*G7</f>
        <v>7056000.4032000005</v>
      </c>
    </row>
    <row r="8" spans="1:8" ht="15.75" customHeight="1" x14ac:dyDescent="0.2">
      <c r="A8" s="230" t="str">
        <f>+'Cuadro A - Presupuesto'!B11</f>
        <v xml:space="preserve">Profesional especialista socio -ambiental  </v>
      </c>
      <c r="B8" s="229">
        <v>1</v>
      </c>
      <c r="C8" s="228">
        <f>+'Cuadro A - Presupuesto'!D11*0.1</f>
        <v>0.1</v>
      </c>
      <c r="D8" s="226" t="s">
        <v>201</v>
      </c>
      <c r="E8" s="227">
        <f>+'Cuadro A - Presupuesto'!F11</f>
        <v>14</v>
      </c>
      <c r="F8" s="273">
        <f>+'Cuadro A - Presupuesto'!G11</f>
        <v>3322785</v>
      </c>
      <c r="G8" s="226">
        <v>1.58</v>
      </c>
      <c r="H8" s="225">
        <f t="shared" si="0"/>
        <v>7350000.4199999999</v>
      </c>
    </row>
    <row r="9" spans="1:8" ht="15.75" customHeight="1" x14ac:dyDescent="0.2">
      <c r="A9" s="230" t="str">
        <f>+'Cuadro A - Presupuesto'!B12</f>
        <v>Profesional especialista en hidrología</v>
      </c>
      <c r="B9" s="229">
        <v>1</v>
      </c>
      <c r="C9" s="228">
        <f>+'Cuadro A - Presupuesto'!D12*0.1</f>
        <v>0.05</v>
      </c>
      <c r="D9" s="226" t="s">
        <v>201</v>
      </c>
      <c r="E9" s="227">
        <f>+'Cuadro A - Presupuesto'!F12</f>
        <v>14</v>
      </c>
      <c r="F9" s="273">
        <f>+'Cuadro A - Presupuesto'!G12</f>
        <v>3322785</v>
      </c>
      <c r="G9" s="226">
        <v>1.58</v>
      </c>
      <c r="H9" s="225">
        <f t="shared" si="0"/>
        <v>3675000.21</v>
      </c>
    </row>
    <row r="10" spans="1:8" ht="15.75" customHeight="1" x14ac:dyDescent="0.2">
      <c r="A10" s="230" t="str">
        <f>+'Cuadro A - Presupuesto'!B13</f>
        <v>Profesional especialista en calidad y cantidad del agua</v>
      </c>
      <c r="B10" s="229">
        <v>1</v>
      </c>
      <c r="C10" s="228">
        <f>+'Cuadro A - Presupuesto'!D13*0.1</f>
        <v>0.05</v>
      </c>
      <c r="D10" s="226" t="s">
        <v>201</v>
      </c>
      <c r="E10" s="227">
        <f>+'Cuadro A - Presupuesto'!F13</f>
        <v>14</v>
      </c>
      <c r="F10" s="273">
        <f>+'Cuadro A - Presupuesto'!G13</f>
        <v>3322785</v>
      </c>
      <c r="G10" s="226">
        <v>1.58</v>
      </c>
      <c r="H10" s="225">
        <f t="shared" si="0"/>
        <v>3675000.21</v>
      </c>
    </row>
    <row r="11" spans="1:8" ht="15.75" customHeight="1" x14ac:dyDescent="0.2">
      <c r="A11" s="230" t="str">
        <f>+'Cuadro A - Presupuesto'!B14</f>
        <v xml:space="preserve">Profesional especialista en modelación </v>
      </c>
      <c r="B11" s="229">
        <v>1</v>
      </c>
      <c r="C11" s="228">
        <f>+'Cuadro A - Presupuesto'!D14*0.1</f>
        <v>0.05</v>
      </c>
      <c r="D11" s="226" t="s">
        <v>201</v>
      </c>
      <c r="E11" s="227">
        <f>+'Cuadro A - Presupuesto'!F14</f>
        <v>14</v>
      </c>
      <c r="F11" s="273">
        <f>+'Cuadro A - Presupuesto'!G14</f>
        <v>3322785</v>
      </c>
      <c r="G11" s="226">
        <v>1.58</v>
      </c>
      <c r="H11" s="225">
        <f t="shared" si="0"/>
        <v>3675000.21</v>
      </c>
    </row>
    <row r="12" spans="1:8" ht="15.75" customHeight="1" x14ac:dyDescent="0.2">
      <c r="A12" s="230" t="str">
        <f>+'Cuadro A - Presupuesto'!B15</f>
        <v>Profesional con experiencia en instrumentos económicos</v>
      </c>
      <c r="B12" s="229">
        <v>1</v>
      </c>
      <c r="C12" s="228">
        <f>+'Cuadro A - Presupuesto'!D15*0.1</f>
        <v>0.05</v>
      </c>
      <c r="D12" s="226" t="s">
        <v>201</v>
      </c>
      <c r="E12" s="227">
        <f>+'Cuadro A - Presupuesto'!F15</f>
        <v>5</v>
      </c>
      <c r="F12" s="273">
        <f>+'Cuadro A - Presupuesto'!G15</f>
        <v>3322785</v>
      </c>
      <c r="G12" s="226">
        <v>1.58</v>
      </c>
      <c r="H12" s="225">
        <f t="shared" si="0"/>
        <v>1312500.075</v>
      </c>
    </row>
    <row r="13" spans="1:8" ht="15.75" customHeight="1" x14ac:dyDescent="0.2">
      <c r="A13" s="230" t="str">
        <f>+'Cuadro A - Presupuesto'!B16</f>
        <v xml:space="preserve">Tecnólogos ambientales </v>
      </c>
      <c r="B13" s="229">
        <v>5</v>
      </c>
      <c r="C13" s="228">
        <f>+'Cuadro A - Presupuesto'!D16*0.1</f>
        <v>0.1</v>
      </c>
      <c r="D13" s="226" t="s">
        <v>201</v>
      </c>
      <c r="E13" s="227">
        <f>+'Cuadro A - Presupuesto'!F16</f>
        <v>10</v>
      </c>
      <c r="F13" s="273">
        <f>+'Cuadro A - Presupuesto'!G16</f>
        <v>2120253</v>
      </c>
      <c r="G13" s="226">
        <v>1.58</v>
      </c>
      <c r="H13" s="225">
        <f t="shared" si="0"/>
        <v>16749998.700000001</v>
      </c>
    </row>
    <row r="14" spans="1:8" ht="15.75" customHeight="1" x14ac:dyDescent="0.2">
      <c r="A14" s="230" t="str">
        <f>+'Cuadro A - Presupuesto'!B17</f>
        <v>Tecnólogo sin experiencia</v>
      </c>
      <c r="B14" s="229">
        <v>2</v>
      </c>
      <c r="C14" s="228">
        <f>+'Cuadro A - Presupuesto'!D17*0.1</f>
        <v>0.1</v>
      </c>
      <c r="D14" s="226" t="s">
        <v>201</v>
      </c>
      <c r="E14" s="227">
        <f>+'Cuadro A - Presupuesto'!F17</f>
        <v>6</v>
      </c>
      <c r="F14" s="273">
        <f>+'Cuadro A - Presupuesto'!G17</f>
        <v>1827848</v>
      </c>
      <c r="G14" s="226">
        <v>1.58</v>
      </c>
      <c r="H14" s="225">
        <f t="shared" si="0"/>
        <v>3465599.8080000002</v>
      </c>
    </row>
    <row r="15" spans="1:8" ht="15.75" customHeight="1" x14ac:dyDescent="0.2">
      <c r="A15" s="230" t="str">
        <f>+'Cuadro A - Presupuesto'!B18</f>
        <v xml:space="preserve">Profesionales con experiencia en hidrobiología   </v>
      </c>
      <c r="B15" s="229">
        <v>1</v>
      </c>
      <c r="C15" s="228">
        <f>+'Cuadro A - Presupuesto'!D18*0.1</f>
        <v>0.05</v>
      </c>
      <c r="D15" s="226" t="s">
        <v>201</v>
      </c>
      <c r="E15" s="227">
        <f>+'Cuadro A - Presupuesto'!F18</f>
        <v>7</v>
      </c>
      <c r="F15" s="273">
        <f>+'Cuadro A - Presupuesto'!G18</f>
        <v>3322785</v>
      </c>
      <c r="G15" s="226">
        <v>1.58</v>
      </c>
      <c r="H15" s="225">
        <f t="shared" si="0"/>
        <v>1837500.105</v>
      </c>
    </row>
    <row r="16" spans="1:8" ht="15.75" customHeight="1" x14ac:dyDescent="0.2">
      <c r="A16" s="230" t="str">
        <f>+'Cuadro A - Presupuesto'!B19</f>
        <v>Profesional en el área social</v>
      </c>
      <c r="B16" s="229">
        <v>1</v>
      </c>
      <c r="C16" s="228">
        <f>+'Cuadro A - Presupuesto'!D19*0.1</f>
        <v>0.05</v>
      </c>
      <c r="D16" s="226" t="s">
        <v>201</v>
      </c>
      <c r="E16" s="227">
        <f>+'Cuadro A - Presupuesto'!F19</f>
        <v>14</v>
      </c>
      <c r="F16" s="273">
        <f>+'Cuadro A - Presupuesto'!G19</f>
        <v>3322785</v>
      </c>
      <c r="G16" s="226">
        <v>1.58</v>
      </c>
      <c r="H16" s="225">
        <f t="shared" si="0"/>
        <v>3675000.21</v>
      </c>
    </row>
    <row r="17" spans="1:8" ht="15.75" customHeight="1" x14ac:dyDescent="0.2">
      <c r="A17" s="230" t="str">
        <f>+'Cuadro A - Presupuesto'!B20</f>
        <v>Profesional en el área de comunicaciones y diseño grafico</v>
      </c>
      <c r="B17" s="229">
        <v>1</v>
      </c>
      <c r="C17" s="228">
        <v>0.02</v>
      </c>
      <c r="D17" s="226" t="s">
        <v>201</v>
      </c>
      <c r="E17" s="227">
        <f>+'Cuadro A - Presupuesto'!F20</f>
        <v>14</v>
      </c>
      <c r="F17" s="273">
        <f>+'Cuadro A - Presupuesto'!G20</f>
        <v>3322785</v>
      </c>
      <c r="G17" s="226">
        <v>1.58</v>
      </c>
      <c r="H17" s="225">
        <f t="shared" si="0"/>
        <v>1470000.084</v>
      </c>
    </row>
    <row r="18" spans="1:8" ht="15.75" customHeight="1" x14ac:dyDescent="0.2">
      <c r="A18" s="230" t="str">
        <f>+'Cuadro A - Presupuesto'!B21</f>
        <v>Profesional en SIG</v>
      </c>
      <c r="B18" s="229">
        <v>1</v>
      </c>
      <c r="C18" s="228">
        <f>+'Cuadro A - Presupuesto'!D21*0.1</f>
        <v>0.05</v>
      </c>
      <c r="D18" s="226" t="s">
        <v>201</v>
      </c>
      <c r="E18" s="227">
        <f>+'Cuadro A - Presupuesto'!F21</f>
        <v>14</v>
      </c>
      <c r="F18" s="273">
        <f>+'Cuadro A - Presupuesto'!G21</f>
        <v>3322785</v>
      </c>
      <c r="G18" s="226">
        <v>1.58</v>
      </c>
      <c r="H18" s="225">
        <f t="shared" si="0"/>
        <v>3675000.21</v>
      </c>
    </row>
    <row r="19" spans="1:8" ht="15.75" customHeight="1" x14ac:dyDescent="0.2">
      <c r="A19" s="230" t="str">
        <f>+'Cuadro A - Presupuesto'!B22</f>
        <v>Profesional especialista en planificación</v>
      </c>
      <c r="B19" s="229">
        <v>1</v>
      </c>
      <c r="C19" s="228">
        <f>+'Cuadro A - Presupuesto'!D22*0.1</f>
        <v>0.05</v>
      </c>
      <c r="D19" s="226" t="s">
        <v>201</v>
      </c>
      <c r="E19" s="227">
        <f>+'Cuadro A - Presupuesto'!F22</f>
        <v>14</v>
      </c>
      <c r="F19" s="273">
        <f>+'Cuadro A - Presupuesto'!G22</f>
        <v>3322785</v>
      </c>
      <c r="G19" s="226">
        <v>1.58</v>
      </c>
      <c r="H19" s="225">
        <f t="shared" si="0"/>
        <v>3675000.21</v>
      </c>
    </row>
    <row r="20" spans="1:8" ht="15.75" customHeight="1" x14ac:dyDescent="0.2">
      <c r="A20" s="230" t="str">
        <f>+'Cuadro A - Presupuesto'!B23</f>
        <v>Tecnólogo en área social, administrativa o ambiental (apoyo)</v>
      </c>
      <c r="B20" s="229">
        <v>1</v>
      </c>
      <c r="C20" s="228">
        <f>+'Cuadro A - Presupuesto'!D23*0.1</f>
        <v>0.05</v>
      </c>
      <c r="D20" s="226" t="s">
        <v>201</v>
      </c>
      <c r="E20" s="227">
        <f>+'Cuadro A - Presupuesto'!F23</f>
        <v>14</v>
      </c>
      <c r="F20" s="273">
        <f>+'Cuadro A - Presupuesto'!G23</f>
        <v>1827848</v>
      </c>
      <c r="G20" s="226">
        <v>1.58</v>
      </c>
      <c r="H20" s="225">
        <f t="shared" si="0"/>
        <v>2021599.8880000003</v>
      </c>
    </row>
    <row r="21" spans="1:8" ht="15.75" customHeight="1" x14ac:dyDescent="0.2">
      <c r="A21" s="230" t="str">
        <f>+'Cuadro A - Presupuesto'!B24</f>
        <v>Profesional especialista obras hidráulica</v>
      </c>
      <c r="B21" s="229">
        <v>1</v>
      </c>
      <c r="C21" s="228">
        <f>+'Cuadro A - Presupuesto'!D24*0.1</f>
        <v>0.05</v>
      </c>
      <c r="D21" s="226" t="s">
        <v>201</v>
      </c>
      <c r="E21" s="227">
        <f>+'Cuadro A - Presupuesto'!F24</f>
        <v>6</v>
      </c>
      <c r="F21" s="273">
        <f>+'Cuadro A - Presupuesto'!G24</f>
        <v>3322785</v>
      </c>
      <c r="G21" s="226">
        <v>1.58</v>
      </c>
      <c r="H21" s="225">
        <f t="shared" si="0"/>
        <v>1575000.0900000003</v>
      </c>
    </row>
    <row r="22" spans="1:8" ht="15.75" customHeight="1" x14ac:dyDescent="0.2">
      <c r="A22" s="230" t="str">
        <f>+'Cuadro A - Presupuesto'!B25</f>
        <v xml:space="preserve">Profesional en ingeniería sin experiencia </v>
      </c>
      <c r="B22" s="229">
        <v>1</v>
      </c>
      <c r="C22" s="228">
        <f>+'Cuadro A - Presupuesto'!D25*0.1</f>
        <v>0.1</v>
      </c>
      <c r="D22" s="226" t="s">
        <v>201</v>
      </c>
      <c r="E22" s="227">
        <f>+'Cuadro A - Presupuesto'!F25</f>
        <v>10</v>
      </c>
      <c r="F22" s="273">
        <f>+'Cuadro A - Presupuesto'!G25</f>
        <v>2259494</v>
      </c>
      <c r="G22" s="226">
        <v>1.58</v>
      </c>
      <c r="H22" s="225">
        <f t="shared" si="0"/>
        <v>3570000.52</v>
      </c>
    </row>
    <row r="23" spans="1:8" ht="15.75" customHeight="1" x14ac:dyDescent="0.2">
      <c r="A23" s="230" t="str">
        <f>+'Cuadro A - Presupuesto'!B26</f>
        <v>Bachiller promotor sin experiencia cuerpo de agua La Vibora</v>
      </c>
      <c r="B23" s="229">
        <v>1</v>
      </c>
      <c r="C23" s="228">
        <f>+'Cuadro A - Presupuesto'!D26*0.1</f>
        <v>0.1</v>
      </c>
      <c r="D23" s="226" t="s">
        <v>201</v>
      </c>
      <c r="E23" s="227">
        <f>+'Cuadro A - Presupuesto'!F26</f>
        <v>10</v>
      </c>
      <c r="F23" s="273">
        <f>+'Cuadro A - Presupuesto'!G26</f>
        <v>1003030</v>
      </c>
      <c r="G23" s="226">
        <v>1.65</v>
      </c>
      <c r="H23" s="225">
        <f t="shared" si="0"/>
        <v>1654999.5</v>
      </c>
    </row>
    <row r="24" spans="1:8" ht="15.75" customHeight="1" x14ac:dyDescent="0.2">
      <c r="A24" s="230" t="str">
        <f>+'Cuadro A - Presupuesto'!B27</f>
        <v>Bachiller promotor sin experiencia cuerpo de agua La Noque</v>
      </c>
      <c r="B24" s="229">
        <v>1</v>
      </c>
      <c r="C24" s="228">
        <f>+'Cuadro A - Presupuesto'!D27*0.1</f>
        <v>0.1</v>
      </c>
      <c r="D24" s="226" t="s">
        <v>201</v>
      </c>
      <c r="E24" s="227">
        <f>+'Cuadro A - Presupuesto'!F27</f>
        <v>10</v>
      </c>
      <c r="F24" s="273">
        <f>+'Cuadro A - Presupuesto'!G27</f>
        <v>1003030</v>
      </c>
      <c r="G24" s="226">
        <v>1.65</v>
      </c>
      <c r="H24" s="225">
        <f t="shared" si="0"/>
        <v>1654999.5</v>
      </c>
    </row>
    <row r="25" spans="1:8" ht="15.75" customHeight="1" x14ac:dyDescent="0.2">
      <c r="A25" s="230" t="str">
        <f>+'Cuadro A - Presupuesto'!B28</f>
        <v>Bachiller promotor sin experiencia cuerpo de agua Q. Yarumalito</v>
      </c>
      <c r="B25" s="229">
        <v>1</v>
      </c>
      <c r="C25" s="228">
        <f>+'Cuadro A - Presupuesto'!D28*0.1</f>
        <v>0.1</v>
      </c>
      <c r="D25" s="226" t="s">
        <v>201</v>
      </c>
      <c r="E25" s="227">
        <f>+'Cuadro A - Presupuesto'!F28</f>
        <v>10</v>
      </c>
      <c r="F25" s="273">
        <f>+'Cuadro A - Presupuesto'!G28</f>
        <v>1003030</v>
      </c>
      <c r="G25" s="226">
        <v>1.65</v>
      </c>
      <c r="H25" s="225">
        <f t="shared" si="0"/>
        <v>1654999.5</v>
      </c>
    </row>
    <row r="26" spans="1:8" ht="15.75" customHeight="1" x14ac:dyDescent="0.2">
      <c r="A26" s="230" t="str">
        <f>+'Cuadro A - Presupuesto'!B29</f>
        <v>Bachiller promotor sin experiencia cuerpo de agua R. Dolores</v>
      </c>
      <c r="B26" s="229">
        <v>1</v>
      </c>
      <c r="C26" s="228">
        <f>+'Cuadro A - Presupuesto'!D29*0.1</f>
        <v>0.1</v>
      </c>
      <c r="D26" s="226" t="s">
        <v>201</v>
      </c>
      <c r="E26" s="227">
        <f>+'Cuadro A - Presupuesto'!F29</f>
        <v>10</v>
      </c>
      <c r="F26" s="273">
        <f>+'Cuadro A - Presupuesto'!G29</f>
        <v>1003030</v>
      </c>
      <c r="G26" s="226">
        <v>1.65</v>
      </c>
      <c r="H26" s="225">
        <f t="shared" si="0"/>
        <v>1654999.5</v>
      </c>
    </row>
    <row r="27" spans="1:8" ht="26.25" customHeight="1" x14ac:dyDescent="0.2">
      <c r="A27" s="230" t="str">
        <f>+'Cuadro A - Presupuesto'!B30</f>
        <v>Bachiller promotor sin experiencia cuerpo de agua Q. Sabaletas T</v>
      </c>
      <c r="B27" s="229">
        <v>1</v>
      </c>
      <c r="C27" s="228">
        <f>+'Cuadro A - Presupuesto'!D30*0.1</f>
        <v>0.1</v>
      </c>
      <c r="D27" s="226" t="s">
        <v>201</v>
      </c>
      <c r="E27" s="227">
        <f>+'Cuadro A - Presupuesto'!F30</f>
        <v>10</v>
      </c>
      <c r="F27" s="273">
        <f>+'Cuadro A - Presupuesto'!G30</f>
        <v>1003030</v>
      </c>
      <c r="G27" s="226">
        <v>1.65</v>
      </c>
      <c r="H27" s="225">
        <f t="shared" si="0"/>
        <v>1654999.5</v>
      </c>
    </row>
    <row r="28" spans="1:8" ht="15.75" customHeight="1" thickBot="1" x14ac:dyDescent="0.25">
      <c r="A28" s="656" t="s">
        <v>200</v>
      </c>
      <c r="B28" s="657"/>
      <c r="C28" s="657"/>
      <c r="D28" s="658"/>
      <c r="E28" s="658"/>
      <c r="F28" s="658"/>
      <c r="G28" s="659"/>
      <c r="H28" s="216">
        <f>SUM(H7:H27)</f>
        <v>76733198.853200004</v>
      </c>
    </row>
    <row r="29" spans="1:8" ht="15.75" customHeight="1" thickBot="1" x14ac:dyDescent="0.25">
      <c r="A29" s="660" t="s">
        <v>284</v>
      </c>
      <c r="B29" s="661"/>
      <c r="C29" s="661"/>
      <c r="D29" s="662"/>
      <c r="E29" s="662"/>
      <c r="F29" s="662"/>
      <c r="G29" s="663"/>
      <c r="H29" s="215">
        <f>H28</f>
        <v>76733198.853200004</v>
      </c>
    </row>
    <row r="30" spans="1:8" ht="15.75" customHeight="1" thickBot="1" x14ac:dyDescent="0.25"/>
    <row r="31" spans="1:8" s="271" customFormat="1" ht="15.75" customHeight="1" x14ac:dyDescent="0.25">
      <c r="A31" s="664" t="s">
        <v>198</v>
      </c>
      <c r="B31" s="665"/>
      <c r="C31" s="665"/>
      <c r="D31" s="665"/>
      <c r="E31" s="665"/>
      <c r="F31" s="665"/>
      <c r="G31" s="666"/>
    </row>
    <row r="32" spans="1:8" s="271" customFormat="1" ht="42.75" customHeight="1" x14ac:dyDescent="0.25">
      <c r="A32" s="272" t="s">
        <v>283</v>
      </c>
      <c r="B32" s="647" t="s">
        <v>282</v>
      </c>
      <c r="C32" s="647"/>
      <c r="D32" s="647"/>
      <c r="E32" s="647"/>
      <c r="F32" s="647"/>
      <c r="G32" s="648"/>
    </row>
    <row r="33" spans="1:7" s="271" customFormat="1" ht="28.5" customHeight="1" x14ac:dyDescent="0.25">
      <c r="A33" s="272" t="s">
        <v>281</v>
      </c>
      <c r="B33" s="647" t="s">
        <v>192</v>
      </c>
      <c r="C33" s="647"/>
      <c r="D33" s="647"/>
      <c r="E33" s="647"/>
      <c r="F33" s="647"/>
      <c r="G33" s="648"/>
    </row>
    <row r="34" spans="1:7" s="271" customFormat="1" ht="36" customHeight="1" x14ac:dyDescent="0.25">
      <c r="A34" s="272" t="s">
        <v>280</v>
      </c>
      <c r="B34" s="647" t="s">
        <v>279</v>
      </c>
      <c r="C34" s="647"/>
      <c r="D34" s="647"/>
      <c r="E34" s="647"/>
      <c r="F34" s="647"/>
      <c r="G34" s="648"/>
    </row>
    <row r="35" spans="1:7" ht="63.75" x14ac:dyDescent="0.2">
      <c r="A35" s="261" t="s">
        <v>278</v>
      </c>
      <c r="B35" s="260" t="s">
        <v>196</v>
      </c>
      <c r="C35" s="259" t="s">
        <v>259</v>
      </c>
      <c r="D35" s="259" t="s">
        <v>258</v>
      </c>
      <c r="E35" s="259" t="s">
        <v>257</v>
      </c>
      <c r="F35" s="259" t="s">
        <v>256</v>
      </c>
      <c r="G35" s="258" t="s">
        <v>255</v>
      </c>
    </row>
    <row r="36" spans="1:7" ht="12.75" x14ac:dyDescent="0.2">
      <c r="A36" s="257" t="s">
        <v>277</v>
      </c>
      <c r="B36" s="270" t="s">
        <v>276</v>
      </c>
      <c r="C36" s="256">
        <f>20*5</f>
        <v>100</v>
      </c>
      <c r="D36" s="256" t="s">
        <v>275</v>
      </c>
      <c r="E36" s="256">
        <f>+C36</f>
        <v>100</v>
      </c>
      <c r="F36" s="269">
        <v>10000</v>
      </c>
      <c r="G36" s="424">
        <f t="shared" ref="G36:G48" si="1">+F36*E36</f>
        <v>1000000</v>
      </c>
    </row>
    <row r="37" spans="1:7" ht="25.5" customHeight="1" x14ac:dyDescent="0.2">
      <c r="A37" s="257" t="s">
        <v>274</v>
      </c>
      <c r="B37" s="256" t="s">
        <v>262</v>
      </c>
      <c r="C37" s="256">
        <v>1</v>
      </c>
      <c r="D37" s="256">
        <v>3</v>
      </c>
      <c r="E37" s="256">
        <f t="shared" ref="E37:E48" si="2">C37*D37</f>
        <v>3</v>
      </c>
      <c r="F37" s="269">
        <v>90000</v>
      </c>
      <c r="G37" s="424">
        <f t="shared" si="1"/>
        <v>270000</v>
      </c>
    </row>
    <row r="38" spans="1:7" ht="25.5" customHeight="1" x14ac:dyDescent="0.2">
      <c r="A38" s="257" t="s">
        <v>273</v>
      </c>
      <c r="B38" s="256" t="s">
        <v>262</v>
      </c>
      <c r="C38" s="256">
        <v>1</v>
      </c>
      <c r="D38" s="256">
        <v>3</v>
      </c>
      <c r="E38" s="256">
        <f t="shared" si="2"/>
        <v>3</v>
      </c>
      <c r="F38" s="269">
        <v>90000</v>
      </c>
      <c r="G38" s="424">
        <f t="shared" si="1"/>
        <v>270000</v>
      </c>
    </row>
    <row r="39" spans="1:7" ht="25.5" customHeight="1" x14ac:dyDescent="0.2">
      <c r="A39" s="257" t="s">
        <v>272</v>
      </c>
      <c r="B39" s="256" t="s">
        <v>262</v>
      </c>
      <c r="C39" s="256">
        <v>1</v>
      </c>
      <c r="D39" s="256">
        <v>3</v>
      </c>
      <c r="E39" s="256">
        <f t="shared" si="2"/>
        <v>3</v>
      </c>
      <c r="F39" s="269">
        <v>90000</v>
      </c>
      <c r="G39" s="424">
        <f t="shared" si="1"/>
        <v>270000</v>
      </c>
    </row>
    <row r="40" spans="1:7" ht="25.5" customHeight="1" x14ac:dyDescent="0.2">
      <c r="A40" s="257" t="s">
        <v>271</v>
      </c>
      <c r="B40" s="256" t="s">
        <v>262</v>
      </c>
      <c r="C40" s="256">
        <v>1</v>
      </c>
      <c r="D40" s="256">
        <v>3</v>
      </c>
      <c r="E40" s="256">
        <f t="shared" si="2"/>
        <v>3</v>
      </c>
      <c r="F40" s="269">
        <v>90000</v>
      </c>
      <c r="G40" s="424">
        <f t="shared" si="1"/>
        <v>270000</v>
      </c>
    </row>
    <row r="41" spans="1:7" ht="25.5" customHeight="1" x14ac:dyDescent="0.2">
      <c r="A41" s="257" t="s">
        <v>270</v>
      </c>
      <c r="B41" s="256" t="s">
        <v>262</v>
      </c>
      <c r="C41" s="256">
        <v>1</v>
      </c>
      <c r="D41" s="256">
        <v>3</v>
      </c>
      <c r="E41" s="256">
        <f t="shared" si="2"/>
        <v>3</v>
      </c>
      <c r="F41" s="268">
        <v>90000</v>
      </c>
      <c r="G41" s="424">
        <f t="shared" si="1"/>
        <v>270000</v>
      </c>
    </row>
    <row r="42" spans="1:7" ht="25.5" customHeight="1" x14ac:dyDescent="0.2">
      <c r="A42" s="257" t="s">
        <v>269</v>
      </c>
      <c r="B42" s="256" t="s">
        <v>262</v>
      </c>
      <c r="C42" s="256">
        <v>1</v>
      </c>
      <c r="D42" s="256">
        <v>3</v>
      </c>
      <c r="E42" s="256">
        <f t="shared" si="2"/>
        <v>3</v>
      </c>
      <c r="F42" s="268">
        <v>90000</v>
      </c>
      <c r="G42" s="424">
        <f t="shared" si="1"/>
        <v>270000</v>
      </c>
    </row>
    <row r="43" spans="1:7" ht="25.5" customHeight="1" x14ac:dyDescent="0.2">
      <c r="A43" s="257" t="s">
        <v>268</v>
      </c>
      <c r="B43" s="256" t="s">
        <v>262</v>
      </c>
      <c r="C43" s="256">
        <v>1</v>
      </c>
      <c r="D43" s="256">
        <v>3</v>
      </c>
      <c r="E43" s="256">
        <f t="shared" si="2"/>
        <v>3</v>
      </c>
      <c r="F43" s="268">
        <v>90000</v>
      </c>
      <c r="G43" s="424">
        <f t="shared" si="1"/>
        <v>270000</v>
      </c>
    </row>
    <row r="44" spans="1:7" ht="28.5" customHeight="1" x14ac:dyDescent="0.2">
      <c r="A44" s="257" t="s">
        <v>267</v>
      </c>
      <c r="B44" s="256" t="s">
        <v>262</v>
      </c>
      <c r="C44" s="256">
        <v>10</v>
      </c>
      <c r="D44" s="256">
        <v>2</v>
      </c>
      <c r="E44" s="256">
        <f t="shared" si="2"/>
        <v>20</v>
      </c>
      <c r="F44" s="268">
        <v>90000</v>
      </c>
      <c r="G44" s="424">
        <f t="shared" si="1"/>
        <v>1800000</v>
      </c>
    </row>
    <row r="45" spans="1:7" ht="30.75" customHeight="1" x14ac:dyDescent="0.2">
      <c r="A45" s="257" t="s">
        <v>266</v>
      </c>
      <c r="B45" s="256" t="s">
        <v>262</v>
      </c>
      <c r="C45" s="256">
        <v>10</v>
      </c>
      <c r="D45" s="256">
        <v>2</v>
      </c>
      <c r="E45" s="256">
        <f t="shared" si="2"/>
        <v>20</v>
      </c>
      <c r="F45" s="268">
        <v>90000</v>
      </c>
      <c r="G45" s="424">
        <f t="shared" si="1"/>
        <v>1800000</v>
      </c>
    </row>
    <row r="46" spans="1:7" ht="29.25" customHeight="1" x14ac:dyDescent="0.2">
      <c r="A46" s="257" t="s">
        <v>265</v>
      </c>
      <c r="B46" s="256" t="s">
        <v>262</v>
      </c>
      <c r="C46" s="256">
        <v>10</v>
      </c>
      <c r="D46" s="256">
        <v>2</v>
      </c>
      <c r="E46" s="256">
        <f t="shared" si="2"/>
        <v>20</v>
      </c>
      <c r="F46" s="268">
        <v>90000</v>
      </c>
      <c r="G46" s="424">
        <f t="shared" si="1"/>
        <v>1800000</v>
      </c>
    </row>
    <row r="47" spans="1:7" ht="29.25" customHeight="1" x14ac:dyDescent="0.2">
      <c r="A47" s="257" t="s">
        <v>264</v>
      </c>
      <c r="B47" s="256" t="s">
        <v>262</v>
      </c>
      <c r="C47" s="256">
        <v>10</v>
      </c>
      <c r="D47" s="256">
        <v>2</v>
      </c>
      <c r="E47" s="256">
        <f t="shared" si="2"/>
        <v>20</v>
      </c>
      <c r="F47" s="268">
        <v>90000</v>
      </c>
      <c r="G47" s="424">
        <f t="shared" si="1"/>
        <v>1800000</v>
      </c>
    </row>
    <row r="48" spans="1:7" ht="25.5" customHeight="1" x14ac:dyDescent="0.2">
      <c r="A48" s="257" t="s">
        <v>263</v>
      </c>
      <c r="B48" s="256" t="s">
        <v>262</v>
      </c>
      <c r="C48" s="256">
        <v>10</v>
      </c>
      <c r="D48" s="256">
        <v>2</v>
      </c>
      <c r="E48" s="256">
        <f t="shared" si="2"/>
        <v>20</v>
      </c>
      <c r="F48" s="268">
        <v>90000</v>
      </c>
      <c r="G48" s="424">
        <f t="shared" si="1"/>
        <v>1800000</v>
      </c>
    </row>
    <row r="49" spans="1:8" ht="25.5" customHeight="1" x14ac:dyDescent="0.2">
      <c r="A49" s="649" t="s">
        <v>261</v>
      </c>
      <c r="B49" s="650"/>
      <c r="C49" s="650"/>
      <c r="D49" s="650"/>
      <c r="E49" s="650"/>
      <c r="F49" s="650"/>
      <c r="G49" s="267">
        <f>SUM(G36:G48)</f>
        <v>11890000</v>
      </c>
      <c r="H49" s="252"/>
    </row>
    <row r="50" spans="1:8" ht="25.5" customHeight="1" x14ac:dyDescent="0.2">
      <c r="A50" s="266" t="s">
        <v>234</v>
      </c>
      <c r="B50" s="263" t="s">
        <v>226</v>
      </c>
      <c r="C50" s="265">
        <f>SUM(C37:C48)</f>
        <v>57</v>
      </c>
      <c r="D50" s="264"/>
      <c r="E50" s="264"/>
      <c r="F50" s="263" t="s">
        <v>233</v>
      </c>
      <c r="G50" s="262">
        <f>+G49/C50</f>
        <v>208596.49122807017</v>
      </c>
    </row>
    <row r="51" spans="1:8" ht="63.75" x14ac:dyDescent="0.2">
      <c r="A51" s="261" t="s">
        <v>260</v>
      </c>
      <c r="B51" s="260" t="s">
        <v>196</v>
      </c>
      <c r="C51" s="259" t="s">
        <v>259</v>
      </c>
      <c r="D51" s="259" t="s">
        <v>258</v>
      </c>
      <c r="E51" s="259" t="s">
        <v>257</v>
      </c>
      <c r="F51" s="259" t="s">
        <v>256</v>
      </c>
      <c r="G51" s="258" t="s">
        <v>255</v>
      </c>
    </row>
    <row r="52" spans="1:8" ht="15.75" customHeight="1" x14ac:dyDescent="0.2">
      <c r="A52" s="257" t="s">
        <v>254</v>
      </c>
      <c r="B52" s="256" t="s">
        <v>176</v>
      </c>
      <c r="C52" s="256">
        <v>1</v>
      </c>
      <c r="D52" s="256">
        <v>3</v>
      </c>
      <c r="E52" s="256">
        <f t="shared" ref="E52:E70" si="3">C52*D52</f>
        <v>3</v>
      </c>
      <c r="F52" s="255">
        <v>70000</v>
      </c>
      <c r="G52" s="424">
        <f t="shared" ref="G52:G70" si="4">+F52*E52</f>
        <v>210000</v>
      </c>
    </row>
    <row r="53" spans="1:8" ht="15.75" customHeight="1" x14ac:dyDescent="0.2">
      <c r="A53" s="257" t="s">
        <v>253</v>
      </c>
      <c r="B53" s="256" t="s">
        <v>176</v>
      </c>
      <c r="C53" s="256">
        <v>1</v>
      </c>
      <c r="D53" s="256">
        <v>3</v>
      </c>
      <c r="E53" s="256">
        <f t="shared" si="3"/>
        <v>3</v>
      </c>
      <c r="F53" s="255">
        <v>70000</v>
      </c>
      <c r="G53" s="424">
        <f t="shared" si="4"/>
        <v>210000</v>
      </c>
    </row>
    <row r="54" spans="1:8" ht="15.75" customHeight="1" x14ac:dyDescent="0.2">
      <c r="A54" s="257" t="s">
        <v>252</v>
      </c>
      <c r="B54" s="256" t="s">
        <v>176</v>
      </c>
      <c r="C54" s="256">
        <v>1</v>
      </c>
      <c r="D54" s="256">
        <v>3</v>
      </c>
      <c r="E54" s="256">
        <f t="shared" si="3"/>
        <v>3</v>
      </c>
      <c r="F54" s="255">
        <v>70000</v>
      </c>
      <c r="G54" s="424">
        <f t="shared" si="4"/>
        <v>210000</v>
      </c>
    </row>
    <row r="55" spans="1:8" ht="27" customHeight="1" x14ac:dyDescent="0.2">
      <c r="A55" s="257" t="s">
        <v>251</v>
      </c>
      <c r="B55" s="256" t="s">
        <v>176</v>
      </c>
      <c r="C55" s="256">
        <v>1</v>
      </c>
      <c r="D55" s="256">
        <v>3</v>
      </c>
      <c r="E55" s="256">
        <f t="shared" si="3"/>
        <v>3</v>
      </c>
      <c r="F55" s="255">
        <v>70000</v>
      </c>
      <c r="G55" s="424">
        <f t="shared" si="4"/>
        <v>210000</v>
      </c>
    </row>
    <row r="56" spans="1:8" ht="27" customHeight="1" x14ac:dyDescent="0.2">
      <c r="A56" s="257" t="s">
        <v>250</v>
      </c>
      <c r="B56" s="256" t="s">
        <v>176</v>
      </c>
      <c r="C56" s="256">
        <v>1</v>
      </c>
      <c r="D56" s="256">
        <v>3</v>
      </c>
      <c r="E56" s="256">
        <f t="shared" si="3"/>
        <v>3</v>
      </c>
      <c r="F56" s="255">
        <v>70000</v>
      </c>
      <c r="G56" s="424">
        <f t="shared" si="4"/>
        <v>210000</v>
      </c>
    </row>
    <row r="57" spans="1:8" ht="15.75" customHeight="1" x14ac:dyDescent="0.2">
      <c r="A57" s="257" t="s">
        <v>249</v>
      </c>
      <c r="B57" s="256" t="s">
        <v>176</v>
      </c>
      <c r="C57" s="256">
        <v>1</v>
      </c>
      <c r="D57" s="256">
        <v>3</v>
      </c>
      <c r="E57" s="256">
        <f t="shared" si="3"/>
        <v>3</v>
      </c>
      <c r="F57" s="255">
        <v>70000</v>
      </c>
      <c r="G57" s="424">
        <f t="shared" si="4"/>
        <v>210000</v>
      </c>
    </row>
    <row r="58" spans="1:8" ht="15.75" customHeight="1" x14ac:dyDescent="0.2">
      <c r="A58" s="257" t="s">
        <v>248</v>
      </c>
      <c r="B58" s="256" t="s">
        <v>176</v>
      </c>
      <c r="C58" s="256">
        <v>1</v>
      </c>
      <c r="D58" s="256">
        <v>3</v>
      </c>
      <c r="E58" s="256">
        <f t="shared" si="3"/>
        <v>3</v>
      </c>
      <c r="F58" s="255">
        <v>70000</v>
      </c>
      <c r="G58" s="424">
        <f t="shared" si="4"/>
        <v>210000</v>
      </c>
    </row>
    <row r="59" spans="1:8" ht="15.75" customHeight="1" x14ac:dyDescent="0.2">
      <c r="A59" s="257" t="s">
        <v>247</v>
      </c>
      <c r="B59" s="256" t="s">
        <v>176</v>
      </c>
      <c r="C59" s="256">
        <f t="shared" ref="C59:D63" si="5">+C44</f>
        <v>10</v>
      </c>
      <c r="D59" s="256">
        <f t="shared" si="5"/>
        <v>2</v>
      </c>
      <c r="E59" s="256">
        <f t="shared" si="3"/>
        <v>20</v>
      </c>
      <c r="F59" s="255">
        <v>70000</v>
      </c>
      <c r="G59" s="424">
        <f t="shared" si="4"/>
        <v>1400000</v>
      </c>
    </row>
    <row r="60" spans="1:8" ht="15.75" customHeight="1" x14ac:dyDescent="0.2">
      <c r="A60" s="257" t="s">
        <v>246</v>
      </c>
      <c r="B60" s="256" t="s">
        <v>176</v>
      </c>
      <c r="C60" s="256">
        <f t="shared" si="5"/>
        <v>10</v>
      </c>
      <c r="D60" s="256">
        <f t="shared" si="5"/>
        <v>2</v>
      </c>
      <c r="E60" s="256">
        <f t="shared" si="3"/>
        <v>20</v>
      </c>
      <c r="F60" s="255">
        <v>70000</v>
      </c>
      <c r="G60" s="424">
        <f t="shared" si="4"/>
        <v>1400000</v>
      </c>
    </row>
    <row r="61" spans="1:8" ht="15.75" customHeight="1" x14ac:dyDescent="0.2">
      <c r="A61" s="257" t="s">
        <v>245</v>
      </c>
      <c r="B61" s="256" t="s">
        <v>176</v>
      </c>
      <c r="C61" s="256">
        <f t="shared" si="5"/>
        <v>10</v>
      </c>
      <c r="D61" s="256">
        <f t="shared" si="5"/>
        <v>2</v>
      </c>
      <c r="E61" s="256">
        <f t="shared" si="3"/>
        <v>20</v>
      </c>
      <c r="F61" s="255">
        <v>70000</v>
      </c>
      <c r="G61" s="424">
        <f t="shared" si="4"/>
        <v>1400000</v>
      </c>
    </row>
    <row r="62" spans="1:8" ht="15.75" customHeight="1" x14ac:dyDescent="0.2">
      <c r="A62" s="257" t="s">
        <v>244</v>
      </c>
      <c r="B62" s="256" t="s">
        <v>176</v>
      </c>
      <c r="C62" s="256">
        <f t="shared" si="5"/>
        <v>10</v>
      </c>
      <c r="D62" s="256">
        <f t="shared" si="5"/>
        <v>2</v>
      </c>
      <c r="E62" s="256">
        <f t="shared" si="3"/>
        <v>20</v>
      </c>
      <c r="F62" s="255">
        <v>70000</v>
      </c>
      <c r="G62" s="424">
        <f t="shared" si="4"/>
        <v>1400000</v>
      </c>
    </row>
    <row r="63" spans="1:8" ht="15.75" customHeight="1" x14ac:dyDescent="0.2">
      <c r="A63" s="257" t="s">
        <v>243</v>
      </c>
      <c r="B63" s="256" t="s">
        <v>176</v>
      </c>
      <c r="C63" s="256">
        <f t="shared" si="5"/>
        <v>10</v>
      </c>
      <c r="D63" s="256">
        <f t="shared" si="5"/>
        <v>2</v>
      </c>
      <c r="E63" s="256">
        <f t="shared" si="3"/>
        <v>20</v>
      </c>
      <c r="F63" s="255">
        <v>70000</v>
      </c>
      <c r="G63" s="424">
        <f t="shared" si="4"/>
        <v>1400000</v>
      </c>
    </row>
    <row r="64" spans="1:8" ht="29.25" customHeight="1" x14ac:dyDescent="0.2">
      <c r="A64" s="257" t="s">
        <v>242</v>
      </c>
      <c r="B64" s="256" t="s">
        <v>176</v>
      </c>
      <c r="C64" s="256">
        <v>2</v>
      </c>
      <c r="D64" s="256">
        <v>2</v>
      </c>
      <c r="E64" s="256">
        <f t="shared" si="3"/>
        <v>4</v>
      </c>
      <c r="F64" s="255">
        <v>70000</v>
      </c>
      <c r="G64" s="424">
        <f t="shared" si="4"/>
        <v>280000</v>
      </c>
    </row>
    <row r="65" spans="1:8" ht="30" customHeight="1" x14ac:dyDescent="0.2">
      <c r="A65" s="257" t="s">
        <v>241</v>
      </c>
      <c r="B65" s="256" t="s">
        <v>176</v>
      </c>
      <c r="C65" s="256">
        <v>2</v>
      </c>
      <c r="D65" s="256">
        <v>2</v>
      </c>
      <c r="E65" s="256">
        <f t="shared" si="3"/>
        <v>4</v>
      </c>
      <c r="F65" s="255">
        <v>70000</v>
      </c>
      <c r="G65" s="424">
        <f t="shared" si="4"/>
        <v>280000</v>
      </c>
    </row>
    <row r="66" spans="1:8" ht="31.5" customHeight="1" x14ac:dyDescent="0.2">
      <c r="A66" s="257" t="s">
        <v>240</v>
      </c>
      <c r="B66" s="256" t="s">
        <v>176</v>
      </c>
      <c r="C66" s="256">
        <v>2</v>
      </c>
      <c r="D66" s="256">
        <v>2</v>
      </c>
      <c r="E66" s="256">
        <f t="shared" si="3"/>
        <v>4</v>
      </c>
      <c r="F66" s="255">
        <v>70000</v>
      </c>
      <c r="G66" s="424">
        <f t="shared" si="4"/>
        <v>280000</v>
      </c>
    </row>
    <row r="67" spans="1:8" ht="26.25" customHeight="1" x14ac:dyDescent="0.2">
      <c r="A67" s="257" t="s">
        <v>239</v>
      </c>
      <c r="B67" s="256" t="s">
        <v>176</v>
      </c>
      <c r="C67" s="256">
        <v>2</v>
      </c>
      <c r="D67" s="256">
        <v>2</v>
      </c>
      <c r="E67" s="256">
        <f t="shared" si="3"/>
        <v>4</v>
      </c>
      <c r="F67" s="255">
        <v>70000</v>
      </c>
      <c r="G67" s="424">
        <f t="shared" si="4"/>
        <v>280000</v>
      </c>
    </row>
    <row r="68" spans="1:8" ht="26.25" customHeight="1" x14ac:dyDescent="0.2">
      <c r="A68" s="257" t="s">
        <v>238</v>
      </c>
      <c r="B68" s="256" t="s">
        <v>176</v>
      </c>
      <c r="C68" s="256">
        <v>2</v>
      </c>
      <c r="D68" s="256">
        <v>2</v>
      </c>
      <c r="E68" s="256">
        <f t="shared" si="3"/>
        <v>4</v>
      </c>
      <c r="F68" s="255">
        <v>70000</v>
      </c>
      <c r="G68" s="424">
        <f t="shared" si="4"/>
        <v>280000</v>
      </c>
    </row>
    <row r="69" spans="1:8" ht="29.25" customHeight="1" x14ac:dyDescent="0.2">
      <c r="A69" s="257" t="s">
        <v>237</v>
      </c>
      <c r="B69" s="256" t="s">
        <v>176</v>
      </c>
      <c r="C69" s="256">
        <v>2</v>
      </c>
      <c r="D69" s="256">
        <v>2</v>
      </c>
      <c r="E69" s="256">
        <f t="shared" si="3"/>
        <v>4</v>
      </c>
      <c r="F69" s="255">
        <v>70000</v>
      </c>
      <c r="G69" s="424">
        <f t="shared" si="4"/>
        <v>280000</v>
      </c>
    </row>
    <row r="70" spans="1:8" ht="29.25" customHeight="1" x14ac:dyDescent="0.2">
      <c r="A70" s="257" t="s">
        <v>236</v>
      </c>
      <c r="B70" s="256" t="s">
        <v>176</v>
      </c>
      <c r="C70" s="256">
        <v>2</v>
      </c>
      <c r="D70" s="256">
        <v>2</v>
      </c>
      <c r="E70" s="256">
        <f t="shared" si="3"/>
        <v>4</v>
      </c>
      <c r="F70" s="255">
        <v>70000</v>
      </c>
      <c r="G70" s="424">
        <f t="shared" si="4"/>
        <v>280000</v>
      </c>
    </row>
    <row r="71" spans="1:8" ht="15.75" customHeight="1" x14ac:dyDescent="0.2">
      <c r="A71" s="645" t="s">
        <v>235</v>
      </c>
      <c r="B71" s="646"/>
      <c r="C71" s="646"/>
      <c r="D71" s="646"/>
      <c r="E71" s="646"/>
      <c r="F71" s="646"/>
      <c r="G71" s="253">
        <f>SUM(G52:G70)</f>
        <v>10430000</v>
      </c>
      <c r="H71" s="252"/>
    </row>
    <row r="72" spans="1:8" ht="26.25" thickBot="1" x14ac:dyDescent="0.25">
      <c r="A72" s="251" t="s">
        <v>234</v>
      </c>
      <c r="B72" s="248" t="s">
        <v>226</v>
      </c>
      <c r="C72" s="250">
        <f>SUM(C52:C70)</f>
        <v>71</v>
      </c>
      <c r="D72" s="249"/>
      <c r="E72" s="249"/>
      <c r="F72" s="248" t="s">
        <v>233</v>
      </c>
      <c r="G72" s="247">
        <f>G71/C72</f>
        <v>146901.40845070421</v>
      </c>
      <c r="H72" s="246"/>
    </row>
    <row r="73" spans="1:8" ht="15.75" customHeight="1" thickBot="1" x14ac:dyDescent="0.25">
      <c r="A73" s="642" t="s">
        <v>232</v>
      </c>
      <c r="B73" s="643"/>
      <c r="C73" s="643"/>
      <c r="D73" s="643"/>
      <c r="E73" s="643"/>
      <c r="F73" s="644"/>
      <c r="G73" s="245">
        <f>+G71+G49</f>
        <v>22320000</v>
      </c>
    </row>
    <row r="74" spans="1:8" ht="15.75" customHeight="1" thickBot="1" x14ac:dyDescent="0.25">
      <c r="A74" s="244"/>
      <c r="B74" s="244"/>
      <c r="C74" s="244"/>
      <c r="D74" s="244"/>
      <c r="E74" s="244"/>
      <c r="G74" s="243"/>
    </row>
    <row r="75" spans="1:8" ht="15.75" customHeight="1" thickBot="1" x14ac:dyDescent="0.25">
      <c r="A75" s="651" t="s">
        <v>231</v>
      </c>
      <c r="B75" s="652"/>
      <c r="C75" s="652"/>
      <c r="D75" s="652"/>
      <c r="E75" s="652"/>
      <c r="F75" s="652"/>
      <c r="G75" s="242">
        <f>G73+H29</f>
        <v>99053198.853200004</v>
      </c>
    </row>
    <row r="79" spans="1:8" ht="15.75" customHeight="1" x14ac:dyDescent="0.2">
      <c r="A79" s="241"/>
      <c r="B79" s="241"/>
    </row>
    <row r="80" spans="1:8" ht="15.75" customHeight="1" x14ac:dyDescent="0.2">
      <c r="A80" s="192" t="s">
        <v>183</v>
      </c>
      <c r="B80" s="192"/>
    </row>
    <row r="81" spans="1:2" ht="15.75" customHeight="1" x14ac:dyDescent="0.2">
      <c r="A81" s="192" t="s">
        <v>182</v>
      </c>
      <c r="B81" s="192"/>
    </row>
    <row r="82" spans="1:2" ht="15.75" customHeight="1" x14ac:dyDescent="0.2">
      <c r="A82" s="192" t="s">
        <v>181</v>
      </c>
      <c r="B82" s="192"/>
    </row>
    <row r="83" spans="1:2" ht="15.75" customHeight="1" x14ac:dyDescent="0.2">
      <c r="A83" s="192" t="s">
        <v>180</v>
      </c>
      <c r="B83" s="192"/>
    </row>
  </sheetData>
  <sheetProtection algorithmName="SHA-512" hashValue="AgSc5jvy3gKmyOtgCAzKPjtg7IPGRBrYnwC80g+LMWxiaVPd8eUOrw0oeYFHjdi7AaxtLcAA1sJhtjeqrW8D/g==" saltValue="dOgVMDsnorkpIW7GAOtFPQ==" spinCount="100000" sheet="1" formatCells="0" formatColumns="0" formatRows="0" insertColumns="0" insertRows="0" insertHyperlinks="0"/>
  <mergeCells count="13">
    <mergeCell ref="A75:F75"/>
    <mergeCell ref="A4:H4"/>
    <mergeCell ref="A28:G28"/>
    <mergeCell ref="A29:G29"/>
    <mergeCell ref="A31:G31"/>
    <mergeCell ref="B32:G32"/>
    <mergeCell ref="B33:G33"/>
    <mergeCell ref="A6:H6"/>
    <mergeCell ref="A2:H2"/>
    <mergeCell ref="A73:F73"/>
    <mergeCell ref="A71:F71"/>
    <mergeCell ref="B34:G34"/>
    <mergeCell ref="A49:F49"/>
  </mergeCells>
  <dataValidations count="6">
    <dataValidation allowBlank="1" showInputMessage="1" showErrorMessage="1" prompt="ingrese el valor del Factor Prestacional asignado para el personal." sqref="G7:G27" xr:uid="{00000000-0002-0000-0100-000005000000}"/>
    <dataValidation allowBlank="1" showInputMessage="1" showErrorMessage="1" prompt="traer el valor definido en la hoja &quot;honorarios Corporativos&quot;" sqref="F7:F27" xr:uid="{00000000-0002-0000-0100-000004000000}"/>
    <dataValidation allowBlank="1" showInputMessage="1" showErrorMessage="1" prompt="diligencie la cantidad de unidad de medida del valor unitario" sqref="E7:E27" xr:uid="{00000000-0002-0000-0100-000003000000}"/>
    <dataValidation allowBlank="1" showInputMessage="1" showErrorMessage="1" prompt="definir la unidad de medida con la cual se asigna el valor unitario." sqref="D7:D27" xr:uid="{00000000-0002-0000-0100-000002000000}"/>
    <dataValidation allowBlank="1" showInputMessage="1" showErrorMessage="1" prompt="diligencie la cantidad del personal requerido" sqref="B7:B27" xr:uid="{00000000-0002-0000-0100-000001000000}"/>
    <dataValidation allowBlank="1" showInputMessage="1" showErrorMessage="1" prompt="diligencie la dedicación del personal relacionado._x000a_" sqref="C7:C27" xr:uid="{00000000-0002-0000-0100-000000000000}"/>
  </dataValidations>
  <pageMargins left="0.7" right="0.7" top="0.75" bottom="0.75" header="0.3" footer="0.3"/>
  <pageSetup scale="56"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52F7D-47FA-4A40-B874-4DA293D18BEA}">
  <sheetPr>
    <pageSetUpPr fitToPage="1"/>
  </sheetPr>
  <dimension ref="A1:H73"/>
  <sheetViews>
    <sheetView showGridLines="0" view="pageBreakPreview" topLeftCell="A60" zoomScale="115" zoomScaleNormal="100" zoomScaleSheetLayoutView="115" workbookViewId="0">
      <selection activeCell="G68" sqref="G50:G68"/>
    </sheetView>
  </sheetViews>
  <sheetFormatPr baseColWidth="10" defaultColWidth="9.7109375" defaultRowHeight="15.75" customHeight="1" x14ac:dyDescent="0.2"/>
  <cols>
    <col min="1" max="1" width="55.42578125" style="313" customWidth="1"/>
    <col min="2" max="3" width="12.140625" style="313" customWidth="1"/>
    <col min="4" max="4" width="15.42578125" style="313" customWidth="1"/>
    <col min="5" max="5" width="12.140625" style="312" customWidth="1"/>
    <col min="6" max="6" width="14.85546875" style="311" customWidth="1"/>
    <col min="7" max="7" width="16.85546875" style="311" customWidth="1"/>
    <col min="8" max="8" width="16.42578125" style="311" customWidth="1"/>
    <col min="9" max="16384" width="9.7109375" style="311"/>
  </cols>
  <sheetData>
    <row r="1" spans="1:8" ht="15.75" customHeight="1" thickBot="1" x14ac:dyDescent="0.25"/>
    <row r="2" spans="1:8" ht="27" thickBot="1" x14ac:dyDescent="0.45">
      <c r="A2" s="670" t="s">
        <v>433</v>
      </c>
      <c r="B2" s="671"/>
      <c r="C2" s="671"/>
      <c r="D2" s="671"/>
      <c r="E2" s="671"/>
      <c r="F2" s="671"/>
      <c r="G2" s="671"/>
      <c r="H2" s="672"/>
    </row>
    <row r="3" spans="1:8" ht="15.75" customHeight="1" thickBot="1" x14ac:dyDescent="0.25"/>
    <row r="4" spans="1:8" ht="15.75" customHeight="1" thickBot="1" x14ac:dyDescent="0.25">
      <c r="A4" s="653" t="s">
        <v>227</v>
      </c>
      <c r="B4" s="654"/>
      <c r="C4" s="654"/>
      <c r="D4" s="654"/>
      <c r="E4" s="654"/>
      <c r="F4" s="654"/>
      <c r="G4" s="654"/>
      <c r="H4" s="655"/>
    </row>
    <row r="5" spans="1:8" ht="39" thickBot="1" x14ac:dyDescent="0.25">
      <c r="A5" s="276" t="s">
        <v>197</v>
      </c>
      <c r="B5" s="275" t="s">
        <v>226</v>
      </c>
      <c r="C5" s="275" t="s">
        <v>225</v>
      </c>
      <c r="D5" s="275" t="s">
        <v>196</v>
      </c>
      <c r="E5" s="275" t="s">
        <v>195</v>
      </c>
      <c r="F5" s="275" t="s">
        <v>194</v>
      </c>
      <c r="G5" s="275" t="s">
        <v>224</v>
      </c>
      <c r="H5" s="274" t="s">
        <v>193</v>
      </c>
    </row>
    <row r="6" spans="1:8" ht="15.75" customHeight="1" x14ac:dyDescent="0.2">
      <c r="A6" s="667" t="s">
        <v>223</v>
      </c>
      <c r="B6" s="668"/>
      <c r="C6" s="668"/>
      <c r="D6" s="668"/>
      <c r="E6" s="668"/>
      <c r="F6" s="668"/>
      <c r="G6" s="668"/>
      <c r="H6" s="669"/>
    </row>
    <row r="7" spans="1:8" ht="25.5" x14ac:dyDescent="0.2">
      <c r="A7" s="230" t="str">
        <f>+'Cuadro A - Presupuesto'!B10</f>
        <v>Profesional con experiencia en el área ambiental – Coordinador de Proyectos</v>
      </c>
      <c r="B7" s="229">
        <v>1</v>
      </c>
      <c r="C7" s="228">
        <f>+'Cuadro A - Presupuesto'!D10*0.25</f>
        <v>0.25</v>
      </c>
      <c r="D7" s="226" t="s">
        <v>201</v>
      </c>
      <c r="E7" s="227">
        <f>+'Cuadro A - Presupuesto'!F10</f>
        <v>14</v>
      </c>
      <c r="F7" s="273">
        <f>+'Cuadro A - Presupuesto'!G10</f>
        <v>3987342</v>
      </c>
      <c r="G7" s="226">
        <v>1.58</v>
      </c>
      <c r="H7" s="225">
        <f t="shared" ref="H7:H27" si="0">+B7*C7*E7*F7*G7</f>
        <v>22050001.260000002</v>
      </c>
    </row>
    <row r="8" spans="1:8" ht="15.75" customHeight="1" x14ac:dyDescent="0.2">
      <c r="A8" s="230" t="str">
        <f>+'Cuadro A - Presupuesto'!B11</f>
        <v xml:space="preserve">Profesional especialista socio -ambiental  </v>
      </c>
      <c r="B8" s="229">
        <v>1</v>
      </c>
      <c r="C8" s="228">
        <f>+'Cuadro A - Presupuesto'!D11*0.25</f>
        <v>0.25</v>
      </c>
      <c r="D8" s="226" t="s">
        <v>201</v>
      </c>
      <c r="E8" s="227">
        <f>+'Cuadro A - Presupuesto'!F11</f>
        <v>14</v>
      </c>
      <c r="F8" s="273">
        <f>+'Cuadro A - Presupuesto'!G11</f>
        <v>3322785</v>
      </c>
      <c r="G8" s="226">
        <v>1.58</v>
      </c>
      <c r="H8" s="225">
        <f t="shared" si="0"/>
        <v>18375001.050000001</v>
      </c>
    </row>
    <row r="9" spans="1:8" ht="15.75" customHeight="1" x14ac:dyDescent="0.2">
      <c r="A9" s="230" t="str">
        <f>+'Cuadro A - Presupuesto'!B12</f>
        <v>Profesional especialista en hidrología</v>
      </c>
      <c r="B9" s="229">
        <v>1</v>
      </c>
      <c r="C9" s="228">
        <f>+'Cuadro A - Presupuesto'!D12*0.25</f>
        <v>0.125</v>
      </c>
      <c r="D9" s="226" t="s">
        <v>201</v>
      </c>
      <c r="E9" s="227">
        <f>+'Cuadro A - Presupuesto'!F12</f>
        <v>14</v>
      </c>
      <c r="F9" s="273">
        <f>+'Cuadro A - Presupuesto'!G12</f>
        <v>3322785</v>
      </c>
      <c r="G9" s="226">
        <v>1.58</v>
      </c>
      <c r="H9" s="225">
        <f t="shared" si="0"/>
        <v>9187500.5250000004</v>
      </c>
    </row>
    <row r="10" spans="1:8" ht="15.75" customHeight="1" x14ac:dyDescent="0.2">
      <c r="A10" s="230" t="str">
        <f>+'Cuadro A - Presupuesto'!B13</f>
        <v>Profesional especialista en calidad y cantidad del agua</v>
      </c>
      <c r="B10" s="229">
        <v>1</v>
      </c>
      <c r="C10" s="228">
        <f>+'Cuadro A - Presupuesto'!D13*0.25</f>
        <v>0.125</v>
      </c>
      <c r="D10" s="226" t="s">
        <v>201</v>
      </c>
      <c r="E10" s="227">
        <f>+'Cuadro A - Presupuesto'!F13</f>
        <v>14</v>
      </c>
      <c r="F10" s="273">
        <f>+'Cuadro A - Presupuesto'!G13</f>
        <v>3322785</v>
      </c>
      <c r="G10" s="226">
        <v>1.58</v>
      </c>
      <c r="H10" s="225">
        <f t="shared" si="0"/>
        <v>9187500.5250000004</v>
      </c>
    </row>
    <row r="11" spans="1:8" ht="15.75" customHeight="1" x14ac:dyDescent="0.2">
      <c r="A11" s="230" t="str">
        <f>+'Cuadro A - Presupuesto'!B14</f>
        <v xml:space="preserve">Profesional especialista en modelación </v>
      </c>
      <c r="B11" s="229">
        <v>1</v>
      </c>
      <c r="C11" s="228">
        <f>+'Cuadro A - Presupuesto'!D14*0.25</f>
        <v>0.125</v>
      </c>
      <c r="D11" s="226" t="s">
        <v>201</v>
      </c>
      <c r="E11" s="227">
        <f>+'Cuadro A - Presupuesto'!F14</f>
        <v>14</v>
      </c>
      <c r="F11" s="273">
        <f>+'Cuadro A - Presupuesto'!G14</f>
        <v>3322785</v>
      </c>
      <c r="G11" s="226">
        <v>1.58</v>
      </c>
      <c r="H11" s="225">
        <f t="shared" si="0"/>
        <v>9187500.5250000004</v>
      </c>
    </row>
    <row r="12" spans="1:8" ht="15.75" customHeight="1" x14ac:dyDescent="0.2">
      <c r="A12" s="230" t="str">
        <f>+'Cuadro A - Presupuesto'!B15</f>
        <v>Profesional con experiencia en instrumentos económicos</v>
      </c>
      <c r="B12" s="229">
        <v>1</v>
      </c>
      <c r="C12" s="228">
        <f>+'Cuadro A - Presupuesto'!D15*0.25</f>
        <v>0.125</v>
      </c>
      <c r="D12" s="226" t="s">
        <v>201</v>
      </c>
      <c r="E12" s="227">
        <f>+'Cuadro A - Presupuesto'!F15</f>
        <v>5</v>
      </c>
      <c r="F12" s="273">
        <f>+'Cuadro A - Presupuesto'!G15</f>
        <v>3322785</v>
      </c>
      <c r="G12" s="226">
        <v>1.58</v>
      </c>
      <c r="H12" s="225">
        <f t="shared" si="0"/>
        <v>3281250.1875</v>
      </c>
    </row>
    <row r="13" spans="1:8" ht="15.75" customHeight="1" x14ac:dyDescent="0.2">
      <c r="A13" s="230" t="str">
        <f>+'Cuadro A - Presupuesto'!B16</f>
        <v xml:space="preserve">Tecnólogos ambientales </v>
      </c>
      <c r="B13" s="229">
        <v>5</v>
      </c>
      <c r="C13" s="228">
        <f>+'Cuadro A - Presupuesto'!D16*0.25</f>
        <v>0.25</v>
      </c>
      <c r="D13" s="226" t="s">
        <v>201</v>
      </c>
      <c r="E13" s="227">
        <f>+'Cuadro A - Presupuesto'!F16</f>
        <v>10</v>
      </c>
      <c r="F13" s="273">
        <f>+'Cuadro A - Presupuesto'!G16</f>
        <v>2120253</v>
      </c>
      <c r="G13" s="226">
        <v>1.58</v>
      </c>
      <c r="H13" s="225">
        <f t="shared" si="0"/>
        <v>41874996.75</v>
      </c>
    </row>
    <row r="14" spans="1:8" ht="15.75" customHeight="1" x14ac:dyDescent="0.2">
      <c r="A14" s="230" t="str">
        <f>+'Cuadro A - Presupuesto'!B17</f>
        <v>Tecnólogo sin experiencia</v>
      </c>
      <c r="B14" s="229">
        <v>2</v>
      </c>
      <c r="C14" s="228">
        <f>+'Cuadro A - Presupuesto'!D17*0.25</f>
        <v>0.25</v>
      </c>
      <c r="D14" s="226" t="s">
        <v>201</v>
      </c>
      <c r="E14" s="227">
        <f>+'Cuadro A - Presupuesto'!F17</f>
        <v>6</v>
      </c>
      <c r="F14" s="273">
        <f>+'Cuadro A - Presupuesto'!G17</f>
        <v>1827848</v>
      </c>
      <c r="G14" s="226">
        <v>1.58</v>
      </c>
      <c r="H14" s="225">
        <f t="shared" si="0"/>
        <v>8663999.5199999996</v>
      </c>
    </row>
    <row r="15" spans="1:8" ht="15.75" customHeight="1" x14ac:dyDescent="0.2">
      <c r="A15" s="230" t="str">
        <f>+'Cuadro A - Presupuesto'!B18</f>
        <v xml:space="preserve">Profesionales con experiencia en hidrobiología   </v>
      </c>
      <c r="B15" s="229">
        <v>1</v>
      </c>
      <c r="C15" s="228">
        <f>+'Cuadro A - Presupuesto'!D18*0.25</f>
        <v>0.125</v>
      </c>
      <c r="D15" s="226" t="s">
        <v>201</v>
      </c>
      <c r="E15" s="227">
        <f>+'Cuadro A - Presupuesto'!F18</f>
        <v>7</v>
      </c>
      <c r="F15" s="273">
        <f>+'Cuadro A - Presupuesto'!G18</f>
        <v>3322785</v>
      </c>
      <c r="G15" s="226">
        <v>1.58</v>
      </c>
      <c r="H15" s="225">
        <f t="shared" si="0"/>
        <v>4593750.2625000002</v>
      </c>
    </row>
    <row r="16" spans="1:8" ht="15.75" customHeight="1" x14ac:dyDescent="0.2">
      <c r="A16" s="230" t="str">
        <f>+'Cuadro A - Presupuesto'!B19</f>
        <v>Profesional en el área social</v>
      </c>
      <c r="B16" s="229">
        <v>1</v>
      </c>
      <c r="C16" s="228">
        <f>+'Cuadro A - Presupuesto'!D19*0.25</f>
        <v>0.125</v>
      </c>
      <c r="D16" s="226" t="s">
        <v>201</v>
      </c>
      <c r="E16" s="227">
        <f>+'Cuadro A - Presupuesto'!F19</f>
        <v>14</v>
      </c>
      <c r="F16" s="273">
        <f>+'Cuadro A - Presupuesto'!G19</f>
        <v>3322785</v>
      </c>
      <c r="G16" s="226">
        <v>1.58</v>
      </c>
      <c r="H16" s="225">
        <f t="shared" si="0"/>
        <v>9187500.5250000004</v>
      </c>
    </row>
    <row r="17" spans="1:8" ht="15.75" customHeight="1" x14ac:dyDescent="0.2">
      <c r="A17" s="230" t="str">
        <f>+'Cuadro A - Presupuesto'!B20</f>
        <v>Profesional en el área de comunicaciones y diseño grafico</v>
      </c>
      <c r="B17" s="229">
        <v>1</v>
      </c>
      <c r="C17" s="228">
        <f>+'Cuadro A - Presupuesto'!D20*0.25</f>
        <v>0.125</v>
      </c>
      <c r="D17" s="226" t="s">
        <v>201</v>
      </c>
      <c r="E17" s="227">
        <f>+'Cuadro A - Presupuesto'!F20</f>
        <v>14</v>
      </c>
      <c r="F17" s="273">
        <f>+'Cuadro A - Presupuesto'!G20</f>
        <v>3322785</v>
      </c>
      <c r="G17" s="226">
        <v>1.58</v>
      </c>
      <c r="H17" s="225">
        <f t="shared" si="0"/>
        <v>9187500.5250000004</v>
      </c>
    </row>
    <row r="18" spans="1:8" ht="15.75" customHeight="1" x14ac:dyDescent="0.2">
      <c r="A18" s="230" t="str">
        <f>+'Cuadro A - Presupuesto'!B21</f>
        <v>Profesional en SIG</v>
      </c>
      <c r="B18" s="229">
        <v>1</v>
      </c>
      <c r="C18" s="228">
        <f>+'Cuadro A - Presupuesto'!D21*0.25</f>
        <v>0.125</v>
      </c>
      <c r="D18" s="226" t="s">
        <v>201</v>
      </c>
      <c r="E18" s="227">
        <f>+'Cuadro A - Presupuesto'!F21</f>
        <v>14</v>
      </c>
      <c r="F18" s="273">
        <f>+'Cuadro A - Presupuesto'!G21</f>
        <v>3322785</v>
      </c>
      <c r="G18" s="226">
        <v>1.58</v>
      </c>
      <c r="H18" s="225">
        <f t="shared" si="0"/>
        <v>9187500.5250000004</v>
      </c>
    </row>
    <row r="19" spans="1:8" ht="15.75" customHeight="1" x14ac:dyDescent="0.2">
      <c r="A19" s="230" t="str">
        <f>+'Cuadro A - Presupuesto'!B22</f>
        <v>Profesional especialista en planificación</v>
      </c>
      <c r="B19" s="229">
        <v>1</v>
      </c>
      <c r="C19" s="228">
        <f>+'Cuadro A - Presupuesto'!D22*0.25</f>
        <v>0.125</v>
      </c>
      <c r="D19" s="226" t="s">
        <v>201</v>
      </c>
      <c r="E19" s="227">
        <f>+'Cuadro A - Presupuesto'!F22</f>
        <v>14</v>
      </c>
      <c r="F19" s="273">
        <f>+'Cuadro A - Presupuesto'!G22</f>
        <v>3322785</v>
      </c>
      <c r="G19" s="226">
        <v>1.58</v>
      </c>
      <c r="H19" s="225">
        <f t="shared" si="0"/>
        <v>9187500.5250000004</v>
      </c>
    </row>
    <row r="20" spans="1:8" ht="15.75" customHeight="1" x14ac:dyDescent="0.2">
      <c r="A20" s="230" t="str">
        <f>+'Cuadro A - Presupuesto'!B23</f>
        <v>Tecnólogo en área social, administrativa o ambiental (apoyo)</v>
      </c>
      <c r="B20" s="229">
        <v>1</v>
      </c>
      <c r="C20" s="228">
        <f>+'Cuadro A - Presupuesto'!D23*0.25</f>
        <v>0.125</v>
      </c>
      <c r="D20" s="226" t="s">
        <v>201</v>
      </c>
      <c r="E20" s="227">
        <f>+'Cuadro A - Presupuesto'!F23</f>
        <v>14</v>
      </c>
      <c r="F20" s="273">
        <f>+'Cuadro A - Presupuesto'!G23</f>
        <v>1827848</v>
      </c>
      <c r="G20" s="226">
        <v>1.58</v>
      </c>
      <c r="H20" s="225">
        <f t="shared" si="0"/>
        <v>5053999.7200000007</v>
      </c>
    </row>
    <row r="21" spans="1:8" ht="15.75" customHeight="1" x14ac:dyDescent="0.2">
      <c r="A21" s="230" t="str">
        <f>+'Cuadro A - Presupuesto'!B24</f>
        <v>Profesional especialista obras hidráulica</v>
      </c>
      <c r="B21" s="229">
        <v>1</v>
      </c>
      <c r="C21" s="228">
        <f>+'Cuadro A - Presupuesto'!D24*0.25</f>
        <v>0.125</v>
      </c>
      <c r="D21" s="226" t="s">
        <v>201</v>
      </c>
      <c r="E21" s="227">
        <f>+'Cuadro A - Presupuesto'!F24</f>
        <v>6</v>
      </c>
      <c r="F21" s="273">
        <f>+'Cuadro A - Presupuesto'!G24</f>
        <v>3322785</v>
      </c>
      <c r="G21" s="226">
        <v>1.58</v>
      </c>
      <c r="H21" s="225">
        <f t="shared" si="0"/>
        <v>3937500.2250000001</v>
      </c>
    </row>
    <row r="22" spans="1:8" ht="15.75" customHeight="1" x14ac:dyDescent="0.2">
      <c r="A22" s="230" t="str">
        <f>+'Cuadro A - Presupuesto'!B25</f>
        <v xml:space="preserve">Profesional en ingeniería sin experiencia </v>
      </c>
      <c r="B22" s="229">
        <v>1</v>
      </c>
      <c r="C22" s="228">
        <f>+'Cuadro A - Presupuesto'!D25*0.25</f>
        <v>0.25</v>
      </c>
      <c r="D22" s="226" t="s">
        <v>201</v>
      </c>
      <c r="E22" s="227">
        <f>+'Cuadro A - Presupuesto'!F25</f>
        <v>10</v>
      </c>
      <c r="F22" s="273">
        <f>+'Cuadro A - Presupuesto'!G25</f>
        <v>2259494</v>
      </c>
      <c r="G22" s="226">
        <v>1.58</v>
      </c>
      <c r="H22" s="225">
        <f t="shared" si="0"/>
        <v>8925001.3000000007</v>
      </c>
    </row>
    <row r="23" spans="1:8" ht="12.75" x14ac:dyDescent="0.2">
      <c r="A23" s="230" t="str">
        <f>+'Cuadro A - Presupuesto'!B26</f>
        <v>Bachiller promotor sin experiencia cuerpo de agua La Vibora</v>
      </c>
      <c r="B23" s="229">
        <v>1</v>
      </c>
      <c r="C23" s="228">
        <f>+'Cuadro A - Presupuesto'!D26*0.25</f>
        <v>0.25</v>
      </c>
      <c r="D23" s="226" t="s">
        <v>201</v>
      </c>
      <c r="E23" s="227">
        <f>+'Cuadro A - Presupuesto'!F26</f>
        <v>10</v>
      </c>
      <c r="F23" s="273">
        <f>+'Cuadro A - Presupuesto'!G26</f>
        <v>1003030</v>
      </c>
      <c r="G23" s="226">
        <v>1.65</v>
      </c>
      <c r="H23" s="225">
        <f t="shared" si="0"/>
        <v>4137498.75</v>
      </c>
    </row>
    <row r="24" spans="1:8" ht="12.75" x14ac:dyDescent="0.2">
      <c r="A24" s="230" t="str">
        <f>+'Cuadro A - Presupuesto'!B27</f>
        <v>Bachiller promotor sin experiencia cuerpo de agua La Noque</v>
      </c>
      <c r="B24" s="229">
        <v>1</v>
      </c>
      <c r="C24" s="228">
        <f>+'Cuadro A - Presupuesto'!D27*0.25</f>
        <v>0.25</v>
      </c>
      <c r="D24" s="226" t="s">
        <v>201</v>
      </c>
      <c r="E24" s="227">
        <f>+'Cuadro A - Presupuesto'!F27</f>
        <v>10</v>
      </c>
      <c r="F24" s="273">
        <f>+'Cuadro A - Presupuesto'!G27</f>
        <v>1003030</v>
      </c>
      <c r="G24" s="226">
        <v>1.65</v>
      </c>
      <c r="H24" s="225">
        <f t="shared" si="0"/>
        <v>4137498.75</v>
      </c>
    </row>
    <row r="25" spans="1:8" ht="12.75" x14ac:dyDescent="0.2">
      <c r="A25" s="230" t="str">
        <f>+'Cuadro A - Presupuesto'!B28</f>
        <v>Bachiller promotor sin experiencia cuerpo de agua Q. Yarumalito</v>
      </c>
      <c r="B25" s="229">
        <v>1</v>
      </c>
      <c r="C25" s="228">
        <f>+'Cuadro A - Presupuesto'!D28*0.25</f>
        <v>0.25</v>
      </c>
      <c r="D25" s="226" t="s">
        <v>201</v>
      </c>
      <c r="E25" s="227">
        <f>+'Cuadro A - Presupuesto'!F28</f>
        <v>10</v>
      </c>
      <c r="F25" s="273">
        <f>+'Cuadro A - Presupuesto'!G28</f>
        <v>1003030</v>
      </c>
      <c r="G25" s="226">
        <v>1.65</v>
      </c>
      <c r="H25" s="225">
        <f t="shared" si="0"/>
        <v>4137498.75</v>
      </c>
    </row>
    <row r="26" spans="1:8" ht="12.75" x14ac:dyDescent="0.2">
      <c r="A26" s="230" t="str">
        <f>+'Cuadro A - Presupuesto'!B29</f>
        <v>Bachiller promotor sin experiencia cuerpo de agua R. Dolores</v>
      </c>
      <c r="B26" s="229">
        <v>1</v>
      </c>
      <c r="C26" s="228">
        <f>+'Cuadro A - Presupuesto'!D29*0.25</f>
        <v>0.25</v>
      </c>
      <c r="D26" s="226" t="s">
        <v>201</v>
      </c>
      <c r="E26" s="227">
        <f>+'Cuadro A - Presupuesto'!F29</f>
        <v>10</v>
      </c>
      <c r="F26" s="273">
        <f>+'Cuadro A - Presupuesto'!G29</f>
        <v>1003030</v>
      </c>
      <c r="G26" s="226">
        <v>1.65</v>
      </c>
      <c r="H26" s="225">
        <f t="shared" si="0"/>
        <v>4137498.75</v>
      </c>
    </row>
    <row r="27" spans="1:8" ht="25.5" x14ac:dyDescent="0.2">
      <c r="A27" s="230" t="str">
        <f>+'Cuadro A - Presupuesto'!B30</f>
        <v>Bachiller promotor sin experiencia cuerpo de agua Q. Sabaletas T</v>
      </c>
      <c r="B27" s="229">
        <v>1</v>
      </c>
      <c r="C27" s="228">
        <f>+'Cuadro A - Presupuesto'!D30*0.25</f>
        <v>0.25</v>
      </c>
      <c r="D27" s="226" t="s">
        <v>201</v>
      </c>
      <c r="E27" s="227">
        <f>+'Cuadro A - Presupuesto'!F30</f>
        <v>10</v>
      </c>
      <c r="F27" s="273">
        <f>+'Cuadro A - Presupuesto'!G30</f>
        <v>1003030</v>
      </c>
      <c r="G27" s="226">
        <v>1.65</v>
      </c>
      <c r="H27" s="225">
        <f t="shared" si="0"/>
        <v>4137498.75</v>
      </c>
    </row>
    <row r="28" spans="1:8" ht="15.75" customHeight="1" thickBot="1" x14ac:dyDescent="0.25">
      <c r="A28" s="656" t="s">
        <v>200</v>
      </c>
      <c r="B28" s="657"/>
      <c r="C28" s="657"/>
      <c r="D28" s="658"/>
      <c r="E28" s="658"/>
      <c r="F28" s="658"/>
      <c r="G28" s="659"/>
      <c r="H28" s="216">
        <f>SUM(H7:H27)</f>
        <v>201755497.70000002</v>
      </c>
    </row>
    <row r="29" spans="1:8" ht="15.75" customHeight="1" thickBot="1" x14ac:dyDescent="0.25">
      <c r="A29" s="660" t="s">
        <v>199</v>
      </c>
      <c r="B29" s="661"/>
      <c r="C29" s="661"/>
      <c r="D29" s="662"/>
      <c r="E29" s="662"/>
      <c r="F29" s="662"/>
      <c r="G29" s="663"/>
      <c r="H29" s="215">
        <f>H28</f>
        <v>201755497.70000002</v>
      </c>
    </row>
    <row r="30" spans="1:8" ht="15.75" customHeight="1" thickBot="1" x14ac:dyDescent="0.25"/>
    <row r="31" spans="1:8" s="326" customFormat="1" ht="15.75" customHeight="1" x14ac:dyDescent="0.25">
      <c r="A31" s="664" t="s">
        <v>403</v>
      </c>
      <c r="B31" s="665"/>
      <c r="C31" s="665"/>
      <c r="D31" s="665"/>
      <c r="E31" s="665"/>
      <c r="F31" s="665"/>
      <c r="G31" s="666"/>
    </row>
    <row r="32" spans="1:8" s="326" customFormat="1" ht="38.25" customHeight="1" x14ac:dyDescent="0.25">
      <c r="A32" s="272" t="s">
        <v>283</v>
      </c>
      <c r="B32" s="647" t="s">
        <v>432</v>
      </c>
      <c r="C32" s="647"/>
      <c r="D32" s="647"/>
      <c r="E32" s="647"/>
      <c r="F32" s="647"/>
      <c r="G32" s="648"/>
    </row>
    <row r="33" spans="1:8" s="326" customFormat="1" ht="28.5" customHeight="1" x14ac:dyDescent="0.25">
      <c r="A33" s="272" t="s">
        <v>281</v>
      </c>
      <c r="B33" s="647" t="s">
        <v>192</v>
      </c>
      <c r="C33" s="647"/>
      <c r="D33" s="647"/>
      <c r="E33" s="647"/>
      <c r="F33" s="647"/>
      <c r="G33" s="648"/>
    </row>
    <row r="34" spans="1:8" s="326" customFormat="1" ht="28.5" customHeight="1" x14ac:dyDescent="0.25">
      <c r="A34" s="272" t="s">
        <v>280</v>
      </c>
      <c r="B34" s="647" t="s">
        <v>431</v>
      </c>
      <c r="C34" s="647"/>
      <c r="D34" s="647"/>
      <c r="E34" s="647"/>
      <c r="F34" s="647"/>
      <c r="G34" s="648"/>
    </row>
    <row r="35" spans="1:8" ht="63.75" x14ac:dyDescent="0.2">
      <c r="A35" s="261" t="s">
        <v>430</v>
      </c>
      <c r="B35" s="260" t="s">
        <v>196</v>
      </c>
      <c r="C35" s="260" t="s">
        <v>259</v>
      </c>
      <c r="D35" s="259" t="s">
        <v>315</v>
      </c>
      <c r="E35" s="259" t="s">
        <v>257</v>
      </c>
      <c r="F35" s="260" t="s">
        <v>256</v>
      </c>
      <c r="G35" s="291" t="s">
        <v>255</v>
      </c>
    </row>
    <row r="36" spans="1:8" ht="12.75" x14ac:dyDescent="0.2">
      <c r="A36" s="257" t="str">
        <f>+'C. B - Alcance 1 Declaratoria'!A36</f>
        <v>Refrigerios (20 personas, 5 cuencas)</v>
      </c>
      <c r="B36" s="227" t="str">
        <f>+'C. B - Alcance 1 Declaratoria'!B36</f>
        <v xml:space="preserve">Refrigerios </v>
      </c>
      <c r="C36" s="288">
        <f>+'C. B - Alcance 1 Declaratoria'!C36</f>
        <v>100</v>
      </c>
      <c r="D36" s="288" t="str">
        <f>+'C. B - Alcance 1 Declaratoria'!D36</f>
        <v>NA</v>
      </c>
      <c r="E36" s="288">
        <f>+'C. B - Alcance 1 Declaratoria'!E36</f>
        <v>100</v>
      </c>
      <c r="F36" s="255">
        <f>+'C. B - Alcance 1 Declaratoria'!F36</f>
        <v>10000</v>
      </c>
      <c r="G36" s="431">
        <f>+E36*F36</f>
        <v>1000000</v>
      </c>
    </row>
    <row r="37" spans="1:8" ht="25.5" x14ac:dyDescent="0.2">
      <c r="A37" s="257" t="s">
        <v>429</v>
      </c>
      <c r="B37" s="227" t="s">
        <v>192</v>
      </c>
      <c r="C37" s="288">
        <f>+'C. B - Alcance 1 Declaratoria'!C37</f>
        <v>1</v>
      </c>
      <c r="D37" s="288">
        <f>+'C. B - Alcance 1 Declaratoria'!D37</f>
        <v>3</v>
      </c>
      <c r="E37" s="288">
        <f>+'C. B - Alcance 1 Declaratoria'!E37</f>
        <v>3</v>
      </c>
      <c r="F37" s="390">
        <f>+'C. B - Alcance 1 Declaratoria'!F37</f>
        <v>90000</v>
      </c>
      <c r="G37" s="431">
        <f t="shared" ref="G37:G46" si="1">+F37*E37</f>
        <v>270000</v>
      </c>
    </row>
    <row r="38" spans="1:8" ht="25.5" x14ac:dyDescent="0.2">
      <c r="A38" s="257" t="s">
        <v>428</v>
      </c>
      <c r="B38" s="227" t="s">
        <v>192</v>
      </c>
      <c r="C38" s="288">
        <f>+'C. B - Alcance 1 Declaratoria'!C38</f>
        <v>1</v>
      </c>
      <c r="D38" s="288">
        <f>+'C. B - Alcance 1 Declaratoria'!D38</f>
        <v>3</v>
      </c>
      <c r="E38" s="288">
        <f>+'C. B - Alcance 1 Declaratoria'!E38</f>
        <v>3</v>
      </c>
      <c r="F38" s="390">
        <f>+'C. B - Alcance 1 Declaratoria'!F38</f>
        <v>90000</v>
      </c>
      <c r="G38" s="431">
        <f t="shared" si="1"/>
        <v>270000</v>
      </c>
    </row>
    <row r="39" spans="1:8" ht="25.5" x14ac:dyDescent="0.2">
      <c r="A39" s="257" t="s">
        <v>427</v>
      </c>
      <c r="B39" s="227" t="s">
        <v>192</v>
      </c>
      <c r="C39" s="288">
        <f>+'C. B - Alcance 1 Declaratoria'!C39</f>
        <v>1</v>
      </c>
      <c r="D39" s="288">
        <f>+'C. B - Alcance 1 Declaratoria'!D39</f>
        <v>3</v>
      </c>
      <c r="E39" s="288">
        <f>+'C. B - Alcance 1 Declaratoria'!E39</f>
        <v>3</v>
      </c>
      <c r="F39" s="390">
        <f>+'C. B - Alcance 1 Declaratoria'!F39</f>
        <v>90000</v>
      </c>
      <c r="G39" s="431">
        <f t="shared" si="1"/>
        <v>270000</v>
      </c>
    </row>
    <row r="40" spans="1:8" ht="25.5" x14ac:dyDescent="0.2">
      <c r="A40" s="257" t="s">
        <v>426</v>
      </c>
      <c r="B40" s="227" t="s">
        <v>192</v>
      </c>
      <c r="C40" s="288">
        <f>+'C. B - Alcance 1 Declaratoria'!C40</f>
        <v>1</v>
      </c>
      <c r="D40" s="288">
        <f>+'C. B - Alcance 1 Declaratoria'!D40</f>
        <v>3</v>
      </c>
      <c r="E40" s="288">
        <f>+'C. B - Alcance 1 Declaratoria'!E40</f>
        <v>3</v>
      </c>
      <c r="F40" s="390">
        <f>+'C. B - Alcance 1 Declaratoria'!F40</f>
        <v>90000</v>
      </c>
      <c r="G40" s="431">
        <f t="shared" si="1"/>
        <v>270000</v>
      </c>
    </row>
    <row r="41" spans="1:8" ht="25.5" x14ac:dyDescent="0.2">
      <c r="A41" s="257" t="s">
        <v>425</v>
      </c>
      <c r="B41" s="227" t="s">
        <v>192</v>
      </c>
      <c r="C41" s="288">
        <f>+'C. B - Alcance 1 Declaratoria'!C42</f>
        <v>1</v>
      </c>
      <c r="D41" s="288">
        <f>+'C. B - Alcance 1 Declaratoria'!D42</f>
        <v>3</v>
      </c>
      <c r="E41" s="288">
        <f>+'C. B - Alcance 1 Declaratoria'!E42</f>
        <v>3</v>
      </c>
      <c r="F41" s="390">
        <f>+'C. B - Alcance 1 Declaratoria'!F42</f>
        <v>90000</v>
      </c>
      <c r="G41" s="431">
        <f t="shared" si="1"/>
        <v>270000</v>
      </c>
    </row>
    <row r="42" spans="1:8" ht="28.5" customHeight="1" x14ac:dyDescent="0.2">
      <c r="A42" s="257" t="s">
        <v>424</v>
      </c>
      <c r="B42" s="256" t="s">
        <v>262</v>
      </c>
      <c r="C42" s="256">
        <v>10</v>
      </c>
      <c r="D42" s="288">
        <f>+'C. B - Alcance 1 Declaratoria'!D43</f>
        <v>3</v>
      </c>
      <c r="E42" s="256">
        <f>C42*D42</f>
        <v>30</v>
      </c>
      <c r="F42" s="255">
        <f>+'C. B - Alcance 1 Declaratoria'!F44</f>
        <v>90000</v>
      </c>
      <c r="G42" s="424">
        <f t="shared" si="1"/>
        <v>2700000</v>
      </c>
    </row>
    <row r="43" spans="1:8" ht="30.75" customHeight="1" x14ac:dyDescent="0.2">
      <c r="A43" s="257" t="s">
        <v>423</v>
      </c>
      <c r="B43" s="256" t="s">
        <v>262</v>
      </c>
      <c r="C43" s="256">
        <v>10</v>
      </c>
      <c r="D43" s="288">
        <v>3</v>
      </c>
      <c r="E43" s="256">
        <f>C43*D43</f>
        <v>30</v>
      </c>
      <c r="F43" s="255">
        <f>+'C. B - Alcance 1 Declaratoria'!F45</f>
        <v>90000</v>
      </c>
      <c r="G43" s="424">
        <f t="shared" si="1"/>
        <v>2700000</v>
      </c>
    </row>
    <row r="44" spans="1:8" ht="29.25" customHeight="1" x14ac:dyDescent="0.2">
      <c r="A44" s="257" t="s">
        <v>422</v>
      </c>
      <c r="B44" s="256" t="s">
        <v>262</v>
      </c>
      <c r="C44" s="256">
        <v>10</v>
      </c>
      <c r="D44" s="288">
        <v>3</v>
      </c>
      <c r="E44" s="256">
        <f>C44*D44</f>
        <v>30</v>
      </c>
      <c r="F44" s="255">
        <f>+'C. B - Alcance 1 Declaratoria'!F46</f>
        <v>90000</v>
      </c>
      <c r="G44" s="424">
        <f t="shared" si="1"/>
        <v>2700000</v>
      </c>
    </row>
    <row r="45" spans="1:8" ht="29.25" customHeight="1" x14ac:dyDescent="0.2">
      <c r="A45" s="257" t="s">
        <v>421</v>
      </c>
      <c r="B45" s="256" t="s">
        <v>262</v>
      </c>
      <c r="C45" s="256">
        <v>10</v>
      </c>
      <c r="D45" s="288">
        <v>3</v>
      </c>
      <c r="E45" s="256">
        <f>C45*D45</f>
        <v>30</v>
      </c>
      <c r="F45" s="255">
        <f>+'C. B - Alcance 1 Declaratoria'!F47</f>
        <v>90000</v>
      </c>
      <c r="G45" s="424">
        <f t="shared" si="1"/>
        <v>2700000</v>
      </c>
    </row>
    <row r="46" spans="1:8" ht="25.5" customHeight="1" x14ac:dyDescent="0.2">
      <c r="A46" s="257" t="s">
        <v>420</v>
      </c>
      <c r="B46" s="256" t="s">
        <v>262</v>
      </c>
      <c r="C46" s="256">
        <v>10</v>
      </c>
      <c r="D46" s="288">
        <v>3</v>
      </c>
      <c r="E46" s="256">
        <f>C46*D46</f>
        <v>30</v>
      </c>
      <c r="F46" s="255">
        <f>+'C. B - Alcance 1 Declaratoria'!F48</f>
        <v>90000</v>
      </c>
      <c r="G46" s="424">
        <f t="shared" si="1"/>
        <v>2700000</v>
      </c>
    </row>
    <row r="47" spans="1:8" ht="15.75" customHeight="1" x14ac:dyDescent="0.2">
      <c r="A47" s="645" t="s">
        <v>419</v>
      </c>
      <c r="B47" s="646"/>
      <c r="C47" s="646"/>
      <c r="D47" s="646"/>
      <c r="E47" s="646"/>
      <c r="F47" s="646"/>
      <c r="G47" s="254">
        <f>SUM(G36:G46)</f>
        <v>15850000</v>
      </c>
      <c r="H47" s="388"/>
    </row>
    <row r="48" spans="1:8" ht="25.5" x14ac:dyDescent="0.2">
      <c r="A48" s="266" t="s">
        <v>234</v>
      </c>
      <c r="B48" s="263" t="s">
        <v>226</v>
      </c>
      <c r="C48" s="389">
        <f>SUM(C37:C41)</f>
        <v>5</v>
      </c>
      <c r="D48" s="264"/>
      <c r="E48" s="264"/>
      <c r="F48" s="263" t="s">
        <v>233</v>
      </c>
      <c r="G48" s="284">
        <f>G47/C48</f>
        <v>3170000</v>
      </c>
    </row>
    <row r="49" spans="1:7" ht="63.75" x14ac:dyDescent="0.2">
      <c r="A49" s="261" t="s">
        <v>418</v>
      </c>
      <c r="B49" s="260" t="s">
        <v>196</v>
      </c>
      <c r="C49" s="259" t="s">
        <v>259</v>
      </c>
      <c r="D49" s="259" t="s">
        <v>258</v>
      </c>
      <c r="E49" s="259" t="s">
        <v>257</v>
      </c>
      <c r="F49" s="259" t="s">
        <v>256</v>
      </c>
      <c r="G49" s="258" t="s">
        <v>255</v>
      </c>
    </row>
    <row r="50" spans="1:7" ht="15.75" customHeight="1" x14ac:dyDescent="0.2">
      <c r="A50" s="257" t="s">
        <v>417</v>
      </c>
      <c r="B50" s="283" t="s">
        <v>176</v>
      </c>
      <c r="C50" s="256">
        <v>1</v>
      </c>
      <c r="D50" s="256">
        <v>3</v>
      </c>
      <c r="E50" s="256">
        <f t="shared" ref="E50:E68" si="2">C50*D50</f>
        <v>3</v>
      </c>
      <c r="F50" s="308">
        <f>+'C. B - Alcance 1 Declaratoria'!F52</f>
        <v>70000</v>
      </c>
      <c r="G50" s="432">
        <f t="shared" ref="G50:G68" si="3">+F50*E50</f>
        <v>210000</v>
      </c>
    </row>
    <row r="51" spans="1:7" ht="15.75" customHeight="1" x14ac:dyDescent="0.2">
      <c r="A51" s="257" t="s">
        <v>416</v>
      </c>
      <c r="B51" s="283" t="s">
        <v>176</v>
      </c>
      <c r="C51" s="256">
        <v>1</v>
      </c>
      <c r="D51" s="256">
        <v>3</v>
      </c>
      <c r="E51" s="256">
        <f t="shared" si="2"/>
        <v>3</v>
      </c>
      <c r="F51" s="308">
        <f>+'C. B - Alcance 1 Declaratoria'!F53</f>
        <v>70000</v>
      </c>
      <c r="G51" s="432">
        <f t="shared" si="3"/>
        <v>210000</v>
      </c>
    </row>
    <row r="52" spans="1:7" ht="15.75" customHeight="1" x14ac:dyDescent="0.2">
      <c r="A52" s="257" t="s">
        <v>415</v>
      </c>
      <c r="B52" s="283" t="s">
        <v>176</v>
      </c>
      <c r="C52" s="256">
        <v>1</v>
      </c>
      <c r="D52" s="256">
        <v>3</v>
      </c>
      <c r="E52" s="256">
        <f t="shared" si="2"/>
        <v>3</v>
      </c>
      <c r="F52" s="308">
        <f>+'C. B - Alcance 1 Declaratoria'!F54</f>
        <v>70000</v>
      </c>
      <c r="G52" s="432">
        <f t="shared" si="3"/>
        <v>210000</v>
      </c>
    </row>
    <row r="53" spans="1:7" ht="29.25" customHeight="1" x14ac:dyDescent="0.2">
      <c r="A53" s="257" t="s">
        <v>414</v>
      </c>
      <c r="B53" s="283" t="s">
        <v>176</v>
      </c>
      <c r="C53" s="256">
        <v>1</v>
      </c>
      <c r="D53" s="256">
        <v>3</v>
      </c>
      <c r="E53" s="256">
        <f t="shared" si="2"/>
        <v>3</v>
      </c>
      <c r="F53" s="308">
        <f>+'C. B - Alcance 1 Declaratoria'!F55</f>
        <v>70000</v>
      </c>
      <c r="G53" s="432">
        <f t="shared" si="3"/>
        <v>210000</v>
      </c>
    </row>
    <row r="54" spans="1:7" ht="29.25" customHeight="1" x14ac:dyDescent="0.2">
      <c r="A54" s="257" t="s">
        <v>413</v>
      </c>
      <c r="B54" s="283" t="s">
        <v>176</v>
      </c>
      <c r="C54" s="256">
        <v>1</v>
      </c>
      <c r="D54" s="256">
        <v>3</v>
      </c>
      <c r="E54" s="256">
        <f t="shared" si="2"/>
        <v>3</v>
      </c>
      <c r="F54" s="308">
        <f>+'C. B - Alcance 1 Declaratoria'!F56</f>
        <v>70000</v>
      </c>
      <c r="G54" s="432">
        <f t="shared" si="3"/>
        <v>210000</v>
      </c>
    </row>
    <row r="55" spans="1:7" ht="33.75" customHeight="1" x14ac:dyDescent="0.2">
      <c r="A55" s="257" t="s">
        <v>412</v>
      </c>
      <c r="B55" s="283" t="s">
        <v>176</v>
      </c>
      <c r="C55" s="256">
        <v>1</v>
      </c>
      <c r="D55" s="256">
        <v>3</v>
      </c>
      <c r="E55" s="256">
        <f t="shared" si="2"/>
        <v>3</v>
      </c>
      <c r="F55" s="308">
        <f>+'C. B - Alcance 1 Declaratoria'!F57</f>
        <v>70000</v>
      </c>
      <c r="G55" s="432">
        <f t="shared" si="3"/>
        <v>210000</v>
      </c>
    </row>
    <row r="56" spans="1:7" ht="33.75" customHeight="1" x14ac:dyDescent="0.2">
      <c r="A56" s="257" t="s">
        <v>411</v>
      </c>
      <c r="B56" s="283" t="s">
        <v>176</v>
      </c>
      <c r="C56" s="256">
        <v>1</v>
      </c>
      <c r="D56" s="256">
        <v>3</v>
      </c>
      <c r="E56" s="256">
        <f t="shared" si="2"/>
        <v>3</v>
      </c>
      <c r="F56" s="308">
        <f>+'C. B - Alcance 1 Declaratoria'!F58</f>
        <v>70000</v>
      </c>
      <c r="G56" s="432">
        <f t="shared" si="3"/>
        <v>210000</v>
      </c>
    </row>
    <row r="57" spans="1:7" ht="30" customHeight="1" x14ac:dyDescent="0.2">
      <c r="A57" s="257" t="s">
        <v>247</v>
      </c>
      <c r="B57" s="283" t="s">
        <v>176</v>
      </c>
      <c r="C57" s="256">
        <v>10</v>
      </c>
      <c r="D57" s="256">
        <f>+D37</f>
        <v>3</v>
      </c>
      <c r="E57" s="256">
        <f t="shared" si="2"/>
        <v>30</v>
      </c>
      <c r="F57" s="308">
        <f>+'C. B - Alcance 1 Declaratoria'!F59</f>
        <v>70000</v>
      </c>
      <c r="G57" s="432">
        <f t="shared" si="3"/>
        <v>2100000</v>
      </c>
    </row>
    <row r="58" spans="1:7" ht="27.75" customHeight="1" x14ac:dyDescent="0.2">
      <c r="A58" s="257" t="s">
        <v>246</v>
      </c>
      <c r="B58" s="283" t="s">
        <v>176</v>
      </c>
      <c r="C58" s="256">
        <v>10</v>
      </c>
      <c r="D58" s="256">
        <f>+D38</f>
        <v>3</v>
      </c>
      <c r="E58" s="256">
        <f t="shared" si="2"/>
        <v>30</v>
      </c>
      <c r="F58" s="308">
        <f>+'C. B - Alcance 1 Declaratoria'!F60</f>
        <v>70000</v>
      </c>
      <c r="G58" s="432">
        <f t="shared" si="3"/>
        <v>2100000</v>
      </c>
    </row>
    <row r="59" spans="1:7" ht="29.25" customHeight="1" x14ac:dyDescent="0.2">
      <c r="A59" s="257" t="s">
        <v>245</v>
      </c>
      <c r="B59" s="283" t="s">
        <v>176</v>
      </c>
      <c r="C59" s="256">
        <v>10</v>
      </c>
      <c r="D59" s="256">
        <f>+D39</f>
        <v>3</v>
      </c>
      <c r="E59" s="256">
        <f t="shared" si="2"/>
        <v>30</v>
      </c>
      <c r="F59" s="308">
        <f>+'C. B - Alcance 1 Declaratoria'!F61</f>
        <v>70000</v>
      </c>
      <c r="G59" s="432">
        <f t="shared" si="3"/>
        <v>2100000</v>
      </c>
    </row>
    <row r="60" spans="1:7" ht="30.75" customHeight="1" x14ac:dyDescent="0.2">
      <c r="A60" s="257" t="s">
        <v>244</v>
      </c>
      <c r="B60" s="283" t="s">
        <v>176</v>
      </c>
      <c r="C60" s="256">
        <v>10</v>
      </c>
      <c r="D60" s="256">
        <f>+D40</f>
        <v>3</v>
      </c>
      <c r="E60" s="256">
        <f t="shared" si="2"/>
        <v>30</v>
      </c>
      <c r="F60" s="308">
        <f>+'C. B - Alcance 1 Declaratoria'!F62</f>
        <v>70000</v>
      </c>
      <c r="G60" s="432">
        <f t="shared" si="3"/>
        <v>2100000</v>
      </c>
    </row>
    <row r="61" spans="1:7" ht="28.5" customHeight="1" x14ac:dyDescent="0.2">
      <c r="A61" s="257" t="s">
        <v>243</v>
      </c>
      <c r="B61" s="283" t="s">
        <v>176</v>
      </c>
      <c r="C61" s="256">
        <v>10</v>
      </c>
      <c r="D61" s="256">
        <f>+D41</f>
        <v>3</v>
      </c>
      <c r="E61" s="256">
        <f t="shared" si="2"/>
        <v>30</v>
      </c>
      <c r="F61" s="308">
        <f>+'C. B - Alcance 1 Declaratoria'!F63</f>
        <v>70000</v>
      </c>
      <c r="G61" s="432">
        <f t="shared" si="3"/>
        <v>2100000</v>
      </c>
    </row>
    <row r="62" spans="1:7" ht="24.75" customHeight="1" x14ac:dyDescent="0.2">
      <c r="A62" s="257" t="s">
        <v>242</v>
      </c>
      <c r="B62" s="283" t="s">
        <v>176</v>
      </c>
      <c r="C62" s="256">
        <v>3</v>
      </c>
      <c r="D62" s="256">
        <v>3</v>
      </c>
      <c r="E62" s="256">
        <f t="shared" si="2"/>
        <v>9</v>
      </c>
      <c r="F62" s="308">
        <f>+'C. B - Alcance 1 Declaratoria'!F64</f>
        <v>70000</v>
      </c>
      <c r="G62" s="432">
        <f t="shared" si="3"/>
        <v>630000</v>
      </c>
    </row>
    <row r="63" spans="1:7" ht="27.75" customHeight="1" x14ac:dyDescent="0.2">
      <c r="A63" s="257" t="s">
        <v>241</v>
      </c>
      <c r="B63" s="283" t="s">
        <v>176</v>
      </c>
      <c r="C63" s="256">
        <v>3</v>
      </c>
      <c r="D63" s="256">
        <v>3</v>
      </c>
      <c r="E63" s="256">
        <f t="shared" si="2"/>
        <v>9</v>
      </c>
      <c r="F63" s="308">
        <f>+'C. B - Alcance 1 Declaratoria'!F65</f>
        <v>70000</v>
      </c>
      <c r="G63" s="432">
        <f t="shared" si="3"/>
        <v>630000</v>
      </c>
    </row>
    <row r="64" spans="1:7" ht="27.75" customHeight="1" x14ac:dyDescent="0.2">
      <c r="A64" s="257" t="s">
        <v>289</v>
      </c>
      <c r="B64" s="283" t="s">
        <v>176</v>
      </c>
      <c r="C64" s="256">
        <v>3</v>
      </c>
      <c r="D64" s="256">
        <v>3</v>
      </c>
      <c r="E64" s="256">
        <f t="shared" si="2"/>
        <v>9</v>
      </c>
      <c r="F64" s="308">
        <f>+'C. B - Alcance 1 Declaratoria'!F66</f>
        <v>70000</v>
      </c>
      <c r="G64" s="432">
        <f t="shared" si="3"/>
        <v>630000</v>
      </c>
    </row>
    <row r="65" spans="1:8" ht="27" customHeight="1" x14ac:dyDescent="0.2">
      <c r="A65" s="257" t="s">
        <v>288</v>
      </c>
      <c r="B65" s="283" t="s">
        <v>176</v>
      </c>
      <c r="C65" s="256">
        <v>3</v>
      </c>
      <c r="D65" s="256">
        <v>3</v>
      </c>
      <c r="E65" s="256">
        <f t="shared" si="2"/>
        <v>9</v>
      </c>
      <c r="F65" s="308">
        <f>+'C. B - Alcance 1 Declaratoria'!F67</f>
        <v>70000</v>
      </c>
      <c r="G65" s="432">
        <f t="shared" si="3"/>
        <v>630000</v>
      </c>
    </row>
    <row r="66" spans="1:8" ht="27" customHeight="1" x14ac:dyDescent="0.2">
      <c r="A66" s="257" t="s">
        <v>238</v>
      </c>
      <c r="B66" s="283" t="s">
        <v>176</v>
      </c>
      <c r="C66" s="256">
        <v>3</v>
      </c>
      <c r="D66" s="256">
        <v>3</v>
      </c>
      <c r="E66" s="256">
        <f t="shared" si="2"/>
        <v>9</v>
      </c>
      <c r="F66" s="308">
        <f>+'C. B - Alcance 1 Declaratoria'!F68</f>
        <v>70000</v>
      </c>
      <c r="G66" s="432">
        <f t="shared" si="3"/>
        <v>630000</v>
      </c>
    </row>
    <row r="67" spans="1:8" ht="26.25" customHeight="1" x14ac:dyDescent="0.2">
      <c r="A67" s="257" t="s">
        <v>237</v>
      </c>
      <c r="B67" s="283" t="s">
        <v>176</v>
      </c>
      <c r="C67" s="256">
        <v>3</v>
      </c>
      <c r="D67" s="256">
        <v>3</v>
      </c>
      <c r="E67" s="256">
        <f t="shared" si="2"/>
        <v>9</v>
      </c>
      <c r="F67" s="308">
        <f>+'C. B - Alcance 1 Declaratoria'!F69</f>
        <v>70000</v>
      </c>
      <c r="G67" s="432">
        <f t="shared" si="3"/>
        <v>630000</v>
      </c>
    </row>
    <row r="68" spans="1:8" ht="27" customHeight="1" x14ac:dyDescent="0.2">
      <c r="A68" s="257" t="s">
        <v>236</v>
      </c>
      <c r="B68" s="283" t="s">
        <v>176</v>
      </c>
      <c r="C68" s="256">
        <v>3</v>
      </c>
      <c r="D68" s="256">
        <v>3</v>
      </c>
      <c r="E68" s="256">
        <f t="shared" si="2"/>
        <v>9</v>
      </c>
      <c r="F68" s="308">
        <f>+'C. B - Alcance 1 Declaratoria'!F70</f>
        <v>70000</v>
      </c>
      <c r="G68" s="432">
        <f t="shared" si="3"/>
        <v>630000</v>
      </c>
    </row>
    <row r="69" spans="1:8" ht="15.75" customHeight="1" x14ac:dyDescent="0.2">
      <c r="A69" s="645" t="s">
        <v>410</v>
      </c>
      <c r="B69" s="646"/>
      <c r="C69" s="646"/>
      <c r="D69" s="646"/>
      <c r="E69" s="646"/>
      <c r="F69" s="646"/>
      <c r="G69" s="253">
        <f>SUM(G50:G68)</f>
        <v>16380000</v>
      </c>
      <c r="H69" s="388"/>
    </row>
    <row r="70" spans="1:8" ht="26.25" thickBot="1" x14ac:dyDescent="0.25">
      <c r="A70" s="251" t="s">
        <v>234</v>
      </c>
      <c r="B70" s="248" t="s">
        <v>226</v>
      </c>
      <c r="C70" s="250">
        <f>SUM(C50:C68)</f>
        <v>78</v>
      </c>
      <c r="D70" s="249"/>
      <c r="E70" s="249"/>
      <c r="F70" s="248" t="s">
        <v>233</v>
      </c>
      <c r="G70" s="280">
        <f>G69/C70</f>
        <v>210000</v>
      </c>
      <c r="H70" s="387"/>
    </row>
    <row r="71" spans="1:8" ht="15.75" customHeight="1" thickBot="1" x14ac:dyDescent="0.25">
      <c r="A71" s="642" t="s">
        <v>232</v>
      </c>
      <c r="B71" s="643"/>
      <c r="C71" s="643"/>
      <c r="D71" s="643"/>
      <c r="E71" s="643"/>
      <c r="F71" s="644"/>
      <c r="G71" s="245">
        <f>+G69+G47</f>
        <v>32230000</v>
      </c>
    </row>
    <row r="72" spans="1:8" ht="15.75" customHeight="1" thickBot="1" x14ac:dyDescent="0.25">
      <c r="A72" s="314"/>
      <c r="B72" s="314"/>
      <c r="C72" s="314"/>
      <c r="D72" s="314"/>
      <c r="E72" s="314"/>
      <c r="G72" s="316"/>
    </row>
    <row r="73" spans="1:8" ht="15.75" customHeight="1" thickBot="1" x14ac:dyDescent="0.25">
      <c r="A73" s="651" t="s">
        <v>409</v>
      </c>
      <c r="B73" s="652"/>
      <c r="C73" s="652"/>
      <c r="D73" s="652"/>
      <c r="E73" s="652"/>
      <c r="F73" s="652"/>
      <c r="G73" s="315">
        <f>G71+H29</f>
        <v>233985497.70000002</v>
      </c>
    </row>
  </sheetData>
  <sheetProtection algorithmName="SHA-512" hashValue="dT8MffVsPVLDpgAq27qzX2EXsEvctkiyHsQulNJwcyJdHqWAh7wc01SGixzuM4ANkO5hD6NDHje/hZcDx5zkDA==" saltValue="IT0EMWteM76qqPoUD8kftw==" spinCount="100000" sheet="1" formatCells="0" formatColumns="0" formatRows="0" insertColumns="0" insertRows="0" insertHyperlinks="0"/>
  <mergeCells count="13">
    <mergeCell ref="A2:H2"/>
    <mergeCell ref="A4:H4"/>
    <mergeCell ref="A69:F69"/>
    <mergeCell ref="A28:G28"/>
    <mergeCell ref="A29:G29"/>
    <mergeCell ref="A47:F47"/>
    <mergeCell ref="A6:H6"/>
    <mergeCell ref="A71:F71"/>
    <mergeCell ref="A73:F73"/>
    <mergeCell ref="A31:G31"/>
    <mergeCell ref="B32:G32"/>
    <mergeCell ref="B33:G33"/>
    <mergeCell ref="B34:G34"/>
  </mergeCells>
  <dataValidations count="6">
    <dataValidation allowBlank="1" showInputMessage="1" showErrorMessage="1" prompt="diligencie la dedicación del personal relacionado._x000a_" sqref="C7:C27" xr:uid="{00000000-0002-0000-0200-000005000000}"/>
    <dataValidation allowBlank="1" showInputMessage="1" showErrorMessage="1" prompt="diligencie la cantidad del personal requerido" sqref="B7:B27" xr:uid="{00000000-0002-0000-0200-000004000000}"/>
    <dataValidation allowBlank="1" showInputMessage="1" showErrorMessage="1" prompt="definir la unidad de medida con la cual se asigna el valor unitario." sqref="D7:D27" xr:uid="{00000000-0002-0000-0200-000003000000}"/>
    <dataValidation allowBlank="1" showInputMessage="1" showErrorMessage="1" prompt="diligencie la cantidad de unidad de medida del valor unitario" sqref="E7:E27" xr:uid="{00000000-0002-0000-0200-000002000000}"/>
    <dataValidation allowBlank="1" showInputMessage="1" showErrorMessage="1" prompt="traer el valor definido en la hoja &quot;honorarios Corporativos&quot;" sqref="F7:F27" xr:uid="{00000000-0002-0000-0200-000001000000}"/>
    <dataValidation allowBlank="1" showInputMessage="1" showErrorMessage="1" prompt="ingrese el valor del Factor Prestacional asignado para el personal." sqref="G7:G27" xr:uid="{00000000-0002-0000-0200-000000000000}"/>
  </dataValidations>
  <pageMargins left="0.7" right="0.7" top="0.75" bottom="0.75" header="0.3" footer="0.3"/>
  <pageSetup scale="5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16BBE-244D-4F89-ABED-C8A517407352}">
  <sheetPr>
    <pageSetUpPr fitToPage="1"/>
  </sheetPr>
  <dimension ref="A1:I114"/>
  <sheetViews>
    <sheetView showGridLines="0" view="pageBreakPreview" topLeftCell="A81" zoomScale="85" zoomScaleNormal="100" zoomScaleSheetLayoutView="85" workbookViewId="0">
      <selection activeCell="G87" sqref="G71:G87"/>
    </sheetView>
  </sheetViews>
  <sheetFormatPr baseColWidth="10" defaultColWidth="9.7109375" defaultRowHeight="15.75" customHeight="1" x14ac:dyDescent="0.2"/>
  <cols>
    <col min="1" max="1" width="57.140625" style="240" customWidth="1"/>
    <col min="2" max="4" width="12.140625" style="240" customWidth="1"/>
    <col min="5" max="5" width="12.140625" style="239" customWidth="1"/>
    <col min="6" max="6" width="13.42578125" style="238" customWidth="1"/>
    <col min="7" max="7" width="17.140625" style="238" bestFit="1" customWidth="1"/>
    <col min="8" max="8" width="14.85546875" style="238" customWidth="1"/>
    <col min="9" max="16384" width="9.7109375" style="238"/>
  </cols>
  <sheetData>
    <row r="1" spans="1:8" ht="15.75" customHeight="1" thickBot="1" x14ac:dyDescent="0.25"/>
    <row r="2" spans="1:8" ht="27" thickBot="1" x14ac:dyDescent="0.45">
      <c r="A2" s="639" t="s">
        <v>331</v>
      </c>
      <c r="B2" s="640"/>
      <c r="C2" s="640"/>
      <c r="D2" s="640"/>
      <c r="E2" s="640"/>
      <c r="F2" s="640"/>
      <c r="G2" s="640"/>
      <c r="H2" s="641"/>
    </row>
    <row r="3" spans="1:8" ht="15.75" customHeight="1" thickBot="1" x14ac:dyDescent="0.25"/>
    <row r="4" spans="1:8" ht="15.75" customHeight="1" thickBot="1" x14ac:dyDescent="0.25">
      <c r="A4" s="653" t="s">
        <v>227</v>
      </c>
      <c r="B4" s="654"/>
      <c r="C4" s="654"/>
      <c r="D4" s="654"/>
      <c r="E4" s="654"/>
      <c r="F4" s="654"/>
      <c r="G4" s="654"/>
      <c r="H4" s="655"/>
    </row>
    <row r="5" spans="1:8" ht="39" thickBot="1" x14ac:dyDescent="0.25">
      <c r="A5" s="276" t="s">
        <v>197</v>
      </c>
      <c r="B5" s="275" t="s">
        <v>226</v>
      </c>
      <c r="C5" s="275" t="s">
        <v>225</v>
      </c>
      <c r="D5" s="275" t="s">
        <v>196</v>
      </c>
      <c r="E5" s="275" t="s">
        <v>195</v>
      </c>
      <c r="F5" s="275" t="s">
        <v>194</v>
      </c>
      <c r="G5" s="275" t="s">
        <v>224</v>
      </c>
      <c r="H5" s="274" t="s">
        <v>193</v>
      </c>
    </row>
    <row r="6" spans="1:8" ht="15.75" customHeight="1" x14ac:dyDescent="0.2">
      <c r="A6" s="667" t="s">
        <v>223</v>
      </c>
      <c r="B6" s="668"/>
      <c r="C6" s="668"/>
      <c r="D6" s="668"/>
      <c r="E6" s="668"/>
      <c r="F6" s="668"/>
      <c r="G6" s="668"/>
      <c r="H6" s="669"/>
    </row>
    <row r="7" spans="1:8" ht="25.5" x14ac:dyDescent="0.2">
      <c r="A7" s="230" t="str">
        <f>+'Cuadro A - Presupuesto'!B10</f>
        <v>Profesional con experiencia en el área ambiental – Coordinador de Proyectos</v>
      </c>
      <c r="B7" s="229">
        <v>1</v>
      </c>
      <c r="C7" s="228">
        <f>+'Cuadro A - Presupuesto'!D10*0.25</f>
        <v>0.25</v>
      </c>
      <c r="D7" s="226" t="s">
        <v>201</v>
      </c>
      <c r="E7" s="227">
        <f>+'Cuadro A - Presupuesto'!F10</f>
        <v>14</v>
      </c>
      <c r="F7" s="305">
        <f>+'Cuadro A - Presupuesto'!G10</f>
        <v>3987342</v>
      </c>
      <c r="G7" s="226">
        <v>1.58</v>
      </c>
      <c r="H7" s="304">
        <f t="shared" ref="H7:H27" si="0">+B7*C7*E7*F7*G7</f>
        <v>22050001.260000002</v>
      </c>
    </row>
    <row r="8" spans="1:8" ht="15.75" customHeight="1" x14ac:dyDescent="0.2">
      <c r="A8" s="230" t="str">
        <f>+'Cuadro A - Presupuesto'!B11</f>
        <v xml:space="preserve">Profesional especialista socio -ambiental  </v>
      </c>
      <c r="B8" s="229">
        <v>1</v>
      </c>
      <c r="C8" s="228">
        <f>+'Cuadro A - Presupuesto'!D11*0.25</f>
        <v>0.25</v>
      </c>
      <c r="D8" s="226" t="s">
        <v>201</v>
      </c>
      <c r="E8" s="227">
        <f>+'Cuadro A - Presupuesto'!F11</f>
        <v>14</v>
      </c>
      <c r="F8" s="305">
        <f>+'Cuadro A - Presupuesto'!G11</f>
        <v>3322785</v>
      </c>
      <c r="G8" s="226">
        <v>1.58</v>
      </c>
      <c r="H8" s="304">
        <f t="shared" si="0"/>
        <v>18375001.050000001</v>
      </c>
    </row>
    <row r="9" spans="1:8" ht="15.75" customHeight="1" x14ac:dyDescent="0.2">
      <c r="A9" s="230" t="str">
        <f>+'Cuadro A - Presupuesto'!B12</f>
        <v>Profesional especialista en hidrología</v>
      </c>
      <c r="B9" s="229">
        <v>1</v>
      </c>
      <c r="C9" s="228">
        <f>+'Cuadro A - Presupuesto'!D12*0.25</f>
        <v>0.125</v>
      </c>
      <c r="D9" s="226" t="s">
        <v>201</v>
      </c>
      <c r="E9" s="227">
        <f>+'Cuadro A - Presupuesto'!F12</f>
        <v>14</v>
      </c>
      <c r="F9" s="305">
        <f>+'Cuadro A - Presupuesto'!G12</f>
        <v>3322785</v>
      </c>
      <c r="G9" s="226">
        <v>1.58</v>
      </c>
      <c r="H9" s="304">
        <f t="shared" si="0"/>
        <v>9187500.5250000004</v>
      </c>
    </row>
    <row r="10" spans="1:8" ht="15.75" customHeight="1" x14ac:dyDescent="0.2">
      <c r="A10" s="230" t="str">
        <f>+'Cuadro A - Presupuesto'!B13</f>
        <v>Profesional especialista en calidad y cantidad del agua</v>
      </c>
      <c r="B10" s="229">
        <v>1</v>
      </c>
      <c r="C10" s="228">
        <f>+'Cuadro A - Presupuesto'!D13*0.25</f>
        <v>0.125</v>
      </c>
      <c r="D10" s="226" t="s">
        <v>201</v>
      </c>
      <c r="E10" s="227">
        <f>+'Cuadro A - Presupuesto'!F13</f>
        <v>14</v>
      </c>
      <c r="F10" s="305">
        <f>+'Cuadro A - Presupuesto'!G13</f>
        <v>3322785</v>
      </c>
      <c r="G10" s="226">
        <v>1.58</v>
      </c>
      <c r="H10" s="304">
        <f t="shared" si="0"/>
        <v>9187500.5250000004</v>
      </c>
    </row>
    <row r="11" spans="1:8" ht="15.75" customHeight="1" x14ac:dyDescent="0.2">
      <c r="A11" s="230" t="str">
        <f>+'Cuadro A - Presupuesto'!B14</f>
        <v xml:space="preserve">Profesional especialista en modelación </v>
      </c>
      <c r="B11" s="229">
        <v>1</v>
      </c>
      <c r="C11" s="228">
        <f>+'Cuadro A - Presupuesto'!D14*0.25</f>
        <v>0.125</v>
      </c>
      <c r="D11" s="226" t="s">
        <v>201</v>
      </c>
      <c r="E11" s="227">
        <f>+'Cuadro A - Presupuesto'!F14</f>
        <v>14</v>
      </c>
      <c r="F11" s="305">
        <f>+'Cuadro A - Presupuesto'!G14</f>
        <v>3322785</v>
      </c>
      <c r="G11" s="226">
        <v>1.58</v>
      </c>
      <c r="H11" s="304">
        <f t="shared" si="0"/>
        <v>9187500.5250000004</v>
      </c>
    </row>
    <row r="12" spans="1:8" ht="12.75" x14ac:dyDescent="0.2">
      <c r="A12" s="230" t="str">
        <f>+'Cuadro A - Presupuesto'!B15</f>
        <v>Profesional con experiencia en instrumentos económicos</v>
      </c>
      <c r="B12" s="229">
        <v>1</v>
      </c>
      <c r="C12" s="228">
        <f>+'Cuadro A - Presupuesto'!D15*0.25</f>
        <v>0.125</v>
      </c>
      <c r="D12" s="226" t="s">
        <v>201</v>
      </c>
      <c r="E12" s="227">
        <f>+'Cuadro A - Presupuesto'!F15</f>
        <v>5</v>
      </c>
      <c r="F12" s="305">
        <f>+'Cuadro A - Presupuesto'!G15</f>
        <v>3322785</v>
      </c>
      <c r="G12" s="226">
        <v>1.58</v>
      </c>
      <c r="H12" s="304">
        <f t="shared" si="0"/>
        <v>3281250.1875</v>
      </c>
    </row>
    <row r="13" spans="1:8" ht="15.75" customHeight="1" x14ac:dyDescent="0.2">
      <c r="A13" s="230" t="str">
        <f>+'Cuadro A - Presupuesto'!B16</f>
        <v xml:space="preserve">Tecnólogos ambientales </v>
      </c>
      <c r="B13" s="229">
        <v>5</v>
      </c>
      <c r="C13" s="228">
        <f>+'Cuadro A - Presupuesto'!D16*0.25</f>
        <v>0.25</v>
      </c>
      <c r="D13" s="226" t="s">
        <v>201</v>
      </c>
      <c r="E13" s="227">
        <f>+'Cuadro A - Presupuesto'!F16</f>
        <v>10</v>
      </c>
      <c r="F13" s="305">
        <f>+'Cuadro A - Presupuesto'!G16</f>
        <v>2120253</v>
      </c>
      <c r="G13" s="226">
        <v>1.58</v>
      </c>
      <c r="H13" s="304">
        <f t="shared" si="0"/>
        <v>41874996.75</v>
      </c>
    </row>
    <row r="14" spans="1:8" ht="15.75" customHeight="1" x14ac:dyDescent="0.2">
      <c r="A14" s="230" t="str">
        <f>+'Cuadro A - Presupuesto'!B17</f>
        <v>Tecnólogo sin experiencia</v>
      </c>
      <c r="B14" s="229">
        <v>2</v>
      </c>
      <c r="C14" s="228">
        <f>+'Cuadro A - Presupuesto'!D17*0.25</f>
        <v>0.25</v>
      </c>
      <c r="D14" s="226" t="s">
        <v>201</v>
      </c>
      <c r="E14" s="227">
        <f>+'Cuadro A - Presupuesto'!F17</f>
        <v>6</v>
      </c>
      <c r="F14" s="305">
        <f>+'Cuadro A - Presupuesto'!G17</f>
        <v>1827848</v>
      </c>
      <c r="G14" s="226">
        <v>1.58</v>
      </c>
      <c r="H14" s="304">
        <f t="shared" si="0"/>
        <v>8663999.5199999996</v>
      </c>
    </row>
    <row r="15" spans="1:8" ht="15.75" customHeight="1" x14ac:dyDescent="0.2">
      <c r="A15" s="230" t="str">
        <f>+'Cuadro A - Presupuesto'!B18</f>
        <v xml:space="preserve">Profesionales con experiencia en hidrobiología   </v>
      </c>
      <c r="B15" s="229">
        <v>1</v>
      </c>
      <c r="C15" s="228">
        <f>+'Cuadro A - Presupuesto'!D18*0.25</f>
        <v>0.125</v>
      </c>
      <c r="D15" s="226" t="s">
        <v>201</v>
      </c>
      <c r="E15" s="227">
        <f>+'Cuadro A - Presupuesto'!F18</f>
        <v>7</v>
      </c>
      <c r="F15" s="305">
        <f>+'Cuadro A - Presupuesto'!G18</f>
        <v>3322785</v>
      </c>
      <c r="G15" s="226">
        <v>1.58</v>
      </c>
      <c r="H15" s="304">
        <f t="shared" si="0"/>
        <v>4593750.2625000002</v>
      </c>
    </row>
    <row r="16" spans="1:8" ht="15.75" customHeight="1" x14ac:dyDescent="0.2">
      <c r="A16" s="230" t="str">
        <f>+'Cuadro A - Presupuesto'!B19</f>
        <v>Profesional en el área social</v>
      </c>
      <c r="B16" s="229">
        <v>1</v>
      </c>
      <c r="C16" s="228">
        <f>+'Cuadro A - Presupuesto'!D19*0.25</f>
        <v>0.125</v>
      </c>
      <c r="D16" s="226" t="s">
        <v>201</v>
      </c>
      <c r="E16" s="227">
        <f>+'Cuadro A - Presupuesto'!F19</f>
        <v>14</v>
      </c>
      <c r="F16" s="305">
        <f>+'Cuadro A - Presupuesto'!G19</f>
        <v>3322785</v>
      </c>
      <c r="G16" s="226">
        <v>1.58</v>
      </c>
      <c r="H16" s="304">
        <f t="shared" si="0"/>
        <v>9187500.5250000004</v>
      </c>
    </row>
    <row r="17" spans="1:8" ht="12.75" x14ac:dyDescent="0.2">
      <c r="A17" s="230" t="str">
        <f>+'Cuadro A - Presupuesto'!B20</f>
        <v>Profesional en el área de comunicaciones y diseño grafico</v>
      </c>
      <c r="B17" s="229">
        <v>1</v>
      </c>
      <c r="C17" s="228">
        <f>+'Cuadro A - Presupuesto'!D20*0.25</f>
        <v>0.125</v>
      </c>
      <c r="D17" s="226" t="s">
        <v>201</v>
      </c>
      <c r="E17" s="227">
        <f>+'Cuadro A - Presupuesto'!F20</f>
        <v>14</v>
      </c>
      <c r="F17" s="305">
        <f>+'Cuadro A - Presupuesto'!G20</f>
        <v>3322785</v>
      </c>
      <c r="G17" s="226">
        <v>1.58</v>
      </c>
      <c r="H17" s="304">
        <f t="shared" si="0"/>
        <v>9187500.5250000004</v>
      </c>
    </row>
    <row r="18" spans="1:8" ht="15.75" customHeight="1" x14ac:dyDescent="0.2">
      <c r="A18" s="230" t="str">
        <f>+'Cuadro A - Presupuesto'!B21</f>
        <v>Profesional en SIG</v>
      </c>
      <c r="B18" s="229">
        <v>1</v>
      </c>
      <c r="C18" s="228">
        <f>+'Cuadro A - Presupuesto'!D21*0.25</f>
        <v>0.125</v>
      </c>
      <c r="D18" s="226" t="s">
        <v>201</v>
      </c>
      <c r="E18" s="227">
        <f>+'Cuadro A - Presupuesto'!F21</f>
        <v>14</v>
      </c>
      <c r="F18" s="305">
        <f>+'Cuadro A - Presupuesto'!G21</f>
        <v>3322785</v>
      </c>
      <c r="G18" s="226">
        <v>1.58</v>
      </c>
      <c r="H18" s="304">
        <f t="shared" si="0"/>
        <v>9187500.5250000004</v>
      </c>
    </row>
    <row r="19" spans="1:8" ht="15.75" customHeight="1" x14ac:dyDescent="0.2">
      <c r="A19" s="230" t="str">
        <f>+'Cuadro A - Presupuesto'!B22</f>
        <v>Profesional especialista en planificación</v>
      </c>
      <c r="B19" s="229">
        <v>1</v>
      </c>
      <c r="C19" s="228">
        <f>+'Cuadro A - Presupuesto'!D22*0.25</f>
        <v>0.125</v>
      </c>
      <c r="D19" s="226" t="s">
        <v>201</v>
      </c>
      <c r="E19" s="227">
        <f>+'Cuadro A - Presupuesto'!F22</f>
        <v>14</v>
      </c>
      <c r="F19" s="305">
        <f>+'Cuadro A - Presupuesto'!G22</f>
        <v>3322785</v>
      </c>
      <c r="G19" s="226">
        <v>1.58</v>
      </c>
      <c r="H19" s="304">
        <f t="shared" si="0"/>
        <v>9187500.5250000004</v>
      </c>
    </row>
    <row r="20" spans="1:8" ht="12.75" x14ac:dyDescent="0.2">
      <c r="A20" s="230" t="str">
        <f>+'Cuadro A - Presupuesto'!B23</f>
        <v>Tecnólogo en área social, administrativa o ambiental (apoyo)</v>
      </c>
      <c r="B20" s="229">
        <v>1</v>
      </c>
      <c r="C20" s="228">
        <f>+'Cuadro A - Presupuesto'!D23*0.25</f>
        <v>0.125</v>
      </c>
      <c r="D20" s="226" t="s">
        <v>201</v>
      </c>
      <c r="E20" s="227">
        <f>+'Cuadro A - Presupuesto'!F23</f>
        <v>14</v>
      </c>
      <c r="F20" s="305">
        <f>+'Cuadro A - Presupuesto'!G23</f>
        <v>1827848</v>
      </c>
      <c r="G20" s="226">
        <v>1.58</v>
      </c>
      <c r="H20" s="304">
        <f t="shared" si="0"/>
        <v>5053999.7200000007</v>
      </c>
    </row>
    <row r="21" spans="1:8" ht="15.75" customHeight="1" x14ac:dyDescent="0.2">
      <c r="A21" s="230" t="str">
        <f>+'Cuadro A - Presupuesto'!B24</f>
        <v>Profesional especialista obras hidráulica</v>
      </c>
      <c r="B21" s="229">
        <v>1</v>
      </c>
      <c r="C21" s="228">
        <f>+'Cuadro A - Presupuesto'!D24*0.25</f>
        <v>0.125</v>
      </c>
      <c r="D21" s="226" t="s">
        <v>201</v>
      </c>
      <c r="E21" s="227">
        <f>+'Cuadro A - Presupuesto'!F24</f>
        <v>6</v>
      </c>
      <c r="F21" s="305">
        <f>+'Cuadro A - Presupuesto'!G24</f>
        <v>3322785</v>
      </c>
      <c r="G21" s="226">
        <v>1.58</v>
      </c>
      <c r="H21" s="304">
        <f t="shared" si="0"/>
        <v>3937500.2250000001</v>
      </c>
    </row>
    <row r="22" spans="1:8" ht="15.75" customHeight="1" x14ac:dyDescent="0.2">
      <c r="A22" s="230" t="str">
        <f>+'Cuadro A - Presupuesto'!B25</f>
        <v xml:space="preserve">Profesional en ingeniería sin experiencia </v>
      </c>
      <c r="B22" s="229">
        <v>1</v>
      </c>
      <c r="C22" s="228">
        <f>+'Cuadro A - Presupuesto'!D25*0.25</f>
        <v>0.25</v>
      </c>
      <c r="D22" s="226" t="s">
        <v>201</v>
      </c>
      <c r="E22" s="227">
        <f>+'Cuadro A - Presupuesto'!F25</f>
        <v>10</v>
      </c>
      <c r="F22" s="305">
        <f>+'Cuadro A - Presupuesto'!G25</f>
        <v>2259494</v>
      </c>
      <c r="G22" s="226">
        <v>1.58</v>
      </c>
      <c r="H22" s="304">
        <f t="shared" si="0"/>
        <v>8925001.3000000007</v>
      </c>
    </row>
    <row r="23" spans="1:8" ht="12.75" x14ac:dyDescent="0.2">
      <c r="A23" s="230" t="str">
        <f>+'Cuadro A - Presupuesto'!B26</f>
        <v>Bachiller promotor sin experiencia cuerpo de agua La Vibora</v>
      </c>
      <c r="B23" s="229">
        <v>1</v>
      </c>
      <c r="C23" s="228">
        <f>+'Cuadro A - Presupuesto'!D26*0.25</f>
        <v>0.25</v>
      </c>
      <c r="D23" s="226" t="s">
        <v>201</v>
      </c>
      <c r="E23" s="227">
        <f>+'Cuadro A - Presupuesto'!F26</f>
        <v>10</v>
      </c>
      <c r="F23" s="305">
        <f>+'Cuadro A - Presupuesto'!G26</f>
        <v>1003030</v>
      </c>
      <c r="G23" s="226">
        <v>1.65</v>
      </c>
      <c r="H23" s="304">
        <f t="shared" si="0"/>
        <v>4137498.75</v>
      </c>
    </row>
    <row r="24" spans="1:8" ht="12.75" x14ac:dyDescent="0.2">
      <c r="A24" s="230" t="str">
        <f>+'Cuadro A - Presupuesto'!B27</f>
        <v>Bachiller promotor sin experiencia cuerpo de agua La Noque</v>
      </c>
      <c r="B24" s="229">
        <v>1</v>
      </c>
      <c r="C24" s="228">
        <f>+'Cuadro A - Presupuesto'!D27*0.25</f>
        <v>0.25</v>
      </c>
      <c r="D24" s="226" t="s">
        <v>201</v>
      </c>
      <c r="E24" s="227">
        <f>+'Cuadro A - Presupuesto'!F27</f>
        <v>10</v>
      </c>
      <c r="F24" s="305">
        <f>+'Cuadro A - Presupuesto'!G27</f>
        <v>1003030</v>
      </c>
      <c r="G24" s="226">
        <v>1.65</v>
      </c>
      <c r="H24" s="304">
        <f t="shared" si="0"/>
        <v>4137498.75</v>
      </c>
    </row>
    <row r="25" spans="1:8" ht="12.75" x14ac:dyDescent="0.2">
      <c r="A25" s="230" t="str">
        <f>+'Cuadro A - Presupuesto'!B28</f>
        <v>Bachiller promotor sin experiencia cuerpo de agua Q. Yarumalito</v>
      </c>
      <c r="B25" s="229">
        <v>1</v>
      </c>
      <c r="C25" s="228">
        <f>+'Cuadro A - Presupuesto'!D28*0.25</f>
        <v>0.25</v>
      </c>
      <c r="D25" s="226" t="s">
        <v>201</v>
      </c>
      <c r="E25" s="227">
        <f>+'Cuadro A - Presupuesto'!F28</f>
        <v>10</v>
      </c>
      <c r="F25" s="305">
        <f>+'Cuadro A - Presupuesto'!G28</f>
        <v>1003030</v>
      </c>
      <c r="G25" s="226">
        <v>1.65</v>
      </c>
      <c r="H25" s="304">
        <f t="shared" si="0"/>
        <v>4137498.75</v>
      </c>
    </row>
    <row r="26" spans="1:8" ht="12.75" x14ac:dyDescent="0.2">
      <c r="A26" s="230" t="str">
        <f>+'Cuadro A - Presupuesto'!B29</f>
        <v>Bachiller promotor sin experiencia cuerpo de agua R. Dolores</v>
      </c>
      <c r="B26" s="229">
        <v>1</v>
      </c>
      <c r="C26" s="228">
        <f>+'Cuadro A - Presupuesto'!D29*0.25</f>
        <v>0.25</v>
      </c>
      <c r="D26" s="226" t="s">
        <v>201</v>
      </c>
      <c r="E26" s="227">
        <f>+'Cuadro A - Presupuesto'!F29</f>
        <v>10</v>
      </c>
      <c r="F26" s="305">
        <f>+'Cuadro A - Presupuesto'!G29</f>
        <v>1003030</v>
      </c>
      <c r="G26" s="226">
        <v>1.65</v>
      </c>
      <c r="H26" s="304">
        <f t="shared" si="0"/>
        <v>4137498.75</v>
      </c>
    </row>
    <row r="27" spans="1:8" ht="12.75" x14ac:dyDescent="0.2">
      <c r="A27" s="230" t="str">
        <f>+'Cuadro A - Presupuesto'!B30</f>
        <v>Bachiller promotor sin experiencia cuerpo de agua Q. Sabaletas T</v>
      </c>
      <c r="B27" s="229">
        <v>1</v>
      </c>
      <c r="C27" s="228">
        <f>+'Cuadro A - Presupuesto'!D30*0.25</f>
        <v>0.25</v>
      </c>
      <c r="D27" s="226" t="s">
        <v>201</v>
      </c>
      <c r="E27" s="227">
        <f>+'Cuadro A - Presupuesto'!F30</f>
        <v>10</v>
      </c>
      <c r="F27" s="305">
        <f>+'Cuadro A - Presupuesto'!G30</f>
        <v>1003030</v>
      </c>
      <c r="G27" s="226">
        <v>1.65</v>
      </c>
      <c r="H27" s="304">
        <f t="shared" si="0"/>
        <v>4137498.75</v>
      </c>
    </row>
    <row r="28" spans="1:8" ht="15.75" customHeight="1" thickBot="1" x14ac:dyDescent="0.25">
      <c r="A28" s="656" t="s">
        <v>200</v>
      </c>
      <c r="B28" s="657"/>
      <c r="C28" s="657"/>
      <c r="D28" s="658"/>
      <c r="E28" s="658"/>
      <c r="F28" s="658"/>
      <c r="G28" s="659"/>
      <c r="H28" s="303">
        <f>SUM(H7:H27)</f>
        <v>201755497.70000002</v>
      </c>
    </row>
    <row r="29" spans="1:8" ht="15.75" customHeight="1" thickBot="1" x14ac:dyDescent="0.25">
      <c r="A29" s="660" t="s">
        <v>284</v>
      </c>
      <c r="B29" s="661"/>
      <c r="C29" s="661"/>
      <c r="D29" s="662"/>
      <c r="E29" s="662"/>
      <c r="F29" s="662"/>
      <c r="G29" s="663"/>
      <c r="H29" s="302">
        <f>H28</f>
        <v>201755497.70000002</v>
      </c>
    </row>
    <row r="30" spans="1:8" ht="15.75" customHeight="1" thickBot="1" x14ac:dyDescent="0.25">
      <c r="A30" s="301"/>
      <c r="B30" s="301"/>
      <c r="C30" s="301"/>
      <c r="D30" s="300"/>
      <c r="E30" s="300"/>
      <c r="F30" s="300"/>
      <c r="G30" s="299"/>
      <c r="H30" s="277"/>
    </row>
    <row r="31" spans="1:8" s="271" customFormat="1" ht="15.75" customHeight="1" x14ac:dyDescent="0.25">
      <c r="A31" s="664" t="s">
        <v>198</v>
      </c>
      <c r="B31" s="665"/>
      <c r="C31" s="665"/>
      <c r="D31" s="665"/>
      <c r="E31" s="665"/>
      <c r="F31" s="665"/>
      <c r="G31" s="666"/>
    </row>
    <row r="32" spans="1:8" s="271" customFormat="1" ht="38.25" customHeight="1" x14ac:dyDescent="0.25">
      <c r="A32" s="272" t="s">
        <v>283</v>
      </c>
      <c r="B32" s="647" t="s">
        <v>330</v>
      </c>
      <c r="C32" s="647"/>
      <c r="D32" s="647"/>
      <c r="E32" s="647"/>
      <c r="F32" s="647"/>
      <c r="G32" s="648"/>
    </row>
    <row r="33" spans="1:9" s="271" customFormat="1" ht="28.5" customHeight="1" x14ac:dyDescent="0.25">
      <c r="A33" s="272" t="s">
        <v>281</v>
      </c>
      <c r="B33" s="647" t="s">
        <v>329</v>
      </c>
      <c r="C33" s="647"/>
      <c r="D33" s="647"/>
      <c r="E33" s="647"/>
      <c r="F33" s="647"/>
      <c r="G33" s="648"/>
    </row>
    <row r="34" spans="1:9" s="271" customFormat="1" ht="28.5" customHeight="1" x14ac:dyDescent="0.25">
      <c r="A34" s="272" t="s">
        <v>280</v>
      </c>
      <c r="B34" s="647" t="s">
        <v>317</v>
      </c>
      <c r="C34" s="647"/>
      <c r="D34" s="647"/>
      <c r="E34" s="647"/>
      <c r="F34" s="647"/>
      <c r="G34" s="648"/>
    </row>
    <row r="35" spans="1:9" ht="63.75" x14ac:dyDescent="0.2">
      <c r="A35" s="261" t="s">
        <v>328</v>
      </c>
      <c r="B35" s="260" t="s">
        <v>196</v>
      </c>
      <c r="C35" s="260" t="s">
        <v>259</v>
      </c>
      <c r="D35" s="259" t="s">
        <v>315</v>
      </c>
      <c r="E35" s="259" t="s">
        <v>257</v>
      </c>
      <c r="F35" s="260" t="s">
        <v>256</v>
      </c>
      <c r="G35" s="291" t="s">
        <v>255</v>
      </c>
    </row>
    <row r="36" spans="1:9" ht="12.75" x14ac:dyDescent="0.2">
      <c r="A36" s="298" t="s">
        <v>327</v>
      </c>
      <c r="B36" s="297" t="s">
        <v>326</v>
      </c>
      <c r="C36" s="297">
        <v>1</v>
      </c>
      <c r="D36" s="296">
        <v>100</v>
      </c>
      <c r="E36" s="295">
        <f>C36*D36</f>
        <v>100</v>
      </c>
      <c r="F36" s="294">
        <v>12300</v>
      </c>
      <c r="G36" s="292">
        <f>E36*F36</f>
        <v>1230000</v>
      </c>
    </row>
    <row r="37" spans="1:9" ht="12.75" x14ac:dyDescent="0.2">
      <c r="A37" s="298" t="s">
        <v>325</v>
      </c>
      <c r="B37" s="297" t="s">
        <v>324</v>
      </c>
      <c r="C37" s="297">
        <v>1</v>
      </c>
      <c r="D37" s="296">
        <v>100</v>
      </c>
      <c r="E37" s="295">
        <f>C37*D37</f>
        <v>100</v>
      </c>
      <c r="F37" s="294">
        <v>5000</v>
      </c>
      <c r="G37" s="292">
        <f>E37*F37</f>
        <v>500000</v>
      </c>
    </row>
    <row r="38" spans="1:9" ht="12.75" x14ac:dyDescent="0.2">
      <c r="A38" s="298" t="s">
        <v>323</v>
      </c>
      <c r="B38" s="297" t="s">
        <v>322</v>
      </c>
      <c r="C38" s="297">
        <v>2</v>
      </c>
      <c r="D38" s="296">
        <v>100</v>
      </c>
      <c r="E38" s="295">
        <f>C38*D38</f>
        <v>200</v>
      </c>
      <c r="F38" s="294">
        <v>10000</v>
      </c>
      <c r="G38" s="292">
        <f>E38*F38</f>
        <v>2000000</v>
      </c>
    </row>
    <row r="39" spans="1:9" ht="12.75" x14ac:dyDescent="0.2">
      <c r="A39" s="298" t="s">
        <v>321</v>
      </c>
      <c r="B39" s="297" t="s">
        <v>320</v>
      </c>
      <c r="C39" s="297">
        <v>1</v>
      </c>
      <c r="D39" s="296">
        <v>100</v>
      </c>
      <c r="E39" s="295">
        <f>C39*D39</f>
        <v>100</v>
      </c>
      <c r="F39" s="294">
        <v>20000</v>
      </c>
      <c r="G39" s="292">
        <f>E39*F39</f>
        <v>2000000</v>
      </c>
    </row>
    <row r="40" spans="1:9" ht="15.75" customHeight="1" x14ac:dyDescent="0.2">
      <c r="A40" s="645" t="s">
        <v>319</v>
      </c>
      <c r="B40" s="646"/>
      <c r="C40" s="646"/>
      <c r="D40" s="646"/>
      <c r="E40" s="646"/>
      <c r="F40" s="646"/>
      <c r="G40" s="293">
        <f>SUM(G36:G39)</f>
        <v>5730000</v>
      </c>
    </row>
    <row r="41" spans="1:9" ht="25.5" x14ac:dyDescent="0.2">
      <c r="A41" s="266" t="s">
        <v>234</v>
      </c>
      <c r="B41" s="263" t="s">
        <v>226</v>
      </c>
      <c r="C41" s="265">
        <v>10</v>
      </c>
      <c r="D41" s="264"/>
      <c r="E41" s="264"/>
      <c r="F41" s="263" t="s">
        <v>233</v>
      </c>
      <c r="G41" s="292">
        <f>G40/C41</f>
        <v>573000</v>
      </c>
    </row>
    <row r="42" spans="1:9" ht="15.75" customHeight="1" thickBot="1" x14ac:dyDescent="0.25">
      <c r="A42" s="673" t="s">
        <v>232</v>
      </c>
      <c r="B42" s="674"/>
      <c r="C42" s="674"/>
      <c r="D42" s="674"/>
      <c r="E42" s="674"/>
      <c r="F42" s="674"/>
      <c r="G42" s="436">
        <f>G40</f>
        <v>5730000</v>
      </c>
      <c r="I42" s="252"/>
    </row>
    <row r="43" spans="1:9" ht="15.75" customHeight="1" thickBot="1" x14ac:dyDescent="0.25">
      <c r="A43" s="244"/>
      <c r="B43" s="244"/>
      <c r="C43" s="244"/>
      <c r="D43" s="244"/>
      <c r="E43" s="244"/>
    </row>
    <row r="44" spans="1:9" ht="15.75" customHeight="1" x14ac:dyDescent="0.2">
      <c r="A44" s="664" t="s">
        <v>198</v>
      </c>
      <c r="B44" s="665"/>
      <c r="C44" s="665"/>
      <c r="D44" s="665"/>
      <c r="E44" s="665"/>
      <c r="F44" s="665"/>
      <c r="G44" s="666"/>
      <c r="H44" s="277"/>
    </row>
    <row r="45" spans="1:9" ht="15.75" customHeight="1" x14ac:dyDescent="0.2">
      <c r="A45" s="272" t="s">
        <v>283</v>
      </c>
      <c r="B45" s="647" t="s">
        <v>318</v>
      </c>
      <c r="C45" s="647"/>
      <c r="D45" s="647"/>
      <c r="E45" s="647"/>
      <c r="F45" s="647"/>
      <c r="G45" s="648"/>
      <c r="H45" s="277"/>
    </row>
    <row r="46" spans="1:9" ht="15.75" customHeight="1" x14ac:dyDescent="0.2">
      <c r="A46" s="272" t="s">
        <v>281</v>
      </c>
      <c r="B46" s="647" t="s">
        <v>144</v>
      </c>
      <c r="C46" s="647"/>
      <c r="D46" s="647"/>
      <c r="E46" s="647"/>
      <c r="F46" s="647"/>
      <c r="G46" s="648"/>
      <c r="H46" s="277"/>
    </row>
    <row r="47" spans="1:9" ht="12.75" x14ac:dyDescent="0.2">
      <c r="A47" s="272" t="s">
        <v>280</v>
      </c>
      <c r="B47" s="647" t="s">
        <v>317</v>
      </c>
      <c r="C47" s="647"/>
      <c r="D47" s="647"/>
      <c r="E47" s="647"/>
      <c r="F47" s="647"/>
      <c r="G47" s="648"/>
      <c r="H47" s="277"/>
    </row>
    <row r="48" spans="1:9" ht="63.75" x14ac:dyDescent="0.2">
      <c r="A48" s="261" t="s">
        <v>316</v>
      </c>
      <c r="B48" s="260" t="s">
        <v>196</v>
      </c>
      <c r="C48" s="260" t="s">
        <v>259</v>
      </c>
      <c r="D48" s="259" t="s">
        <v>315</v>
      </c>
      <c r="E48" s="259" t="s">
        <v>257</v>
      </c>
      <c r="F48" s="260" t="s">
        <v>256</v>
      </c>
      <c r="G48" s="291" t="s">
        <v>255</v>
      </c>
      <c r="H48" s="277"/>
    </row>
    <row r="49" spans="1:9" ht="15.75" customHeight="1" x14ac:dyDescent="0.2">
      <c r="A49" s="257" t="str">
        <f>+'C. B - Alcance 1 Declaratoria'!A36</f>
        <v>Refrigerios (20 personas, 5 cuencas)</v>
      </c>
      <c r="B49" s="289" t="str">
        <f>+'C. B - Alcance 1 Declaratoria'!B36</f>
        <v xml:space="preserve">Refrigerios </v>
      </c>
      <c r="C49" s="288">
        <f>+'C. B - Alcance 1 Declaratoria'!C36</f>
        <v>100</v>
      </c>
      <c r="D49" s="288" t="str">
        <f>+'C. B - Alcance 1 Declaratoria'!D36</f>
        <v>NA</v>
      </c>
      <c r="E49" s="288">
        <f>+'C. B - Alcance 1 Declaratoria'!E36</f>
        <v>100</v>
      </c>
      <c r="F49" s="290">
        <f>+'C. B - Alcance 1 Declaratoria'!F36</f>
        <v>10000</v>
      </c>
      <c r="G49" s="437">
        <f t="shared" ref="G49:G55" si="1">+E49*F49</f>
        <v>1000000</v>
      </c>
      <c r="H49" s="277"/>
    </row>
    <row r="50" spans="1:9" ht="15.75" customHeight="1" x14ac:dyDescent="0.2">
      <c r="A50" s="257" t="s">
        <v>314</v>
      </c>
      <c r="B50" s="289" t="s">
        <v>192</v>
      </c>
      <c r="C50" s="288">
        <f>+'C. B - Alcance 1 Declaratoria'!C37</f>
        <v>1</v>
      </c>
      <c r="D50" s="288">
        <f>+'C. B - Alcance 1 Declaratoria'!D37</f>
        <v>3</v>
      </c>
      <c r="E50" s="288">
        <f>+'C. B - Alcance 1 Declaratoria'!E37</f>
        <v>3</v>
      </c>
      <c r="F50" s="287">
        <f>+'C. B - Alcance 1 Declaratoria'!F37</f>
        <v>90000</v>
      </c>
      <c r="G50" s="437">
        <f t="shared" si="1"/>
        <v>270000</v>
      </c>
      <c r="H50" s="277"/>
    </row>
    <row r="51" spans="1:9" ht="15.75" customHeight="1" x14ac:dyDescent="0.2">
      <c r="A51" s="257" t="s">
        <v>313</v>
      </c>
      <c r="B51" s="289" t="s">
        <v>192</v>
      </c>
      <c r="C51" s="288">
        <f>+'C. B - Alcance 1 Declaratoria'!C38</f>
        <v>1</v>
      </c>
      <c r="D51" s="288">
        <f>+'C. B - Alcance 1 Declaratoria'!D38</f>
        <v>3</v>
      </c>
      <c r="E51" s="288">
        <f>+'C. B - Alcance 1 Declaratoria'!E38</f>
        <v>3</v>
      </c>
      <c r="F51" s="287">
        <f>+'C. B - Alcance 1 Declaratoria'!F38</f>
        <v>90000</v>
      </c>
      <c r="G51" s="437">
        <f t="shared" si="1"/>
        <v>270000</v>
      </c>
      <c r="H51" s="277"/>
    </row>
    <row r="52" spans="1:9" ht="15.75" customHeight="1" x14ac:dyDescent="0.2">
      <c r="A52" s="257" t="s">
        <v>312</v>
      </c>
      <c r="B52" s="289" t="s">
        <v>192</v>
      </c>
      <c r="C52" s="288">
        <f>+'C. B - Alcance 1 Declaratoria'!C39</f>
        <v>1</v>
      </c>
      <c r="D52" s="288">
        <f>+'C. B - Alcance 1 Declaratoria'!D39</f>
        <v>3</v>
      </c>
      <c r="E52" s="288">
        <f>+'C. B - Alcance 1 Declaratoria'!E39</f>
        <v>3</v>
      </c>
      <c r="F52" s="287">
        <f>+'C. B - Alcance 1 Declaratoria'!F39</f>
        <v>90000</v>
      </c>
      <c r="G52" s="437">
        <f t="shared" si="1"/>
        <v>270000</v>
      </c>
      <c r="H52" s="277"/>
    </row>
    <row r="53" spans="1:9" ht="15.75" customHeight="1" x14ac:dyDescent="0.2">
      <c r="A53" s="257" t="s">
        <v>311</v>
      </c>
      <c r="B53" s="289" t="s">
        <v>192</v>
      </c>
      <c r="C53" s="288">
        <f>+'C. B - Alcance 1 Declaratoria'!C40</f>
        <v>1</v>
      </c>
      <c r="D53" s="288">
        <f>+'C. B - Alcance 1 Declaratoria'!D40</f>
        <v>3</v>
      </c>
      <c r="E53" s="288">
        <f>+'C. B - Alcance 1 Declaratoria'!E40</f>
        <v>3</v>
      </c>
      <c r="F53" s="287">
        <f>+'C. B - Alcance 1 Declaratoria'!F40</f>
        <v>90000</v>
      </c>
      <c r="G53" s="437">
        <f t="shared" si="1"/>
        <v>270000</v>
      </c>
      <c r="H53" s="277"/>
    </row>
    <row r="54" spans="1:9" ht="24.75" customHeight="1" x14ac:dyDescent="0.2">
      <c r="A54" s="257" t="s">
        <v>310</v>
      </c>
      <c r="B54" s="289" t="s">
        <v>192</v>
      </c>
      <c r="C54" s="288">
        <f>+'C. B - Alcance 1 Declaratoria'!C42</f>
        <v>1</v>
      </c>
      <c r="D54" s="288">
        <f>+'C. B - Alcance 1 Declaratoria'!D42</f>
        <v>3</v>
      </c>
      <c r="E54" s="288">
        <f>+'C. B - Alcance 1 Declaratoria'!E42</f>
        <v>3</v>
      </c>
      <c r="F54" s="287">
        <f>+'C. B - Alcance 1 Declaratoria'!F42</f>
        <v>90000</v>
      </c>
      <c r="G54" s="437">
        <f t="shared" si="1"/>
        <v>270000</v>
      </c>
      <c r="H54" s="277"/>
    </row>
    <row r="55" spans="1:9" ht="21" customHeight="1" x14ac:dyDescent="0.2">
      <c r="A55" s="257" t="s">
        <v>309</v>
      </c>
      <c r="B55" s="289" t="s">
        <v>192</v>
      </c>
      <c r="C55" s="288">
        <v>10</v>
      </c>
      <c r="D55" s="288">
        <v>1</v>
      </c>
      <c r="E55" s="288">
        <f>+C55*D55</f>
        <v>10</v>
      </c>
      <c r="F55" s="287">
        <f>+F56</f>
        <v>90000</v>
      </c>
      <c r="G55" s="437">
        <f t="shared" si="1"/>
        <v>900000</v>
      </c>
      <c r="H55" s="277"/>
    </row>
    <row r="56" spans="1:9" ht="28.5" customHeight="1" x14ac:dyDescent="0.2">
      <c r="A56" s="257" t="s">
        <v>308</v>
      </c>
      <c r="B56" s="256" t="s">
        <v>262</v>
      </c>
      <c r="C56" s="256">
        <v>5</v>
      </c>
      <c r="D56" s="256">
        <v>3</v>
      </c>
      <c r="E56" s="256">
        <f>C56*D56</f>
        <v>15</v>
      </c>
      <c r="F56" s="286">
        <f>+'C. B - Alcance 2 Diagnostico'!F42</f>
        <v>90000</v>
      </c>
      <c r="G56" s="437">
        <f>+F56*E56</f>
        <v>1350000</v>
      </c>
    </row>
    <row r="57" spans="1:9" ht="30.75" customHeight="1" x14ac:dyDescent="0.2">
      <c r="A57" s="257" t="s">
        <v>307</v>
      </c>
      <c r="B57" s="256" t="s">
        <v>262</v>
      </c>
      <c r="C57" s="256">
        <v>5</v>
      </c>
      <c r="D57" s="256">
        <v>3</v>
      </c>
      <c r="E57" s="256">
        <f>C57*D57</f>
        <v>15</v>
      </c>
      <c r="F57" s="286">
        <f>+'C. B - Alcance 2 Diagnostico'!F43</f>
        <v>90000</v>
      </c>
      <c r="G57" s="437">
        <f>+F57*E57</f>
        <v>1350000</v>
      </c>
    </row>
    <row r="58" spans="1:9" ht="29.25" customHeight="1" x14ac:dyDescent="0.2">
      <c r="A58" s="257" t="s">
        <v>306</v>
      </c>
      <c r="B58" s="256" t="s">
        <v>262</v>
      </c>
      <c r="C58" s="256">
        <v>5</v>
      </c>
      <c r="D58" s="256">
        <v>3</v>
      </c>
      <c r="E58" s="256">
        <f>C58*D58</f>
        <v>15</v>
      </c>
      <c r="F58" s="286">
        <f>+'C. B - Alcance 2 Diagnostico'!F44</f>
        <v>90000</v>
      </c>
      <c r="G58" s="437">
        <f>+F58*E58</f>
        <v>1350000</v>
      </c>
    </row>
    <row r="59" spans="1:9" ht="29.25" customHeight="1" x14ac:dyDescent="0.2">
      <c r="A59" s="257" t="s">
        <v>305</v>
      </c>
      <c r="B59" s="256" t="s">
        <v>262</v>
      </c>
      <c r="C59" s="256">
        <v>5</v>
      </c>
      <c r="D59" s="256">
        <v>3</v>
      </c>
      <c r="E59" s="256">
        <f>C59*D59</f>
        <v>15</v>
      </c>
      <c r="F59" s="286">
        <f>+'C. B - Alcance 2 Diagnostico'!F45</f>
        <v>90000</v>
      </c>
      <c r="G59" s="437">
        <f>+F59*E59</f>
        <v>1350000</v>
      </c>
    </row>
    <row r="60" spans="1:9" ht="25.5" customHeight="1" x14ac:dyDescent="0.2">
      <c r="A60" s="257" t="s">
        <v>304</v>
      </c>
      <c r="B60" s="256" t="s">
        <v>262</v>
      </c>
      <c r="C60" s="256">
        <v>5</v>
      </c>
      <c r="D60" s="256">
        <v>3</v>
      </c>
      <c r="E60" s="256">
        <f>C60*D60</f>
        <v>15</v>
      </c>
      <c r="F60" s="286">
        <f>+'C. B - Alcance 2 Diagnostico'!F46</f>
        <v>90000</v>
      </c>
      <c r="G60" s="437">
        <f>+F60*E60</f>
        <v>1350000</v>
      </c>
    </row>
    <row r="61" spans="1:9" ht="15.75" customHeight="1" x14ac:dyDescent="0.2">
      <c r="A61" s="645" t="s">
        <v>303</v>
      </c>
      <c r="B61" s="646"/>
      <c r="C61" s="646"/>
      <c r="D61" s="646"/>
      <c r="E61" s="646"/>
      <c r="F61" s="646"/>
      <c r="G61" s="285">
        <f>SUM(G49:G60)</f>
        <v>10000000</v>
      </c>
      <c r="H61" s="277"/>
      <c r="I61" s="252"/>
    </row>
    <row r="62" spans="1:9" ht="25.5" x14ac:dyDescent="0.2">
      <c r="A62" s="266" t="s">
        <v>234</v>
      </c>
      <c r="B62" s="263" t="s">
        <v>226</v>
      </c>
      <c r="C62" s="265">
        <v>5</v>
      </c>
      <c r="D62" s="264"/>
      <c r="E62" s="264"/>
      <c r="F62" s="263" t="s">
        <v>233</v>
      </c>
      <c r="G62" s="284">
        <f>G61/C62</f>
        <v>2000000</v>
      </c>
      <c r="H62" s="277"/>
    </row>
    <row r="63" spans="1:9" ht="63.75" x14ac:dyDescent="0.2">
      <c r="A63" s="261" t="s">
        <v>302</v>
      </c>
      <c r="B63" s="260" t="s">
        <v>196</v>
      </c>
      <c r="C63" s="259" t="s">
        <v>259</v>
      </c>
      <c r="D63" s="259" t="s">
        <v>258</v>
      </c>
      <c r="E63" s="259" t="s">
        <v>257</v>
      </c>
      <c r="F63" s="259" t="s">
        <v>256</v>
      </c>
      <c r="G63" s="258" t="s">
        <v>255</v>
      </c>
      <c r="H63" s="277"/>
    </row>
    <row r="64" spans="1:9" ht="31.5" customHeight="1" x14ac:dyDescent="0.2">
      <c r="A64" s="257" t="s">
        <v>301</v>
      </c>
      <c r="B64" s="283" t="s">
        <v>176</v>
      </c>
      <c r="C64" s="256">
        <v>1</v>
      </c>
      <c r="D64" s="256">
        <v>3</v>
      </c>
      <c r="E64" s="256">
        <f t="shared" ref="E64:E87" si="2">C64*D64</f>
        <v>3</v>
      </c>
      <c r="F64" s="255">
        <f>+'C. B - Alcance 1 Declaratoria'!F52</f>
        <v>70000</v>
      </c>
      <c r="G64" s="438">
        <f t="shared" ref="G64:G87" si="3">+F64*E64</f>
        <v>210000</v>
      </c>
      <c r="H64" s="277"/>
    </row>
    <row r="65" spans="1:8" ht="27" customHeight="1" x14ac:dyDescent="0.2">
      <c r="A65" s="257" t="s">
        <v>300</v>
      </c>
      <c r="B65" s="283" t="s">
        <v>176</v>
      </c>
      <c r="C65" s="256">
        <v>1</v>
      </c>
      <c r="D65" s="256">
        <v>3</v>
      </c>
      <c r="E65" s="256">
        <f t="shared" si="2"/>
        <v>3</v>
      </c>
      <c r="F65" s="255">
        <f>+'C. B - Alcance 1 Declaratoria'!F53</f>
        <v>70000</v>
      </c>
      <c r="G65" s="438">
        <f t="shared" si="3"/>
        <v>210000</v>
      </c>
      <c r="H65" s="277"/>
    </row>
    <row r="66" spans="1:8" ht="30" customHeight="1" x14ac:dyDescent="0.2">
      <c r="A66" s="257" t="s">
        <v>299</v>
      </c>
      <c r="B66" s="283" t="s">
        <v>176</v>
      </c>
      <c r="C66" s="256">
        <v>1</v>
      </c>
      <c r="D66" s="256">
        <v>3</v>
      </c>
      <c r="E66" s="256">
        <f t="shared" si="2"/>
        <v>3</v>
      </c>
      <c r="F66" s="255">
        <f>+'C. B - Alcance 1 Declaratoria'!F54</f>
        <v>70000</v>
      </c>
      <c r="G66" s="438">
        <f t="shared" si="3"/>
        <v>210000</v>
      </c>
      <c r="H66" s="277"/>
    </row>
    <row r="67" spans="1:8" ht="27.75" customHeight="1" x14ac:dyDescent="0.2">
      <c r="A67" s="257" t="s">
        <v>298</v>
      </c>
      <c r="B67" s="283" t="s">
        <v>176</v>
      </c>
      <c r="C67" s="256">
        <v>1</v>
      </c>
      <c r="D67" s="256">
        <v>3</v>
      </c>
      <c r="E67" s="256">
        <f t="shared" si="2"/>
        <v>3</v>
      </c>
      <c r="F67" s="255">
        <f>+'C. B - Alcance 1 Declaratoria'!F55</f>
        <v>70000</v>
      </c>
      <c r="G67" s="438">
        <f t="shared" si="3"/>
        <v>210000</v>
      </c>
      <c r="H67" s="277"/>
    </row>
    <row r="68" spans="1:8" ht="27.75" customHeight="1" x14ac:dyDescent="0.2">
      <c r="A68" s="257" t="s">
        <v>297</v>
      </c>
      <c r="B68" s="283" t="s">
        <v>176</v>
      </c>
      <c r="C68" s="256">
        <v>1</v>
      </c>
      <c r="D68" s="256">
        <v>3</v>
      </c>
      <c r="E68" s="256">
        <f t="shared" si="2"/>
        <v>3</v>
      </c>
      <c r="F68" s="255">
        <f>+'C. B - Alcance 1 Declaratoria'!F56</f>
        <v>70000</v>
      </c>
      <c r="G68" s="438">
        <f t="shared" si="3"/>
        <v>210000</v>
      </c>
      <c r="H68" s="277"/>
    </row>
    <row r="69" spans="1:8" ht="30.75" customHeight="1" x14ac:dyDescent="0.2">
      <c r="A69" s="257" t="s">
        <v>296</v>
      </c>
      <c r="B69" s="283" t="s">
        <v>176</v>
      </c>
      <c r="C69" s="256">
        <v>1</v>
      </c>
      <c r="D69" s="256">
        <v>3</v>
      </c>
      <c r="E69" s="256">
        <f t="shared" si="2"/>
        <v>3</v>
      </c>
      <c r="F69" s="255">
        <f>+'C. B - Alcance 1 Declaratoria'!F57</f>
        <v>70000</v>
      </c>
      <c r="G69" s="438">
        <f t="shared" si="3"/>
        <v>210000</v>
      </c>
      <c r="H69" s="277"/>
    </row>
    <row r="70" spans="1:8" ht="30.75" customHeight="1" x14ac:dyDescent="0.2">
      <c r="A70" s="257" t="s">
        <v>295</v>
      </c>
      <c r="B70" s="283" t="s">
        <v>176</v>
      </c>
      <c r="C70" s="256">
        <v>1</v>
      </c>
      <c r="D70" s="256">
        <v>3</v>
      </c>
      <c r="E70" s="256">
        <f t="shared" si="2"/>
        <v>3</v>
      </c>
      <c r="F70" s="255">
        <f>+'C. B - Alcance 1 Declaratoria'!F58</f>
        <v>70000</v>
      </c>
      <c r="G70" s="438">
        <f t="shared" si="3"/>
        <v>210000</v>
      </c>
      <c r="H70" s="277"/>
    </row>
    <row r="71" spans="1:8" ht="31.5" customHeight="1" x14ac:dyDescent="0.2">
      <c r="A71" s="257" t="s">
        <v>294</v>
      </c>
      <c r="B71" s="283" t="s">
        <v>176</v>
      </c>
      <c r="C71" s="256">
        <v>1</v>
      </c>
      <c r="D71" s="256">
        <v>1</v>
      </c>
      <c r="E71" s="256">
        <f t="shared" si="2"/>
        <v>1</v>
      </c>
      <c r="F71" s="255">
        <f>+F64</f>
        <v>70000</v>
      </c>
      <c r="G71" s="438">
        <f t="shared" si="3"/>
        <v>70000</v>
      </c>
      <c r="H71" s="277"/>
    </row>
    <row r="72" spans="1:8" ht="27" customHeight="1" x14ac:dyDescent="0.2">
      <c r="A72" s="257" t="s">
        <v>293</v>
      </c>
      <c r="B72" s="283" t="s">
        <v>176</v>
      </c>
      <c r="C72" s="256">
        <v>1</v>
      </c>
      <c r="D72" s="256">
        <v>1</v>
      </c>
      <c r="E72" s="256">
        <f t="shared" si="2"/>
        <v>1</v>
      </c>
      <c r="F72" s="255">
        <f>+F65</f>
        <v>70000</v>
      </c>
      <c r="G72" s="438">
        <f t="shared" si="3"/>
        <v>70000</v>
      </c>
      <c r="H72" s="277"/>
    </row>
    <row r="73" spans="1:8" ht="30" customHeight="1" x14ac:dyDescent="0.2">
      <c r="A73" s="257" t="s">
        <v>292</v>
      </c>
      <c r="B73" s="283" t="s">
        <v>176</v>
      </c>
      <c r="C73" s="256">
        <v>1</v>
      </c>
      <c r="D73" s="256">
        <v>1</v>
      </c>
      <c r="E73" s="256">
        <f t="shared" si="2"/>
        <v>1</v>
      </c>
      <c r="F73" s="255">
        <f>+F66</f>
        <v>70000</v>
      </c>
      <c r="G73" s="438">
        <f t="shared" si="3"/>
        <v>70000</v>
      </c>
      <c r="H73" s="277"/>
    </row>
    <row r="74" spans="1:8" ht="27.75" customHeight="1" x14ac:dyDescent="0.2">
      <c r="A74" s="257" t="s">
        <v>291</v>
      </c>
      <c r="B74" s="283" t="s">
        <v>176</v>
      </c>
      <c r="C74" s="256">
        <v>1</v>
      </c>
      <c r="D74" s="256">
        <v>1</v>
      </c>
      <c r="E74" s="256">
        <f t="shared" si="2"/>
        <v>1</v>
      </c>
      <c r="F74" s="255">
        <f>+F67</f>
        <v>70000</v>
      </c>
      <c r="G74" s="438">
        <f t="shared" si="3"/>
        <v>70000</v>
      </c>
      <c r="H74" s="277"/>
    </row>
    <row r="75" spans="1:8" ht="30.75" customHeight="1" x14ac:dyDescent="0.2">
      <c r="A75" s="257" t="s">
        <v>290</v>
      </c>
      <c r="B75" s="283" t="s">
        <v>176</v>
      </c>
      <c r="C75" s="256">
        <v>1</v>
      </c>
      <c r="D75" s="256">
        <v>1</v>
      </c>
      <c r="E75" s="256">
        <f t="shared" si="2"/>
        <v>1</v>
      </c>
      <c r="F75" s="255">
        <f>+'C. B - Alcance 1 Declaratoria'!F65</f>
        <v>70000</v>
      </c>
      <c r="G75" s="438">
        <f t="shared" si="3"/>
        <v>70000</v>
      </c>
      <c r="H75" s="277"/>
    </row>
    <row r="76" spans="1:8" ht="26.25" customHeight="1" x14ac:dyDescent="0.2">
      <c r="A76" s="257" t="s">
        <v>247</v>
      </c>
      <c r="B76" s="283" t="s">
        <v>176</v>
      </c>
      <c r="C76" s="256">
        <v>5</v>
      </c>
      <c r="D76" s="256">
        <f>+D50</f>
        <v>3</v>
      </c>
      <c r="E76" s="256">
        <f t="shared" si="2"/>
        <v>15</v>
      </c>
      <c r="F76" s="255">
        <f>+'C. B - Alcance 1 Declaratoria'!F59</f>
        <v>70000</v>
      </c>
      <c r="G76" s="438">
        <f t="shared" si="3"/>
        <v>1050000</v>
      </c>
      <c r="H76" s="277"/>
    </row>
    <row r="77" spans="1:8" ht="25.5" customHeight="1" x14ac:dyDescent="0.2">
      <c r="A77" s="257" t="s">
        <v>246</v>
      </c>
      <c r="B77" s="283" t="s">
        <v>176</v>
      </c>
      <c r="C77" s="256">
        <v>5</v>
      </c>
      <c r="D77" s="256">
        <f>+D51</f>
        <v>3</v>
      </c>
      <c r="E77" s="256">
        <f t="shared" si="2"/>
        <v>15</v>
      </c>
      <c r="F77" s="255">
        <f>+'C. B - Alcance 1 Declaratoria'!F60</f>
        <v>70000</v>
      </c>
      <c r="G77" s="438">
        <f t="shared" si="3"/>
        <v>1050000</v>
      </c>
      <c r="H77" s="277"/>
    </row>
    <row r="78" spans="1:8" ht="24" customHeight="1" x14ac:dyDescent="0.2">
      <c r="A78" s="257" t="s">
        <v>245</v>
      </c>
      <c r="B78" s="283" t="s">
        <v>176</v>
      </c>
      <c r="C78" s="256">
        <v>5</v>
      </c>
      <c r="D78" s="256">
        <f>+D52</f>
        <v>3</v>
      </c>
      <c r="E78" s="256">
        <f t="shared" si="2"/>
        <v>15</v>
      </c>
      <c r="F78" s="255">
        <f>+'C. B - Alcance 1 Declaratoria'!F61</f>
        <v>70000</v>
      </c>
      <c r="G78" s="438">
        <f t="shared" si="3"/>
        <v>1050000</v>
      </c>
      <c r="H78" s="277"/>
    </row>
    <row r="79" spans="1:8" ht="25.5" customHeight="1" x14ac:dyDescent="0.2">
      <c r="A79" s="257" t="s">
        <v>244</v>
      </c>
      <c r="B79" s="283" t="s">
        <v>176</v>
      </c>
      <c r="C79" s="256">
        <v>5</v>
      </c>
      <c r="D79" s="256">
        <f>+D53</f>
        <v>3</v>
      </c>
      <c r="E79" s="256">
        <f t="shared" si="2"/>
        <v>15</v>
      </c>
      <c r="F79" s="255">
        <f>+'C. B - Alcance 1 Declaratoria'!F62</f>
        <v>70000</v>
      </c>
      <c r="G79" s="438">
        <f t="shared" si="3"/>
        <v>1050000</v>
      </c>
      <c r="H79" s="277"/>
    </row>
    <row r="80" spans="1:8" ht="26.25" customHeight="1" x14ac:dyDescent="0.2">
      <c r="A80" s="257" t="s">
        <v>243</v>
      </c>
      <c r="B80" s="283" t="s">
        <v>176</v>
      </c>
      <c r="C80" s="256">
        <v>5</v>
      </c>
      <c r="D80" s="256">
        <f>+D54</f>
        <v>3</v>
      </c>
      <c r="E80" s="256">
        <f t="shared" si="2"/>
        <v>15</v>
      </c>
      <c r="F80" s="255">
        <f>+'C. B - Alcance 1 Declaratoria'!F63</f>
        <v>70000</v>
      </c>
      <c r="G80" s="438">
        <f t="shared" si="3"/>
        <v>1050000</v>
      </c>
      <c r="H80" s="277"/>
    </row>
    <row r="81" spans="1:9" ht="26.25" customHeight="1" x14ac:dyDescent="0.2">
      <c r="A81" s="257" t="s">
        <v>242</v>
      </c>
      <c r="B81" s="283" t="s">
        <v>176</v>
      </c>
      <c r="C81" s="256">
        <v>1</v>
      </c>
      <c r="D81" s="256">
        <v>3</v>
      </c>
      <c r="E81" s="256">
        <f t="shared" si="2"/>
        <v>3</v>
      </c>
      <c r="F81" s="255">
        <f>+'C. B - Alcance 1 Declaratoria'!F64</f>
        <v>70000</v>
      </c>
      <c r="G81" s="438">
        <f t="shared" si="3"/>
        <v>210000</v>
      </c>
      <c r="H81" s="277"/>
    </row>
    <row r="82" spans="1:9" ht="27" customHeight="1" x14ac:dyDescent="0.2">
      <c r="A82" s="257" t="s">
        <v>241</v>
      </c>
      <c r="B82" s="283" t="s">
        <v>176</v>
      </c>
      <c r="C82" s="256">
        <v>1</v>
      </c>
      <c r="D82" s="256">
        <v>3</v>
      </c>
      <c r="E82" s="256">
        <f t="shared" si="2"/>
        <v>3</v>
      </c>
      <c r="F82" s="255">
        <f>+'C. B - Alcance 1 Declaratoria'!F65</f>
        <v>70000</v>
      </c>
      <c r="G82" s="438">
        <f t="shared" si="3"/>
        <v>210000</v>
      </c>
      <c r="H82" s="277"/>
    </row>
    <row r="83" spans="1:9" ht="31.5" customHeight="1" x14ac:dyDescent="0.2">
      <c r="A83" s="257" t="s">
        <v>289</v>
      </c>
      <c r="B83" s="283" t="s">
        <v>176</v>
      </c>
      <c r="C83" s="256">
        <v>1</v>
      </c>
      <c r="D83" s="256">
        <v>3</v>
      </c>
      <c r="E83" s="256">
        <f t="shared" si="2"/>
        <v>3</v>
      </c>
      <c r="F83" s="255">
        <f>+'C. B - Alcance 1 Declaratoria'!F66</f>
        <v>70000</v>
      </c>
      <c r="G83" s="438">
        <f t="shared" si="3"/>
        <v>210000</v>
      </c>
      <c r="H83" s="277"/>
    </row>
    <row r="84" spans="1:9" ht="33.75" customHeight="1" x14ac:dyDescent="0.2">
      <c r="A84" s="257" t="s">
        <v>288</v>
      </c>
      <c r="B84" s="283" t="s">
        <v>176</v>
      </c>
      <c r="C84" s="256">
        <v>1</v>
      </c>
      <c r="D84" s="256">
        <v>3</v>
      </c>
      <c r="E84" s="256">
        <f t="shared" si="2"/>
        <v>3</v>
      </c>
      <c r="F84" s="255">
        <f>+'C. B - Alcance 1 Declaratoria'!F67</f>
        <v>70000</v>
      </c>
      <c r="G84" s="438">
        <f t="shared" si="3"/>
        <v>210000</v>
      </c>
      <c r="H84" s="277"/>
    </row>
    <row r="85" spans="1:9" ht="33.75" customHeight="1" x14ac:dyDescent="0.2">
      <c r="A85" s="257" t="s">
        <v>238</v>
      </c>
      <c r="B85" s="283" t="s">
        <v>176</v>
      </c>
      <c r="C85" s="256">
        <v>1</v>
      </c>
      <c r="D85" s="256">
        <v>3</v>
      </c>
      <c r="E85" s="256">
        <f t="shared" si="2"/>
        <v>3</v>
      </c>
      <c r="F85" s="255">
        <f>+'C. B - Alcance 1 Declaratoria'!F68</f>
        <v>70000</v>
      </c>
      <c r="G85" s="438">
        <f t="shared" si="3"/>
        <v>210000</v>
      </c>
      <c r="H85" s="277"/>
    </row>
    <row r="86" spans="1:9" ht="29.25" customHeight="1" x14ac:dyDescent="0.2">
      <c r="A86" s="257" t="s">
        <v>237</v>
      </c>
      <c r="B86" s="283" t="s">
        <v>176</v>
      </c>
      <c r="C86" s="256">
        <v>1</v>
      </c>
      <c r="D86" s="256">
        <v>3</v>
      </c>
      <c r="E86" s="256">
        <f t="shared" si="2"/>
        <v>3</v>
      </c>
      <c r="F86" s="255">
        <f>+'C. B - Alcance 1 Declaratoria'!F69</f>
        <v>70000</v>
      </c>
      <c r="G86" s="438">
        <f t="shared" si="3"/>
        <v>210000</v>
      </c>
      <c r="H86" s="277"/>
    </row>
    <row r="87" spans="1:9" ht="29.25" customHeight="1" x14ac:dyDescent="0.2">
      <c r="A87" s="257" t="s">
        <v>236</v>
      </c>
      <c r="B87" s="283" t="s">
        <v>176</v>
      </c>
      <c r="C87" s="256">
        <v>1</v>
      </c>
      <c r="D87" s="256">
        <v>3</v>
      </c>
      <c r="E87" s="256">
        <f t="shared" si="2"/>
        <v>3</v>
      </c>
      <c r="F87" s="255">
        <f>+'C. B - Alcance 1 Declaratoria'!F70</f>
        <v>70000</v>
      </c>
      <c r="G87" s="438">
        <f t="shared" si="3"/>
        <v>210000</v>
      </c>
      <c r="H87" s="277"/>
    </row>
    <row r="88" spans="1:9" ht="15.75" customHeight="1" x14ac:dyDescent="0.2">
      <c r="A88" s="645" t="s">
        <v>287</v>
      </c>
      <c r="B88" s="646"/>
      <c r="C88" s="646"/>
      <c r="D88" s="646"/>
      <c r="E88" s="646"/>
      <c r="F88" s="646"/>
      <c r="G88" s="281">
        <f>SUM(G64:G87)</f>
        <v>8540000</v>
      </c>
      <c r="H88" s="277"/>
      <c r="I88" s="252"/>
    </row>
    <row r="89" spans="1:9" ht="26.25" thickBot="1" x14ac:dyDescent="0.25">
      <c r="A89" s="251" t="s">
        <v>234</v>
      </c>
      <c r="B89" s="248" t="s">
        <v>226</v>
      </c>
      <c r="C89" s="250">
        <f>SUM(C64:C87)</f>
        <v>44</v>
      </c>
      <c r="D89" s="249"/>
      <c r="E89" s="249"/>
      <c r="F89" s="248" t="s">
        <v>233</v>
      </c>
      <c r="G89" s="280">
        <f>G88/C89</f>
        <v>194090.90909090909</v>
      </c>
      <c r="H89" s="277"/>
    </row>
    <row r="90" spans="1:9" ht="15.75" customHeight="1" thickBot="1" x14ac:dyDescent="0.25">
      <c r="A90" s="642" t="s">
        <v>232</v>
      </c>
      <c r="B90" s="643"/>
      <c r="C90" s="643"/>
      <c r="D90" s="643"/>
      <c r="E90" s="643"/>
      <c r="F90" s="644"/>
      <c r="G90" s="279">
        <f>+G88+G61+G42</f>
        <v>24270000</v>
      </c>
      <c r="H90" s="277"/>
    </row>
    <row r="91" spans="1:9" ht="15.75" customHeight="1" thickBot="1" x14ac:dyDescent="0.25">
      <c r="A91" s="244"/>
      <c r="B91" s="244"/>
      <c r="C91" s="244"/>
      <c r="D91" s="244"/>
      <c r="E91" s="244"/>
      <c r="H91" s="277"/>
    </row>
    <row r="92" spans="1:9" ht="15.75" customHeight="1" thickBot="1" x14ac:dyDescent="0.25">
      <c r="A92" s="651" t="s">
        <v>286</v>
      </c>
      <c r="B92" s="652"/>
      <c r="C92" s="652"/>
      <c r="D92" s="652"/>
      <c r="E92" s="652"/>
      <c r="F92" s="652"/>
      <c r="G92" s="278">
        <f>G90+H29</f>
        <v>226025497.70000002</v>
      </c>
      <c r="H92" s="277"/>
    </row>
    <row r="93" spans="1:9" ht="15.75" customHeight="1" x14ac:dyDescent="0.2">
      <c r="A93" s="214"/>
      <c r="B93" s="214"/>
      <c r="C93" s="214"/>
      <c r="D93" s="213"/>
      <c r="E93" s="213"/>
      <c r="F93" s="213"/>
      <c r="G93" s="213"/>
      <c r="H93" s="277"/>
    </row>
    <row r="94" spans="1:9" ht="15.75" customHeight="1" x14ac:dyDescent="0.2">
      <c r="A94" s="214"/>
      <c r="B94" s="214"/>
      <c r="C94" s="214"/>
      <c r="D94" s="213"/>
      <c r="E94" s="213"/>
      <c r="F94" s="213"/>
      <c r="G94" s="213"/>
      <c r="H94" s="277"/>
    </row>
    <row r="95" spans="1:9" ht="15.75" customHeight="1" x14ac:dyDescent="0.2">
      <c r="A95" s="214"/>
      <c r="B95" s="214"/>
      <c r="C95" s="214"/>
      <c r="D95" s="213"/>
      <c r="E95" s="213"/>
      <c r="F95" s="213"/>
      <c r="G95" s="213"/>
      <c r="H95" s="277"/>
    </row>
    <row r="96" spans="1:9" ht="15.75" customHeight="1" x14ac:dyDescent="0.2">
      <c r="A96" s="214"/>
      <c r="B96" s="214"/>
      <c r="C96" s="214"/>
      <c r="D96" s="213"/>
      <c r="E96" s="213"/>
      <c r="F96" s="213"/>
      <c r="G96" s="213"/>
      <c r="H96" s="277"/>
    </row>
    <row r="97" spans="1:8" ht="15.75" customHeight="1" x14ac:dyDescent="0.2">
      <c r="A97" s="241"/>
      <c r="B97" s="214"/>
      <c r="C97" s="214"/>
      <c r="D97" s="213"/>
      <c r="E97" s="213"/>
      <c r="F97" s="213"/>
      <c r="G97" s="213"/>
      <c r="H97" s="277"/>
    </row>
    <row r="98" spans="1:8" ht="15.75" customHeight="1" x14ac:dyDescent="0.2">
      <c r="A98" s="192" t="s">
        <v>183</v>
      </c>
      <c r="B98" s="214"/>
      <c r="C98" s="214"/>
      <c r="D98" s="213"/>
      <c r="E98" s="213"/>
      <c r="F98" s="213"/>
      <c r="G98" s="213"/>
      <c r="H98" s="277"/>
    </row>
    <row r="99" spans="1:8" ht="15.75" customHeight="1" x14ac:dyDescent="0.2">
      <c r="A99" s="192" t="s">
        <v>182</v>
      </c>
      <c r="B99" s="214"/>
      <c r="C99" s="214"/>
      <c r="D99" s="213"/>
      <c r="E99" s="213"/>
      <c r="F99" s="213"/>
      <c r="G99" s="213"/>
      <c r="H99" s="277"/>
    </row>
    <row r="100" spans="1:8" ht="15.75" customHeight="1" x14ac:dyDescent="0.2">
      <c r="A100" s="192" t="s">
        <v>181</v>
      </c>
      <c r="B100" s="214"/>
      <c r="C100" s="214"/>
      <c r="D100" s="213"/>
      <c r="E100" s="213"/>
      <c r="F100" s="213"/>
      <c r="G100" s="213"/>
      <c r="H100" s="277"/>
    </row>
    <row r="101" spans="1:8" ht="15.75" customHeight="1" x14ac:dyDescent="0.2">
      <c r="A101" s="192" t="s">
        <v>180</v>
      </c>
      <c r="B101" s="214"/>
      <c r="C101" s="214"/>
      <c r="D101" s="213"/>
      <c r="E101" s="213"/>
      <c r="F101" s="213"/>
      <c r="G101" s="213"/>
      <c r="H101" s="277"/>
    </row>
    <row r="102" spans="1:8" ht="15.75" customHeight="1" x14ac:dyDescent="0.2">
      <c r="A102" s="214"/>
      <c r="B102" s="214"/>
      <c r="C102" s="214"/>
      <c r="D102" s="213"/>
      <c r="E102" s="213"/>
      <c r="F102" s="213"/>
      <c r="G102" s="213"/>
      <c r="H102" s="277"/>
    </row>
    <row r="103" spans="1:8" ht="15.75" customHeight="1" x14ac:dyDescent="0.2">
      <c r="A103" s="214"/>
      <c r="B103" s="214"/>
      <c r="C103" s="214"/>
      <c r="D103" s="213"/>
      <c r="E103" s="213"/>
      <c r="F103" s="213"/>
      <c r="G103" s="213"/>
      <c r="H103" s="277"/>
    </row>
    <row r="104" spans="1:8" ht="15.75" customHeight="1" x14ac:dyDescent="0.2">
      <c r="A104" s="214"/>
      <c r="B104" s="214"/>
      <c r="C104" s="214"/>
      <c r="D104" s="213"/>
      <c r="E104" s="213"/>
      <c r="F104" s="213"/>
      <c r="G104" s="213"/>
      <c r="H104" s="277"/>
    </row>
    <row r="105" spans="1:8" ht="15.75" customHeight="1" x14ac:dyDescent="0.2">
      <c r="A105" s="214"/>
      <c r="B105" s="214"/>
      <c r="C105" s="214"/>
      <c r="D105" s="213"/>
      <c r="E105" s="213"/>
      <c r="F105" s="213"/>
      <c r="G105" s="213"/>
      <c r="H105" s="277"/>
    </row>
    <row r="106" spans="1:8" ht="15.75" customHeight="1" x14ac:dyDescent="0.2">
      <c r="A106" s="214"/>
      <c r="B106" s="214"/>
      <c r="C106" s="214"/>
      <c r="D106" s="213"/>
      <c r="E106" s="213"/>
      <c r="F106" s="213"/>
      <c r="G106" s="213"/>
      <c r="H106" s="277"/>
    </row>
    <row r="107" spans="1:8" ht="15.75" customHeight="1" x14ac:dyDescent="0.2">
      <c r="A107" s="214"/>
      <c r="B107" s="214"/>
      <c r="C107" s="214"/>
      <c r="D107" s="213"/>
      <c r="E107" s="213"/>
      <c r="F107" s="213"/>
      <c r="G107" s="213"/>
      <c r="H107" s="277"/>
    </row>
    <row r="108" spans="1:8" ht="15.75" customHeight="1" x14ac:dyDescent="0.2">
      <c r="A108" s="214"/>
      <c r="B108" s="214"/>
      <c r="C108" s="214"/>
      <c r="D108" s="213"/>
      <c r="E108" s="213"/>
      <c r="F108" s="213"/>
      <c r="G108" s="213"/>
      <c r="H108" s="277"/>
    </row>
    <row r="109" spans="1:8" ht="15.75" customHeight="1" x14ac:dyDescent="0.2">
      <c r="A109" s="214"/>
      <c r="B109" s="214"/>
      <c r="C109" s="214"/>
      <c r="D109" s="213"/>
      <c r="E109" s="213"/>
      <c r="F109" s="213"/>
      <c r="G109" s="213"/>
      <c r="H109" s="277"/>
    </row>
    <row r="110" spans="1:8" ht="15.75" customHeight="1" x14ac:dyDescent="0.2">
      <c r="A110" s="214"/>
      <c r="B110" s="214"/>
      <c r="C110" s="214"/>
      <c r="D110" s="213"/>
      <c r="E110" s="213"/>
      <c r="F110" s="213"/>
      <c r="G110" s="213"/>
      <c r="H110" s="277"/>
    </row>
    <row r="111" spans="1:8" ht="15.75" customHeight="1" x14ac:dyDescent="0.2">
      <c r="A111" s="214"/>
      <c r="B111" s="214"/>
      <c r="C111" s="214"/>
      <c r="D111" s="213"/>
      <c r="E111" s="213"/>
      <c r="F111" s="213"/>
      <c r="G111" s="213"/>
      <c r="H111" s="277"/>
    </row>
    <row r="112" spans="1:8" ht="15.75" customHeight="1" x14ac:dyDescent="0.2">
      <c r="A112" s="214"/>
      <c r="B112" s="214"/>
      <c r="C112" s="214"/>
      <c r="D112" s="213"/>
      <c r="E112" s="213"/>
      <c r="F112" s="213"/>
      <c r="G112" s="213"/>
      <c r="H112" s="277"/>
    </row>
    <row r="113" spans="1:8" ht="15.75" customHeight="1" x14ac:dyDescent="0.2">
      <c r="A113" s="214"/>
      <c r="B113" s="214"/>
      <c r="C113" s="214"/>
      <c r="D113" s="213"/>
      <c r="E113" s="213"/>
      <c r="F113" s="213"/>
      <c r="G113" s="213"/>
      <c r="H113" s="277"/>
    </row>
    <row r="114" spans="1:8" ht="15.75" customHeight="1" x14ac:dyDescent="0.2">
      <c r="A114" s="214"/>
      <c r="B114" s="214"/>
      <c r="C114" s="214"/>
      <c r="D114" s="213"/>
      <c r="E114" s="213"/>
      <c r="F114" s="213"/>
      <c r="G114" s="213"/>
      <c r="H114" s="277"/>
    </row>
  </sheetData>
  <sheetProtection algorithmName="SHA-512" hashValue="Q31rI6F0O4UIE1u7lTAvKxeuwHqwCANZ5LK4gKyi+katGO9hJIqHqVX92O4IKW0PoNgbaa7nWcfhoW0yDNoXsg==" saltValue="k1Bs46XP0friV4T7fHVlGQ==" spinCount="100000" sheet="1" formatCells="0" formatColumns="0" formatRows="0"/>
  <mergeCells count="19">
    <mergeCell ref="A2:H2"/>
    <mergeCell ref="A42:F42"/>
    <mergeCell ref="A4:H4"/>
    <mergeCell ref="A28:G28"/>
    <mergeCell ref="A29:G29"/>
    <mergeCell ref="B34:G34"/>
    <mergeCell ref="B33:G33"/>
    <mergeCell ref="B32:G32"/>
    <mergeCell ref="A31:G31"/>
    <mergeCell ref="A40:F40"/>
    <mergeCell ref="A6:H6"/>
    <mergeCell ref="A90:F90"/>
    <mergeCell ref="A92:F92"/>
    <mergeCell ref="A44:G44"/>
    <mergeCell ref="B45:G45"/>
    <mergeCell ref="B46:G46"/>
    <mergeCell ref="B47:G47"/>
    <mergeCell ref="A61:F61"/>
    <mergeCell ref="A88:F88"/>
  </mergeCells>
  <dataValidations count="6">
    <dataValidation allowBlank="1" showInputMessage="1" showErrorMessage="1" prompt="ingrese el valor del Factor Prestacional asignado para el personal." sqref="G7:G27" xr:uid="{00000000-0002-0000-0300-000005000000}"/>
    <dataValidation allowBlank="1" showInputMessage="1" showErrorMessage="1" prompt="traer el valor definido en la hoja &quot;honorarios Corporativos&quot;" sqref="F7:F27" xr:uid="{00000000-0002-0000-0300-000004000000}"/>
    <dataValidation allowBlank="1" showInputMessage="1" showErrorMessage="1" prompt="diligencie la cantidad de unidad de medida del valor unitario" sqref="E7:E27" xr:uid="{00000000-0002-0000-0300-000003000000}"/>
    <dataValidation allowBlank="1" showInputMessage="1" showErrorMessage="1" prompt="definir la unidad de medida con la cual se asigna el valor unitario." sqref="D7:D27" xr:uid="{00000000-0002-0000-0300-000002000000}"/>
    <dataValidation allowBlank="1" showInputMessage="1" showErrorMessage="1" prompt="diligencie la cantidad del personal requerido" sqref="B7:B27" xr:uid="{00000000-0002-0000-0300-000001000000}"/>
    <dataValidation allowBlank="1" showInputMessage="1" showErrorMessage="1" prompt="diligencie la dedicación del personal relacionado._x000a_" sqref="C7:C27" xr:uid="{00000000-0002-0000-0300-000000000000}"/>
  </dataValidations>
  <pageMargins left="0.7" right="0.7" top="0.75" bottom="0.75" header="0.3" footer="0.3"/>
  <pageSetup scale="59"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38ED1-2440-4584-BAB4-3A0CC9E6AC72}">
  <sheetPr>
    <pageSetUpPr fitToPage="1"/>
  </sheetPr>
  <dimension ref="A1:H81"/>
  <sheetViews>
    <sheetView showGridLines="0" view="pageBreakPreview" topLeftCell="A57" zoomScale="85" zoomScaleNormal="100" zoomScaleSheetLayoutView="85" workbookViewId="0">
      <selection activeCell="G42" sqref="G42:G46"/>
    </sheetView>
  </sheetViews>
  <sheetFormatPr baseColWidth="10" defaultColWidth="9.7109375" defaultRowHeight="15.75" customHeight="1" x14ac:dyDescent="0.2"/>
  <cols>
    <col min="1" max="1" width="48.28515625" style="240" customWidth="1"/>
    <col min="2" max="4" width="12.140625" style="240" customWidth="1"/>
    <col min="5" max="5" width="12.140625" style="239" customWidth="1"/>
    <col min="6" max="6" width="15.140625" style="238" customWidth="1"/>
    <col min="7" max="7" width="17.140625" style="238" bestFit="1" customWidth="1"/>
    <col min="8" max="8" width="14.85546875" style="238" customWidth="1"/>
    <col min="9" max="16384" width="9.7109375" style="238"/>
  </cols>
  <sheetData>
    <row r="1" spans="1:8" ht="15.75" customHeight="1" thickBot="1" x14ac:dyDescent="0.25"/>
    <row r="2" spans="1:8" ht="27" thickBot="1" x14ac:dyDescent="0.45">
      <c r="A2" s="639" t="s">
        <v>360</v>
      </c>
      <c r="B2" s="640"/>
      <c r="C2" s="640"/>
      <c r="D2" s="640"/>
      <c r="E2" s="640"/>
      <c r="F2" s="640"/>
      <c r="G2" s="640"/>
      <c r="H2" s="641"/>
    </row>
    <row r="3" spans="1:8" ht="15.75" customHeight="1" thickBot="1" x14ac:dyDescent="0.25"/>
    <row r="4" spans="1:8" ht="15.75" customHeight="1" thickBot="1" x14ac:dyDescent="0.25">
      <c r="A4" s="653" t="s">
        <v>227</v>
      </c>
      <c r="B4" s="654"/>
      <c r="C4" s="654"/>
      <c r="D4" s="654"/>
      <c r="E4" s="654"/>
      <c r="F4" s="654"/>
      <c r="G4" s="654"/>
      <c r="H4" s="655"/>
    </row>
    <row r="5" spans="1:8" ht="39" thickBot="1" x14ac:dyDescent="0.25">
      <c r="A5" s="276" t="s">
        <v>197</v>
      </c>
      <c r="B5" s="275" t="s">
        <v>226</v>
      </c>
      <c r="C5" s="275" t="s">
        <v>225</v>
      </c>
      <c r="D5" s="275" t="s">
        <v>196</v>
      </c>
      <c r="E5" s="275" t="s">
        <v>195</v>
      </c>
      <c r="F5" s="275" t="s">
        <v>194</v>
      </c>
      <c r="G5" s="275" t="s">
        <v>224</v>
      </c>
      <c r="H5" s="274" t="s">
        <v>193</v>
      </c>
    </row>
    <row r="6" spans="1:8" ht="15.75" customHeight="1" x14ac:dyDescent="0.2">
      <c r="A6" s="667" t="s">
        <v>223</v>
      </c>
      <c r="B6" s="668"/>
      <c r="C6" s="668"/>
      <c r="D6" s="668"/>
      <c r="E6" s="668"/>
      <c r="F6" s="668"/>
      <c r="G6" s="668"/>
      <c r="H6" s="669"/>
    </row>
    <row r="7" spans="1:8" ht="25.5" x14ac:dyDescent="0.2">
      <c r="A7" s="230" t="str">
        <f>+'Cuadro A - Presupuesto'!B10</f>
        <v>Profesional con experiencia en el área ambiental – Coordinador de Proyectos</v>
      </c>
      <c r="B7" s="229">
        <v>1</v>
      </c>
      <c r="C7" s="228">
        <f>+'Cuadro A - Presupuesto'!D10*0.25</f>
        <v>0.25</v>
      </c>
      <c r="D7" s="226" t="s">
        <v>201</v>
      </c>
      <c r="E7" s="227">
        <f>'Cuadro A - Presupuesto'!F10</f>
        <v>14</v>
      </c>
      <c r="F7" s="310">
        <f>+'Cuadro A - Presupuesto'!G10</f>
        <v>3987342</v>
      </c>
      <c r="G7" s="226">
        <v>1.58</v>
      </c>
      <c r="H7" s="225">
        <f t="shared" ref="H7:H27" si="0">+B7*C7*E7*F7*G7</f>
        <v>22050001.260000002</v>
      </c>
    </row>
    <row r="8" spans="1:8" ht="15.75" customHeight="1" x14ac:dyDescent="0.2">
      <c r="A8" s="230" t="str">
        <f>+'Cuadro A - Presupuesto'!B11</f>
        <v xml:space="preserve">Profesional especialista socio -ambiental  </v>
      </c>
      <c r="B8" s="229">
        <v>1</v>
      </c>
      <c r="C8" s="228">
        <f>+'Cuadro A - Presupuesto'!D11*0.25</f>
        <v>0.25</v>
      </c>
      <c r="D8" s="226" t="s">
        <v>201</v>
      </c>
      <c r="E8" s="227">
        <f>'Cuadro A - Presupuesto'!F11</f>
        <v>14</v>
      </c>
      <c r="F8" s="310">
        <f>+'Cuadro A - Presupuesto'!G11</f>
        <v>3322785</v>
      </c>
      <c r="G8" s="226">
        <v>1.58</v>
      </c>
      <c r="H8" s="225">
        <f t="shared" si="0"/>
        <v>18375001.050000001</v>
      </c>
    </row>
    <row r="9" spans="1:8" ht="15.75" customHeight="1" x14ac:dyDescent="0.2">
      <c r="A9" s="230" t="str">
        <f>+'Cuadro A - Presupuesto'!B12</f>
        <v>Profesional especialista en hidrología</v>
      </c>
      <c r="B9" s="229">
        <v>1</v>
      </c>
      <c r="C9" s="228">
        <f>+'Cuadro A - Presupuesto'!D12*0.25</f>
        <v>0.125</v>
      </c>
      <c r="D9" s="226" t="s">
        <v>201</v>
      </c>
      <c r="E9" s="227">
        <f>'Cuadro A - Presupuesto'!F12</f>
        <v>14</v>
      </c>
      <c r="F9" s="310">
        <f>+'Cuadro A - Presupuesto'!G12</f>
        <v>3322785</v>
      </c>
      <c r="G9" s="226">
        <v>1.58</v>
      </c>
      <c r="H9" s="225">
        <f t="shared" si="0"/>
        <v>9187500.5250000004</v>
      </c>
    </row>
    <row r="10" spans="1:8" ht="15.75" customHeight="1" x14ac:dyDescent="0.2">
      <c r="A10" s="230" t="str">
        <f>+'Cuadro A - Presupuesto'!B13</f>
        <v>Profesional especialista en calidad y cantidad del agua</v>
      </c>
      <c r="B10" s="229">
        <v>1</v>
      </c>
      <c r="C10" s="228">
        <f>+'Cuadro A - Presupuesto'!D13*0.25</f>
        <v>0.125</v>
      </c>
      <c r="D10" s="226" t="s">
        <v>201</v>
      </c>
      <c r="E10" s="227">
        <f>'Cuadro A - Presupuesto'!F13</f>
        <v>14</v>
      </c>
      <c r="F10" s="310">
        <f>+'Cuadro A - Presupuesto'!G13</f>
        <v>3322785</v>
      </c>
      <c r="G10" s="226">
        <v>1.58</v>
      </c>
      <c r="H10" s="225">
        <f t="shared" si="0"/>
        <v>9187500.5250000004</v>
      </c>
    </row>
    <row r="11" spans="1:8" ht="15.75" customHeight="1" x14ac:dyDescent="0.2">
      <c r="A11" s="230" t="str">
        <f>+'Cuadro A - Presupuesto'!B14</f>
        <v xml:space="preserve">Profesional especialista en modelación </v>
      </c>
      <c r="B11" s="229">
        <v>1</v>
      </c>
      <c r="C11" s="228">
        <f>+'Cuadro A - Presupuesto'!D14*0.25</f>
        <v>0.125</v>
      </c>
      <c r="D11" s="226" t="s">
        <v>201</v>
      </c>
      <c r="E11" s="227">
        <f>'Cuadro A - Presupuesto'!F14</f>
        <v>14</v>
      </c>
      <c r="F11" s="310">
        <f>+'Cuadro A - Presupuesto'!G14</f>
        <v>3322785</v>
      </c>
      <c r="G11" s="226">
        <v>1.58</v>
      </c>
      <c r="H11" s="225">
        <f t="shared" si="0"/>
        <v>9187500.5250000004</v>
      </c>
    </row>
    <row r="12" spans="1:8" ht="15.75" customHeight="1" x14ac:dyDescent="0.2">
      <c r="A12" s="230" t="str">
        <f>+'Cuadro A - Presupuesto'!B15</f>
        <v>Profesional con experiencia en instrumentos económicos</v>
      </c>
      <c r="B12" s="229">
        <v>1</v>
      </c>
      <c r="C12" s="228">
        <f>+'Cuadro A - Presupuesto'!D15*0.25</f>
        <v>0.125</v>
      </c>
      <c r="D12" s="226" t="s">
        <v>201</v>
      </c>
      <c r="E12" s="227">
        <f>'Cuadro A - Presupuesto'!F15</f>
        <v>5</v>
      </c>
      <c r="F12" s="310">
        <f>+'Cuadro A - Presupuesto'!G15</f>
        <v>3322785</v>
      </c>
      <c r="G12" s="226">
        <v>1.58</v>
      </c>
      <c r="H12" s="225">
        <f t="shared" si="0"/>
        <v>3281250.1875</v>
      </c>
    </row>
    <row r="13" spans="1:8" ht="15.75" customHeight="1" x14ac:dyDescent="0.2">
      <c r="A13" s="230" t="str">
        <f>+'Cuadro A - Presupuesto'!B16</f>
        <v xml:space="preserve">Tecnólogos ambientales </v>
      </c>
      <c r="B13" s="229">
        <v>5</v>
      </c>
      <c r="C13" s="228">
        <f>+'Cuadro A - Presupuesto'!D16*0.25</f>
        <v>0.25</v>
      </c>
      <c r="D13" s="226" t="s">
        <v>201</v>
      </c>
      <c r="E13" s="227">
        <f>'Cuadro A - Presupuesto'!F16</f>
        <v>10</v>
      </c>
      <c r="F13" s="310">
        <f>+'Cuadro A - Presupuesto'!G16</f>
        <v>2120253</v>
      </c>
      <c r="G13" s="226">
        <v>1.58</v>
      </c>
      <c r="H13" s="225">
        <f t="shared" si="0"/>
        <v>41874996.75</v>
      </c>
    </row>
    <row r="14" spans="1:8" ht="15.75" customHeight="1" x14ac:dyDescent="0.2">
      <c r="A14" s="230" t="str">
        <f>+'Cuadro A - Presupuesto'!B17</f>
        <v>Tecnólogo sin experiencia</v>
      </c>
      <c r="B14" s="229">
        <v>2</v>
      </c>
      <c r="C14" s="228">
        <f>+'Cuadro A - Presupuesto'!D17*0.25</f>
        <v>0.25</v>
      </c>
      <c r="D14" s="226" t="s">
        <v>201</v>
      </c>
      <c r="E14" s="227">
        <f>'Cuadro A - Presupuesto'!F17</f>
        <v>6</v>
      </c>
      <c r="F14" s="310">
        <f>+'Cuadro A - Presupuesto'!G17</f>
        <v>1827848</v>
      </c>
      <c r="G14" s="226">
        <v>1.58</v>
      </c>
      <c r="H14" s="225">
        <f t="shared" si="0"/>
        <v>8663999.5199999996</v>
      </c>
    </row>
    <row r="15" spans="1:8" ht="15.75" customHeight="1" x14ac:dyDescent="0.2">
      <c r="A15" s="230" t="str">
        <f>+'Cuadro A - Presupuesto'!B18</f>
        <v xml:space="preserve">Profesionales con experiencia en hidrobiología   </v>
      </c>
      <c r="B15" s="229">
        <v>1</v>
      </c>
      <c r="C15" s="228">
        <f>+'Cuadro A - Presupuesto'!D18*0.25</f>
        <v>0.125</v>
      </c>
      <c r="D15" s="226" t="s">
        <v>201</v>
      </c>
      <c r="E15" s="227">
        <f>'Cuadro A - Presupuesto'!F18</f>
        <v>7</v>
      </c>
      <c r="F15" s="310">
        <f>+'Cuadro A - Presupuesto'!G18</f>
        <v>3322785</v>
      </c>
      <c r="G15" s="226">
        <v>1.58</v>
      </c>
      <c r="H15" s="225">
        <f t="shared" si="0"/>
        <v>4593750.2625000002</v>
      </c>
    </row>
    <row r="16" spans="1:8" ht="15.75" customHeight="1" x14ac:dyDescent="0.2">
      <c r="A16" s="230" t="str">
        <f>+'Cuadro A - Presupuesto'!B19</f>
        <v>Profesional en el área social</v>
      </c>
      <c r="B16" s="229">
        <v>1</v>
      </c>
      <c r="C16" s="228">
        <f>+'Cuadro A - Presupuesto'!D19*0.25</f>
        <v>0.125</v>
      </c>
      <c r="D16" s="226" t="s">
        <v>201</v>
      </c>
      <c r="E16" s="227">
        <f>'Cuadro A - Presupuesto'!F19</f>
        <v>14</v>
      </c>
      <c r="F16" s="310">
        <f>+'Cuadro A - Presupuesto'!G19</f>
        <v>3322785</v>
      </c>
      <c r="G16" s="226">
        <v>1.58</v>
      </c>
      <c r="H16" s="225">
        <f t="shared" si="0"/>
        <v>9187500.5250000004</v>
      </c>
    </row>
    <row r="17" spans="1:8" ht="24" customHeight="1" x14ac:dyDescent="0.2">
      <c r="A17" s="230" t="str">
        <f>+'Cuadro A - Presupuesto'!B20</f>
        <v>Profesional en el área de comunicaciones y diseño grafico</v>
      </c>
      <c r="B17" s="229">
        <v>1</v>
      </c>
      <c r="C17" s="228">
        <f>+'Cuadro A - Presupuesto'!D20*0.25</f>
        <v>0.125</v>
      </c>
      <c r="D17" s="226" t="s">
        <v>201</v>
      </c>
      <c r="E17" s="227">
        <f>'Cuadro A - Presupuesto'!F20</f>
        <v>14</v>
      </c>
      <c r="F17" s="310">
        <f>+'Cuadro A - Presupuesto'!G20</f>
        <v>3322785</v>
      </c>
      <c r="G17" s="226">
        <v>1.58</v>
      </c>
      <c r="H17" s="225">
        <f t="shared" si="0"/>
        <v>9187500.5250000004</v>
      </c>
    </row>
    <row r="18" spans="1:8" ht="15.75" customHeight="1" x14ac:dyDescent="0.2">
      <c r="A18" s="230" t="str">
        <f>+'Cuadro A - Presupuesto'!B21</f>
        <v>Profesional en SIG</v>
      </c>
      <c r="B18" s="229">
        <v>1</v>
      </c>
      <c r="C18" s="228">
        <f>+'Cuadro A - Presupuesto'!D21*0.25</f>
        <v>0.125</v>
      </c>
      <c r="D18" s="226" t="s">
        <v>201</v>
      </c>
      <c r="E18" s="227">
        <f>'Cuadro A - Presupuesto'!F21</f>
        <v>14</v>
      </c>
      <c r="F18" s="310">
        <f>+'Cuadro A - Presupuesto'!G21</f>
        <v>3322785</v>
      </c>
      <c r="G18" s="226">
        <v>1.58</v>
      </c>
      <c r="H18" s="225">
        <f t="shared" si="0"/>
        <v>9187500.5250000004</v>
      </c>
    </row>
    <row r="19" spans="1:8" ht="15.75" customHeight="1" x14ac:dyDescent="0.2">
      <c r="A19" s="230" t="str">
        <f>+'Cuadro A - Presupuesto'!B22</f>
        <v>Profesional especialista en planificación</v>
      </c>
      <c r="B19" s="229">
        <v>1</v>
      </c>
      <c r="C19" s="228">
        <f>+'Cuadro A - Presupuesto'!D22*0.25</f>
        <v>0.125</v>
      </c>
      <c r="D19" s="226" t="s">
        <v>201</v>
      </c>
      <c r="E19" s="227">
        <f>'Cuadro A - Presupuesto'!F22</f>
        <v>14</v>
      </c>
      <c r="F19" s="310">
        <f>+'Cuadro A - Presupuesto'!G22</f>
        <v>3322785</v>
      </c>
      <c r="G19" s="226">
        <v>1.58</v>
      </c>
      <c r="H19" s="225">
        <f t="shared" si="0"/>
        <v>9187500.5250000004</v>
      </c>
    </row>
    <row r="20" spans="1:8" ht="25.5" customHeight="1" x14ac:dyDescent="0.2">
      <c r="A20" s="230" t="str">
        <f>+'Cuadro A - Presupuesto'!B23</f>
        <v>Tecnólogo en área social, administrativa o ambiental (apoyo)</v>
      </c>
      <c r="B20" s="229">
        <v>1</v>
      </c>
      <c r="C20" s="228">
        <f>+'Cuadro A - Presupuesto'!D23*0.25</f>
        <v>0.125</v>
      </c>
      <c r="D20" s="226" t="s">
        <v>201</v>
      </c>
      <c r="E20" s="227">
        <f>'Cuadro A - Presupuesto'!F23</f>
        <v>14</v>
      </c>
      <c r="F20" s="310">
        <f>+'Cuadro A - Presupuesto'!G23</f>
        <v>1827848</v>
      </c>
      <c r="G20" s="226">
        <v>1.58</v>
      </c>
      <c r="H20" s="225">
        <f t="shared" si="0"/>
        <v>5053999.7200000007</v>
      </c>
    </row>
    <row r="21" spans="1:8" ht="15.75" customHeight="1" x14ac:dyDescent="0.2">
      <c r="A21" s="230" t="str">
        <f>+'Cuadro A - Presupuesto'!B24</f>
        <v>Profesional especialista obras hidráulica</v>
      </c>
      <c r="B21" s="229">
        <v>1</v>
      </c>
      <c r="C21" s="228">
        <f>+'Cuadro A - Presupuesto'!D24*0.25</f>
        <v>0.125</v>
      </c>
      <c r="D21" s="226" t="s">
        <v>201</v>
      </c>
      <c r="E21" s="227">
        <f>'Cuadro A - Presupuesto'!F24</f>
        <v>6</v>
      </c>
      <c r="F21" s="310">
        <f>+'Cuadro A - Presupuesto'!G24</f>
        <v>3322785</v>
      </c>
      <c r="G21" s="226">
        <v>1.58</v>
      </c>
      <c r="H21" s="225">
        <f t="shared" si="0"/>
        <v>3937500.2250000001</v>
      </c>
    </row>
    <row r="22" spans="1:8" ht="15.75" customHeight="1" x14ac:dyDescent="0.2">
      <c r="A22" s="230" t="str">
        <f>+'Cuadro A - Presupuesto'!B25</f>
        <v xml:space="preserve">Profesional en ingeniería sin experiencia </v>
      </c>
      <c r="B22" s="229">
        <v>1</v>
      </c>
      <c r="C22" s="228">
        <f>+'Cuadro A - Presupuesto'!D25*0.25</f>
        <v>0.25</v>
      </c>
      <c r="D22" s="226" t="s">
        <v>201</v>
      </c>
      <c r="E22" s="227">
        <f>'Cuadro A - Presupuesto'!F25</f>
        <v>10</v>
      </c>
      <c r="F22" s="310">
        <f>+'Cuadro A - Presupuesto'!G25</f>
        <v>2259494</v>
      </c>
      <c r="G22" s="226">
        <v>1.58</v>
      </c>
      <c r="H22" s="225">
        <f t="shared" si="0"/>
        <v>8925001.3000000007</v>
      </c>
    </row>
    <row r="23" spans="1:8" ht="25.5" x14ac:dyDescent="0.2">
      <c r="A23" s="230" t="str">
        <f>+'Cuadro A - Presupuesto'!B26</f>
        <v>Bachiller promotor sin experiencia cuerpo de agua La Vibora</v>
      </c>
      <c r="B23" s="229">
        <v>1</v>
      </c>
      <c r="C23" s="228">
        <f>+'Cuadro A - Presupuesto'!D26*0.25</f>
        <v>0.25</v>
      </c>
      <c r="D23" s="226" t="s">
        <v>201</v>
      </c>
      <c r="E23" s="227">
        <f>'Cuadro A - Presupuesto'!F26</f>
        <v>10</v>
      </c>
      <c r="F23" s="310">
        <f>+'Cuadro A - Presupuesto'!G26</f>
        <v>1003030</v>
      </c>
      <c r="G23" s="226">
        <v>1.65</v>
      </c>
      <c r="H23" s="225">
        <f t="shared" si="0"/>
        <v>4137498.75</v>
      </c>
    </row>
    <row r="24" spans="1:8" ht="25.5" x14ac:dyDescent="0.2">
      <c r="A24" s="230" t="str">
        <f>+'Cuadro A - Presupuesto'!B27</f>
        <v>Bachiller promotor sin experiencia cuerpo de agua La Noque</v>
      </c>
      <c r="B24" s="229">
        <v>1</v>
      </c>
      <c r="C24" s="228">
        <f>+'Cuadro A - Presupuesto'!D27*0.25</f>
        <v>0.25</v>
      </c>
      <c r="D24" s="226" t="s">
        <v>201</v>
      </c>
      <c r="E24" s="227">
        <f>'Cuadro A - Presupuesto'!F27</f>
        <v>10</v>
      </c>
      <c r="F24" s="310">
        <f>+'Cuadro A - Presupuesto'!G27</f>
        <v>1003030</v>
      </c>
      <c r="G24" s="226">
        <v>1.65</v>
      </c>
      <c r="H24" s="225">
        <f t="shared" si="0"/>
        <v>4137498.75</v>
      </c>
    </row>
    <row r="25" spans="1:8" ht="25.5" x14ac:dyDescent="0.2">
      <c r="A25" s="230" t="str">
        <f>+'Cuadro A - Presupuesto'!B28</f>
        <v>Bachiller promotor sin experiencia cuerpo de agua Q. Yarumalito</v>
      </c>
      <c r="B25" s="229">
        <v>1</v>
      </c>
      <c r="C25" s="228">
        <f>+'Cuadro A - Presupuesto'!D28*0.25</f>
        <v>0.25</v>
      </c>
      <c r="D25" s="226" t="s">
        <v>201</v>
      </c>
      <c r="E25" s="227">
        <f>'Cuadro A - Presupuesto'!F28</f>
        <v>10</v>
      </c>
      <c r="F25" s="310">
        <f>+'Cuadro A - Presupuesto'!G28</f>
        <v>1003030</v>
      </c>
      <c r="G25" s="226">
        <v>1.65</v>
      </c>
      <c r="H25" s="225">
        <f t="shared" si="0"/>
        <v>4137498.75</v>
      </c>
    </row>
    <row r="26" spans="1:8" ht="25.5" x14ac:dyDescent="0.2">
      <c r="A26" s="230" t="str">
        <f>+'Cuadro A - Presupuesto'!B29</f>
        <v>Bachiller promotor sin experiencia cuerpo de agua R. Dolores</v>
      </c>
      <c r="B26" s="229">
        <v>1</v>
      </c>
      <c r="C26" s="228">
        <f>+'Cuadro A - Presupuesto'!D29*0.25</f>
        <v>0.25</v>
      </c>
      <c r="D26" s="226" t="s">
        <v>201</v>
      </c>
      <c r="E26" s="227">
        <f>'Cuadro A - Presupuesto'!F29</f>
        <v>10</v>
      </c>
      <c r="F26" s="310">
        <f>+'Cuadro A - Presupuesto'!G29</f>
        <v>1003030</v>
      </c>
      <c r="G26" s="226">
        <v>1.65</v>
      </c>
      <c r="H26" s="225">
        <f t="shared" si="0"/>
        <v>4137498.75</v>
      </c>
    </row>
    <row r="27" spans="1:8" ht="25.5" x14ac:dyDescent="0.2">
      <c r="A27" s="230" t="str">
        <f>+'Cuadro A - Presupuesto'!B30</f>
        <v>Bachiller promotor sin experiencia cuerpo de agua Q. Sabaletas T</v>
      </c>
      <c r="B27" s="229">
        <v>1</v>
      </c>
      <c r="C27" s="228">
        <f>+'Cuadro A - Presupuesto'!D30*0.25</f>
        <v>0.25</v>
      </c>
      <c r="D27" s="226" t="s">
        <v>201</v>
      </c>
      <c r="E27" s="227">
        <f>'Cuadro A - Presupuesto'!F30</f>
        <v>10</v>
      </c>
      <c r="F27" s="310">
        <f>+'Cuadro A - Presupuesto'!G30</f>
        <v>1003030</v>
      </c>
      <c r="G27" s="226">
        <v>1.65</v>
      </c>
      <c r="H27" s="225">
        <f t="shared" si="0"/>
        <v>4137498.75</v>
      </c>
    </row>
    <row r="28" spans="1:8" ht="15.75" customHeight="1" thickBot="1" x14ac:dyDescent="0.25">
      <c r="A28" s="656" t="s">
        <v>200</v>
      </c>
      <c r="B28" s="657"/>
      <c r="C28" s="657"/>
      <c r="D28" s="658"/>
      <c r="E28" s="658"/>
      <c r="F28" s="658"/>
      <c r="G28" s="659"/>
      <c r="H28" s="216">
        <f>SUM(H7:H27)</f>
        <v>201755497.70000002</v>
      </c>
    </row>
    <row r="29" spans="1:8" ht="15.75" customHeight="1" thickBot="1" x14ac:dyDescent="0.25">
      <c r="A29" s="660" t="s">
        <v>284</v>
      </c>
      <c r="B29" s="661"/>
      <c r="C29" s="661"/>
      <c r="D29" s="662"/>
      <c r="E29" s="662"/>
      <c r="F29" s="662"/>
      <c r="G29" s="663"/>
      <c r="H29" s="215">
        <f>H28</f>
        <v>201755497.70000002</v>
      </c>
    </row>
    <row r="30" spans="1:8" ht="15.75" customHeight="1" thickBot="1" x14ac:dyDescent="0.25"/>
    <row r="31" spans="1:8" ht="15.75" customHeight="1" x14ac:dyDescent="0.2">
      <c r="A31" s="664" t="s">
        <v>198</v>
      </c>
      <c r="B31" s="665"/>
      <c r="C31" s="665"/>
      <c r="D31" s="665"/>
      <c r="E31" s="665"/>
      <c r="F31" s="665"/>
      <c r="G31" s="666"/>
    </row>
    <row r="32" spans="1:8" ht="15.75" customHeight="1" x14ac:dyDescent="0.2">
      <c r="A32" s="272" t="s">
        <v>283</v>
      </c>
      <c r="B32" s="647" t="s">
        <v>359</v>
      </c>
      <c r="C32" s="647"/>
      <c r="D32" s="647"/>
      <c r="E32" s="647"/>
      <c r="F32" s="647"/>
      <c r="G32" s="648"/>
    </row>
    <row r="33" spans="1:8" ht="15.75" customHeight="1" x14ac:dyDescent="0.2">
      <c r="A33" s="272" t="s">
        <v>281</v>
      </c>
      <c r="B33" s="647" t="s">
        <v>144</v>
      </c>
      <c r="C33" s="647"/>
      <c r="D33" s="647"/>
      <c r="E33" s="647"/>
      <c r="F33" s="647"/>
      <c r="G33" s="648"/>
    </row>
    <row r="34" spans="1:8" ht="25.5" x14ac:dyDescent="0.2">
      <c r="A34" s="272" t="s">
        <v>280</v>
      </c>
      <c r="B34" s="647" t="s">
        <v>317</v>
      </c>
      <c r="C34" s="647"/>
      <c r="D34" s="647"/>
      <c r="E34" s="647"/>
      <c r="F34" s="647"/>
      <c r="G34" s="648"/>
    </row>
    <row r="35" spans="1:8" ht="63.75" x14ac:dyDescent="0.2">
      <c r="A35" s="261" t="s">
        <v>358</v>
      </c>
      <c r="B35" s="260" t="s">
        <v>196</v>
      </c>
      <c r="C35" s="260" t="s">
        <v>259</v>
      </c>
      <c r="D35" s="259" t="s">
        <v>315</v>
      </c>
      <c r="E35" s="259" t="s">
        <v>257</v>
      </c>
      <c r="F35" s="260" t="s">
        <v>256</v>
      </c>
      <c r="G35" s="291" t="s">
        <v>255</v>
      </c>
    </row>
    <row r="36" spans="1:8" ht="15.75" customHeight="1" x14ac:dyDescent="0.2">
      <c r="A36" s="257" t="str">
        <f>+'C. B - Alcance 3 Usos'!A49</f>
        <v>Refrigerios (20 personas, 5 cuencas)</v>
      </c>
      <c r="B36" s="289" t="str">
        <f>+'C. B - Alcance 3 Usos'!B49</f>
        <v xml:space="preserve">Refrigerios </v>
      </c>
      <c r="C36" s="288">
        <f>+'C. B - Alcance 3 Usos'!C49</f>
        <v>100</v>
      </c>
      <c r="D36" s="288" t="str">
        <f>+'C. B - Alcance 3 Usos'!D49</f>
        <v>NA</v>
      </c>
      <c r="E36" s="288">
        <f>+'C. B - Alcance 3 Usos'!E49</f>
        <v>100</v>
      </c>
      <c r="F36" s="309">
        <f>+'C. B - Alcance 3 Usos'!F49</f>
        <v>10000</v>
      </c>
      <c r="G36" s="441">
        <f>+'C. B - Alcance 3 Usos'!G49</f>
        <v>1000000</v>
      </c>
    </row>
    <row r="37" spans="1:8" ht="15.75" customHeight="1" x14ac:dyDescent="0.2">
      <c r="A37" s="257" t="s">
        <v>357</v>
      </c>
      <c r="B37" s="289" t="str">
        <f>+'C. B - Alcance 3 Usos'!B50</f>
        <v>Jornadas</v>
      </c>
      <c r="C37" s="288">
        <f>+'C. B - Alcance 3 Usos'!C50</f>
        <v>1</v>
      </c>
      <c r="D37" s="288">
        <f>+'C. B - Alcance 3 Usos'!D50</f>
        <v>3</v>
      </c>
      <c r="E37" s="288">
        <f>+'C. B - Alcance 3 Usos'!E50</f>
        <v>3</v>
      </c>
      <c r="F37" s="309">
        <f>+'C. B - Alcance 3 Usos'!F50</f>
        <v>90000</v>
      </c>
      <c r="G37" s="441">
        <f>+'C. B - Alcance 3 Usos'!G50</f>
        <v>270000</v>
      </c>
    </row>
    <row r="38" spans="1:8" ht="15.75" customHeight="1" x14ac:dyDescent="0.2">
      <c r="A38" s="257" t="s">
        <v>356</v>
      </c>
      <c r="B38" s="289" t="str">
        <f>+'C. B - Alcance 3 Usos'!B51</f>
        <v>Jornadas</v>
      </c>
      <c r="C38" s="288">
        <f>+'C. B - Alcance 3 Usos'!C51</f>
        <v>1</v>
      </c>
      <c r="D38" s="288">
        <f>+'C. B - Alcance 3 Usos'!D51</f>
        <v>3</v>
      </c>
      <c r="E38" s="288">
        <f>+'C. B - Alcance 3 Usos'!E51</f>
        <v>3</v>
      </c>
      <c r="F38" s="309">
        <f>+'C. B - Alcance 3 Usos'!F51</f>
        <v>90000</v>
      </c>
      <c r="G38" s="441">
        <f>+'C. B - Alcance 3 Usos'!G51</f>
        <v>270000</v>
      </c>
    </row>
    <row r="39" spans="1:8" ht="15.75" customHeight="1" x14ac:dyDescent="0.2">
      <c r="A39" s="257" t="s">
        <v>355</v>
      </c>
      <c r="B39" s="289" t="str">
        <f>+'C. B - Alcance 3 Usos'!B52</f>
        <v>Jornadas</v>
      </c>
      <c r="C39" s="288">
        <f>+'C. B - Alcance 3 Usos'!C52</f>
        <v>1</v>
      </c>
      <c r="D39" s="288">
        <f>+'C. B - Alcance 3 Usos'!D52</f>
        <v>3</v>
      </c>
      <c r="E39" s="288">
        <f>+'C. B - Alcance 3 Usos'!E52</f>
        <v>3</v>
      </c>
      <c r="F39" s="309">
        <f>+'C. B - Alcance 3 Usos'!F52</f>
        <v>90000</v>
      </c>
      <c r="G39" s="441">
        <f>+'C. B - Alcance 3 Usos'!G52</f>
        <v>270000</v>
      </c>
    </row>
    <row r="40" spans="1:8" ht="15.75" customHeight="1" x14ac:dyDescent="0.2">
      <c r="A40" s="257" t="s">
        <v>354</v>
      </c>
      <c r="B40" s="289" t="str">
        <f>+'C. B - Alcance 3 Usos'!B53</f>
        <v>Jornadas</v>
      </c>
      <c r="C40" s="288">
        <f>+'C. B - Alcance 3 Usos'!C53</f>
        <v>1</v>
      </c>
      <c r="D40" s="288">
        <f>+'C. B - Alcance 3 Usos'!D53</f>
        <v>3</v>
      </c>
      <c r="E40" s="288">
        <f>+'C. B - Alcance 3 Usos'!E53</f>
        <v>3</v>
      </c>
      <c r="F40" s="309">
        <f>+'C. B - Alcance 3 Usos'!F53</f>
        <v>90000</v>
      </c>
      <c r="G40" s="441">
        <f>+'C. B - Alcance 3 Usos'!G53</f>
        <v>270000</v>
      </c>
    </row>
    <row r="41" spans="1:8" ht="15.75" customHeight="1" x14ac:dyDescent="0.2">
      <c r="A41" s="257" t="s">
        <v>353</v>
      </c>
      <c r="B41" s="289" t="str">
        <f>+'C. B - Alcance 3 Usos'!B54</f>
        <v>Jornadas</v>
      </c>
      <c r="C41" s="288">
        <f>+'C. B - Alcance 3 Usos'!C54</f>
        <v>1</v>
      </c>
      <c r="D41" s="288">
        <f>+'C. B - Alcance 3 Usos'!D54</f>
        <v>3</v>
      </c>
      <c r="E41" s="288">
        <f>+'C. B - Alcance 3 Usos'!E54</f>
        <v>3</v>
      </c>
      <c r="F41" s="309">
        <f>+'C. B - Alcance 3 Usos'!F54</f>
        <v>90000</v>
      </c>
      <c r="G41" s="441">
        <f>+'C. B - Alcance 3 Usos'!G54</f>
        <v>270000</v>
      </c>
    </row>
    <row r="42" spans="1:8" ht="28.5" customHeight="1" x14ac:dyDescent="0.2">
      <c r="A42" s="257" t="s">
        <v>352</v>
      </c>
      <c r="B42" s="256" t="s">
        <v>262</v>
      </c>
      <c r="C42" s="256">
        <v>5</v>
      </c>
      <c r="D42" s="256">
        <v>3</v>
      </c>
      <c r="E42" s="256">
        <f>C42*D42</f>
        <v>15</v>
      </c>
      <c r="F42" s="308">
        <f>+'C. B - Alcance 1 Declaratoria'!F44</f>
        <v>90000</v>
      </c>
      <c r="G42" s="437">
        <f>+F42*E42</f>
        <v>1350000</v>
      </c>
    </row>
    <row r="43" spans="1:8" ht="30.75" customHeight="1" x14ac:dyDescent="0.2">
      <c r="A43" s="257" t="s">
        <v>351</v>
      </c>
      <c r="B43" s="256" t="s">
        <v>262</v>
      </c>
      <c r="C43" s="256">
        <v>5</v>
      </c>
      <c r="D43" s="256">
        <v>3</v>
      </c>
      <c r="E43" s="256">
        <f>C43*D43</f>
        <v>15</v>
      </c>
      <c r="F43" s="308">
        <f>+'C. B - Alcance 1 Declaratoria'!F45</f>
        <v>90000</v>
      </c>
      <c r="G43" s="437">
        <f>+F43*E43</f>
        <v>1350000</v>
      </c>
    </row>
    <row r="44" spans="1:8" ht="29.25" customHeight="1" x14ac:dyDescent="0.2">
      <c r="A44" s="257" t="s">
        <v>350</v>
      </c>
      <c r="B44" s="256" t="s">
        <v>262</v>
      </c>
      <c r="C44" s="256">
        <v>5</v>
      </c>
      <c r="D44" s="256">
        <v>3</v>
      </c>
      <c r="E44" s="256">
        <f>C44*D44</f>
        <v>15</v>
      </c>
      <c r="F44" s="308">
        <f>+'C. B - Alcance 1 Declaratoria'!F46</f>
        <v>90000</v>
      </c>
      <c r="G44" s="437">
        <f>+F44*E44</f>
        <v>1350000</v>
      </c>
    </row>
    <row r="45" spans="1:8" ht="29.25" customHeight="1" x14ac:dyDescent="0.2">
      <c r="A45" s="257" t="s">
        <v>349</v>
      </c>
      <c r="B45" s="256" t="s">
        <v>262</v>
      </c>
      <c r="C45" s="256">
        <v>5</v>
      </c>
      <c r="D45" s="256">
        <v>3</v>
      </c>
      <c r="E45" s="256">
        <f>C45*D45</f>
        <v>15</v>
      </c>
      <c r="F45" s="308">
        <f>+'C. B - Alcance 1 Declaratoria'!F47</f>
        <v>90000</v>
      </c>
      <c r="G45" s="437">
        <f>+F45*E45</f>
        <v>1350000</v>
      </c>
    </row>
    <row r="46" spans="1:8" ht="25.5" customHeight="1" x14ac:dyDescent="0.2">
      <c r="A46" s="257" t="s">
        <v>348</v>
      </c>
      <c r="B46" s="256" t="s">
        <v>262</v>
      </c>
      <c r="C46" s="256">
        <v>5</v>
      </c>
      <c r="D46" s="256">
        <v>3</v>
      </c>
      <c r="E46" s="256">
        <f>C46*D46</f>
        <v>15</v>
      </c>
      <c r="F46" s="308">
        <f>+'C. B - Alcance 1 Declaratoria'!F48</f>
        <v>90000</v>
      </c>
      <c r="G46" s="437">
        <f>+F46*E46</f>
        <v>1350000</v>
      </c>
    </row>
    <row r="47" spans="1:8" ht="15.75" customHeight="1" x14ac:dyDescent="0.2">
      <c r="A47" s="645" t="s">
        <v>347</v>
      </c>
      <c r="B47" s="646"/>
      <c r="C47" s="646"/>
      <c r="D47" s="646"/>
      <c r="E47" s="646"/>
      <c r="F47" s="646"/>
      <c r="G47" s="285">
        <f>SUM(G36:G46)</f>
        <v>9100000</v>
      </c>
      <c r="H47" s="252"/>
    </row>
    <row r="48" spans="1:8" ht="25.5" x14ac:dyDescent="0.2">
      <c r="A48" s="266" t="s">
        <v>234</v>
      </c>
      <c r="B48" s="263" t="s">
        <v>226</v>
      </c>
      <c r="C48" s="265">
        <v>5</v>
      </c>
      <c r="D48" s="264"/>
      <c r="E48" s="264"/>
      <c r="F48" s="263" t="s">
        <v>233</v>
      </c>
      <c r="G48" s="284">
        <f>G47/C48</f>
        <v>1820000</v>
      </c>
    </row>
    <row r="49" spans="1:7" ht="63.75" x14ac:dyDescent="0.2">
      <c r="A49" s="261" t="s">
        <v>346</v>
      </c>
      <c r="B49" s="260" t="s">
        <v>196</v>
      </c>
      <c r="C49" s="259" t="s">
        <v>259</v>
      </c>
      <c r="D49" s="259" t="s">
        <v>258</v>
      </c>
      <c r="E49" s="259" t="s">
        <v>257</v>
      </c>
      <c r="F49" s="259" t="s">
        <v>256</v>
      </c>
      <c r="G49" s="258" t="s">
        <v>255</v>
      </c>
    </row>
    <row r="50" spans="1:7" ht="15.75" customHeight="1" x14ac:dyDescent="0.2">
      <c r="A50" s="257" t="s">
        <v>345</v>
      </c>
      <c r="B50" s="283" t="s">
        <v>176</v>
      </c>
      <c r="C50" s="256">
        <v>1</v>
      </c>
      <c r="D50" s="256">
        <v>3</v>
      </c>
      <c r="E50" s="256">
        <f t="shared" ref="E50:E68" si="1">C50*D50</f>
        <v>3</v>
      </c>
      <c r="F50" s="307">
        <f>+'C. B - Alcance 3 Usos'!F64</f>
        <v>70000</v>
      </c>
      <c r="G50" s="442">
        <f t="shared" ref="G50:G68" si="2">+F50*E50</f>
        <v>210000</v>
      </c>
    </row>
    <row r="51" spans="1:7" ht="15.75" customHeight="1" x14ac:dyDescent="0.2">
      <c r="A51" s="257" t="s">
        <v>344</v>
      </c>
      <c r="B51" s="283" t="s">
        <v>176</v>
      </c>
      <c r="C51" s="256">
        <v>1</v>
      </c>
      <c r="D51" s="256">
        <v>3</v>
      </c>
      <c r="E51" s="256">
        <f t="shared" si="1"/>
        <v>3</v>
      </c>
      <c r="F51" s="307">
        <f>+'C. B - Alcance 3 Usos'!F65</f>
        <v>70000</v>
      </c>
      <c r="G51" s="442">
        <f t="shared" si="2"/>
        <v>210000</v>
      </c>
    </row>
    <row r="52" spans="1:7" ht="15.75" customHeight="1" x14ac:dyDescent="0.2">
      <c r="A52" s="257" t="s">
        <v>343</v>
      </c>
      <c r="B52" s="283" t="s">
        <v>176</v>
      </c>
      <c r="C52" s="256">
        <v>1</v>
      </c>
      <c r="D52" s="256">
        <v>3</v>
      </c>
      <c r="E52" s="256">
        <f t="shared" si="1"/>
        <v>3</v>
      </c>
      <c r="F52" s="307">
        <f>+'C. B - Alcance 3 Usos'!F66</f>
        <v>70000</v>
      </c>
      <c r="G52" s="442">
        <f t="shared" si="2"/>
        <v>210000</v>
      </c>
    </row>
    <row r="53" spans="1:7" ht="28.5" customHeight="1" x14ac:dyDescent="0.2">
      <c r="A53" s="257" t="s">
        <v>342</v>
      </c>
      <c r="B53" s="283" t="s">
        <v>176</v>
      </c>
      <c r="C53" s="256">
        <v>1</v>
      </c>
      <c r="D53" s="256">
        <v>3</v>
      </c>
      <c r="E53" s="256">
        <f t="shared" si="1"/>
        <v>3</v>
      </c>
      <c r="F53" s="307">
        <f>+'C. B - Alcance 3 Usos'!F67</f>
        <v>70000</v>
      </c>
      <c r="G53" s="442">
        <f t="shared" si="2"/>
        <v>210000</v>
      </c>
    </row>
    <row r="54" spans="1:7" ht="27" customHeight="1" x14ac:dyDescent="0.2">
      <c r="A54" s="257" t="s">
        <v>341</v>
      </c>
      <c r="B54" s="283" t="s">
        <v>176</v>
      </c>
      <c r="C54" s="256">
        <v>1</v>
      </c>
      <c r="D54" s="256">
        <v>3</v>
      </c>
      <c r="E54" s="256">
        <f t="shared" si="1"/>
        <v>3</v>
      </c>
      <c r="F54" s="307">
        <f>+'C. B - Alcance 3 Usos'!F68</f>
        <v>70000</v>
      </c>
      <c r="G54" s="442">
        <f t="shared" si="2"/>
        <v>210000</v>
      </c>
    </row>
    <row r="55" spans="1:7" ht="29.25" customHeight="1" x14ac:dyDescent="0.2">
      <c r="A55" s="257" t="s">
        <v>340</v>
      </c>
      <c r="B55" s="283" t="s">
        <v>176</v>
      </c>
      <c r="C55" s="256">
        <v>1</v>
      </c>
      <c r="D55" s="256">
        <v>3</v>
      </c>
      <c r="E55" s="256">
        <f t="shared" si="1"/>
        <v>3</v>
      </c>
      <c r="F55" s="307">
        <f>+'C. B - Alcance 3 Usos'!F69</f>
        <v>70000</v>
      </c>
      <c r="G55" s="442">
        <f t="shared" si="2"/>
        <v>210000</v>
      </c>
    </row>
    <row r="56" spans="1:7" ht="29.25" customHeight="1" x14ac:dyDescent="0.2">
      <c r="A56" s="257" t="s">
        <v>339</v>
      </c>
      <c r="B56" s="283" t="s">
        <v>176</v>
      </c>
      <c r="C56" s="256">
        <v>1</v>
      </c>
      <c r="D56" s="256">
        <v>3</v>
      </c>
      <c r="E56" s="256">
        <f t="shared" si="1"/>
        <v>3</v>
      </c>
      <c r="F56" s="307">
        <f>+'C. B - Alcance 3 Usos'!F70</f>
        <v>70000</v>
      </c>
      <c r="G56" s="442">
        <f t="shared" si="2"/>
        <v>210000</v>
      </c>
    </row>
    <row r="57" spans="1:7" ht="27.75" customHeight="1" x14ac:dyDescent="0.2">
      <c r="A57" s="257" t="s">
        <v>338</v>
      </c>
      <c r="B57" s="283" t="s">
        <v>176</v>
      </c>
      <c r="C57" s="256">
        <v>5</v>
      </c>
      <c r="D57" s="256">
        <f>+D37</f>
        <v>3</v>
      </c>
      <c r="E57" s="256">
        <f t="shared" si="1"/>
        <v>15</v>
      </c>
      <c r="F57" s="307">
        <f>+'C. B - Alcance 1 Declaratoria'!F59</f>
        <v>70000</v>
      </c>
      <c r="G57" s="254">
        <f t="shared" si="2"/>
        <v>1050000</v>
      </c>
    </row>
    <row r="58" spans="1:7" ht="27.75" customHeight="1" x14ac:dyDescent="0.2">
      <c r="A58" s="257" t="s">
        <v>337</v>
      </c>
      <c r="B58" s="283" t="s">
        <v>176</v>
      </c>
      <c r="C58" s="256">
        <v>5</v>
      </c>
      <c r="D58" s="256">
        <f>+D38</f>
        <v>3</v>
      </c>
      <c r="E58" s="256">
        <f t="shared" si="1"/>
        <v>15</v>
      </c>
      <c r="F58" s="307">
        <f>+'C. B - Alcance 1 Declaratoria'!F60</f>
        <v>70000</v>
      </c>
      <c r="G58" s="254">
        <f t="shared" si="2"/>
        <v>1050000</v>
      </c>
    </row>
    <row r="59" spans="1:7" ht="27.75" customHeight="1" x14ac:dyDescent="0.2">
      <c r="A59" s="257" t="s">
        <v>336</v>
      </c>
      <c r="B59" s="283" t="s">
        <v>176</v>
      </c>
      <c r="C59" s="256">
        <v>5</v>
      </c>
      <c r="D59" s="256">
        <f>+D39</f>
        <v>3</v>
      </c>
      <c r="E59" s="256">
        <f t="shared" si="1"/>
        <v>15</v>
      </c>
      <c r="F59" s="307">
        <f>+'C. B - Alcance 1 Declaratoria'!F61</f>
        <v>70000</v>
      </c>
      <c r="G59" s="254">
        <f t="shared" si="2"/>
        <v>1050000</v>
      </c>
    </row>
    <row r="60" spans="1:7" ht="27.75" customHeight="1" x14ac:dyDescent="0.2">
      <c r="A60" s="257" t="s">
        <v>335</v>
      </c>
      <c r="B60" s="283" t="s">
        <v>176</v>
      </c>
      <c r="C60" s="256">
        <v>5</v>
      </c>
      <c r="D60" s="256">
        <f>+D40</f>
        <v>3</v>
      </c>
      <c r="E60" s="256">
        <f t="shared" si="1"/>
        <v>15</v>
      </c>
      <c r="F60" s="307">
        <f>+'C. B - Alcance 1 Declaratoria'!F62</f>
        <v>70000</v>
      </c>
      <c r="G60" s="254">
        <f t="shared" si="2"/>
        <v>1050000</v>
      </c>
    </row>
    <row r="61" spans="1:7" ht="27.75" customHeight="1" x14ac:dyDescent="0.2">
      <c r="A61" s="257" t="s">
        <v>334</v>
      </c>
      <c r="B61" s="283" t="s">
        <v>176</v>
      </c>
      <c r="C61" s="256">
        <v>5</v>
      </c>
      <c r="D61" s="256">
        <f>+D41</f>
        <v>3</v>
      </c>
      <c r="E61" s="256">
        <f t="shared" si="1"/>
        <v>15</v>
      </c>
      <c r="F61" s="307">
        <f>+'C. B - Alcance 1 Declaratoria'!F63</f>
        <v>70000</v>
      </c>
      <c r="G61" s="254">
        <f t="shared" si="2"/>
        <v>1050000</v>
      </c>
    </row>
    <row r="62" spans="1:7" ht="28.5" customHeight="1" x14ac:dyDescent="0.2">
      <c r="A62" s="257" t="s">
        <v>242</v>
      </c>
      <c r="B62" s="283" t="s">
        <v>176</v>
      </c>
      <c r="C62" s="256">
        <v>1</v>
      </c>
      <c r="D62" s="256">
        <v>3</v>
      </c>
      <c r="E62" s="256">
        <f t="shared" si="1"/>
        <v>3</v>
      </c>
      <c r="F62" s="307">
        <f>+'C. B - Alcance 1 Declaratoria'!F64</f>
        <v>70000</v>
      </c>
      <c r="G62" s="254">
        <f t="shared" si="2"/>
        <v>210000</v>
      </c>
    </row>
    <row r="63" spans="1:7" ht="33.75" customHeight="1" x14ac:dyDescent="0.2">
      <c r="A63" s="257" t="s">
        <v>241</v>
      </c>
      <c r="B63" s="283" t="s">
        <v>176</v>
      </c>
      <c r="C63" s="256">
        <v>1</v>
      </c>
      <c r="D63" s="256">
        <v>3</v>
      </c>
      <c r="E63" s="256">
        <f t="shared" si="1"/>
        <v>3</v>
      </c>
      <c r="F63" s="307">
        <f>+'C. B - Alcance 1 Declaratoria'!F65</f>
        <v>70000</v>
      </c>
      <c r="G63" s="254">
        <f t="shared" si="2"/>
        <v>210000</v>
      </c>
    </row>
    <row r="64" spans="1:7" ht="28.5" customHeight="1" x14ac:dyDescent="0.2">
      <c r="A64" s="257" t="s">
        <v>289</v>
      </c>
      <c r="B64" s="283" t="s">
        <v>176</v>
      </c>
      <c r="C64" s="256">
        <v>1</v>
      </c>
      <c r="D64" s="256">
        <v>3</v>
      </c>
      <c r="E64" s="256">
        <f t="shared" si="1"/>
        <v>3</v>
      </c>
      <c r="F64" s="307">
        <f>+'C. B - Alcance 1 Declaratoria'!F66</f>
        <v>70000</v>
      </c>
      <c r="G64" s="254">
        <f t="shared" si="2"/>
        <v>210000</v>
      </c>
    </row>
    <row r="65" spans="1:8" ht="27" customHeight="1" x14ac:dyDescent="0.2">
      <c r="A65" s="257" t="s">
        <v>288</v>
      </c>
      <c r="B65" s="283" t="s">
        <v>176</v>
      </c>
      <c r="C65" s="256">
        <v>1</v>
      </c>
      <c r="D65" s="256">
        <v>3</v>
      </c>
      <c r="E65" s="256">
        <f t="shared" si="1"/>
        <v>3</v>
      </c>
      <c r="F65" s="307">
        <f>+'C. B - Alcance 1 Declaratoria'!F67</f>
        <v>70000</v>
      </c>
      <c r="G65" s="254">
        <f t="shared" si="2"/>
        <v>210000</v>
      </c>
    </row>
    <row r="66" spans="1:8" ht="27" customHeight="1" x14ac:dyDescent="0.2">
      <c r="A66" s="257" t="s">
        <v>238</v>
      </c>
      <c r="B66" s="283" t="s">
        <v>176</v>
      </c>
      <c r="C66" s="256">
        <v>1</v>
      </c>
      <c r="D66" s="256">
        <v>3</v>
      </c>
      <c r="E66" s="256">
        <f t="shared" si="1"/>
        <v>3</v>
      </c>
      <c r="F66" s="307">
        <f>+'C. B - Alcance 1 Declaratoria'!F68</f>
        <v>70000</v>
      </c>
      <c r="G66" s="254">
        <f t="shared" si="2"/>
        <v>210000</v>
      </c>
    </row>
    <row r="67" spans="1:8" ht="29.25" customHeight="1" x14ac:dyDescent="0.2">
      <c r="A67" s="257" t="s">
        <v>237</v>
      </c>
      <c r="B67" s="283" t="s">
        <v>176</v>
      </c>
      <c r="C67" s="256">
        <v>1</v>
      </c>
      <c r="D67" s="256">
        <v>3</v>
      </c>
      <c r="E67" s="256">
        <f t="shared" si="1"/>
        <v>3</v>
      </c>
      <c r="F67" s="307">
        <f>+'C. B - Alcance 1 Declaratoria'!F69</f>
        <v>70000</v>
      </c>
      <c r="G67" s="254">
        <f t="shared" si="2"/>
        <v>210000</v>
      </c>
    </row>
    <row r="68" spans="1:8" ht="28.5" customHeight="1" x14ac:dyDescent="0.2">
      <c r="A68" s="257" t="s">
        <v>236</v>
      </c>
      <c r="B68" s="283" t="s">
        <v>176</v>
      </c>
      <c r="C68" s="256">
        <v>1</v>
      </c>
      <c r="D68" s="256">
        <v>3</v>
      </c>
      <c r="E68" s="256">
        <f t="shared" si="1"/>
        <v>3</v>
      </c>
      <c r="F68" s="307">
        <f>+'C. B - Alcance 1 Declaratoria'!F70</f>
        <v>70000</v>
      </c>
      <c r="G68" s="254">
        <f t="shared" si="2"/>
        <v>210000</v>
      </c>
    </row>
    <row r="69" spans="1:8" ht="15.75" customHeight="1" x14ac:dyDescent="0.2">
      <c r="A69" s="645" t="s">
        <v>333</v>
      </c>
      <c r="B69" s="646"/>
      <c r="C69" s="646"/>
      <c r="D69" s="646"/>
      <c r="E69" s="646"/>
      <c r="F69" s="646"/>
      <c r="G69" s="253">
        <f>SUM(G50:G68)</f>
        <v>8190000</v>
      </c>
      <c r="H69" s="252"/>
    </row>
    <row r="70" spans="1:8" ht="26.25" thickBot="1" x14ac:dyDescent="0.25">
      <c r="A70" s="251" t="s">
        <v>234</v>
      </c>
      <c r="B70" s="248" t="s">
        <v>226</v>
      </c>
      <c r="C70" s="250">
        <f>SUM(C50:C68)</f>
        <v>39</v>
      </c>
      <c r="D70" s="249"/>
      <c r="E70" s="249"/>
      <c r="F70" s="248" t="s">
        <v>233</v>
      </c>
      <c r="G70" s="306">
        <f>G69/C70</f>
        <v>210000</v>
      </c>
    </row>
    <row r="71" spans="1:8" ht="15.75" customHeight="1" thickBot="1" x14ac:dyDescent="0.25">
      <c r="A71" s="642" t="s">
        <v>232</v>
      </c>
      <c r="B71" s="643"/>
      <c r="C71" s="643"/>
      <c r="D71" s="643"/>
      <c r="E71" s="643"/>
      <c r="F71" s="644"/>
      <c r="G71" s="245">
        <f>+G47+G69</f>
        <v>17290000</v>
      </c>
    </row>
    <row r="72" spans="1:8" ht="15.75" customHeight="1" thickBot="1" x14ac:dyDescent="0.25">
      <c r="A72" s="244"/>
      <c r="B72" s="244"/>
      <c r="C72" s="244"/>
      <c r="D72" s="244"/>
      <c r="E72" s="244"/>
    </row>
    <row r="73" spans="1:8" ht="15.75" customHeight="1" thickBot="1" x14ac:dyDescent="0.25">
      <c r="A73" s="651" t="s">
        <v>332</v>
      </c>
      <c r="B73" s="652"/>
      <c r="C73" s="652"/>
      <c r="D73" s="652"/>
      <c r="E73" s="652"/>
      <c r="F73" s="652"/>
      <c r="G73" s="242">
        <f>G71+H29</f>
        <v>219045497.70000002</v>
      </c>
    </row>
    <row r="77" spans="1:8" ht="15.75" customHeight="1" x14ac:dyDescent="0.2">
      <c r="A77" s="241"/>
    </row>
    <row r="78" spans="1:8" ht="15.75" customHeight="1" x14ac:dyDescent="0.2">
      <c r="A78" s="192" t="s">
        <v>183</v>
      </c>
    </row>
    <row r="79" spans="1:8" ht="15.75" customHeight="1" x14ac:dyDescent="0.2">
      <c r="A79" s="192" t="s">
        <v>182</v>
      </c>
    </row>
    <row r="80" spans="1:8" ht="15.75" customHeight="1" x14ac:dyDescent="0.2">
      <c r="A80" s="192" t="s">
        <v>181</v>
      </c>
    </row>
    <row r="81" spans="1:1" ht="15.75" customHeight="1" x14ac:dyDescent="0.2">
      <c r="A81" s="192" t="s">
        <v>180</v>
      </c>
    </row>
  </sheetData>
  <sheetProtection algorithmName="SHA-512" hashValue="U2LFiRmqfXkckcvzNEgsYeFH5QMPUWLb/RrD5ic/jM5YtZzzwNiOvXgkRSnzhCCL0Jm4UIWSvD/Wpz6NG4r82Q==" saltValue="LeE71hSGbgnrierBIo2ZPw==" spinCount="100000" sheet="1" formatCells="0" formatColumns="0" formatRows="0" insertColumns="0" insertRows="0"/>
  <mergeCells count="13">
    <mergeCell ref="A73:F73"/>
    <mergeCell ref="B34:G34"/>
    <mergeCell ref="A47:F47"/>
    <mergeCell ref="B32:G32"/>
    <mergeCell ref="A6:H6"/>
    <mergeCell ref="B33:G33"/>
    <mergeCell ref="A69:F69"/>
    <mergeCell ref="A71:F71"/>
    <mergeCell ref="A2:H2"/>
    <mergeCell ref="A4:H4"/>
    <mergeCell ref="A28:G28"/>
    <mergeCell ref="A29:G29"/>
    <mergeCell ref="A31:G31"/>
  </mergeCells>
  <dataValidations count="6">
    <dataValidation allowBlank="1" showInputMessage="1" showErrorMessage="1" prompt="diligencie la dedicación del personal relacionado._x000a_" sqref="C7:C27" xr:uid="{00000000-0002-0000-0400-000005000000}"/>
    <dataValidation allowBlank="1" showInputMessage="1" showErrorMessage="1" prompt="diligencie la cantidad del personal requerido" sqref="B7:B27" xr:uid="{00000000-0002-0000-0400-000004000000}"/>
    <dataValidation allowBlank="1" showInputMessage="1" showErrorMessage="1" prompt="definir la unidad de medida con la cual se asigna el valor unitario." sqref="D7:D27" xr:uid="{00000000-0002-0000-0400-000003000000}"/>
    <dataValidation allowBlank="1" showInputMessage="1" showErrorMessage="1" prompt="diligencie la cantidad de unidad de medida del valor unitario" sqref="E7:E27" xr:uid="{00000000-0002-0000-0400-000002000000}"/>
    <dataValidation allowBlank="1" showInputMessage="1" showErrorMessage="1" prompt="traer el valor definido en la hoja &quot;honorarios Corporativos&quot;" sqref="F7:F27" xr:uid="{00000000-0002-0000-0400-000001000000}"/>
    <dataValidation allowBlank="1" showInputMessage="1" showErrorMessage="1" prompt="ingrese el valor del Factor Prestacional asignado para el personal." sqref="G7:G27" xr:uid="{00000000-0002-0000-0400-000000000000}"/>
  </dataValidations>
  <pageMargins left="0.7" right="0.7" top="0.75" bottom="0.75" header="0.3" footer="0.3"/>
  <pageSetup scale="62" fitToHeight="0"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CA32C-F571-4CFF-95F2-A2F9D4F3C0D7}">
  <sheetPr>
    <pageSetUpPr fitToPage="1"/>
  </sheetPr>
  <dimension ref="A1:M64"/>
  <sheetViews>
    <sheetView showGridLines="0" view="pageBreakPreview" topLeftCell="F37" zoomScale="85" zoomScaleNormal="100" zoomScaleSheetLayoutView="85" workbookViewId="0">
      <selection activeCell="L46" sqref="L46"/>
    </sheetView>
  </sheetViews>
  <sheetFormatPr baseColWidth="10" defaultColWidth="9.7109375" defaultRowHeight="15.75" customHeight="1" x14ac:dyDescent="0.2"/>
  <cols>
    <col min="1" max="1" width="55.42578125" style="240" hidden="1" customWidth="1"/>
    <col min="2" max="2" width="14.42578125" style="240" hidden="1" customWidth="1"/>
    <col min="3" max="4" width="12.140625" style="240" hidden="1" customWidth="1"/>
    <col min="5" max="5" width="4" style="239" hidden="1" customWidth="1"/>
    <col min="6" max="6" width="41.42578125" style="239" customWidth="1"/>
    <col min="7" max="8" width="12.140625" style="239" customWidth="1"/>
    <col min="9" max="9" width="15.140625" style="239" customWidth="1"/>
    <col min="10" max="10" width="12.140625" style="239" customWidth="1"/>
    <col min="11" max="11" width="17.140625" style="238" customWidth="1"/>
    <col min="12" max="12" width="16.42578125" style="238" customWidth="1"/>
    <col min="13" max="13" width="20.42578125" style="238" customWidth="1"/>
    <col min="14" max="16384" width="9.7109375" style="238"/>
  </cols>
  <sheetData>
    <row r="1" spans="6:13" ht="15.75" customHeight="1" thickBot="1" x14ac:dyDescent="0.25"/>
    <row r="2" spans="6:13" ht="27" thickBot="1" x14ac:dyDescent="0.45">
      <c r="F2" s="639" t="s">
        <v>408</v>
      </c>
      <c r="G2" s="640"/>
      <c r="H2" s="640"/>
      <c r="I2" s="640"/>
      <c r="J2" s="640"/>
      <c r="K2" s="640"/>
      <c r="L2" s="640"/>
      <c r="M2" s="641"/>
    </row>
    <row r="3" spans="6:13" ht="15.75" customHeight="1" thickBot="1" x14ac:dyDescent="0.25"/>
    <row r="4" spans="6:13" ht="15.75" customHeight="1" thickBot="1" x14ac:dyDescent="0.25">
      <c r="F4" s="653" t="s">
        <v>227</v>
      </c>
      <c r="G4" s="654"/>
      <c r="H4" s="654"/>
      <c r="I4" s="654"/>
      <c r="J4" s="654"/>
      <c r="K4" s="654"/>
      <c r="L4" s="654"/>
      <c r="M4" s="655"/>
    </row>
    <row r="5" spans="6:13" ht="39" thickBot="1" x14ac:dyDescent="0.25">
      <c r="F5" s="276" t="s">
        <v>197</v>
      </c>
      <c r="G5" s="275" t="s">
        <v>226</v>
      </c>
      <c r="H5" s="275" t="s">
        <v>225</v>
      </c>
      <c r="I5" s="275" t="s">
        <v>196</v>
      </c>
      <c r="J5" s="275" t="s">
        <v>195</v>
      </c>
      <c r="K5" s="275" t="s">
        <v>194</v>
      </c>
      <c r="L5" s="275" t="s">
        <v>224</v>
      </c>
      <c r="M5" s="274" t="s">
        <v>193</v>
      </c>
    </row>
    <row r="6" spans="6:13" ht="12.75" x14ac:dyDescent="0.2">
      <c r="F6" s="667" t="s">
        <v>223</v>
      </c>
      <c r="G6" s="668"/>
      <c r="H6" s="668"/>
      <c r="I6" s="668"/>
      <c r="J6" s="668"/>
      <c r="K6" s="668"/>
      <c r="L6" s="668"/>
      <c r="M6" s="669"/>
    </row>
    <row r="7" spans="6:13" ht="25.5" x14ac:dyDescent="0.2">
      <c r="F7" s="230" t="str">
        <f>+'Cuadro A - Presupuesto'!B10</f>
        <v>Profesional con experiencia en el área ambiental – Coordinador de Proyectos</v>
      </c>
      <c r="G7" s="229">
        <v>1</v>
      </c>
      <c r="H7" s="228">
        <f>+'Cuadro A - Presupuesto'!D10*0.15</f>
        <v>0.15</v>
      </c>
      <c r="I7" s="226" t="s">
        <v>201</v>
      </c>
      <c r="J7" s="227">
        <f>+'Cuadro A - Presupuesto'!F10</f>
        <v>14</v>
      </c>
      <c r="K7" s="386">
        <f>+'Cuadro A - Presupuesto'!G10</f>
        <v>3987342</v>
      </c>
      <c r="L7" s="226">
        <v>1.58</v>
      </c>
      <c r="M7" s="225">
        <f t="shared" ref="M7:M27" si="0">+G7*H7*J7*K7*L7</f>
        <v>13230000.756000001</v>
      </c>
    </row>
    <row r="8" spans="6:13" ht="15.75" customHeight="1" x14ac:dyDescent="0.2">
      <c r="F8" s="230" t="str">
        <f>+'Cuadro A - Presupuesto'!B11</f>
        <v xml:space="preserve">Profesional especialista socio -ambiental  </v>
      </c>
      <c r="G8" s="229">
        <v>1</v>
      </c>
      <c r="H8" s="228">
        <f>+'Cuadro A - Presupuesto'!D11*0.15</f>
        <v>0.15</v>
      </c>
      <c r="I8" s="226" t="s">
        <v>201</v>
      </c>
      <c r="J8" s="227">
        <f>+'Cuadro A - Presupuesto'!F11</f>
        <v>14</v>
      </c>
      <c r="K8" s="386">
        <f>+'Cuadro A - Presupuesto'!G11</f>
        <v>3322785</v>
      </c>
      <c r="L8" s="226">
        <v>1.58</v>
      </c>
      <c r="M8" s="225">
        <f t="shared" si="0"/>
        <v>11025000.630000001</v>
      </c>
    </row>
    <row r="9" spans="6:13" ht="15.75" customHeight="1" x14ac:dyDescent="0.2">
      <c r="F9" s="230" t="str">
        <f>+'Cuadro A - Presupuesto'!B12</f>
        <v>Profesional especialista en hidrología</v>
      </c>
      <c r="G9" s="229">
        <v>1</v>
      </c>
      <c r="H9" s="228">
        <f>+'Cuadro A - Presupuesto'!D12*0.15</f>
        <v>7.4999999999999997E-2</v>
      </c>
      <c r="I9" s="226" t="s">
        <v>201</v>
      </c>
      <c r="J9" s="227">
        <f>+'Cuadro A - Presupuesto'!F12</f>
        <v>14</v>
      </c>
      <c r="K9" s="386">
        <f>+'Cuadro A - Presupuesto'!G12</f>
        <v>3322785</v>
      </c>
      <c r="L9" s="226">
        <v>1.58</v>
      </c>
      <c r="M9" s="225">
        <f t="shared" si="0"/>
        <v>5512500.3150000004</v>
      </c>
    </row>
    <row r="10" spans="6:13" ht="25.5" x14ac:dyDescent="0.2">
      <c r="F10" s="230" t="str">
        <f>+'Cuadro A - Presupuesto'!B13</f>
        <v>Profesional especialista en calidad y cantidad del agua</v>
      </c>
      <c r="G10" s="229">
        <v>1</v>
      </c>
      <c r="H10" s="228">
        <f>+'Cuadro A - Presupuesto'!D13*0.15</f>
        <v>7.4999999999999997E-2</v>
      </c>
      <c r="I10" s="226" t="s">
        <v>201</v>
      </c>
      <c r="J10" s="227">
        <f>+'Cuadro A - Presupuesto'!F13</f>
        <v>14</v>
      </c>
      <c r="K10" s="386">
        <f>+'Cuadro A - Presupuesto'!G13</f>
        <v>3322785</v>
      </c>
      <c r="L10" s="226">
        <v>1.58</v>
      </c>
      <c r="M10" s="225">
        <f t="shared" si="0"/>
        <v>5512500.3150000004</v>
      </c>
    </row>
    <row r="11" spans="6:13" ht="15.75" customHeight="1" x14ac:dyDescent="0.2">
      <c r="F11" s="230" t="str">
        <f>+'Cuadro A - Presupuesto'!B14</f>
        <v xml:space="preserve">Profesional especialista en modelación </v>
      </c>
      <c r="G11" s="229">
        <v>1</v>
      </c>
      <c r="H11" s="228">
        <f>+'Cuadro A - Presupuesto'!D14*0.15</f>
        <v>7.4999999999999997E-2</v>
      </c>
      <c r="I11" s="226" t="s">
        <v>201</v>
      </c>
      <c r="J11" s="227">
        <f>+'Cuadro A - Presupuesto'!F14</f>
        <v>14</v>
      </c>
      <c r="K11" s="386">
        <f>+'Cuadro A - Presupuesto'!G14</f>
        <v>3322785</v>
      </c>
      <c r="L11" s="226">
        <v>1.58</v>
      </c>
      <c r="M11" s="225">
        <f t="shared" si="0"/>
        <v>5512500.3150000004</v>
      </c>
    </row>
    <row r="12" spans="6:13" ht="25.5" x14ac:dyDescent="0.2">
      <c r="F12" s="230" t="str">
        <f>+'Cuadro A - Presupuesto'!B15</f>
        <v>Profesional con experiencia en instrumentos económicos</v>
      </c>
      <c r="G12" s="229">
        <v>1</v>
      </c>
      <c r="H12" s="228">
        <f>+'Cuadro A - Presupuesto'!D15*0.15</f>
        <v>7.4999999999999997E-2</v>
      </c>
      <c r="I12" s="226" t="s">
        <v>201</v>
      </c>
      <c r="J12" s="227">
        <f>+'Cuadro A - Presupuesto'!F15</f>
        <v>5</v>
      </c>
      <c r="K12" s="386">
        <f>+'Cuadro A - Presupuesto'!G15</f>
        <v>3322785</v>
      </c>
      <c r="L12" s="226">
        <v>1.58</v>
      </c>
      <c r="M12" s="225">
        <f t="shared" si="0"/>
        <v>1968750.1125</v>
      </c>
    </row>
    <row r="13" spans="6:13" ht="15.75" customHeight="1" x14ac:dyDescent="0.2">
      <c r="F13" s="230" t="str">
        <f>+'Cuadro A - Presupuesto'!B16</f>
        <v xml:space="preserve">Tecnólogos ambientales </v>
      </c>
      <c r="G13" s="229">
        <v>5</v>
      </c>
      <c r="H13" s="228">
        <f>+'Cuadro A - Presupuesto'!D16*0.15</f>
        <v>0.15</v>
      </c>
      <c r="I13" s="226" t="s">
        <v>201</v>
      </c>
      <c r="J13" s="227">
        <f>+'Cuadro A - Presupuesto'!F16</f>
        <v>10</v>
      </c>
      <c r="K13" s="386">
        <f>+'Cuadro A - Presupuesto'!G16</f>
        <v>2120253</v>
      </c>
      <c r="L13" s="226">
        <v>1.58</v>
      </c>
      <c r="M13" s="225">
        <f t="shared" si="0"/>
        <v>25124998.050000001</v>
      </c>
    </row>
    <row r="14" spans="6:13" ht="15.75" customHeight="1" x14ac:dyDescent="0.2">
      <c r="F14" s="230" t="str">
        <f>+'Cuadro A - Presupuesto'!B17</f>
        <v>Tecnólogo sin experiencia</v>
      </c>
      <c r="G14" s="229">
        <v>2</v>
      </c>
      <c r="H14" s="228">
        <f>+'Cuadro A - Presupuesto'!D17*0.15</f>
        <v>0.15</v>
      </c>
      <c r="I14" s="226" t="s">
        <v>201</v>
      </c>
      <c r="J14" s="227">
        <f>+'Cuadro A - Presupuesto'!F17</f>
        <v>6</v>
      </c>
      <c r="K14" s="386">
        <f>+'Cuadro A - Presupuesto'!G17</f>
        <v>1827848</v>
      </c>
      <c r="L14" s="226">
        <v>1.58</v>
      </c>
      <c r="M14" s="225">
        <f t="shared" si="0"/>
        <v>5198399.7120000003</v>
      </c>
    </row>
    <row r="15" spans="6:13" ht="15.75" customHeight="1" x14ac:dyDescent="0.2">
      <c r="F15" s="230" t="str">
        <f>+'Cuadro A - Presupuesto'!B18</f>
        <v xml:space="preserve">Profesionales con experiencia en hidrobiología   </v>
      </c>
      <c r="G15" s="229">
        <v>1</v>
      </c>
      <c r="H15" s="228">
        <f>+'Cuadro A - Presupuesto'!D18*0.15</f>
        <v>7.4999999999999997E-2</v>
      </c>
      <c r="I15" s="226" t="s">
        <v>201</v>
      </c>
      <c r="J15" s="227">
        <f>+'Cuadro A - Presupuesto'!F18</f>
        <v>7</v>
      </c>
      <c r="K15" s="386">
        <f>+'Cuadro A - Presupuesto'!G18</f>
        <v>3322785</v>
      </c>
      <c r="L15" s="226">
        <v>1.58</v>
      </c>
      <c r="M15" s="225">
        <f t="shared" si="0"/>
        <v>2756250.1575000002</v>
      </c>
    </row>
    <row r="16" spans="6:13" ht="15.75" customHeight="1" x14ac:dyDescent="0.2">
      <c r="F16" s="230" t="str">
        <f>+'Cuadro A - Presupuesto'!B19</f>
        <v>Profesional en el área social</v>
      </c>
      <c r="G16" s="229">
        <v>1</v>
      </c>
      <c r="H16" s="228">
        <f>+'Cuadro A - Presupuesto'!D19*0.15</f>
        <v>7.4999999999999997E-2</v>
      </c>
      <c r="I16" s="226" t="s">
        <v>201</v>
      </c>
      <c r="J16" s="227">
        <f>+'Cuadro A - Presupuesto'!F19</f>
        <v>14</v>
      </c>
      <c r="K16" s="386">
        <f>+'Cuadro A - Presupuesto'!G19</f>
        <v>3322785</v>
      </c>
      <c r="L16" s="226">
        <v>1.58</v>
      </c>
      <c r="M16" s="225">
        <f t="shared" si="0"/>
        <v>5512500.3150000004</v>
      </c>
    </row>
    <row r="17" spans="1:13" ht="25.5" x14ac:dyDescent="0.2">
      <c r="F17" s="230" t="str">
        <f>+'Cuadro A - Presupuesto'!B20</f>
        <v>Profesional en el área de comunicaciones y diseño grafico</v>
      </c>
      <c r="G17" s="229">
        <v>1</v>
      </c>
      <c r="H17" s="228">
        <f>+'Cuadro A - Presupuesto'!D20*0.15</f>
        <v>7.4999999999999997E-2</v>
      </c>
      <c r="I17" s="226" t="s">
        <v>201</v>
      </c>
      <c r="J17" s="227">
        <f>+'Cuadro A - Presupuesto'!F20</f>
        <v>14</v>
      </c>
      <c r="K17" s="386">
        <f>+'Cuadro A - Presupuesto'!G20</f>
        <v>3322785</v>
      </c>
      <c r="L17" s="226">
        <v>1.58</v>
      </c>
      <c r="M17" s="225">
        <f t="shared" si="0"/>
        <v>5512500.3150000004</v>
      </c>
    </row>
    <row r="18" spans="1:13" ht="15.75" customHeight="1" x14ac:dyDescent="0.2">
      <c r="F18" s="230" t="str">
        <f>+'Cuadro A - Presupuesto'!B21</f>
        <v>Profesional en SIG</v>
      </c>
      <c r="G18" s="229">
        <v>1</v>
      </c>
      <c r="H18" s="228">
        <f>+'Cuadro A - Presupuesto'!D21*0.15</f>
        <v>7.4999999999999997E-2</v>
      </c>
      <c r="I18" s="226" t="s">
        <v>201</v>
      </c>
      <c r="J18" s="227">
        <f>+'Cuadro A - Presupuesto'!F21</f>
        <v>14</v>
      </c>
      <c r="K18" s="386">
        <f>+'Cuadro A - Presupuesto'!G21</f>
        <v>3322785</v>
      </c>
      <c r="L18" s="226">
        <v>1.58</v>
      </c>
      <c r="M18" s="225">
        <f t="shared" si="0"/>
        <v>5512500.3150000004</v>
      </c>
    </row>
    <row r="19" spans="1:13" ht="15.75" customHeight="1" x14ac:dyDescent="0.2">
      <c r="F19" s="230" t="str">
        <f>+'Cuadro A - Presupuesto'!B22</f>
        <v>Profesional especialista en planificación</v>
      </c>
      <c r="G19" s="229">
        <v>1</v>
      </c>
      <c r="H19" s="228">
        <f>+'Cuadro A - Presupuesto'!D22*0.15</f>
        <v>7.4999999999999997E-2</v>
      </c>
      <c r="I19" s="226" t="s">
        <v>201</v>
      </c>
      <c r="J19" s="227">
        <f>+'Cuadro A - Presupuesto'!F22</f>
        <v>14</v>
      </c>
      <c r="K19" s="386">
        <f>+'Cuadro A - Presupuesto'!G22</f>
        <v>3322785</v>
      </c>
      <c r="L19" s="226">
        <v>1.58</v>
      </c>
      <c r="M19" s="225">
        <f t="shared" si="0"/>
        <v>5512500.3150000004</v>
      </c>
    </row>
    <row r="20" spans="1:13" ht="25.5" x14ac:dyDescent="0.2">
      <c r="F20" s="230" t="str">
        <f>+'Cuadro A - Presupuesto'!B23</f>
        <v>Tecnólogo en área social, administrativa o ambiental (apoyo)</v>
      </c>
      <c r="G20" s="229">
        <v>1</v>
      </c>
      <c r="H20" s="228">
        <f>+'Cuadro A - Presupuesto'!D23*0.15</f>
        <v>7.4999999999999997E-2</v>
      </c>
      <c r="I20" s="226" t="s">
        <v>201</v>
      </c>
      <c r="J20" s="227">
        <f>+'Cuadro A - Presupuesto'!F23</f>
        <v>14</v>
      </c>
      <c r="K20" s="386">
        <f>+'Cuadro A - Presupuesto'!G23</f>
        <v>1827848</v>
      </c>
      <c r="L20" s="226">
        <v>1.58</v>
      </c>
      <c r="M20" s="225">
        <f t="shared" si="0"/>
        <v>3032399.8320000004</v>
      </c>
    </row>
    <row r="21" spans="1:13" ht="15.75" customHeight="1" x14ac:dyDescent="0.2">
      <c r="F21" s="230" t="str">
        <f>+'Cuadro A - Presupuesto'!B24</f>
        <v>Profesional especialista obras hidráulica</v>
      </c>
      <c r="G21" s="229">
        <v>1</v>
      </c>
      <c r="H21" s="228">
        <f>+'Cuadro A - Presupuesto'!D24*0.15</f>
        <v>7.4999999999999997E-2</v>
      </c>
      <c r="I21" s="226" t="s">
        <v>201</v>
      </c>
      <c r="J21" s="227">
        <f>+'Cuadro A - Presupuesto'!F24</f>
        <v>6</v>
      </c>
      <c r="K21" s="386">
        <f>+'Cuadro A - Presupuesto'!G24</f>
        <v>3322785</v>
      </c>
      <c r="L21" s="226">
        <v>1.58</v>
      </c>
      <c r="M21" s="225">
        <f t="shared" si="0"/>
        <v>2362500.1349999998</v>
      </c>
    </row>
    <row r="22" spans="1:13" ht="15.75" customHeight="1" x14ac:dyDescent="0.2">
      <c r="F22" s="230" t="str">
        <f>+'Cuadro A - Presupuesto'!B25</f>
        <v xml:space="preserve">Profesional en ingeniería sin experiencia </v>
      </c>
      <c r="G22" s="229">
        <v>1</v>
      </c>
      <c r="H22" s="228">
        <f>+'Cuadro A - Presupuesto'!D25*0.15</f>
        <v>0.15</v>
      </c>
      <c r="I22" s="226" t="s">
        <v>201</v>
      </c>
      <c r="J22" s="227">
        <f>+'Cuadro A - Presupuesto'!F25</f>
        <v>10</v>
      </c>
      <c r="K22" s="386">
        <f>+'Cuadro A - Presupuesto'!G25</f>
        <v>2259494</v>
      </c>
      <c r="L22" s="226">
        <v>1.58</v>
      </c>
      <c r="M22" s="225">
        <f t="shared" si="0"/>
        <v>5355000.78</v>
      </c>
    </row>
    <row r="23" spans="1:13" ht="25.5" x14ac:dyDescent="0.2">
      <c r="F23" s="230" t="str">
        <f>+'Cuadro A - Presupuesto'!B26</f>
        <v>Bachiller promotor sin experiencia cuerpo de agua La Vibora</v>
      </c>
      <c r="G23" s="229">
        <v>1</v>
      </c>
      <c r="H23" s="228">
        <f>+'Cuadro A - Presupuesto'!D26*0.15</f>
        <v>0.15</v>
      </c>
      <c r="I23" s="226" t="s">
        <v>201</v>
      </c>
      <c r="J23" s="227">
        <f>+'Cuadro A - Presupuesto'!F26</f>
        <v>10</v>
      </c>
      <c r="K23" s="386">
        <f>+'Cuadro A - Presupuesto'!G26</f>
        <v>1003030</v>
      </c>
      <c r="L23" s="226">
        <v>1.65</v>
      </c>
      <c r="M23" s="225">
        <f t="shared" si="0"/>
        <v>2482499.25</v>
      </c>
    </row>
    <row r="24" spans="1:13" ht="25.5" x14ac:dyDescent="0.2">
      <c r="F24" s="230" t="str">
        <f>+'Cuadro A - Presupuesto'!B27</f>
        <v>Bachiller promotor sin experiencia cuerpo de agua La Noque</v>
      </c>
      <c r="G24" s="229">
        <v>1</v>
      </c>
      <c r="H24" s="228">
        <f>+'Cuadro A - Presupuesto'!D27*0.15</f>
        <v>0.15</v>
      </c>
      <c r="I24" s="226" t="s">
        <v>201</v>
      </c>
      <c r="J24" s="227">
        <f>+'Cuadro A - Presupuesto'!F27</f>
        <v>10</v>
      </c>
      <c r="K24" s="386">
        <f>+'Cuadro A - Presupuesto'!G27</f>
        <v>1003030</v>
      </c>
      <c r="L24" s="226">
        <v>1.65</v>
      </c>
      <c r="M24" s="225">
        <f t="shared" si="0"/>
        <v>2482499.25</v>
      </c>
    </row>
    <row r="25" spans="1:13" ht="25.5" x14ac:dyDescent="0.2">
      <c r="F25" s="230" t="str">
        <f>+'Cuadro A - Presupuesto'!B28</f>
        <v>Bachiller promotor sin experiencia cuerpo de agua Q. Yarumalito</v>
      </c>
      <c r="G25" s="229">
        <v>1</v>
      </c>
      <c r="H25" s="228">
        <f>+'Cuadro A - Presupuesto'!D28*0.15</f>
        <v>0.15</v>
      </c>
      <c r="I25" s="226" t="s">
        <v>201</v>
      </c>
      <c r="J25" s="227">
        <f>+'Cuadro A - Presupuesto'!F28</f>
        <v>10</v>
      </c>
      <c r="K25" s="386">
        <f>+'Cuadro A - Presupuesto'!G28</f>
        <v>1003030</v>
      </c>
      <c r="L25" s="226">
        <v>1.65</v>
      </c>
      <c r="M25" s="225">
        <f t="shared" si="0"/>
        <v>2482499.25</v>
      </c>
    </row>
    <row r="26" spans="1:13" ht="25.5" x14ac:dyDescent="0.2">
      <c r="F26" s="230" t="str">
        <f>+'Cuadro A - Presupuesto'!B29</f>
        <v>Bachiller promotor sin experiencia cuerpo de agua R. Dolores</v>
      </c>
      <c r="G26" s="229">
        <v>1</v>
      </c>
      <c r="H26" s="228">
        <f>+'Cuadro A - Presupuesto'!D29*0.15</f>
        <v>0.15</v>
      </c>
      <c r="I26" s="226" t="s">
        <v>201</v>
      </c>
      <c r="J26" s="227">
        <f>+'Cuadro A - Presupuesto'!F29</f>
        <v>10</v>
      </c>
      <c r="K26" s="386">
        <f>+'Cuadro A - Presupuesto'!G29</f>
        <v>1003030</v>
      </c>
      <c r="L26" s="226">
        <v>1.65</v>
      </c>
      <c r="M26" s="225">
        <f t="shared" si="0"/>
        <v>2482499.25</v>
      </c>
    </row>
    <row r="27" spans="1:13" ht="25.5" x14ac:dyDescent="0.2">
      <c r="F27" s="230" t="str">
        <f>+'Cuadro A - Presupuesto'!B30</f>
        <v>Bachiller promotor sin experiencia cuerpo de agua Q. Sabaletas T</v>
      </c>
      <c r="G27" s="229">
        <v>1</v>
      </c>
      <c r="H27" s="228">
        <f>+'Cuadro A - Presupuesto'!D30*0.15</f>
        <v>0.15</v>
      </c>
      <c r="I27" s="226" t="s">
        <v>201</v>
      </c>
      <c r="J27" s="227">
        <f>+'Cuadro A - Presupuesto'!F30</f>
        <v>10</v>
      </c>
      <c r="K27" s="386">
        <f>+'Cuadro A - Presupuesto'!G30</f>
        <v>1003030</v>
      </c>
      <c r="L27" s="226">
        <v>1.65</v>
      </c>
      <c r="M27" s="225">
        <f t="shared" si="0"/>
        <v>2482499.25</v>
      </c>
    </row>
    <row r="28" spans="1:13" ht="15.75" customHeight="1" thickBot="1" x14ac:dyDescent="0.25">
      <c r="F28" s="656" t="s">
        <v>200</v>
      </c>
      <c r="G28" s="657"/>
      <c r="H28" s="657"/>
      <c r="I28" s="658"/>
      <c r="J28" s="658"/>
      <c r="K28" s="658"/>
      <c r="L28" s="659"/>
      <c r="M28" s="216">
        <f>SUM(M7:M27)</f>
        <v>121053298.61999999</v>
      </c>
    </row>
    <row r="29" spans="1:13" ht="15.75" customHeight="1" thickBot="1" x14ac:dyDescent="0.25">
      <c r="F29" s="660" t="s">
        <v>284</v>
      </c>
      <c r="G29" s="661"/>
      <c r="H29" s="661"/>
      <c r="I29" s="662"/>
      <c r="J29" s="662"/>
      <c r="K29" s="662"/>
      <c r="L29" s="663"/>
      <c r="M29" s="444">
        <f>M28</f>
        <v>121053298.61999999</v>
      </c>
    </row>
    <row r="30" spans="1:13" ht="15.75" customHeight="1" thickBot="1" x14ac:dyDescent="0.25"/>
    <row r="31" spans="1:13" s="271" customFormat="1" ht="15.75" customHeight="1" x14ac:dyDescent="0.25">
      <c r="A31" s="679" t="s">
        <v>407</v>
      </c>
      <c r="B31" s="680"/>
      <c r="C31" s="680"/>
      <c r="D31" s="680"/>
      <c r="E31" s="680"/>
      <c r="F31" s="664" t="s">
        <v>198</v>
      </c>
      <c r="G31" s="665"/>
      <c r="H31" s="665"/>
      <c r="I31" s="665"/>
      <c r="J31" s="665"/>
      <c r="K31" s="665"/>
      <c r="L31" s="666"/>
    </row>
    <row r="32" spans="1:13" s="271" customFormat="1" ht="28.5" customHeight="1" x14ac:dyDescent="0.25">
      <c r="A32" s="385" t="s">
        <v>283</v>
      </c>
      <c r="B32" s="681" t="s">
        <v>406</v>
      </c>
      <c r="C32" s="682"/>
      <c r="D32" s="682"/>
      <c r="E32" s="682"/>
      <c r="F32" s="272" t="s">
        <v>283</v>
      </c>
      <c r="G32" s="647" t="s">
        <v>406</v>
      </c>
      <c r="H32" s="647"/>
      <c r="I32" s="647"/>
      <c r="J32" s="647"/>
      <c r="K32" s="647"/>
      <c r="L32" s="648"/>
    </row>
    <row r="33" spans="1:13" s="271" customFormat="1" ht="28.5" customHeight="1" x14ac:dyDescent="0.25">
      <c r="A33" s="384" t="s">
        <v>281</v>
      </c>
      <c r="B33" s="681" t="s">
        <v>144</v>
      </c>
      <c r="C33" s="682"/>
      <c r="D33" s="682"/>
      <c r="E33" s="682"/>
      <c r="F33" s="272" t="s">
        <v>281</v>
      </c>
      <c r="G33" s="647" t="s">
        <v>94</v>
      </c>
      <c r="H33" s="647"/>
      <c r="I33" s="647"/>
      <c r="J33" s="647"/>
      <c r="K33" s="647"/>
      <c r="L33" s="648"/>
    </row>
    <row r="34" spans="1:13" s="271" customFormat="1" ht="56.25" customHeight="1" x14ac:dyDescent="0.25">
      <c r="A34" s="384" t="s">
        <v>280</v>
      </c>
      <c r="B34" s="681" t="s">
        <v>405</v>
      </c>
      <c r="C34" s="682"/>
      <c r="D34" s="682"/>
      <c r="E34" s="682"/>
      <c r="F34" s="272" t="s">
        <v>280</v>
      </c>
      <c r="G34" s="647" t="s">
        <v>404</v>
      </c>
      <c r="H34" s="647"/>
      <c r="I34" s="647"/>
      <c r="J34" s="647"/>
      <c r="K34" s="647"/>
      <c r="L34" s="648"/>
    </row>
    <row r="35" spans="1:13" s="271" customFormat="1" ht="12.75" x14ac:dyDescent="0.25">
      <c r="A35" s="384"/>
      <c r="B35" s="380"/>
      <c r="C35" s="383"/>
      <c r="D35" s="383"/>
      <c r="E35" s="383"/>
      <c r="F35" s="684" t="s">
        <v>403</v>
      </c>
      <c r="G35" s="647"/>
      <c r="H35" s="647"/>
      <c r="I35" s="647"/>
      <c r="J35" s="647"/>
      <c r="K35" s="647"/>
      <c r="L35" s="648"/>
    </row>
    <row r="36" spans="1:13" ht="89.25" x14ac:dyDescent="0.2">
      <c r="A36" s="382" t="s">
        <v>402</v>
      </c>
      <c r="B36" s="381" t="s">
        <v>196</v>
      </c>
      <c r="C36" s="381" t="s">
        <v>226</v>
      </c>
      <c r="D36" s="381" t="s">
        <v>256</v>
      </c>
      <c r="E36" s="380" t="s">
        <v>255</v>
      </c>
      <c r="F36" s="261" t="s">
        <v>401</v>
      </c>
      <c r="G36" s="260" t="s">
        <v>196</v>
      </c>
      <c r="H36" s="260" t="s">
        <v>259</v>
      </c>
      <c r="I36" s="259" t="s">
        <v>315</v>
      </c>
      <c r="J36" s="259" t="s">
        <v>257</v>
      </c>
      <c r="K36" s="260" t="s">
        <v>256</v>
      </c>
      <c r="L36" s="291" t="s">
        <v>255</v>
      </c>
    </row>
    <row r="37" spans="1:13" ht="38.25" x14ac:dyDescent="0.2">
      <c r="A37" s="376" t="s">
        <v>400</v>
      </c>
      <c r="B37" s="375" t="s">
        <v>323</v>
      </c>
      <c r="C37" s="375"/>
      <c r="D37" s="347">
        <v>3850</v>
      </c>
      <c r="E37" s="373">
        <f>+C37*D37</f>
        <v>0</v>
      </c>
      <c r="F37" s="379" t="s">
        <v>399</v>
      </c>
      <c r="G37" s="297" t="s">
        <v>398</v>
      </c>
      <c r="H37" s="297">
        <v>12</v>
      </c>
      <c r="I37" s="297">
        <v>20</v>
      </c>
      <c r="J37" s="297">
        <f>H37*I37</f>
        <v>240</v>
      </c>
      <c r="K37" s="378">
        <v>40000</v>
      </c>
      <c r="L37" s="285">
        <f>K37*J37</f>
        <v>9600000</v>
      </c>
    </row>
    <row r="38" spans="1:13" ht="25.5" customHeight="1" x14ac:dyDescent="0.2">
      <c r="A38" s="376" t="s">
        <v>397</v>
      </c>
      <c r="B38" s="375" t="s">
        <v>397</v>
      </c>
      <c r="C38" s="375"/>
      <c r="D38" s="347">
        <v>8000</v>
      </c>
      <c r="E38" s="373">
        <f>+C38*D38</f>
        <v>0</v>
      </c>
      <c r="F38" s="367" t="s">
        <v>396</v>
      </c>
      <c r="G38" s="323" t="s">
        <v>135</v>
      </c>
      <c r="H38" s="297">
        <v>6</v>
      </c>
      <c r="I38" s="297" t="s">
        <v>394</v>
      </c>
      <c r="J38" s="297">
        <v>3</v>
      </c>
      <c r="K38" s="377">
        <v>500000</v>
      </c>
      <c r="L38" s="285">
        <f>K38*J38</f>
        <v>1500000</v>
      </c>
    </row>
    <row r="39" spans="1:13" ht="25.5" x14ac:dyDescent="0.2">
      <c r="A39" s="376"/>
      <c r="B39" s="375"/>
      <c r="C39" s="375"/>
      <c r="D39" s="347"/>
      <c r="E39" s="373"/>
      <c r="F39" s="367" t="s">
        <v>395</v>
      </c>
      <c r="G39" s="297" t="s">
        <v>135</v>
      </c>
      <c r="H39" s="297">
        <v>12</v>
      </c>
      <c r="I39" s="297" t="s">
        <v>394</v>
      </c>
      <c r="J39" s="297">
        <v>6</v>
      </c>
      <c r="K39" s="377">
        <v>500000</v>
      </c>
      <c r="L39" s="285">
        <f>K39*J39</f>
        <v>3000000</v>
      </c>
    </row>
    <row r="40" spans="1:13" ht="12.75" x14ac:dyDescent="0.2">
      <c r="A40" s="376"/>
      <c r="B40" s="375"/>
      <c r="C40" s="375"/>
      <c r="D40" s="374"/>
      <c r="E40" s="373"/>
      <c r="F40" s="367" t="s">
        <v>393</v>
      </c>
      <c r="G40" s="323" t="s">
        <v>135</v>
      </c>
      <c r="H40" s="297">
        <v>12</v>
      </c>
      <c r="I40" s="297">
        <v>1</v>
      </c>
      <c r="J40" s="297">
        <f>H40*I40</f>
        <v>12</v>
      </c>
      <c r="K40" s="219">
        <v>700000</v>
      </c>
      <c r="L40" s="285">
        <f>K40*J40</f>
        <v>8400000</v>
      </c>
    </row>
    <row r="41" spans="1:13" ht="12.75" x14ac:dyDescent="0.2">
      <c r="A41" s="359"/>
      <c r="B41" s="358"/>
      <c r="C41" s="344"/>
      <c r="D41" s="344"/>
      <c r="E41" s="360"/>
      <c r="F41" s="645" t="s">
        <v>392</v>
      </c>
      <c r="G41" s="646"/>
      <c r="H41" s="646"/>
      <c r="I41" s="646"/>
      <c r="J41" s="646"/>
      <c r="K41" s="646"/>
      <c r="L41" s="443">
        <f>SUM(L37:L40)</f>
        <v>22500000</v>
      </c>
      <c r="M41" s="372"/>
    </row>
    <row r="42" spans="1:13" ht="15.75" customHeight="1" x14ac:dyDescent="0.2">
      <c r="A42" s="359"/>
      <c r="B42" s="358"/>
      <c r="C42" s="344"/>
      <c r="D42" s="344"/>
      <c r="E42" s="360"/>
      <c r="F42" s="266" t="s">
        <v>234</v>
      </c>
      <c r="G42" s="263" t="s">
        <v>226</v>
      </c>
      <c r="H42" s="265">
        <v>6</v>
      </c>
      <c r="I42" s="264"/>
      <c r="J42" s="264"/>
      <c r="K42" s="263" t="s">
        <v>233</v>
      </c>
      <c r="L42" s="284">
        <f>L41/H42</f>
        <v>3750000</v>
      </c>
    </row>
    <row r="43" spans="1:13" s="363" customFormat="1" ht="63.75" x14ac:dyDescent="0.2">
      <c r="A43" s="359"/>
      <c r="B43" s="358"/>
      <c r="C43" s="344"/>
      <c r="D43" s="344"/>
      <c r="E43" s="360"/>
      <c r="F43" s="261" t="s">
        <v>391</v>
      </c>
      <c r="G43" s="260" t="s">
        <v>196</v>
      </c>
      <c r="H43" s="260" t="s">
        <v>259</v>
      </c>
      <c r="I43" s="259" t="s">
        <v>390</v>
      </c>
      <c r="J43" s="259" t="s">
        <v>257</v>
      </c>
      <c r="K43" s="260" t="s">
        <v>256</v>
      </c>
      <c r="L43" s="291" t="s">
        <v>255</v>
      </c>
      <c r="M43" s="238"/>
    </row>
    <row r="44" spans="1:13" s="363" customFormat="1" ht="31.5" customHeight="1" x14ac:dyDescent="0.2">
      <c r="A44" s="371" t="s">
        <v>389</v>
      </c>
      <c r="B44" s="370"/>
      <c r="C44" s="369"/>
      <c r="D44" s="369" t="s">
        <v>388</v>
      </c>
      <c r="E44" s="368">
        <f>SUM(E37:E43)</f>
        <v>0</v>
      </c>
      <c r="F44" s="367" t="s">
        <v>387</v>
      </c>
      <c r="G44" s="366" t="s">
        <v>386</v>
      </c>
      <c r="H44" s="365">
        <v>12</v>
      </c>
      <c r="I44" s="365">
        <v>1</v>
      </c>
      <c r="J44" s="365">
        <f>+H44*I44</f>
        <v>12</v>
      </c>
      <c r="K44" s="364">
        <v>70000</v>
      </c>
      <c r="L44" s="285">
        <f>+J44*K44</f>
        <v>840000</v>
      </c>
      <c r="M44" s="238"/>
    </row>
    <row r="45" spans="1:13" ht="25.5" x14ac:dyDescent="0.2">
      <c r="A45" s="346" t="s">
        <v>385</v>
      </c>
      <c r="B45" s="345"/>
      <c r="C45" s="344"/>
      <c r="D45" s="344"/>
      <c r="E45" s="360">
        <f t="shared" ref="E45:E50" si="1">C45*D45</f>
        <v>0</v>
      </c>
      <c r="F45" s="257" t="s">
        <v>384</v>
      </c>
      <c r="G45" s="256" t="s">
        <v>262</v>
      </c>
      <c r="H45" s="362">
        <f>6*2</f>
        <v>12</v>
      </c>
      <c r="I45" s="362">
        <v>2</v>
      </c>
      <c r="J45" s="362">
        <f>+H45*I45</f>
        <v>24</v>
      </c>
      <c r="K45" s="361">
        <v>90000</v>
      </c>
      <c r="L45" s="285">
        <f>+J45*K45</f>
        <v>2160000</v>
      </c>
    </row>
    <row r="46" spans="1:13" ht="15.75" customHeight="1" x14ac:dyDescent="0.2">
      <c r="A46" s="359"/>
      <c r="B46" s="358"/>
      <c r="C46" s="344"/>
      <c r="D46" s="344"/>
      <c r="E46" s="360">
        <f t="shared" si="1"/>
        <v>0</v>
      </c>
      <c r="F46" s="645" t="s">
        <v>383</v>
      </c>
      <c r="G46" s="646"/>
      <c r="H46" s="646"/>
      <c r="I46" s="646"/>
      <c r="J46" s="646"/>
      <c r="K46" s="646"/>
      <c r="L46" s="446">
        <f>SUM(L44:L45)</f>
        <v>3000000</v>
      </c>
      <c r="M46" s="252"/>
    </row>
    <row r="47" spans="1:13" ht="15.75" customHeight="1" thickBot="1" x14ac:dyDescent="0.25">
      <c r="A47" s="359"/>
      <c r="B47" s="358"/>
      <c r="C47" s="344"/>
      <c r="D47" s="344"/>
      <c r="E47" s="360">
        <f t="shared" si="1"/>
        <v>0</v>
      </c>
      <c r="F47" s="251" t="s">
        <v>234</v>
      </c>
      <c r="G47" s="248" t="s">
        <v>226</v>
      </c>
      <c r="H47" s="250">
        <v>6</v>
      </c>
      <c r="I47" s="249"/>
      <c r="J47" s="249"/>
      <c r="K47" s="248" t="s">
        <v>233</v>
      </c>
      <c r="L47" s="280">
        <f>L46/H47</f>
        <v>500000</v>
      </c>
    </row>
    <row r="48" spans="1:13" ht="15.75" customHeight="1" thickBot="1" x14ac:dyDescent="0.25">
      <c r="A48" s="359"/>
      <c r="B48" s="358"/>
      <c r="C48" s="344"/>
      <c r="D48" s="344"/>
      <c r="E48" s="356">
        <f t="shared" si="1"/>
        <v>0</v>
      </c>
      <c r="F48" s="642" t="s">
        <v>232</v>
      </c>
      <c r="G48" s="643"/>
      <c r="H48" s="643"/>
      <c r="I48" s="643"/>
      <c r="J48" s="643"/>
      <c r="K48" s="644"/>
      <c r="L48" s="445">
        <f>L41+L46</f>
        <v>25500000</v>
      </c>
    </row>
    <row r="49" spans="1:12" ht="15.75" customHeight="1" thickBot="1" x14ac:dyDescent="0.25">
      <c r="A49" s="359"/>
      <c r="B49" s="358"/>
      <c r="C49" s="344"/>
      <c r="D49" s="344"/>
      <c r="E49" s="356">
        <f t="shared" si="1"/>
        <v>0</v>
      </c>
      <c r="F49" s="244"/>
      <c r="G49" s="244"/>
      <c r="H49" s="244"/>
      <c r="I49" s="244"/>
      <c r="J49" s="244"/>
      <c r="L49" s="243"/>
    </row>
    <row r="50" spans="1:12" ht="15.75" customHeight="1" thickBot="1" x14ac:dyDescent="0.25">
      <c r="A50" s="359"/>
      <c r="B50" s="358"/>
      <c r="C50" s="344"/>
      <c r="D50" s="344"/>
      <c r="E50" s="356">
        <f t="shared" si="1"/>
        <v>0</v>
      </c>
      <c r="F50" s="651" t="s">
        <v>382</v>
      </c>
      <c r="G50" s="652"/>
      <c r="H50" s="652"/>
      <c r="I50" s="652"/>
      <c r="J50" s="652"/>
      <c r="K50" s="652"/>
      <c r="L50" s="315">
        <f>L48+M29</f>
        <v>146553298.62</v>
      </c>
    </row>
    <row r="51" spans="1:12" ht="18" customHeight="1" thickBot="1" x14ac:dyDescent="0.25">
      <c r="A51" s="346" t="s">
        <v>381</v>
      </c>
      <c r="B51" s="345"/>
      <c r="C51" s="344"/>
      <c r="D51" s="344"/>
      <c r="E51" s="356">
        <f>SUM(E46:E50)</f>
        <v>0</v>
      </c>
      <c r="F51" s="675"/>
      <c r="G51" s="675"/>
      <c r="H51" s="675"/>
      <c r="I51" s="675"/>
      <c r="J51" s="675"/>
      <c r="K51" s="357"/>
    </row>
    <row r="52" spans="1:12" ht="15.75" hidden="1" customHeight="1" thickBot="1" x14ac:dyDescent="0.25">
      <c r="A52" s="346" t="s">
        <v>380</v>
      </c>
      <c r="B52" s="345"/>
      <c r="C52" s="344"/>
      <c r="D52" s="344"/>
      <c r="E52" s="356"/>
      <c r="F52" s="244"/>
      <c r="G52" s="244"/>
      <c r="H52" s="244"/>
      <c r="I52" s="244"/>
      <c r="J52" s="244"/>
    </row>
    <row r="53" spans="1:12" ht="15" hidden="1" thickBot="1" x14ac:dyDescent="0.25">
      <c r="A53" s="355"/>
      <c r="B53" s="354"/>
      <c r="C53" s="353"/>
      <c r="D53" s="347"/>
      <c r="E53" s="347"/>
    </row>
    <row r="54" spans="1:12" ht="26.25" hidden="1" customHeight="1" thickBot="1" x14ac:dyDescent="0.25">
      <c r="A54" s="351" t="s">
        <v>379</v>
      </c>
      <c r="B54" s="350" t="s">
        <v>262</v>
      </c>
      <c r="C54" s="352"/>
      <c r="D54" s="348">
        <f>+(30000+108000+30000)*3</f>
        <v>504000</v>
      </c>
      <c r="E54" s="347">
        <f>+C54*D54</f>
        <v>0</v>
      </c>
    </row>
    <row r="55" spans="1:12" ht="39" hidden="1" customHeight="1" x14ac:dyDescent="0.2">
      <c r="A55" s="351" t="s">
        <v>378</v>
      </c>
      <c r="B55" s="350" t="s">
        <v>262</v>
      </c>
      <c r="C55" s="352"/>
      <c r="D55" s="348">
        <f>+(30000+105000+30000)*3</f>
        <v>495000</v>
      </c>
      <c r="E55" s="347">
        <f>+C55*D55</f>
        <v>0</v>
      </c>
    </row>
    <row r="56" spans="1:12" ht="41.25" hidden="1" customHeight="1" x14ac:dyDescent="0.2">
      <c r="A56" s="351" t="s">
        <v>377</v>
      </c>
      <c r="B56" s="350" t="s">
        <v>262</v>
      </c>
      <c r="C56" s="352">
        <f>+C54</f>
        <v>0</v>
      </c>
      <c r="D56" s="348">
        <f>30000+108000+30000</f>
        <v>168000</v>
      </c>
      <c r="E56" s="347">
        <f>+C56*D56</f>
        <v>0</v>
      </c>
    </row>
    <row r="57" spans="1:12" ht="15.75" hidden="1" customHeight="1" x14ac:dyDescent="0.2">
      <c r="A57" s="351" t="s">
        <v>377</v>
      </c>
      <c r="B57" s="350" t="s">
        <v>262</v>
      </c>
      <c r="C57" s="349">
        <f>+C55</f>
        <v>0</v>
      </c>
      <c r="D57" s="348">
        <f>30000+105000+30000</f>
        <v>165000</v>
      </c>
      <c r="E57" s="347">
        <f>+C57*D57</f>
        <v>0</v>
      </c>
    </row>
    <row r="58" spans="1:12" ht="15.75" hidden="1" customHeight="1" thickBot="1" x14ac:dyDescent="0.25">
      <c r="A58" s="346" t="s">
        <v>376</v>
      </c>
      <c r="B58" s="345"/>
      <c r="C58" s="344" t="e">
        <f>+#REF!+#REF!</f>
        <v>#REF!</v>
      </c>
      <c r="D58" s="344"/>
      <c r="E58" s="343">
        <f>SUM(E53:E57)</f>
        <v>0</v>
      </c>
    </row>
    <row r="59" spans="1:12" ht="15.75" customHeight="1" thickBot="1" x14ac:dyDescent="0.25">
      <c r="A59" s="342" t="s">
        <v>375</v>
      </c>
      <c r="B59" s="341"/>
      <c r="C59" s="341"/>
      <c r="D59" s="341"/>
      <c r="E59" s="340">
        <f>SUM(E44+E51+E58)</f>
        <v>0</v>
      </c>
      <c r="F59" s="241"/>
    </row>
    <row r="60" spans="1:12" ht="15.75" customHeight="1" thickBot="1" x14ac:dyDescent="0.25">
      <c r="A60" s="339" t="s">
        <v>374</v>
      </c>
      <c r="B60" s="338"/>
      <c r="C60" s="338"/>
      <c r="D60" s="338"/>
      <c r="E60" s="337" t="e">
        <f>+E59/C58</f>
        <v>#REF!</v>
      </c>
      <c r="F60" s="192"/>
    </row>
    <row r="61" spans="1:12" ht="15.75" customHeight="1" x14ac:dyDescent="0.2">
      <c r="A61" s="244"/>
      <c r="B61" s="244"/>
      <c r="C61" s="244"/>
      <c r="D61" s="244"/>
      <c r="E61" s="244"/>
      <c r="F61" s="192"/>
    </row>
    <row r="62" spans="1:12" ht="15.75" customHeight="1" thickBot="1" x14ac:dyDescent="0.25">
      <c r="A62" s="683" t="s">
        <v>373</v>
      </c>
      <c r="B62" s="683"/>
      <c r="C62" s="683"/>
      <c r="D62" s="683"/>
      <c r="E62" s="683"/>
      <c r="F62" s="192"/>
    </row>
    <row r="63" spans="1:12" ht="12.75" customHeight="1" thickBot="1" x14ac:dyDescent="0.25">
      <c r="A63" s="676" t="s">
        <v>372</v>
      </c>
      <c r="B63" s="677"/>
      <c r="C63" s="677"/>
      <c r="D63" s="677"/>
      <c r="E63" s="678"/>
      <c r="F63" s="192"/>
    </row>
    <row r="64" spans="1:12" ht="15.75" customHeight="1" x14ac:dyDescent="0.2">
      <c r="A64" s="244"/>
      <c r="B64" s="244"/>
      <c r="C64" s="244"/>
      <c r="D64" s="244"/>
      <c r="E64" s="244"/>
    </row>
  </sheetData>
  <sheetProtection algorithmName="SHA-512" hashValue="byTdWu1RjDfmhdXPmYh7nf+wMVqE8isRnnn9mJbcsHfl5JX0fscA5NJ8l/M3JdyfHTiYE27Le+Y0Uk+wE4VvSQ==" saltValue="HIkztGA2HpM3Rp5YOgOXrg==" spinCount="100000" sheet="1" formatCells="0" formatColumns="0" formatRows="0" insertColumns="0" insertRows="0"/>
  <mergeCells count="21">
    <mergeCell ref="F2:M2"/>
    <mergeCell ref="F6:M6"/>
    <mergeCell ref="G34:L34"/>
    <mergeCell ref="F31:L31"/>
    <mergeCell ref="F35:L35"/>
    <mergeCell ref="F4:M4"/>
    <mergeCell ref="F28:L28"/>
    <mergeCell ref="F29:L29"/>
    <mergeCell ref="G32:L32"/>
    <mergeCell ref="G33:L33"/>
    <mergeCell ref="A63:E63"/>
    <mergeCell ref="A31:E31"/>
    <mergeCell ref="B32:E32"/>
    <mergeCell ref="B33:E33"/>
    <mergeCell ref="B34:E34"/>
    <mergeCell ref="A62:E62"/>
    <mergeCell ref="F51:J51"/>
    <mergeCell ref="F46:K46"/>
    <mergeCell ref="F48:K48"/>
    <mergeCell ref="F50:K50"/>
    <mergeCell ref="F41:K41"/>
  </mergeCells>
  <dataValidations count="6">
    <dataValidation allowBlank="1" showInputMessage="1" showErrorMessage="1" prompt="ingrese el valor del Factor Prestacional asignado para el personal." sqref="L7:L27" xr:uid="{00000000-0002-0000-0500-000005000000}"/>
    <dataValidation allowBlank="1" showInputMessage="1" showErrorMessage="1" prompt="traer el valor definido en la hoja &quot;honorarios Corporativos&quot;" sqref="K7:K27" xr:uid="{00000000-0002-0000-0500-000004000000}"/>
    <dataValidation allowBlank="1" showInputMessage="1" showErrorMessage="1" prompt="diligencie la cantidad de unidad de medida del valor unitario" sqref="J7:J27" xr:uid="{00000000-0002-0000-0500-000003000000}"/>
    <dataValidation allowBlank="1" showInputMessage="1" showErrorMessage="1" prompt="definir la unidad de medida con la cual se asigna el valor unitario." sqref="I7:I27" xr:uid="{00000000-0002-0000-0500-000002000000}"/>
    <dataValidation allowBlank="1" showInputMessage="1" showErrorMessage="1" prompt="diligencie la cantidad del personal requerido" sqref="G7:G27" xr:uid="{00000000-0002-0000-0500-000001000000}"/>
    <dataValidation allowBlank="1" showInputMessage="1" showErrorMessage="1" prompt="diligencie la dedicación del personal relacionado._x000a_" sqref="H7:H27" xr:uid="{00000000-0002-0000-0500-000000000000}"/>
  </dataValidations>
  <pageMargins left="0.7" right="0.7" top="0.75" bottom="0.75" header="0.3" footer="0.3"/>
  <pageSetup scale="61" fitToHeight="0"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19A6D-E3CB-4CC2-A136-31F11D583E48}">
  <sheetPr>
    <pageSetUpPr fitToPage="1"/>
  </sheetPr>
  <dimension ref="A1:H31"/>
  <sheetViews>
    <sheetView showGridLines="0" view="pageBreakPreview" topLeftCell="A16" zoomScaleNormal="110" zoomScaleSheetLayoutView="100" workbookViewId="0">
      <selection activeCell="E25" sqref="E25"/>
    </sheetView>
  </sheetViews>
  <sheetFormatPr baseColWidth="10" defaultColWidth="9.7109375" defaultRowHeight="15.75" customHeight="1" x14ac:dyDescent="0.2"/>
  <cols>
    <col min="1" max="1" width="55.42578125" style="313" customWidth="1"/>
    <col min="2" max="3" width="12.140625" style="313" customWidth="1"/>
    <col min="4" max="4" width="16.85546875" style="313" customWidth="1"/>
    <col min="5" max="5" width="15.7109375" style="312" customWidth="1"/>
    <col min="6" max="6" width="16.28515625" style="311" bestFit="1" customWidth="1"/>
    <col min="7" max="7" width="9.7109375" style="311"/>
    <col min="8" max="8" width="14.85546875" style="311" customWidth="1"/>
    <col min="9" max="9" width="9.7109375" style="311" customWidth="1"/>
    <col min="10" max="16384" width="9.7109375" style="311"/>
  </cols>
  <sheetData>
    <row r="1" spans="1:8" ht="15.75" customHeight="1" thickBot="1" x14ac:dyDescent="0.25"/>
    <row r="2" spans="1:8" ht="27" thickBot="1" x14ac:dyDescent="0.45">
      <c r="A2" s="670" t="s">
        <v>371</v>
      </c>
      <c r="B2" s="671"/>
      <c r="C2" s="671"/>
      <c r="D2" s="671"/>
      <c r="E2" s="671"/>
      <c r="F2" s="671"/>
      <c r="G2" s="671"/>
      <c r="H2" s="672"/>
    </row>
    <row r="3" spans="1:8" ht="15.75" customHeight="1" thickBot="1" x14ac:dyDescent="0.25">
      <c r="A3" s="336"/>
      <c r="B3" s="336"/>
      <c r="C3" s="336"/>
      <c r="D3" s="335"/>
      <c r="E3" s="335"/>
      <c r="F3" s="335"/>
      <c r="G3" s="334"/>
      <c r="H3" s="334"/>
    </row>
    <row r="4" spans="1:8" ht="15.75" customHeight="1" thickBot="1" x14ac:dyDescent="0.25">
      <c r="A4" s="653" t="s">
        <v>227</v>
      </c>
      <c r="B4" s="654"/>
      <c r="C4" s="654"/>
      <c r="D4" s="654"/>
      <c r="E4" s="654"/>
      <c r="F4" s="654"/>
      <c r="G4" s="654"/>
      <c r="H4" s="655"/>
    </row>
    <row r="5" spans="1:8" ht="39" thickBot="1" x14ac:dyDescent="0.25">
      <c r="A5" s="276" t="s">
        <v>197</v>
      </c>
      <c r="B5" s="275" t="s">
        <v>226</v>
      </c>
      <c r="C5" s="275" t="s">
        <v>225</v>
      </c>
      <c r="D5" s="275" t="s">
        <v>196</v>
      </c>
      <c r="E5" s="275" t="s">
        <v>195</v>
      </c>
      <c r="F5" s="275" t="s">
        <v>194</v>
      </c>
      <c r="G5" s="275" t="s">
        <v>224</v>
      </c>
      <c r="H5" s="274" t="s">
        <v>193</v>
      </c>
    </row>
    <row r="6" spans="1:8" ht="15.75" customHeight="1" x14ac:dyDescent="0.2">
      <c r="A6" s="667" t="s">
        <v>223</v>
      </c>
      <c r="B6" s="668"/>
      <c r="C6" s="668"/>
      <c r="D6" s="668"/>
      <c r="E6" s="668"/>
      <c r="F6" s="668"/>
      <c r="G6" s="668"/>
      <c r="H6" s="669"/>
    </row>
    <row r="7" spans="1:8" ht="25.5" x14ac:dyDescent="0.2">
      <c r="A7" s="230" t="s">
        <v>222</v>
      </c>
      <c r="B7" s="229">
        <v>1</v>
      </c>
      <c r="C7" s="228">
        <v>0.02</v>
      </c>
      <c r="D7" s="226" t="s">
        <v>201</v>
      </c>
      <c r="E7" s="227">
        <v>14</v>
      </c>
      <c r="F7" s="305">
        <f>+'Cuadro A - Presupuesto'!G10</f>
        <v>3987342</v>
      </c>
      <c r="G7" s="226">
        <v>1.58</v>
      </c>
      <c r="H7" s="333">
        <f>+B7*C7*E7*F7*G7</f>
        <v>1764000.1008000001</v>
      </c>
    </row>
    <row r="8" spans="1:8" ht="12.75" x14ac:dyDescent="0.2">
      <c r="A8" s="230" t="s">
        <v>212</v>
      </c>
      <c r="B8" s="229">
        <v>1</v>
      </c>
      <c r="C8" s="228">
        <v>0.03</v>
      </c>
      <c r="D8" s="226" t="s">
        <v>201</v>
      </c>
      <c r="E8" s="227">
        <f>+'Cuadro A - Presupuesto'!F20</f>
        <v>14</v>
      </c>
      <c r="F8" s="305">
        <f>+'Cuadro A - Presupuesto'!G20</f>
        <v>3322785</v>
      </c>
      <c r="G8" s="226">
        <v>1.58</v>
      </c>
      <c r="H8" s="333">
        <f>+B8*C8*E8*F8*G8</f>
        <v>2205000.1260000002</v>
      </c>
    </row>
    <row r="9" spans="1:8" ht="15.75" customHeight="1" thickBot="1" x14ac:dyDescent="0.25">
      <c r="A9" s="656" t="s">
        <v>200</v>
      </c>
      <c r="B9" s="657"/>
      <c r="C9" s="657"/>
      <c r="D9" s="658"/>
      <c r="E9" s="658"/>
      <c r="F9" s="658"/>
      <c r="G9" s="659"/>
      <c r="H9" s="332">
        <f>SUM(H7:H8)</f>
        <v>3969000.2268000003</v>
      </c>
    </row>
    <row r="10" spans="1:8" ht="15.75" customHeight="1" thickBot="1" x14ac:dyDescent="0.25">
      <c r="A10" s="660" t="s">
        <v>199</v>
      </c>
      <c r="B10" s="661"/>
      <c r="C10" s="661"/>
      <c r="D10" s="662"/>
      <c r="E10" s="662"/>
      <c r="F10" s="662"/>
      <c r="G10" s="663"/>
      <c r="H10" s="331">
        <f>H9</f>
        <v>3969000.2268000003</v>
      </c>
    </row>
    <row r="11" spans="1:8" ht="15.75" customHeight="1" thickBot="1" x14ac:dyDescent="0.25">
      <c r="A11" s="330"/>
      <c r="B11" s="329"/>
      <c r="C11" s="329"/>
      <c r="D11" s="328"/>
      <c r="E11" s="328"/>
      <c r="F11" s="328"/>
      <c r="G11" s="328"/>
      <c r="H11" s="327"/>
    </row>
    <row r="12" spans="1:8" s="326" customFormat="1" ht="15.75" customHeight="1" x14ac:dyDescent="0.25">
      <c r="A12" s="664" t="s">
        <v>198</v>
      </c>
      <c r="B12" s="665"/>
      <c r="C12" s="665"/>
      <c r="D12" s="665"/>
      <c r="E12" s="666"/>
    </row>
    <row r="13" spans="1:8" s="326" customFormat="1" ht="38.25" customHeight="1" x14ac:dyDescent="0.25">
      <c r="A13" s="272" t="s">
        <v>283</v>
      </c>
      <c r="B13" s="647" t="s">
        <v>369</v>
      </c>
      <c r="C13" s="647"/>
      <c r="D13" s="647"/>
      <c r="E13" s="648"/>
    </row>
    <row r="14" spans="1:8" s="326" customFormat="1" ht="28.5" customHeight="1" x14ac:dyDescent="0.25">
      <c r="A14" s="272" t="s">
        <v>281</v>
      </c>
      <c r="B14" s="647" t="s">
        <v>370</v>
      </c>
      <c r="C14" s="647"/>
      <c r="D14" s="647"/>
      <c r="E14" s="648"/>
    </row>
    <row r="15" spans="1:8" s="326" customFormat="1" ht="28.5" customHeight="1" x14ac:dyDescent="0.25">
      <c r="A15" s="272" t="s">
        <v>280</v>
      </c>
      <c r="B15" s="647" t="s">
        <v>369</v>
      </c>
      <c r="C15" s="647"/>
      <c r="D15" s="647"/>
      <c r="E15" s="648"/>
    </row>
    <row r="16" spans="1:8" ht="25.5" x14ac:dyDescent="0.2">
      <c r="A16" s="261" t="s">
        <v>368</v>
      </c>
      <c r="B16" s="260" t="s">
        <v>196</v>
      </c>
      <c r="C16" s="260" t="s">
        <v>226</v>
      </c>
      <c r="D16" s="260" t="s">
        <v>256</v>
      </c>
      <c r="E16" s="291" t="s">
        <v>255</v>
      </c>
    </row>
    <row r="17" spans="1:8" ht="15.75" customHeight="1" x14ac:dyDescent="0.2">
      <c r="A17" s="324" t="s">
        <v>367</v>
      </c>
      <c r="B17" s="323" t="s">
        <v>326</v>
      </c>
      <c r="C17" s="322">
        <v>1</v>
      </c>
      <c r="D17" s="219">
        <v>10000000</v>
      </c>
      <c r="E17" s="282">
        <f>+C17*D17</f>
        <v>10000000</v>
      </c>
    </row>
    <row r="18" spans="1:8" ht="12.75" x14ac:dyDescent="0.2">
      <c r="A18" s="688" t="s">
        <v>366</v>
      </c>
      <c r="B18" s="689"/>
      <c r="C18" s="689"/>
      <c r="D18" s="689"/>
      <c r="E18" s="282">
        <f>SUM(E17:E17)</f>
        <v>10000000</v>
      </c>
    </row>
    <row r="19" spans="1:8" ht="12.75" x14ac:dyDescent="0.2">
      <c r="A19" s="266" t="s">
        <v>234</v>
      </c>
      <c r="B19" s="323">
        <v>1</v>
      </c>
      <c r="C19" s="322"/>
      <c r="D19" s="263" t="s">
        <v>233</v>
      </c>
      <c r="E19" s="282">
        <f>E18/B19</f>
        <v>10000000</v>
      </c>
    </row>
    <row r="20" spans="1:8" ht="30.75" customHeight="1" x14ac:dyDescent="0.2">
      <c r="A20" s="261" t="s">
        <v>365</v>
      </c>
      <c r="B20" s="260" t="s">
        <v>196</v>
      </c>
      <c r="C20" s="260" t="s">
        <v>226</v>
      </c>
      <c r="D20" s="260" t="s">
        <v>256</v>
      </c>
      <c r="E20" s="325" t="s">
        <v>255</v>
      </c>
    </row>
    <row r="21" spans="1:8" ht="19.5" customHeight="1" x14ac:dyDescent="0.2">
      <c r="A21" s="324" t="s">
        <v>365</v>
      </c>
      <c r="B21" s="323" t="s">
        <v>326</v>
      </c>
      <c r="C21" s="322">
        <v>1</v>
      </c>
      <c r="D21" s="219">
        <v>10000000</v>
      </c>
      <c r="E21" s="282">
        <f>+C21*D21</f>
        <v>10000000</v>
      </c>
    </row>
    <row r="22" spans="1:8" s="320" customFormat="1" ht="15" customHeight="1" x14ac:dyDescent="0.2">
      <c r="A22" s="688" t="s">
        <v>364</v>
      </c>
      <c r="B22" s="689"/>
      <c r="C22" s="689"/>
      <c r="D22" s="689"/>
      <c r="E22" s="282">
        <f>SUM(E21:E21)</f>
        <v>10000000</v>
      </c>
    </row>
    <row r="23" spans="1:8" s="320" customFormat="1" ht="12.75" x14ac:dyDescent="0.2">
      <c r="A23" s="266" t="s">
        <v>234</v>
      </c>
      <c r="B23" s="323">
        <v>1</v>
      </c>
      <c r="C23" s="322"/>
      <c r="D23" s="263" t="s">
        <v>233</v>
      </c>
      <c r="E23" s="282">
        <f>+E22/B23</f>
        <v>10000000</v>
      </c>
    </row>
    <row r="24" spans="1:8" s="320" customFormat="1" ht="25.5" x14ac:dyDescent="0.2">
      <c r="A24" s="261" t="s">
        <v>152</v>
      </c>
      <c r="B24" s="260" t="s">
        <v>196</v>
      </c>
      <c r="C24" s="260" t="s">
        <v>226</v>
      </c>
      <c r="D24" s="260" t="s">
        <v>256</v>
      </c>
      <c r="E24" s="325" t="s">
        <v>255</v>
      </c>
    </row>
    <row r="25" spans="1:8" s="320" customFormat="1" ht="15" customHeight="1" x14ac:dyDescent="0.2">
      <c r="A25" s="324" t="s">
        <v>363</v>
      </c>
      <c r="B25" s="323" t="s">
        <v>324</v>
      </c>
      <c r="C25" s="322">
        <v>26</v>
      </c>
      <c r="D25" s="219">
        <v>50000</v>
      </c>
      <c r="E25" s="282">
        <f>+C25*D25</f>
        <v>1300000</v>
      </c>
    </row>
    <row r="26" spans="1:8" s="320" customFormat="1" ht="17.25" customHeight="1" x14ac:dyDescent="0.2">
      <c r="A26" s="688" t="s">
        <v>362</v>
      </c>
      <c r="B26" s="689"/>
      <c r="C26" s="689"/>
      <c r="D26" s="689"/>
      <c r="E26" s="282">
        <f>+E25</f>
        <v>1300000</v>
      </c>
      <c r="G26" s="321"/>
      <c r="H26" s="321"/>
    </row>
    <row r="27" spans="1:8" ht="13.5" thickBot="1" x14ac:dyDescent="0.25">
      <c r="A27" s="251" t="s">
        <v>234</v>
      </c>
      <c r="B27" s="319">
        <v>26</v>
      </c>
      <c r="C27" s="318"/>
      <c r="D27" s="248" t="s">
        <v>233</v>
      </c>
      <c r="E27" s="317">
        <f>E25/B27</f>
        <v>50000</v>
      </c>
    </row>
    <row r="28" spans="1:8" ht="15.75" customHeight="1" thickBot="1" x14ac:dyDescent="0.25">
      <c r="A28" s="685" t="s">
        <v>232</v>
      </c>
      <c r="B28" s="686"/>
      <c r="C28" s="686"/>
      <c r="D28" s="687"/>
      <c r="E28" s="245">
        <f>E18+E22+E26</f>
        <v>21300000</v>
      </c>
    </row>
    <row r="29" spans="1:8" ht="15.75" customHeight="1" thickBot="1" x14ac:dyDescent="0.25">
      <c r="A29" s="314"/>
      <c r="B29" s="314"/>
      <c r="C29" s="314"/>
      <c r="D29" s="314"/>
      <c r="E29" s="316"/>
    </row>
    <row r="30" spans="1:8" ht="15.75" customHeight="1" thickBot="1" x14ac:dyDescent="0.25">
      <c r="A30" s="651" t="s">
        <v>361</v>
      </c>
      <c r="B30" s="652"/>
      <c r="C30" s="652"/>
      <c r="D30" s="652"/>
      <c r="E30" s="315">
        <f>+E28+H10</f>
        <v>25269000.226800002</v>
      </c>
    </row>
    <row r="31" spans="1:8" ht="15.75" customHeight="1" x14ac:dyDescent="0.2">
      <c r="A31" s="314"/>
      <c r="B31" s="314"/>
      <c r="C31" s="314"/>
      <c r="D31" s="314"/>
      <c r="E31" s="314"/>
    </row>
  </sheetData>
  <sheetProtection algorithmName="SHA-512" hashValue="RRYwi7+XKr9+7z2idDHfLEEqTVGGUB+SetAodX7OWGTYkPAHPZxL5ie3tNKNvuJ7qvs2x6WwzO5s92Zta4g8gg==" saltValue="9L5jgHuHsogfpFIYlSGmsQ==" spinCount="100000" sheet="1" formatCells="0" formatColumns="0" formatRows="0"/>
  <mergeCells count="14">
    <mergeCell ref="A28:D28"/>
    <mergeCell ref="A30:D30"/>
    <mergeCell ref="A18:D18"/>
    <mergeCell ref="A22:D22"/>
    <mergeCell ref="A26:D26"/>
    <mergeCell ref="B15:E15"/>
    <mergeCell ref="A9:G9"/>
    <mergeCell ref="A10:G10"/>
    <mergeCell ref="A4:H4"/>
    <mergeCell ref="A2:H2"/>
    <mergeCell ref="A6:H6"/>
    <mergeCell ref="A12:E12"/>
    <mergeCell ref="B13:E13"/>
    <mergeCell ref="B14:E14"/>
  </mergeCells>
  <dataValidations count="6">
    <dataValidation allowBlank="1" showInputMessage="1" showErrorMessage="1" prompt="ingrese el valor del Factor Prestacional asignado para el personal." sqref="G7:G8" xr:uid="{00000000-0002-0000-0600-000005000000}"/>
    <dataValidation allowBlank="1" showInputMessage="1" showErrorMessage="1" prompt="traer el valor definido en la hoja &quot;honorarios Corporativos&quot;" sqref="F7:F8" xr:uid="{00000000-0002-0000-0600-000004000000}"/>
    <dataValidation allowBlank="1" showInputMessage="1" showErrorMessage="1" prompt="diligencie la cantidad de unidad de medida del valor unitario" sqref="E7:E8" xr:uid="{00000000-0002-0000-0600-000003000000}"/>
    <dataValidation allowBlank="1" showInputMessage="1" showErrorMessage="1" prompt="definir la unidad de medida con la cual se asigna el valor unitario." sqref="D7:D8" xr:uid="{00000000-0002-0000-0600-000002000000}"/>
    <dataValidation allowBlank="1" showInputMessage="1" showErrorMessage="1" prompt="diligencie la cantidad del personal requerido" sqref="B7:B8" xr:uid="{00000000-0002-0000-0600-000001000000}"/>
    <dataValidation allowBlank="1" showInputMessage="1" showErrorMessage="1" prompt="diligencie la dedicación del personal relacionado._x000a_" sqref="C7:C8" xr:uid="{00000000-0002-0000-0600-000000000000}"/>
  </dataValidations>
  <pageMargins left="0.7" right="0.7" top="0.75" bottom="0.75" header="0.3" footer="0.3"/>
  <pageSetup scale="79" fitToHeight="0" orientation="landscape"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1:BB39"/>
  <sheetViews>
    <sheetView topLeftCell="B28" zoomScale="80" zoomScaleNormal="80" zoomScalePageLayoutView="80" workbookViewId="0">
      <selection activeCell="B39" sqref="B39"/>
    </sheetView>
  </sheetViews>
  <sheetFormatPr baseColWidth="10" defaultColWidth="10" defaultRowHeight="15.75" customHeight="1" x14ac:dyDescent="0.25"/>
  <cols>
    <col min="1" max="1" width="4.85546875" style="2" customWidth="1"/>
    <col min="2" max="2" width="5.28515625" style="8" customWidth="1"/>
    <col min="3" max="3" width="16.140625" style="2" customWidth="1"/>
    <col min="4" max="4" width="32.28515625" style="36" customWidth="1"/>
    <col min="5" max="5" width="10.28515625" style="5" bestFit="1" customWidth="1"/>
    <col min="6" max="6" width="14.42578125" style="5" customWidth="1"/>
    <col min="7" max="7" width="10" style="5" customWidth="1"/>
    <col min="8" max="9" width="4" style="5" customWidth="1"/>
    <col min="10" max="10" width="10" style="5" customWidth="1"/>
    <col min="11" max="11" width="9.85546875" style="5" customWidth="1"/>
    <col min="12" max="12" width="21.42578125" style="5" customWidth="1"/>
    <col min="13" max="14" width="4" style="5" customWidth="1"/>
    <col min="15" max="16" width="10.42578125" style="5" customWidth="1"/>
    <col min="17" max="17" width="21.7109375" style="5" customWidth="1"/>
    <col min="18" max="19" width="4.7109375" style="5" customWidth="1"/>
    <col min="20" max="20" width="10.28515625" style="5" customWidth="1"/>
    <col min="21" max="21" width="14.140625" style="5" customWidth="1"/>
    <col min="22" max="22" width="16.42578125" style="5" customWidth="1"/>
    <col min="23" max="23" width="4.28515625" style="5" customWidth="1"/>
    <col min="24" max="24" width="4.42578125" style="5" customWidth="1"/>
    <col min="25" max="25" width="9.28515625" style="5" customWidth="1"/>
    <col min="26" max="26" width="14.140625" style="5" customWidth="1"/>
    <col min="27" max="27" width="12.85546875" style="5" customWidth="1"/>
    <col min="28" max="28" width="7" style="5" bestFit="1" customWidth="1"/>
    <col min="29" max="29" width="4.42578125" style="5" bestFit="1" customWidth="1"/>
    <col min="30" max="30" width="8.7109375" style="5" bestFit="1" customWidth="1"/>
    <col min="31" max="32" width="16" style="5" customWidth="1"/>
    <col min="33" max="33" width="5.7109375" style="5" customWidth="1"/>
    <col min="34" max="34" width="6.140625" style="5" customWidth="1"/>
    <col min="35" max="36" width="9.7109375" style="5" customWidth="1"/>
    <col min="37" max="37" width="13.140625" style="5" customWidth="1"/>
    <col min="38" max="39" width="5.140625" style="5" customWidth="1"/>
    <col min="40" max="40" width="9.28515625" style="5" customWidth="1"/>
    <col min="41" max="41" width="9.7109375" style="5" customWidth="1"/>
    <col min="42" max="42" width="14.140625" style="5" customWidth="1"/>
    <col min="43" max="44" width="4" style="5" customWidth="1"/>
    <col min="45" max="45" width="9.28515625" style="5" customWidth="1"/>
    <col min="46" max="46" width="9.42578125" style="5" customWidth="1"/>
    <col min="47" max="47" width="13.42578125" style="5" customWidth="1"/>
    <col min="48" max="49" width="11.42578125" style="5" customWidth="1"/>
    <col min="50" max="50" width="14.42578125" style="5" customWidth="1"/>
    <col min="51" max="51" width="13" style="5" customWidth="1"/>
    <col min="52" max="16384" width="10" style="2"/>
  </cols>
  <sheetData>
    <row r="1" spans="2:52" ht="15.75" customHeight="1" thickBot="1" x14ac:dyDescent="0.3">
      <c r="B1" s="1"/>
      <c r="D1" s="3"/>
      <c r="E1" s="4"/>
      <c r="F1" s="3"/>
      <c r="G1" s="3"/>
      <c r="H1" s="3"/>
      <c r="I1" s="3"/>
      <c r="J1" s="3"/>
      <c r="K1" s="3"/>
      <c r="L1" s="3"/>
      <c r="M1" s="3"/>
      <c r="N1" s="3"/>
      <c r="O1" s="3"/>
      <c r="P1" s="3"/>
      <c r="Q1" s="3"/>
      <c r="R1" s="4"/>
      <c r="U1" s="3"/>
      <c r="Z1" s="3"/>
      <c r="AE1" s="3"/>
      <c r="AJ1" s="3"/>
      <c r="AO1" s="3"/>
      <c r="AT1" s="3"/>
    </row>
    <row r="2" spans="2:52" s="7" customFormat="1" ht="39" customHeight="1" thickBot="1" x14ac:dyDescent="0.3">
      <c r="B2" s="6"/>
      <c r="C2" s="451"/>
      <c r="D2" s="452"/>
      <c r="E2" s="453"/>
      <c r="F2" s="457" t="s">
        <v>0</v>
      </c>
      <c r="G2" s="458"/>
      <c r="H2" s="458"/>
      <c r="I2" s="458"/>
      <c r="J2" s="458"/>
      <c r="K2" s="458"/>
      <c r="L2" s="461" t="s">
        <v>1</v>
      </c>
      <c r="M2" s="462"/>
      <c r="N2" s="462"/>
      <c r="O2" s="463"/>
    </row>
    <row r="3" spans="2:52" s="7" customFormat="1" ht="39" customHeight="1" thickBot="1" x14ac:dyDescent="0.3">
      <c r="B3" s="6"/>
      <c r="C3" s="454"/>
      <c r="D3" s="455"/>
      <c r="E3" s="456"/>
      <c r="F3" s="459"/>
      <c r="G3" s="460"/>
      <c r="H3" s="460"/>
      <c r="I3" s="460"/>
      <c r="J3" s="460"/>
      <c r="K3" s="460"/>
      <c r="L3" s="461" t="s">
        <v>2</v>
      </c>
      <c r="M3" s="462"/>
      <c r="N3" s="462"/>
      <c r="O3" s="463"/>
    </row>
    <row r="4" spans="2:52" s="7" customFormat="1" ht="39" customHeight="1" x14ac:dyDescent="0.25">
      <c r="B4" s="6"/>
      <c r="C4" s="60"/>
      <c r="D4" s="60"/>
      <c r="E4" s="60"/>
      <c r="F4" s="61"/>
      <c r="G4" s="61"/>
      <c r="H4" s="61"/>
      <c r="I4" s="61"/>
      <c r="J4" s="61"/>
      <c r="K4" s="61"/>
      <c r="L4" s="62"/>
      <c r="M4" s="62"/>
      <c r="N4" s="62"/>
      <c r="O4" s="62"/>
      <c r="AQ4" s="63"/>
    </row>
    <row r="5" spans="2:52" s="7" customFormat="1" ht="39" customHeight="1" x14ac:dyDescent="0.25">
      <c r="B5" s="6"/>
      <c r="C5" s="60"/>
      <c r="D5" s="60"/>
      <c r="E5" s="60"/>
      <c r="F5" s="61"/>
      <c r="G5" s="61"/>
      <c r="H5" s="61"/>
      <c r="I5" s="61"/>
      <c r="J5" s="61"/>
      <c r="K5" s="61"/>
      <c r="L5" s="62"/>
      <c r="M5" s="62"/>
      <c r="N5" s="62"/>
      <c r="O5" s="62"/>
      <c r="AQ5" s="63"/>
    </row>
    <row r="6" spans="2:52" ht="15.75" customHeight="1" x14ac:dyDescent="0.25">
      <c r="C6" s="480" t="s">
        <v>99</v>
      </c>
      <c r="D6" s="481"/>
      <c r="E6" s="481"/>
      <c r="F6" s="481"/>
      <c r="G6" s="482"/>
      <c r="AQ6" s="64"/>
    </row>
    <row r="7" spans="2:52" ht="41.25" customHeight="1" x14ac:dyDescent="0.25">
      <c r="C7" s="9" t="s">
        <v>3</v>
      </c>
      <c r="D7" s="690" t="s">
        <v>66</v>
      </c>
      <c r="E7" s="691"/>
      <c r="F7" s="691"/>
      <c r="G7" s="692"/>
      <c r="AQ7" s="64"/>
    </row>
    <row r="8" spans="2:52" ht="15.75" customHeight="1" x14ac:dyDescent="0.25">
      <c r="C8" s="9" t="s">
        <v>4</v>
      </c>
      <c r="D8" s="476">
        <v>43614</v>
      </c>
      <c r="E8" s="476"/>
      <c r="F8" s="476"/>
      <c r="G8" s="476"/>
      <c r="AQ8" s="64"/>
    </row>
    <row r="9" spans="2:52" ht="15.75" customHeight="1" x14ac:dyDescent="0.25">
      <c r="C9" s="9" t="s">
        <v>5</v>
      </c>
      <c r="D9" s="477">
        <v>43827</v>
      </c>
      <c r="E9" s="477"/>
      <c r="F9" s="477"/>
      <c r="G9" s="477"/>
      <c r="H9" s="2"/>
      <c r="AQ9" s="64"/>
    </row>
    <row r="10" spans="2:52" ht="15.75" customHeight="1" x14ac:dyDescent="0.25">
      <c r="C10" s="9" t="s">
        <v>6</v>
      </c>
      <c r="D10" s="476"/>
      <c r="E10" s="476"/>
      <c r="F10" s="476"/>
      <c r="G10" s="476"/>
      <c r="H10" s="2"/>
      <c r="AQ10" s="64"/>
    </row>
    <row r="11" spans="2:52" ht="15.75" customHeight="1" x14ac:dyDescent="0.25">
      <c r="C11" s="9" t="s">
        <v>7</v>
      </c>
      <c r="D11" s="478">
        <f>+(D10-D8)/(D9-D8)</f>
        <v>-204.7605633802817</v>
      </c>
      <c r="E11" s="478"/>
      <c r="F11" s="478"/>
      <c r="G11" s="478"/>
      <c r="H11" s="10"/>
      <c r="AQ11" s="64"/>
    </row>
    <row r="12" spans="2:52" ht="21" customHeight="1" x14ac:dyDescent="0.25">
      <c r="C12" s="693" t="s">
        <v>8</v>
      </c>
      <c r="D12" s="693"/>
      <c r="E12" s="693"/>
      <c r="F12" s="693"/>
      <c r="G12" s="693"/>
      <c r="H12" s="10"/>
      <c r="AQ12" s="64"/>
      <c r="AW12" s="43"/>
    </row>
    <row r="13" spans="2:52" s="11" customFormat="1" ht="18" customHeight="1" x14ac:dyDescent="0.2">
      <c r="C13" s="12" t="s">
        <v>9</v>
      </c>
      <c r="E13" s="13"/>
      <c r="AK13" s="11">
        <f>AH22-79-569</f>
        <v>-648</v>
      </c>
      <c r="AL13" s="11">
        <f>AK13+AM22</f>
        <v>-648</v>
      </c>
      <c r="AQ13" s="65"/>
      <c r="AX13" s="5"/>
      <c r="AY13" s="5"/>
      <c r="AZ13" s="2"/>
    </row>
    <row r="14" spans="2:52" s="7" customFormat="1" ht="39" customHeight="1" thickBot="1" x14ac:dyDescent="0.3">
      <c r="B14" s="6"/>
      <c r="C14" s="60"/>
      <c r="D14" s="60"/>
      <c r="E14" s="60"/>
      <c r="F14" s="61"/>
      <c r="G14" s="61"/>
      <c r="H14" s="61"/>
      <c r="I14" s="61"/>
      <c r="J14" s="61"/>
      <c r="K14" s="61"/>
      <c r="L14" s="62"/>
      <c r="M14" s="62"/>
      <c r="N14" s="62"/>
      <c r="O14" s="62"/>
      <c r="AQ14" s="63"/>
    </row>
    <row r="15" spans="2:52" s="14" customFormat="1" ht="23.25" customHeight="1" x14ac:dyDescent="0.25">
      <c r="B15" s="466" t="s">
        <v>10</v>
      </c>
      <c r="C15" s="467"/>
      <c r="D15" s="468"/>
      <c r="E15" s="464" t="s">
        <v>54</v>
      </c>
      <c r="F15" s="464" t="s">
        <v>98</v>
      </c>
      <c r="G15" s="464" t="s">
        <v>11</v>
      </c>
      <c r="H15" s="472" t="s">
        <v>100</v>
      </c>
      <c r="I15" s="473"/>
      <c r="J15" s="473"/>
      <c r="K15" s="473"/>
      <c r="L15" s="474"/>
      <c r="M15" s="472" t="s">
        <v>101</v>
      </c>
      <c r="N15" s="473"/>
      <c r="O15" s="473"/>
      <c r="P15" s="473"/>
      <c r="Q15" s="474"/>
      <c r="R15" s="472" t="s">
        <v>102</v>
      </c>
      <c r="S15" s="473"/>
      <c r="T15" s="473"/>
      <c r="U15" s="473"/>
      <c r="V15" s="474"/>
      <c r="W15" s="472" t="s">
        <v>103</v>
      </c>
      <c r="X15" s="473"/>
      <c r="Y15" s="473"/>
      <c r="Z15" s="473"/>
      <c r="AA15" s="474"/>
      <c r="AB15" s="472" t="s">
        <v>104</v>
      </c>
      <c r="AC15" s="473"/>
      <c r="AD15" s="473"/>
      <c r="AE15" s="473"/>
      <c r="AF15" s="474"/>
      <c r="AG15" s="472" t="s">
        <v>105</v>
      </c>
      <c r="AH15" s="473"/>
      <c r="AI15" s="473"/>
      <c r="AJ15" s="473"/>
      <c r="AK15" s="474"/>
      <c r="AL15" s="472" t="s">
        <v>106</v>
      </c>
      <c r="AM15" s="473"/>
      <c r="AN15" s="473"/>
      <c r="AO15" s="473"/>
      <c r="AP15" s="474"/>
      <c r="AQ15" s="472" t="s">
        <v>97</v>
      </c>
      <c r="AR15" s="473"/>
      <c r="AS15" s="473"/>
      <c r="AT15" s="473"/>
      <c r="AU15" s="694"/>
      <c r="AV15" s="695" t="s">
        <v>12</v>
      </c>
      <c r="AW15" s="696"/>
      <c r="AX15" s="696"/>
      <c r="AY15" s="697"/>
    </row>
    <row r="16" spans="2:52" s="14" customFormat="1" ht="27.75" customHeight="1" x14ac:dyDescent="0.25">
      <c r="B16" s="469"/>
      <c r="C16" s="470"/>
      <c r="D16" s="471"/>
      <c r="E16" s="465"/>
      <c r="F16" s="465"/>
      <c r="G16" s="465"/>
      <c r="H16" s="57" t="s">
        <v>13</v>
      </c>
      <c r="I16" s="57" t="s">
        <v>14</v>
      </c>
      <c r="J16" s="57" t="s">
        <v>15</v>
      </c>
      <c r="K16" s="57" t="s">
        <v>16</v>
      </c>
      <c r="L16" s="57" t="s">
        <v>17</v>
      </c>
      <c r="M16" s="57" t="s">
        <v>13</v>
      </c>
      <c r="N16" s="57" t="s">
        <v>14</v>
      </c>
      <c r="O16" s="57" t="s">
        <v>15</v>
      </c>
      <c r="P16" s="57" t="s">
        <v>16</v>
      </c>
      <c r="Q16" s="57" t="s">
        <v>17</v>
      </c>
      <c r="R16" s="57" t="s">
        <v>13</v>
      </c>
      <c r="S16" s="57" t="s">
        <v>14</v>
      </c>
      <c r="T16" s="57" t="s">
        <v>18</v>
      </c>
      <c r="U16" s="57" t="s">
        <v>16</v>
      </c>
      <c r="V16" s="57" t="s">
        <v>17</v>
      </c>
      <c r="W16" s="57" t="s">
        <v>13</v>
      </c>
      <c r="X16" s="57" t="s">
        <v>14</v>
      </c>
      <c r="Y16" s="57" t="s">
        <v>18</v>
      </c>
      <c r="Z16" s="57" t="s">
        <v>16</v>
      </c>
      <c r="AA16" s="57" t="s">
        <v>17</v>
      </c>
      <c r="AB16" s="57" t="s">
        <v>13</v>
      </c>
      <c r="AC16" s="57" t="s">
        <v>14</v>
      </c>
      <c r="AD16" s="57" t="s">
        <v>18</v>
      </c>
      <c r="AE16" s="57" t="s">
        <v>16</v>
      </c>
      <c r="AF16" s="57" t="s">
        <v>17</v>
      </c>
      <c r="AG16" s="57" t="s">
        <v>13</v>
      </c>
      <c r="AH16" s="57" t="s">
        <v>14</v>
      </c>
      <c r="AI16" s="57" t="s">
        <v>18</v>
      </c>
      <c r="AJ16" s="57" t="s">
        <v>16</v>
      </c>
      <c r="AK16" s="57" t="s">
        <v>17</v>
      </c>
      <c r="AL16" s="57" t="s">
        <v>13</v>
      </c>
      <c r="AM16" s="57" t="s">
        <v>14</v>
      </c>
      <c r="AN16" s="57" t="s">
        <v>18</v>
      </c>
      <c r="AO16" s="57" t="s">
        <v>16</v>
      </c>
      <c r="AP16" s="57" t="s">
        <v>17</v>
      </c>
      <c r="AQ16" s="57" t="s">
        <v>13</v>
      </c>
      <c r="AR16" s="57" t="s">
        <v>14</v>
      </c>
      <c r="AS16" s="57" t="s">
        <v>18</v>
      </c>
      <c r="AT16" s="57" t="s">
        <v>16</v>
      </c>
      <c r="AU16" s="57" t="s">
        <v>17</v>
      </c>
      <c r="AV16" s="15" t="s">
        <v>19</v>
      </c>
      <c r="AW16" s="57" t="s">
        <v>20</v>
      </c>
      <c r="AX16" s="57" t="s">
        <v>21</v>
      </c>
      <c r="AY16" s="16" t="s">
        <v>16</v>
      </c>
    </row>
    <row r="17" spans="2:54" s="21" customFormat="1" ht="22.5" x14ac:dyDescent="0.25">
      <c r="B17" s="17">
        <v>1</v>
      </c>
      <c r="C17" s="18" t="s">
        <v>30</v>
      </c>
      <c r="D17" s="37" t="s">
        <v>67</v>
      </c>
      <c r="E17" s="17">
        <v>1379</v>
      </c>
      <c r="F17" s="56" t="s">
        <v>70</v>
      </c>
      <c r="G17" s="19">
        <f>SUM(G18:G20)</f>
        <v>0.3</v>
      </c>
      <c r="H17" s="483"/>
      <c r="I17" s="484"/>
      <c r="J17" s="484"/>
      <c r="K17" s="484"/>
      <c r="L17" s="485"/>
      <c r="M17" s="483"/>
      <c r="N17" s="484"/>
      <c r="O17" s="484"/>
      <c r="P17" s="484"/>
      <c r="Q17" s="485"/>
      <c r="R17" s="483"/>
      <c r="S17" s="484"/>
      <c r="T17" s="484"/>
      <c r="U17" s="484"/>
      <c r="V17" s="485"/>
      <c r="W17" s="483"/>
      <c r="X17" s="484"/>
      <c r="Y17" s="484"/>
      <c r="Z17" s="484"/>
      <c r="AA17" s="485"/>
      <c r="AB17" s="483"/>
      <c r="AC17" s="484"/>
      <c r="AD17" s="484"/>
      <c r="AE17" s="484"/>
      <c r="AF17" s="485"/>
      <c r="AG17" s="487"/>
      <c r="AH17" s="487"/>
      <c r="AI17" s="487"/>
      <c r="AJ17" s="487"/>
      <c r="AK17" s="487"/>
      <c r="AL17" s="483"/>
      <c r="AM17" s="484"/>
      <c r="AN17" s="484"/>
      <c r="AO17" s="484"/>
      <c r="AP17" s="698"/>
      <c r="AQ17" s="699"/>
      <c r="AR17" s="484"/>
      <c r="AS17" s="484"/>
      <c r="AT17" s="484"/>
      <c r="AU17" s="698"/>
      <c r="AV17" s="699"/>
      <c r="AW17" s="484"/>
      <c r="AX17" s="485"/>
      <c r="AY17" s="20"/>
    </row>
    <row r="18" spans="2:54" ht="22.5" x14ac:dyDescent="0.25">
      <c r="B18" s="23" t="s">
        <v>22</v>
      </c>
      <c r="C18" s="32" t="s">
        <v>41</v>
      </c>
      <c r="D18" s="50" t="s">
        <v>68</v>
      </c>
      <c r="E18" s="40">
        <v>682</v>
      </c>
      <c r="F18" s="40" t="s">
        <v>24</v>
      </c>
      <c r="G18" s="22">
        <v>0.12</v>
      </c>
      <c r="H18" s="23">
        <v>15</v>
      </c>
      <c r="I18" s="23">
        <v>15</v>
      </c>
      <c r="J18" s="24">
        <f>IF(H18="",0,I18/H18)</f>
        <v>1</v>
      </c>
      <c r="K18" s="24">
        <f>IFERROR(IF(H18="",0,($G18*(I18/$E18))),0)</f>
        <v>2.6392961876832845E-3</v>
      </c>
      <c r="L18" s="40"/>
      <c r="M18" s="23">
        <v>110</v>
      </c>
      <c r="N18" s="23">
        <v>110</v>
      </c>
      <c r="O18" s="24">
        <f>IF(M18="",0,N18/M18)</f>
        <v>1</v>
      </c>
      <c r="P18" s="24">
        <f>IFERROR(IF(M18="",0,($G18*(N18/$E18))),0)</f>
        <v>1.9354838709677417E-2</v>
      </c>
      <c r="Q18" s="26"/>
      <c r="R18" s="23">
        <v>110</v>
      </c>
      <c r="S18" s="23">
        <v>110</v>
      </c>
      <c r="T18" s="24">
        <f>IF(R18="",0,S18/R18)</f>
        <v>1</v>
      </c>
      <c r="U18" s="24">
        <f>IFERROR(IF(R18="",0,($G18*(S18/$E18))),0)</f>
        <v>1.9354838709677417E-2</v>
      </c>
      <c r="V18" s="25"/>
      <c r="W18" s="25">
        <v>110</v>
      </c>
      <c r="X18" s="25">
        <v>110</v>
      </c>
      <c r="Y18" s="24">
        <f>IF(W18="",0,X18/W18)</f>
        <v>1</v>
      </c>
      <c r="Z18" s="24">
        <f>IFERROR(IF(W18="",0,($G18*(X18/$E18))),0)</f>
        <v>1.9354838709677417E-2</v>
      </c>
      <c r="AA18" s="25"/>
      <c r="AB18" s="23">
        <v>117</v>
      </c>
      <c r="AC18" s="25">
        <v>117</v>
      </c>
      <c r="AD18" s="24">
        <f>IF(AB18="",0,AC18/AB18)</f>
        <v>1</v>
      </c>
      <c r="AE18" s="24">
        <f>IFERROR(IF(AB18="",0,($G18*(AC18/$E18))),0)</f>
        <v>2.0586510263929617E-2</v>
      </c>
      <c r="AF18" s="25"/>
      <c r="AG18" s="23">
        <v>110</v>
      </c>
      <c r="AH18" s="23">
        <v>110</v>
      </c>
      <c r="AI18" s="24">
        <f>IF(AG18="",0,AH18/AG18)</f>
        <v>1</v>
      </c>
      <c r="AJ18" s="24">
        <f>IFERROR(IF(AG18="",0,($G18*(AH18/$E18))),0)</f>
        <v>1.9354838709677417E-2</v>
      </c>
      <c r="AK18" s="25"/>
      <c r="AL18" s="25">
        <v>110</v>
      </c>
      <c r="AM18" s="25">
        <v>110</v>
      </c>
      <c r="AN18" s="24">
        <f>IF(AL18="",0,AM18/AL18)</f>
        <v>1</v>
      </c>
      <c r="AO18" s="24">
        <f>IFERROR(IF(AL18="",0,($G18*(AM18/$E18))),0)</f>
        <v>1.9354838709677417E-2</v>
      </c>
      <c r="AP18" s="25"/>
      <c r="AQ18" s="25"/>
      <c r="AR18" s="25"/>
      <c r="AS18" s="24"/>
      <c r="AT18" s="24"/>
      <c r="AU18" s="58"/>
      <c r="AV18" s="59">
        <f>H18+M18+R18+W18+AB18+AG18+AL18</f>
        <v>682</v>
      </c>
      <c r="AW18" s="59">
        <f>I18+N18+S18+X18+AC18+AH18+AM18</f>
        <v>682</v>
      </c>
      <c r="AX18" s="24">
        <f>IF(AV18=0,0,AW18/AV18)</f>
        <v>1</v>
      </c>
      <c r="AY18" s="24">
        <f>IFERROR(IF(AV18="",0,($G18*(AW18/$E18))),0)</f>
        <v>0.12</v>
      </c>
      <c r="AZ18" s="27">
        <f>AV18-E18</f>
        <v>0</v>
      </c>
      <c r="BA18" s="41"/>
      <c r="BB18" s="41"/>
    </row>
    <row r="19" spans="2:54" ht="22.5" x14ac:dyDescent="0.25">
      <c r="B19" s="23" t="s">
        <v>23</v>
      </c>
      <c r="C19" s="32" t="s">
        <v>42</v>
      </c>
      <c r="D19" s="50" t="s">
        <v>69</v>
      </c>
      <c r="E19" s="40">
        <v>680</v>
      </c>
      <c r="F19" s="40" t="s">
        <v>37</v>
      </c>
      <c r="G19" s="22">
        <v>0.12</v>
      </c>
      <c r="H19" s="23"/>
      <c r="I19" s="23"/>
      <c r="J19" s="24">
        <f>IF(H19="",0,I19/H19)</f>
        <v>0</v>
      </c>
      <c r="K19" s="24">
        <f>IFERROR(IF(H19="",0,($G19*(I19/$E19))),0)</f>
        <v>0</v>
      </c>
      <c r="L19" s="40"/>
      <c r="M19" s="23">
        <v>15</v>
      </c>
      <c r="N19" s="23">
        <v>15</v>
      </c>
      <c r="O19" s="24">
        <f>IF(M19="",0,N19/M19)</f>
        <v>1</v>
      </c>
      <c r="P19" s="24">
        <f>IFERROR(IF(M19="",0,($G19*(N19/$E19))),0)</f>
        <v>2.6470588235294116E-3</v>
      </c>
      <c r="Q19" s="26"/>
      <c r="R19" s="23">
        <v>140</v>
      </c>
      <c r="S19" s="23">
        <v>140</v>
      </c>
      <c r="T19" s="24">
        <f>IF(R19="",0,S19/R19)</f>
        <v>1</v>
      </c>
      <c r="U19" s="24">
        <f>IFERROR(IF(R19="",0,($G19*(S19/$E19))),0)</f>
        <v>2.4705882352941175E-2</v>
      </c>
      <c r="V19" s="25"/>
      <c r="W19" s="25">
        <v>130</v>
      </c>
      <c r="X19" s="25">
        <v>130</v>
      </c>
      <c r="Y19" s="24">
        <f>IF(W19="",0,X19/W19)</f>
        <v>1</v>
      </c>
      <c r="Z19" s="24">
        <f>IFERROR(IF(W19="",0,($G19*(X19/$E19))),0)</f>
        <v>2.2941176470588232E-2</v>
      </c>
      <c r="AA19" s="25"/>
      <c r="AB19" s="23">
        <v>130</v>
      </c>
      <c r="AC19" s="25">
        <v>130</v>
      </c>
      <c r="AD19" s="24">
        <f>IF(AB19="",0,AC19/AB19)</f>
        <v>1</v>
      </c>
      <c r="AE19" s="24">
        <f>IFERROR(IF(AB19="",0,($G19*(AC19/$E19))),0)</f>
        <v>2.2941176470588232E-2</v>
      </c>
      <c r="AF19" s="25"/>
      <c r="AG19" s="23">
        <v>125</v>
      </c>
      <c r="AH19" s="23">
        <v>125</v>
      </c>
      <c r="AI19" s="24">
        <f>IF(AG19="",0,AH19/AG19)</f>
        <v>1</v>
      </c>
      <c r="AJ19" s="24">
        <f>IFERROR(IF(AG19="",0,($G19*(AH19/$E19))),0)</f>
        <v>2.2058823529411766E-2</v>
      </c>
      <c r="AK19" s="25"/>
      <c r="AL19" s="25">
        <v>140</v>
      </c>
      <c r="AM19" s="25">
        <v>140</v>
      </c>
      <c r="AN19" s="24">
        <f>IF(AL19="",0,AM19/AL19)</f>
        <v>1</v>
      </c>
      <c r="AO19" s="24">
        <f>IFERROR(IF(AL19="",0,($G19*(AM19/$E19))),0)</f>
        <v>2.4705882352941175E-2</v>
      </c>
      <c r="AP19" s="25"/>
      <c r="AQ19" s="25"/>
      <c r="AR19" s="25"/>
      <c r="AS19" s="24"/>
      <c r="AT19" s="24"/>
      <c r="AU19" s="58"/>
      <c r="AV19" s="59">
        <f>H19+M19+R19+W19+AB19+AG19+AL19</f>
        <v>680</v>
      </c>
      <c r="AW19" s="59">
        <f>I19+N19+S19+X19+AC19+AH19+AM19</f>
        <v>680</v>
      </c>
      <c r="AX19" s="24">
        <f>IF(AV19=0,0,AW19/AV19)</f>
        <v>1</v>
      </c>
      <c r="AY19" s="24">
        <f>IFERROR(IF(AV19="",0,($G19*(AW19/$E19))),0)</f>
        <v>0.12</v>
      </c>
      <c r="AZ19" s="27"/>
      <c r="BA19" s="41"/>
      <c r="BB19" s="41"/>
    </row>
    <row r="20" spans="2:54" ht="45" x14ac:dyDescent="0.25">
      <c r="B20" s="23" t="s">
        <v>25</v>
      </c>
      <c r="C20" s="32" t="s">
        <v>43</v>
      </c>
      <c r="D20" s="50" t="s">
        <v>84</v>
      </c>
      <c r="E20" s="40">
        <v>17</v>
      </c>
      <c r="F20" s="40" t="s">
        <v>24</v>
      </c>
      <c r="G20" s="22">
        <v>0.06</v>
      </c>
      <c r="H20" s="23"/>
      <c r="I20" s="23"/>
      <c r="J20" s="24">
        <f>IF(H20="",0,I20/H20)</f>
        <v>0</v>
      </c>
      <c r="K20" s="24">
        <f>IFERROR(IF(H20="",0,($G20*(I20/$E20))),0)</f>
        <v>0</v>
      </c>
      <c r="L20" s="40"/>
      <c r="M20" s="23">
        <v>7</v>
      </c>
      <c r="N20" s="23">
        <v>7</v>
      </c>
      <c r="O20" s="24">
        <f>IF(M20="",0,N20/M20)</f>
        <v>1</v>
      </c>
      <c r="P20" s="24">
        <f>IFERROR(IF(M20="",0,($G20*(N20/$E20))),0)</f>
        <v>2.4705882352941175E-2</v>
      </c>
      <c r="Q20" s="26"/>
      <c r="R20" s="23">
        <v>10</v>
      </c>
      <c r="S20" s="23">
        <v>10</v>
      </c>
      <c r="T20" s="24">
        <f>IF(R20="",0,S20/R20)</f>
        <v>1</v>
      </c>
      <c r="U20" s="24">
        <f>IFERROR(IF(R20="",0,($G20*(S20/$E20))),0)</f>
        <v>3.5294117647058823E-2</v>
      </c>
      <c r="V20" s="25"/>
      <c r="W20" s="25"/>
      <c r="X20" s="25"/>
      <c r="Y20" s="24">
        <f>IF(W20="",0,X20/W20)</f>
        <v>0</v>
      </c>
      <c r="Z20" s="24">
        <f>IFERROR(IF(W20="",0,($G20*(X20/$E20))),0)</f>
        <v>0</v>
      </c>
      <c r="AA20" s="25"/>
      <c r="AB20" s="23"/>
      <c r="AC20" s="25"/>
      <c r="AD20" s="24">
        <f>IF(AB20="",0,AC20/AB20)</f>
        <v>0</v>
      </c>
      <c r="AE20" s="24">
        <f>IFERROR(IF(AB20="",0,($G20*(AC20/$E20))),0)</f>
        <v>0</v>
      </c>
      <c r="AF20" s="25"/>
      <c r="AG20" s="23"/>
      <c r="AH20" s="23"/>
      <c r="AI20" s="24">
        <f>IF(AG20="",0,AH20/AG20)</f>
        <v>0</v>
      </c>
      <c r="AJ20" s="24">
        <f>IFERROR(IF(AG20="",0,($G20*(AH20/$E20))),0)</f>
        <v>0</v>
      </c>
      <c r="AK20" s="25"/>
      <c r="AL20" s="25"/>
      <c r="AM20" s="25"/>
      <c r="AN20" s="24">
        <f>IF(AL20="",0,AM20/AL20)</f>
        <v>0</v>
      </c>
      <c r="AO20" s="24">
        <f>IFERROR(IF(AL20="",0,($G20*(AM20/$E20))),0)</f>
        <v>0</v>
      </c>
      <c r="AP20" s="25"/>
      <c r="AQ20" s="25"/>
      <c r="AR20" s="25"/>
      <c r="AS20" s="24"/>
      <c r="AT20" s="24"/>
      <c r="AU20" s="58"/>
      <c r="AV20" s="59">
        <f>H20+M20+R20+W20+AB20+AG20+AQ20+AL20</f>
        <v>17</v>
      </c>
      <c r="AW20" s="59">
        <f>I20+N20+S20+X20+AC20+AH20+AM20</f>
        <v>17</v>
      </c>
      <c r="AX20" s="24">
        <f>IF(AV20=0,0,AW20/AV20)</f>
        <v>1</v>
      </c>
      <c r="AY20" s="24">
        <f>IFERROR(IF(AV20="",0,($G20*(AW20/$E20))),0)</f>
        <v>0.06</v>
      </c>
      <c r="AZ20" s="27"/>
      <c r="BA20" s="41"/>
      <c r="BB20" s="41"/>
    </row>
    <row r="21" spans="2:54" ht="21" customHeight="1" x14ac:dyDescent="0.25">
      <c r="B21" s="28"/>
      <c r="C21" s="29" t="s">
        <v>31</v>
      </c>
      <c r="D21" s="30"/>
      <c r="E21" s="28">
        <f>SUM(E18:E20)</f>
        <v>1379</v>
      </c>
      <c r="F21" s="28"/>
      <c r="G21" s="31">
        <f>SUM(G18:G20)</f>
        <v>0.3</v>
      </c>
      <c r="H21" s="28">
        <f>SUM(H18:H20)</f>
        <v>15</v>
      </c>
      <c r="I21" s="28">
        <f>SUM(I18:I20)</f>
        <v>15</v>
      </c>
      <c r="J21" s="31">
        <f>IFERROR(IF(H21="",0,I21/H21),0)</f>
        <v>1</v>
      </c>
      <c r="K21" s="31">
        <f>SUM(K18:K20)*$G17</f>
        <v>7.9178885630498534E-4</v>
      </c>
      <c r="L21" s="28"/>
      <c r="M21" s="28">
        <f>SUM(M18:M20)</f>
        <v>132</v>
      </c>
      <c r="N21" s="28">
        <f>SUM(N18:N20)</f>
        <v>132</v>
      </c>
      <c r="O21" s="31">
        <f>IFERROR(IF(M21="",0,N21/M21),0)</f>
        <v>1</v>
      </c>
      <c r="P21" s="31">
        <f>SUM(P18:P20)*$G17</f>
        <v>1.4012333965844401E-2</v>
      </c>
      <c r="Q21" s="28"/>
      <c r="R21" s="28">
        <f>SUM(R18:R20)</f>
        <v>260</v>
      </c>
      <c r="S21" s="28">
        <f>SUM(S18:S20)</f>
        <v>260</v>
      </c>
      <c r="T21" s="31">
        <f>IFERROR(IF(R21="",0,S21/R21),0)</f>
        <v>1</v>
      </c>
      <c r="U21" s="31">
        <f>SUM(U18:U20)*$G17</f>
        <v>2.3806451612903224E-2</v>
      </c>
      <c r="V21" s="28"/>
      <c r="W21" s="28">
        <f>SUM(W18:W20)</f>
        <v>240</v>
      </c>
      <c r="X21" s="28">
        <f>SUM(X18:X20)</f>
        <v>240</v>
      </c>
      <c r="Y21" s="31">
        <f>IFERROR(IF(W21="",0,X21/W21),0)</f>
        <v>1</v>
      </c>
      <c r="Z21" s="31">
        <f>SUM(Z18:Z20)*$G17</f>
        <v>1.2688804554079695E-2</v>
      </c>
      <c r="AA21" s="28"/>
      <c r="AB21" s="28">
        <f>SUM(AB18:AB20)</f>
        <v>247</v>
      </c>
      <c r="AC21" s="28">
        <f>SUM(AC18:AC20)</f>
        <v>247</v>
      </c>
      <c r="AD21" s="31">
        <f>IFERROR(IF(AB21="",0,AC21/AB21),0)</f>
        <v>1</v>
      </c>
      <c r="AE21" s="31">
        <f>SUM(AE18:AE20)*$G17</f>
        <v>1.3058306020355353E-2</v>
      </c>
      <c r="AF21" s="28"/>
      <c r="AG21" s="28">
        <f>SUM(AG18:AG20)</f>
        <v>235</v>
      </c>
      <c r="AH21" s="28">
        <f>SUM(AH18:AH20)</f>
        <v>235</v>
      </c>
      <c r="AI21" s="31">
        <f>IFERROR(IF(AG21="",0,AH21/AG21),0)</f>
        <v>1</v>
      </c>
      <c r="AJ21" s="31">
        <f>SUM(AJ18:AJ20)*$G17</f>
        <v>1.2424098671726754E-2</v>
      </c>
      <c r="AK21" s="28"/>
      <c r="AL21" s="28">
        <f>SUM(AL18:AL20)</f>
        <v>250</v>
      </c>
      <c r="AM21" s="28">
        <f>SUM(AM18:AM20)</f>
        <v>250</v>
      </c>
      <c r="AN21" s="31">
        <f>IFERROR(IF(AL21="",0,AM21/AL21),0)</f>
        <v>1</v>
      </c>
      <c r="AO21" s="31">
        <f>SUM(AO18:AO20)*$G17</f>
        <v>1.3218216318785576E-2</v>
      </c>
      <c r="AP21" s="28"/>
      <c r="AQ21" s="28"/>
      <c r="AR21" s="28"/>
      <c r="AS21" s="31"/>
      <c r="AT21" s="31"/>
      <c r="AU21" s="66"/>
      <c r="AV21" s="68">
        <f>SUM(AV18:AV20)</f>
        <v>1379</v>
      </c>
      <c r="AW21" s="28">
        <f>SUM(AW18:AW20)</f>
        <v>1379</v>
      </c>
      <c r="AX21" s="24">
        <f>IF(AV21=0,0,AW21/AV21)</f>
        <v>1</v>
      </c>
      <c r="AY21" s="31">
        <f>SUM(AY18:AY20)*$G17</f>
        <v>0.09</v>
      </c>
      <c r="AZ21" s="27"/>
      <c r="BA21" s="41"/>
      <c r="BB21" s="41"/>
    </row>
    <row r="22" spans="2:54" s="21" customFormat="1" ht="33" customHeight="1" x14ac:dyDescent="0.25">
      <c r="B22" s="17">
        <v>2</v>
      </c>
      <c r="C22" s="18" t="s">
        <v>32</v>
      </c>
      <c r="D22" s="37" t="s">
        <v>71</v>
      </c>
      <c r="E22" s="17">
        <v>202</v>
      </c>
      <c r="F22" s="56"/>
      <c r="G22" s="19">
        <v>0.37</v>
      </c>
      <c r="H22" s="483"/>
      <c r="I22" s="484"/>
      <c r="J22" s="484"/>
      <c r="K22" s="484"/>
      <c r="L22" s="485"/>
      <c r="M22" s="483"/>
      <c r="N22" s="484"/>
      <c r="O22" s="484"/>
      <c r="P22" s="484"/>
      <c r="Q22" s="485"/>
      <c r="R22" s="483"/>
      <c r="S22" s="484"/>
      <c r="T22" s="484"/>
      <c r="U22" s="484"/>
      <c r="V22" s="485"/>
      <c r="W22" s="483"/>
      <c r="X22" s="484"/>
      <c r="Y22" s="484"/>
      <c r="Z22" s="484"/>
      <c r="AA22" s="485"/>
      <c r="AB22" s="483"/>
      <c r="AC22" s="484"/>
      <c r="AD22" s="484"/>
      <c r="AE22" s="484"/>
      <c r="AF22" s="485"/>
      <c r="AG22" s="487"/>
      <c r="AH22" s="487"/>
      <c r="AI22" s="487"/>
      <c r="AJ22" s="487"/>
      <c r="AK22" s="487"/>
      <c r="AL22" s="487"/>
      <c r="AM22" s="487"/>
      <c r="AN22" s="487"/>
      <c r="AO22" s="487"/>
      <c r="AP22" s="487"/>
      <c r="AQ22" s="483"/>
      <c r="AR22" s="484"/>
      <c r="AS22" s="484"/>
      <c r="AT22" s="484"/>
      <c r="AU22" s="485"/>
      <c r="AV22" s="487"/>
      <c r="AW22" s="487"/>
      <c r="AX22" s="487"/>
      <c r="AY22" s="56"/>
      <c r="AZ22" s="27">
        <f>AV22-E22</f>
        <v>-202</v>
      </c>
    </row>
    <row r="23" spans="2:54" ht="61.5" customHeight="1" x14ac:dyDescent="0.25">
      <c r="B23" s="23" t="s">
        <v>26</v>
      </c>
      <c r="C23" s="32" t="s">
        <v>44</v>
      </c>
      <c r="D23" s="51" t="s">
        <v>90</v>
      </c>
      <c r="E23" s="40">
        <v>42</v>
      </c>
      <c r="F23" s="40" t="s">
        <v>24</v>
      </c>
      <c r="G23" s="22">
        <v>0.1</v>
      </c>
      <c r="H23" s="23"/>
      <c r="I23" s="23"/>
      <c r="J23" s="24">
        <f t="shared" ref="J23:J28" si="0">IF(H23="",0,I23/H23)</f>
        <v>0</v>
      </c>
      <c r="K23" s="24">
        <f>IFERROR(IF(H23="",0,($G23*(I23/$E23))),0)</f>
        <v>0</v>
      </c>
      <c r="L23" s="38"/>
      <c r="M23" s="23"/>
      <c r="N23" s="23"/>
      <c r="O23" s="24">
        <f>IF(M23="",0,N23/M23)</f>
        <v>0</v>
      </c>
      <c r="P23" s="24">
        <f>IFERROR(IF(M23="",0,($G23*(N23/$E23))),0)</f>
        <v>0</v>
      </c>
      <c r="Q23" s="26"/>
      <c r="R23" s="23">
        <v>21</v>
      </c>
      <c r="S23" s="23">
        <v>21</v>
      </c>
      <c r="T23" s="24">
        <f>IF(R23="",0,S23/R23)</f>
        <v>1</v>
      </c>
      <c r="U23" s="24">
        <f>IFERROR(IF(R23="",0,($G23*(S23/$E23))),0)</f>
        <v>0.05</v>
      </c>
      <c r="V23" s="25"/>
      <c r="W23" s="23">
        <v>21</v>
      </c>
      <c r="X23" s="23">
        <v>21</v>
      </c>
      <c r="Y23" s="24">
        <f>IF(W23="",0,X23/W23)</f>
        <v>1</v>
      </c>
      <c r="Z23" s="24">
        <f>IFERROR(IF(W23="",0,($G23*(X23/$E23))),0)</f>
        <v>0.05</v>
      </c>
      <c r="AA23" s="25"/>
      <c r="AB23" s="23"/>
      <c r="AC23" s="25"/>
      <c r="AD23" s="24">
        <f>IF(AB23="",0,AC23/AB23)</f>
        <v>0</v>
      </c>
      <c r="AE23" s="24">
        <f>IFERROR(IF(AB23="",0,($G23*(AC23/$E23))),0)</f>
        <v>0</v>
      </c>
      <c r="AF23" s="25"/>
      <c r="AG23" s="23"/>
      <c r="AH23" s="23"/>
      <c r="AI23" s="24">
        <f>IF(AG23="",0,AH23/AG23)</f>
        <v>0</v>
      </c>
      <c r="AJ23" s="24">
        <f>IFERROR(IF(AG23="",0,($G23*(AH23/$E23))),0)</f>
        <v>0</v>
      </c>
      <c r="AK23" s="40"/>
      <c r="AL23" s="25"/>
      <c r="AM23" s="25"/>
      <c r="AN23" s="24">
        <f>IF(AL23="",0,AM23/AL23)</f>
        <v>0</v>
      </c>
      <c r="AO23" s="24">
        <f>IFERROR(IF(AL23="",0,($G23*(AM23/$E23))),0)</f>
        <v>0</v>
      </c>
      <c r="AP23" s="25"/>
      <c r="AQ23" s="25"/>
      <c r="AR23" s="25"/>
      <c r="AS23" s="24"/>
      <c r="AT23" s="24"/>
      <c r="AU23" s="58"/>
      <c r="AV23" s="59">
        <f t="shared" ref="AV23:AW28" si="1">H23+M23+R23+W23+AB23+AG23+AL23</f>
        <v>42</v>
      </c>
      <c r="AW23" s="59">
        <f t="shared" si="1"/>
        <v>42</v>
      </c>
      <c r="AX23" s="24">
        <f t="shared" ref="AX23:AX28" si="2">IF(AV23=0,0,AW23/AV23)</f>
        <v>1</v>
      </c>
      <c r="AY23" s="24">
        <f t="shared" ref="AY23:AY28" si="3">IFERROR(IF(AV23="",0,($G23*(AW23/$E23))),0)</f>
        <v>0.1</v>
      </c>
      <c r="AZ23" s="27">
        <f>AV23-E23</f>
        <v>0</v>
      </c>
      <c r="BA23" s="41">
        <f>AV23-AW23</f>
        <v>0</v>
      </c>
      <c r="BB23" s="41">
        <f>1378-BA23</f>
        <v>1378</v>
      </c>
    </row>
    <row r="24" spans="2:54" ht="68.25" customHeight="1" x14ac:dyDescent="0.25">
      <c r="B24" s="23" t="s">
        <v>27</v>
      </c>
      <c r="C24" s="32" t="s">
        <v>45</v>
      </c>
      <c r="D24" s="51" t="s">
        <v>89</v>
      </c>
      <c r="E24" s="40">
        <v>14</v>
      </c>
      <c r="F24" s="40" t="s">
        <v>38</v>
      </c>
      <c r="G24" s="22">
        <v>0.04</v>
      </c>
      <c r="H24" s="23"/>
      <c r="I24" s="23"/>
      <c r="J24" s="24">
        <f t="shared" si="0"/>
        <v>0</v>
      </c>
      <c r="K24" s="24">
        <f>($G24*(I24/$E24))</f>
        <v>0</v>
      </c>
      <c r="L24" s="38"/>
      <c r="M24" s="23">
        <v>7</v>
      </c>
      <c r="N24" s="23">
        <v>7</v>
      </c>
      <c r="O24" s="24">
        <f>IF(M24="",0,N24/M24)</f>
        <v>1</v>
      </c>
      <c r="P24" s="24">
        <f>IFERROR(IF(M24="",0,($G24*(N24/$E24))),0)</f>
        <v>0.02</v>
      </c>
      <c r="Q24" s="38"/>
      <c r="R24" s="23"/>
      <c r="S24" s="23"/>
      <c r="T24" s="24">
        <f>IF(R24="",0,S24/R24)</f>
        <v>0</v>
      </c>
      <c r="U24" s="24">
        <f>IFERROR(IF(R24="",0,($G24*(S24/$E24))),0)</f>
        <v>0</v>
      </c>
      <c r="V24" s="38"/>
      <c r="W24" s="23"/>
      <c r="X24" s="23"/>
      <c r="Y24" s="24">
        <f>IF(W24="",0,X24/W24)</f>
        <v>0</v>
      </c>
      <c r="Z24" s="24">
        <f>IFERROR(IF(W24="",0,($G24*(X24/$E24))),0)</f>
        <v>0</v>
      </c>
      <c r="AA24" s="40"/>
      <c r="AB24" s="23"/>
      <c r="AC24" s="25"/>
      <c r="AD24" s="24">
        <f>IF(AB24="",0,AC24/AB24)</f>
        <v>0</v>
      </c>
      <c r="AE24" s="24">
        <f>IFERROR(IF(AB24="",0,($G24*(AC24/$E24))),0)</f>
        <v>0</v>
      </c>
      <c r="AF24" s="40"/>
      <c r="AG24" s="23"/>
      <c r="AH24" s="23"/>
      <c r="AI24" s="24">
        <f>IF(AG24="",0,AH24/AG24)</f>
        <v>0</v>
      </c>
      <c r="AJ24" s="24">
        <f>IFERROR(IF(AG24="",0,($G24*(AH24/$E24))),0)</f>
        <v>0</v>
      </c>
      <c r="AK24" s="40"/>
      <c r="AL24" s="25">
        <v>7</v>
      </c>
      <c r="AM24" s="25">
        <v>7</v>
      </c>
      <c r="AN24" s="24">
        <f>IF(AL24="",0,AM24/AL24)</f>
        <v>1</v>
      </c>
      <c r="AO24" s="24">
        <f>IFERROR(IF(AL24="",0,($G24*(AM24/$E24))),0)</f>
        <v>0.02</v>
      </c>
      <c r="AP24" s="40"/>
      <c r="AQ24" s="25"/>
      <c r="AR24" s="25"/>
      <c r="AS24" s="24"/>
      <c r="AT24" s="24"/>
      <c r="AU24" s="58"/>
      <c r="AV24" s="59">
        <f t="shared" si="1"/>
        <v>14</v>
      </c>
      <c r="AW24" s="59">
        <f t="shared" si="1"/>
        <v>14</v>
      </c>
      <c r="AX24" s="24">
        <f t="shared" si="2"/>
        <v>1</v>
      </c>
      <c r="AY24" s="24">
        <f t="shared" si="3"/>
        <v>0.04</v>
      </c>
      <c r="AZ24" s="27">
        <f>AV24-E24</f>
        <v>0</v>
      </c>
      <c r="BA24" s="41"/>
    </row>
    <row r="25" spans="2:54" ht="68.25" customHeight="1" x14ac:dyDescent="0.25">
      <c r="B25" s="488" t="s">
        <v>85</v>
      </c>
      <c r="C25" s="700" t="s">
        <v>80</v>
      </c>
      <c r="D25" s="702" t="s">
        <v>83</v>
      </c>
      <c r="E25" s="40">
        <v>51</v>
      </c>
      <c r="F25" s="40" t="s">
        <v>70</v>
      </c>
      <c r="G25" s="22">
        <v>0.15</v>
      </c>
      <c r="H25" s="23"/>
      <c r="I25" s="23"/>
      <c r="J25" s="24">
        <f t="shared" si="0"/>
        <v>0</v>
      </c>
      <c r="K25" s="24">
        <f>($G25*(I25/$E25))</f>
        <v>0</v>
      </c>
      <c r="L25" s="38"/>
      <c r="M25" s="23"/>
      <c r="N25" s="23"/>
      <c r="O25" s="24">
        <f t="shared" ref="O25:O28" si="4">IF(M25="",0,N25/M25)</f>
        <v>0</v>
      </c>
      <c r="P25" s="24"/>
      <c r="Q25" s="38"/>
      <c r="R25" s="23"/>
      <c r="S25" s="23"/>
      <c r="T25" s="24">
        <f t="shared" ref="T25:T28" si="5">IF(R25="",0,S25/R25)</f>
        <v>0</v>
      </c>
      <c r="U25" s="24"/>
      <c r="V25" s="38"/>
      <c r="W25" s="23">
        <v>25</v>
      </c>
      <c r="X25" s="23">
        <v>25</v>
      </c>
      <c r="Y25" s="24">
        <f t="shared" ref="Y25:Y31" si="6">IF(W25="",0,X25/W25)</f>
        <v>1</v>
      </c>
      <c r="Z25" s="24"/>
      <c r="AA25" s="40"/>
      <c r="AB25" s="23">
        <v>26</v>
      </c>
      <c r="AC25" s="25">
        <v>26</v>
      </c>
      <c r="AD25" s="24">
        <f t="shared" ref="AD25:AD28" si="7">IF(AB25="",0,AC25/AB25)</f>
        <v>1</v>
      </c>
      <c r="AE25" s="24"/>
      <c r="AF25" s="40"/>
      <c r="AG25" s="23"/>
      <c r="AH25" s="23"/>
      <c r="AI25" s="24">
        <f t="shared" ref="AI25:AI28" si="8">IF(AG25="",0,AH25/AG25)</f>
        <v>0</v>
      </c>
      <c r="AJ25" s="24"/>
      <c r="AK25" s="40"/>
      <c r="AL25" s="25"/>
      <c r="AM25" s="25"/>
      <c r="AN25" s="24">
        <f t="shared" ref="AN25:AN28" si="9">IF(AL25="",0,AM25/AL25)</f>
        <v>0</v>
      </c>
      <c r="AO25" s="24"/>
      <c r="AP25" s="40"/>
      <c r="AQ25" s="25"/>
      <c r="AR25" s="25"/>
      <c r="AS25" s="24"/>
      <c r="AT25" s="24"/>
      <c r="AU25" s="58"/>
      <c r="AV25" s="59">
        <f t="shared" si="1"/>
        <v>51</v>
      </c>
      <c r="AW25" s="59">
        <f t="shared" si="1"/>
        <v>51</v>
      </c>
      <c r="AX25" s="24">
        <f t="shared" si="2"/>
        <v>1</v>
      </c>
      <c r="AY25" s="24">
        <f t="shared" si="3"/>
        <v>0.15</v>
      </c>
      <c r="AZ25" s="27"/>
      <c r="BA25" s="41"/>
    </row>
    <row r="26" spans="2:54" ht="68.25" customHeight="1" x14ac:dyDescent="0.25">
      <c r="B26" s="497"/>
      <c r="C26" s="701"/>
      <c r="D26" s="703"/>
      <c r="E26" s="40">
        <v>2</v>
      </c>
      <c r="F26" s="40" t="s">
        <v>92</v>
      </c>
      <c r="G26" s="22">
        <v>0.02</v>
      </c>
      <c r="H26" s="23"/>
      <c r="I26" s="23"/>
      <c r="J26" s="24">
        <f t="shared" si="0"/>
        <v>0</v>
      </c>
      <c r="K26" s="24"/>
      <c r="L26" s="38"/>
      <c r="M26" s="23"/>
      <c r="N26" s="23"/>
      <c r="O26" s="24">
        <f t="shared" si="4"/>
        <v>0</v>
      </c>
      <c r="P26" s="24"/>
      <c r="Q26" s="38"/>
      <c r="R26" s="23"/>
      <c r="S26" s="23"/>
      <c r="T26" s="24">
        <f t="shared" si="5"/>
        <v>0</v>
      </c>
      <c r="U26" s="24"/>
      <c r="V26" s="38"/>
      <c r="W26" s="23">
        <v>1</v>
      </c>
      <c r="X26" s="23">
        <v>1</v>
      </c>
      <c r="Y26" s="24">
        <f t="shared" si="6"/>
        <v>1</v>
      </c>
      <c r="Z26" s="24"/>
      <c r="AA26" s="40"/>
      <c r="AB26" s="23">
        <v>1</v>
      </c>
      <c r="AC26" s="25">
        <v>1</v>
      </c>
      <c r="AD26" s="24">
        <f t="shared" si="7"/>
        <v>1</v>
      </c>
      <c r="AE26" s="24"/>
      <c r="AF26" s="40"/>
      <c r="AG26" s="23"/>
      <c r="AH26" s="23"/>
      <c r="AI26" s="24">
        <f t="shared" si="8"/>
        <v>0</v>
      </c>
      <c r="AJ26" s="24"/>
      <c r="AK26" s="40"/>
      <c r="AL26" s="25"/>
      <c r="AM26" s="25"/>
      <c r="AN26" s="24">
        <f t="shared" si="9"/>
        <v>0</v>
      </c>
      <c r="AO26" s="24"/>
      <c r="AP26" s="40"/>
      <c r="AQ26" s="25"/>
      <c r="AR26" s="25"/>
      <c r="AS26" s="24"/>
      <c r="AT26" s="24"/>
      <c r="AU26" s="58"/>
      <c r="AV26" s="59">
        <f t="shared" si="1"/>
        <v>2</v>
      </c>
      <c r="AW26" s="59">
        <f t="shared" si="1"/>
        <v>2</v>
      </c>
      <c r="AX26" s="24">
        <f t="shared" si="2"/>
        <v>1</v>
      </c>
      <c r="AY26" s="24">
        <f t="shared" si="3"/>
        <v>0.02</v>
      </c>
      <c r="AZ26" s="27"/>
      <c r="BA26" s="41"/>
    </row>
    <row r="27" spans="2:54" ht="68.25" customHeight="1" x14ac:dyDescent="0.25">
      <c r="B27" s="23" t="s">
        <v>86</v>
      </c>
      <c r="C27" s="32" t="s">
        <v>81</v>
      </c>
      <c r="D27" s="51" t="s">
        <v>88</v>
      </c>
      <c r="E27" s="40">
        <v>51</v>
      </c>
      <c r="F27" s="40" t="s">
        <v>93</v>
      </c>
      <c r="G27" s="22">
        <v>0.04</v>
      </c>
      <c r="H27" s="23"/>
      <c r="I27" s="23"/>
      <c r="J27" s="24">
        <f t="shared" si="0"/>
        <v>0</v>
      </c>
      <c r="K27" s="24">
        <f>($G27*(I27/$E27))</f>
        <v>0</v>
      </c>
      <c r="L27" s="38"/>
      <c r="M27" s="23"/>
      <c r="N27" s="23"/>
      <c r="O27" s="24">
        <f t="shared" si="4"/>
        <v>0</v>
      </c>
      <c r="P27" s="24"/>
      <c r="Q27" s="38"/>
      <c r="R27" s="23"/>
      <c r="S27" s="23"/>
      <c r="T27" s="24">
        <f t="shared" si="5"/>
        <v>0</v>
      </c>
      <c r="U27" s="24"/>
      <c r="V27" s="38"/>
      <c r="W27" s="23">
        <v>10</v>
      </c>
      <c r="X27" s="23">
        <v>10</v>
      </c>
      <c r="Y27" s="24">
        <f t="shared" si="6"/>
        <v>1</v>
      </c>
      <c r="Z27" s="24"/>
      <c r="AA27" s="40"/>
      <c r="AB27" s="23">
        <v>15</v>
      </c>
      <c r="AC27" s="25">
        <v>15</v>
      </c>
      <c r="AD27" s="24">
        <f t="shared" si="7"/>
        <v>1</v>
      </c>
      <c r="AE27" s="23"/>
      <c r="AF27" s="40"/>
      <c r="AG27" s="23">
        <v>16</v>
      </c>
      <c r="AH27" s="23">
        <v>16</v>
      </c>
      <c r="AI27" s="24">
        <f t="shared" si="8"/>
        <v>1</v>
      </c>
      <c r="AJ27" s="23"/>
      <c r="AK27" s="40"/>
      <c r="AL27" s="25">
        <v>10</v>
      </c>
      <c r="AM27" s="25">
        <v>10</v>
      </c>
      <c r="AN27" s="24">
        <f t="shared" si="9"/>
        <v>1</v>
      </c>
      <c r="AO27" s="23"/>
      <c r="AP27" s="40"/>
      <c r="AQ27" s="25"/>
      <c r="AR27" s="25"/>
      <c r="AS27" s="24"/>
      <c r="AT27" s="24"/>
      <c r="AU27" s="58"/>
      <c r="AV27" s="59">
        <f t="shared" si="1"/>
        <v>51</v>
      </c>
      <c r="AW27" s="59">
        <f t="shared" si="1"/>
        <v>51</v>
      </c>
      <c r="AX27" s="24">
        <f t="shared" si="2"/>
        <v>1</v>
      </c>
      <c r="AY27" s="24">
        <f t="shared" si="3"/>
        <v>0.04</v>
      </c>
      <c r="AZ27" s="27"/>
      <c r="BA27" s="41"/>
    </row>
    <row r="28" spans="2:54" ht="68.25" customHeight="1" x14ac:dyDescent="0.25">
      <c r="B28" s="23" t="s">
        <v>87</v>
      </c>
      <c r="C28" s="32" t="s">
        <v>82</v>
      </c>
      <c r="D28" s="51" t="s">
        <v>91</v>
      </c>
      <c r="E28" s="40">
        <v>42</v>
      </c>
      <c r="F28" s="40" t="s">
        <v>94</v>
      </c>
      <c r="G28" s="22">
        <v>0.02</v>
      </c>
      <c r="H28" s="23"/>
      <c r="I28" s="23"/>
      <c r="J28" s="24">
        <f t="shared" si="0"/>
        <v>0</v>
      </c>
      <c r="K28" s="24">
        <f>($G28*(I28/$E28))</f>
        <v>0</v>
      </c>
      <c r="L28" s="38"/>
      <c r="M28" s="23">
        <v>7</v>
      </c>
      <c r="N28" s="23">
        <v>7</v>
      </c>
      <c r="O28" s="24">
        <f t="shared" si="4"/>
        <v>1</v>
      </c>
      <c r="P28" s="24"/>
      <c r="Q28" s="38"/>
      <c r="R28" s="23">
        <v>7</v>
      </c>
      <c r="S28" s="23">
        <v>7</v>
      </c>
      <c r="T28" s="24">
        <f t="shared" si="5"/>
        <v>1</v>
      </c>
      <c r="U28" s="24"/>
      <c r="V28" s="38"/>
      <c r="W28" s="23">
        <v>7</v>
      </c>
      <c r="X28" s="23">
        <v>7</v>
      </c>
      <c r="Y28" s="24">
        <f t="shared" si="6"/>
        <v>1</v>
      </c>
      <c r="Z28" s="24"/>
      <c r="AA28" s="40"/>
      <c r="AB28" s="23">
        <v>7</v>
      </c>
      <c r="AC28" s="25">
        <v>7</v>
      </c>
      <c r="AD28" s="24">
        <f t="shared" si="7"/>
        <v>1</v>
      </c>
      <c r="AE28" s="24"/>
      <c r="AF28" s="40"/>
      <c r="AG28" s="23">
        <v>7</v>
      </c>
      <c r="AH28" s="23">
        <v>7</v>
      </c>
      <c r="AI28" s="24">
        <f t="shared" si="8"/>
        <v>1</v>
      </c>
      <c r="AJ28" s="24"/>
      <c r="AK28" s="40"/>
      <c r="AL28" s="25">
        <v>7</v>
      </c>
      <c r="AM28" s="25">
        <v>7</v>
      </c>
      <c r="AN28" s="24">
        <f t="shared" si="9"/>
        <v>1</v>
      </c>
      <c r="AO28" s="24"/>
      <c r="AP28" s="40"/>
      <c r="AQ28" s="25"/>
      <c r="AR28" s="25"/>
      <c r="AS28" s="24"/>
      <c r="AT28" s="24"/>
      <c r="AU28" s="58"/>
      <c r="AV28" s="59">
        <f t="shared" si="1"/>
        <v>42</v>
      </c>
      <c r="AW28" s="59">
        <f t="shared" si="1"/>
        <v>42</v>
      </c>
      <c r="AX28" s="24">
        <f t="shared" si="2"/>
        <v>1</v>
      </c>
      <c r="AY28" s="24">
        <f t="shared" si="3"/>
        <v>0.02</v>
      </c>
      <c r="AZ28" s="27"/>
      <c r="BA28" s="41"/>
    </row>
    <row r="29" spans="2:54" ht="26.25" customHeight="1" x14ac:dyDescent="0.25">
      <c r="B29" s="28"/>
      <c r="C29" s="29" t="s">
        <v>33</v>
      </c>
      <c r="D29" s="30"/>
      <c r="E29" s="28">
        <f>SUM(E26:E28)</f>
        <v>95</v>
      </c>
      <c r="F29" s="28"/>
      <c r="G29" s="31">
        <f>SUM(G26:G28)</f>
        <v>0.08</v>
      </c>
      <c r="H29" s="28">
        <f>SUM(H26:H28)</f>
        <v>0</v>
      </c>
      <c r="I29" s="28">
        <f>SUM(I26:I28)</f>
        <v>0</v>
      </c>
      <c r="J29" s="31">
        <f>IFERROR(IF(H29="",0,I29/H29),0)</f>
        <v>0</v>
      </c>
      <c r="K29" s="31">
        <f>SUM(K26:K28)*$G25</f>
        <v>0</v>
      </c>
      <c r="L29" s="28"/>
      <c r="M29" s="28">
        <f>SUM(M26:M28)</f>
        <v>7</v>
      </c>
      <c r="N29" s="28">
        <f>SUM(N26:N28)</f>
        <v>7</v>
      </c>
      <c r="O29" s="31">
        <f>IFERROR(IF(M29="",0,N29/M29),0)</f>
        <v>1</v>
      </c>
      <c r="P29" s="31">
        <f>SUM(P26:P28)*$G25</f>
        <v>0</v>
      </c>
      <c r="Q29" s="28"/>
      <c r="R29" s="28">
        <f>SUM(R26:R28)</f>
        <v>7</v>
      </c>
      <c r="S29" s="28">
        <f>SUM(S26:S28)</f>
        <v>7</v>
      </c>
      <c r="T29" s="31">
        <f>IFERROR(IF(R29="",0,S29/R29),0)</f>
        <v>1</v>
      </c>
      <c r="U29" s="31">
        <f>SUM(U26:U28)*$G25</f>
        <v>0</v>
      </c>
      <c r="V29" s="28"/>
      <c r="W29" s="28">
        <f>SUM(W26:W28)</f>
        <v>18</v>
      </c>
      <c r="X29" s="28">
        <f>SUM(X26:X28)</f>
        <v>18</v>
      </c>
      <c r="Y29" s="31">
        <f>IFERROR(IF(W29="",0,X29/W29),0)</f>
        <v>1</v>
      </c>
      <c r="Z29" s="31">
        <f>SUM(Z26:Z28)*$G25</f>
        <v>0</v>
      </c>
      <c r="AA29" s="28"/>
      <c r="AB29" s="28">
        <f>SUM(AB26:AB28)</f>
        <v>23</v>
      </c>
      <c r="AC29" s="28">
        <f>SUM(AC26:AC28)</f>
        <v>23</v>
      </c>
      <c r="AD29" s="31">
        <f>IFERROR(IF(AB29="",0,AC29/AB29),0)</f>
        <v>1</v>
      </c>
      <c r="AE29" s="31">
        <f>SUM(AE26:AE28)*$G25</f>
        <v>0</v>
      </c>
      <c r="AF29" s="28"/>
      <c r="AG29" s="28">
        <f>SUM(AG26:AG28)</f>
        <v>23</v>
      </c>
      <c r="AH29" s="28">
        <f>SUM(AH26:AH28)</f>
        <v>23</v>
      </c>
      <c r="AI29" s="31">
        <f>IFERROR(IF(AG29="",0,AH29/AG29),0)</f>
        <v>1</v>
      </c>
      <c r="AJ29" s="31">
        <f>SUM(AJ26:AJ28)*$G25</f>
        <v>0</v>
      </c>
      <c r="AK29" s="28"/>
      <c r="AL29" s="28">
        <f>SUM(AL26:AL28)</f>
        <v>17</v>
      </c>
      <c r="AM29" s="28">
        <f>SUM(AM26:AM28)</f>
        <v>17</v>
      </c>
      <c r="AN29" s="31">
        <f>IFERROR(IF(AL29="",0,AM29/AL29),0)</f>
        <v>1</v>
      </c>
      <c r="AO29" s="31">
        <f>SUM(AO26:AO28)*$G25</f>
        <v>0</v>
      </c>
      <c r="AP29" s="28"/>
      <c r="AQ29" s="28"/>
      <c r="AR29" s="28"/>
      <c r="AS29" s="31"/>
      <c r="AT29" s="31"/>
      <c r="AU29" s="66"/>
      <c r="AV29" s="68">
        <f>SUM(AV23:AV28)</f>
        <v>202</v>
      </c>
      <c r="AW29" s="69">
        <f>SUM(AW23:AW28)</f>
        <v>202</v>
      </c>
      <c r="AX29" s="24">
        <f>IF(AV29=0,0,AW29/AV29)</f>
        <v>1</v>
      </c>
      <c r="AY29" s="31">
        <f>SUM(AY26:AY28)*$G25</f>
        <v>1.2E-2</v>
      </c>
      <c r="AZ29" s="27"/>
      <c r="BA29" s="41"/>
    </row>
    <row r="30" spans="2:54" s="21" customFormat="1" ht="61.5" customHeight="1" x14ac:dyDescent="0.25">
      <c r="B30" s="17">
        <v>3</v>
      </c>
      <c r="C30" s="18" t="s">
        <v>34</v>
      </c>
      <c r="D30" s="37" t="s">
        <v>72</v>
      </c>
      <c r="E30" s="17">
        <v>18</v>
      </c>
      <c r="F30" s="56"/>
      <c r="G30" s="19">
        <v>0.1</v>
      </c>
      <c r="H30" s="483"/>
      <c r="I30" s="484"/>
      <c r="J30" s="484"/>
      <c r="K30" s="484"/>
      <c r="L30" s="485"/>
      <c r="M30" s="483"/>
      <c r="N30" s="484"/>
      <c r="O30" s="484"/>
      <c r="P30" s="484"/>
      <c r="Q30" s="485"/>
      <c r="R30" s="483"/>
      <c r="S30" s="484"/>
      <c r="T30" s="484"/>
      <c r="U30" s="484"/>
      <c r="V30" s="485"/>
      <c r="W30" s="483"/>
      <c r="X30" s="484"/>
      <c r="Y30" s="484"/>
      <c r="Z30" s="484"/>
      <c r="AA30" s="485"/>
      <c r="AB30" s="483"/>
      <c r="AC30" s="484"/>
      <c r="AD30" s="484"/>
      <c r="AE30" s="484"/>
      <c r="AF30" s="485"/>
      <c r="AG30" s="54"/>
      <c r="AH30" s="54"/>
      <c r="AI30" s="54"/>
      <c r="AJ30" s="54"/>
      <c r="AK30" s="54"/>
      <c r="AL30" s="54"/>
      <c r="AM30" s="54"/>
      <c r="AN30" s="54"/>
      <c r="AO30" s="54"/>
      <c r="AP30" s="54"/>
      <c r="AQ30" s="54"/>
      <c r="AR30" s="54"/>
      <c r="AS30" s="54"/>
      <c r="AT30" s="54"/>
      <c r="AU30" s="54"/>
      <c r="AV30" s="487"/>
      <c r="AW30" s="487"/>
      <c r="AX30" s="487"/>
      <c r="AY30" s="487"/>
      <c r="AZ30" s="27">
        <f>AV30-E30</f>
        <v>-18</v>
      </c>
    </row>
    <row r="31" spans="2:54" s="21" customFormat="1" ht="39.75" customHeight="1" x14ac:dyDescent="0.25">
      <c r="B31" s="23" t="s">
        <v>28</v>
      </c>
      <c r="C31" s="32" t="s">
        <v>46</v>
      </c>
      <c r="D31" s="38" t="s">
        <v>79</v>
      </c>
      <c r="E31" s="40">
        <v>18</v>
      </c>
      <c r="F31" s="25" t="s">
        <v>95</v>
      </c>
      <c r="G31" s="22">
        <v>0.1</v>
      </c>
      <c r="H31" s="23">
        <v>2</v>
      </c>
      <c r="I31" s="23">
        <v>2</v>
      </c>
      <c r="J31" s="24">
        <f>IF(H31="",0,I31/H31)</f>
        <v>1</v>
      </c>
      <c r="K31" s="24">
        <f>($G31*(I31/$E31))</f>
        <v>1.1111111111111112E-2</v>
      </c>
      <c r="L31" s="38"/>
      <c r="M31" s="23">
        <v>2</v>
      </c>
      <c r="N31" s="23">
        <v>2</v>
      </c>
      <c r="O31" s="24">
        <f>IF(M31="",0,N31/M31)</f>
        <v>1</v>
      </c>
      <c r="P31" s="24">
        <f>IFERROR(IF(M31="",0,($G31*(N31/$E31))),0)</f>
        <v>1.1111111111111112E-2</v>
      </c>
      <c r="Q31" s="55"/>
      <c r="R31" s="25">
        <v>2</v>
      </c>
      <c r="S31" s="25">
        <v>2</v>
      </c>
      <c r="T31" s="24">
        <f>IF(R31="",0,S31/R31)</f>
        <v>1</v>
      </c>
      <c r="U31" s="24">
        <f>IFERROR(IF(R31="",0,($G31*(S31/$E31))),0)</f>
        <v>1.1111111111111112E-2</v>
      </c>
      <c r="V31" s="25"/>
      <c r="W31" s="25">
        <v>4</v>
      </c>
      <c r="X31" s="25">
        <v>4</v>
      </c>
      <c r="Y31" s="24">
        <f t="shared" si="6"/>
        <v>1</v>
      </c>
      <c r="Z31" s="24">
        <f>IFERROR(IF(W31="",0,($G31*(X31/$E31))),0)</f>
        <v>2.2222222222222223E-2</v>
      </c>
      <c r="AA31" s="25"/>
      <c r="AB31" s="25">
        <v>2</v>
      </c>
      <c r="AC31" s="25">
        <v>2</v>
      </c>
      <c r="AD31" s="24">
        <f>IF(AB31="",0,AC31/AB31)</f>
        <v>1</v>
      </c>
      <c r="AE31" s="24">
        <f>IFERROR(IF(AB31="",0,($G31*(AC31/$E31))),0)</f>
        <v>1.1111111111111112E-2</v>
      </c>
      <c r="AF31" s="38"/>
      <c r="AG31" s="25">
        <v>4</v>
      </c>
      <c r="AH31" s="25">
        <v>4</v>
      </c>
      <c r="AI31" s="24">
        <f>IF(AG31="",0,AH31/AG31)</f>
        <v>1</v>
      </c>
      <c r="AJ31" s="24">
        <f>IFERROR(IF(AG31="",0,($G31*(AH31/$E31))),0)</f>
        <v>2.2222222222222223E-2</v>
      </c>
      <c r="AK31" s="40"/>
      <c r="AL31" s="25">
        <v>2</v>
      </c>
      <c r="AM31" s="25">
        <v>2</v>
      </c>
      <c r="AN31" s="24">
        <f>IF(AL31="",0,AM31/AL31)</f>
        <v>1</v>
      </c>
      <c r="AO31" s="24"/>
      <c r="AP31" s="40"/>
      <c r="AQ31" s="25"/>
      <c r="AR31" s="25"/>
      <c r="AS31" s="24"/>
      <c r="AT31" s="24"/>
      <c r="AU31" s="67"/>
      <c r="AV31" s="59">
        <f>H31+M31+R31+W31+AB31+AG31+AL31</f>
        <v>18</v>
      </c>
      <c r="AW31" s="59">
        <f>H31+M31+R31+W31+AB31+AG31+AL318+AM31</f>
        <v>18</v>
      </c>
      <c r="AX31" s="24">
        <f t="shared" ref="AX31" si="10">IF(AV31=0,0,AW31/AV31)</f>
        <v>1</v>
      </c>
      <c r="AY31" s="24">
        <f>IFERROR(IF(AV31="",0,($G31*(AW31/$E31))),0)</f>
        <v>0.1</v>
      </c>
      <c r="AZ31" s="27">
        <f>AV31-E31</f>
        <v>0</v>
      </c>
    </row>
    <row r="32" spans="2:54" s="21" customFormat="1" ht="22.5" customHeight="1" x14ac:dyDescent="0.25">
      <c r="B32" s="28"/>
      <c r="C32" s="29" t="s">
        <v>35</v>
      </c>
      <c r="D32" s="30"/>
      <c r="E32" s="28">
        <f>SUM(E29:E31)</f>
        <v>131</v>
      </c>
      <c r="F32" s="28"/>
      <c r="G32" s="31">
        <f>SUM(G29:G31)</f>
        <v>0.28000000000000003</v>
      </c>
      <c r="H32" s="28">
        <f>SUM(H29:H31)</f>
        <v>2</v>
      </c>
      <c r="I32" s="28">
        <f>SUM(I29:I31)</f>
        <v>2</v>
      </c>
      <c r="J32" s="31">
        <f>IFERROR(IF(H32="",0,I32/H32),0)</f>
        <v>1</v>
      </c>
      <c r="K32" s="31">
        <f>SUM(K29:K31)*$G28</f>
        <v>2.2222222222222223E-4</v>
      </c>
      <c r="L32" s="28"/>
      <c r="M32" s="28">
        <f>SUM(M29:M31)</f>
        <v>9</v>
      </c>
      <c r="N32" s="28">
        <f>SUM(N29:N31)</f>
        <v>9</v>
      </c>
      <c r="O32" s="31">
        <f>IFERROR(IF(M32="",0,N32/M32),0)</f>
        <v>1</v>
      </c>
      <c r="P32" s="31">
        <f>SUM(P29:P31)*$G28</f>
        <v>2.2222222222222223E-4</v>
      </c>
      <c r="Q32" s="28"/>
      <c r="R32" s="28">
        <f>SUM(R29:R31)</f>
        <v>9</v>
      </c>
      <c r="S32" s="28">
        <f>SUM(S29:S31)</f>
        <v>9</v>
      </c>
      <c r="T32" s="31">
        <f>IFERROR(IF(R32="",0,S32/R32),0)</f>
        <v>1</v>
      </c>
      <c r="U32" s="31">
        <f>SUM(U29:U31)*$G28</f>
        <v>2.2222222222222223E-4</v>
      </c>
      <c r="V32" s="28"/>
      <c r="W32" s="28">
        <f>SUM(W29:W31)</f>
        <v>22</v>
      </c>
      <c r="X32" s="28">
        <f>SUM(X29:X31)</f>
        <v>22</v>
      </c>
      <c r="Y32" s="31">
        <f>IFERROR(IF(W32="",0,X32/W32),0)</f>
        <v>1</v>
      </c>
      <c r="Z32" s="31">
        <f>SUM(Z29:Z31)*$G28</f>
        <v>4.4444444444444447E-4</v>
      </c>
      <c r="AA32" s="28"/>
      <c r="AB32" s="28">
        <f>SUM(AB29:AB31)</f>
        <v>25</v>
      </c>
      <c r="AC32" s="28">
        <f>SUM(AC29:AC31)</f>
        <v>25</v>
      </c>
      <c r="AD32" s="31">
        <f>IFERROR(IF(AB32="",0,AC32/AB32),0)</f>
        <v>1</v>
      </c>
      <c r="AE32" s="31">
        <f>SUM(AE29:AE31)*$G28</f>
        <v>2.2222222222222223E-4</v>
      </c>
      <c r="AF32" s="28"/>
      <c r="AG32" s="28">
        <f>SUM(AG29:AG31)</f>
        <v>27</v>
      </c>
      <c r="AH32" s="28">
        <f>SUM(AH29:AH31)</f>
        <v>27</v>
      </c>
      <c r="AI32" s="31">
        <f>IFERROR(IF(AG32="",0,AH32/AG32),0)</f>
        <v>1</v>
      </c>
      <c r="AJ32" s="31">
        <f>SUM(AJ29:AJ31)*$G28</f>
        <v>4.4444444444444447E-4</v>
      </c>
      <c r="AK32" s="28"/>
      <c r="AL32" s="28">
        <f>SUM(AL29:AL31)</f>
        <v>19</v>
      </c>
      <c r="AM32" s="28">
        <f>SUM(AM29:AM31)</f>
        <v>19</v>
      </c>
      <c r="AN32" s="31">
        <f>IFERROR(IF(AL32="",0,AM32/AL32),0)</f>
        <v>1</v>
      </c>
      <c r="AO32" s="31">
        <f>SUM(AO29:AO31)*$G28</f>
        <v>0</v>
      </c>
      <c r="AP32" s="28"/>
      <c r="AQ32" s="28"/>
      <c r="AR32" s="28"/>
      <c r="AS32" s="31"/>
      <c r="AT32" s="31"/>
      <c r="AU32" s="66"/>
      <c r="AV32" s="68">
        <f>SUM(AV31)</f>
        <v>18</v>
      </c>
      <c r="AW32" s="69">
        <f>SUM(AW31)</f>
        <v>18</v>
      </c>
      <c r="AX32" s="24">
        <f>IF(AV32=0,0,AW32/AV32)</f>
        <v>1</v>
      </c>
      <c r="AY32" s="31">
        <f>SUM(AY29:AY31)*$G28</f>
        <v>2.2400000000000002E-3</v>
      </c>
      <c r="AZ32" s="27"/>
    </row>
    <row r="33" spans="2:53" s="21" customFormat="1" ht="30.75" customHeight="1" x14ac:dyDescent="0.25">
      <c r="B33" s="17">
        <v>4</v>
      </c>
      <c r="C33" s="18" t="s">
        <v>40</v>
      </c>
      <c r="D33" s="37" t="s">
        <v>73</v>
      </c>
      <c r="E33" s="17">
        <v>17</v>
      </c>
      <c r="F33" s="56"/>
      <c r="G33" s="19">
        <v>0.03</v>
      </c>
      <c r="H33" s="483"/>
      <c r="I33" s="484"/>
      <c r="J33" s="484"/>
      <c r="K33" s="484"/>
      <c r="L33" s="485"/>
      <c r="M33" s="483"/>
      <c r="N33" s="484"/>
      <c r="O33" s="484"/>
      <c r="P33" s="484"/>
      <c r="Q33" s="485"/>
      <c r="R33" s="483"/>
      <c r="S33" s="484"/>
      <c r="T33" s="484"/>
      <c r="U33" s="484"/>
      <c r="V33" s="485"/>
      <c r="W33" s="483"/>
      <c r="X33" s="484"/>
      <c r="Y33" s="484"/>
      <c r="Z33" s="484"/>
      <c r="AA33" s="485"/>
      <c r="AB33" s="483"/>
      <c r="AC33" s="484"/>
      <c r="AD33" s="484"/>
      <c r="AE33" s="484"/>
      <c r="AF33" s="485"/>
      <c r="AG33" s="54"/>
      <c r="AH33" s="54"/>
      <c r="AI33" s="54"/>
      <c r="AJ33" s="54"/>
      <c r="AK33" s="54"/>
      <c r="AL33" s="54"/>
      <c r="AM33" s="54"/>
      <c r="AN33" s="54"/>
      <c r="AO33" s="54"/>
      <c r="AP33" s="54"/>
      <c r="AQ33" s="54"/>
      <c r="AR33" s="54"/>
      <c r="AS33" s="54"/>
      <c r="AT33" s="54"/>
      <c r="AU33" s="54"/>
      <c r="AV33" s="487"/>
      <c r="AW33" s="487"/>
      <c r="AX33" s="487"/>
      <c r="AY33" s="56"/>
      <c r="AZ33" s="27">
        <f>AV33-E33</f>
        <v>-17</v>
      </c>
    </row>
    <row r="34" spans="2:53" s="21" customFormat="1" ht="59.25" customHeight="1" x14ac:dyDescent="0.25">
      <c r="B34" s="23" t="s">
        <v>60</v>
      </c>
      <c r="C34" s="32" t="s">
        <v>47</v>
      </c>
      <c r="D34" s="38" t="s">
        <v>78</v>
      </c>
      <c r="E34" s="40">
        <v>17</v>
      </c>
      <c r="F34" s="25" t="s">
        <v>24</v>
      </c>
      <c r="G34" s="22">
        <v>0.03</v>
      </c>
      <c r="H34" s="23">
        <v>2</v>
      </c>
      <c r="I34" s="23">
        <v>2</v>
      </c>
      <c r="J34" s="24">
        <f t="shared" ref="J34" si="11">IF(H34="",0,I34/H34)</f>
        <v>1</v>
      </c>
      <c r="K34" s="24">
        <f t="shared" ref="K34" si="12">IFERROR(IF(H34="",0,($G34*(I34/$E34))),0)</f>
        <v>3.529411764705882E-3</v>
      </c>
      <c r="L34" s="55"/>
      <c r="M34" s="23">
        <v>3</v>
      </c>
      <c r="N34" s="23">
        <v>3</v>
      </c>
      <c r="O34" s="24">
        <f t="shared" ref="O34" si="13">IF(M34="",0,N34/M34)</f>
        <v>1</v>
      </c>
      <c r="P34" s="24">
        <f t="shared" ref="P34" si="14">IFERROR(IF(M34="",0,($G34*(N34/$E34))),0)</f>
        <v>5.2941176470588233E-3</v>
      </c>
      <c r="Q34" s="55"/>
      <c r="R34" s="25">
        <v>2</v>
      </c>
      <c r="S34" s="25">
        <v>2</v>
      </c>
      <c r="T34" s="39">
        <f t="shared" ref="T34" si="15">IF(R34="",0,S34/R34)</f>
        <v>1</v>
      </c>
      <c r="U34" s="24">
        <f t="shared" ref="U34" si="16">IFERROR(IF(R34="",0,($G34*(S34/$E34))),0)</f>
        <v>3.529411764705882E-3</v>
      </c>
      <c r="V34" s="25"/>
      <c r="W34" s="25">
        <v>2</v>
      </c>
      <c r="X34" s="25">
        <v>2</v>
      </c>
      <c r="Y34" s="24">
        <f t="shared" ref="Y34" si="17">IF(W34="",0,X34/W34)</f>
        <v>1</v>
      </c>
      <c r="Z34" s="24">
        <f t="shared" ref="Z34" si="18">IFERROR(IF(W34="",0,($G34*(X34/$E34))),0)</f>
        <v>3.529411764705882E-3</v>
      </c>
      <c r="AA34" s="25"/>
      <c r="AB34" s="25">
        <v>3</v>
      </c>
      <c r="AC34" s="25">
        <v>3</v>
      </c>
      <c r="AD34" s="24">
        <f t="shared" ref="AD34" si="19">IF(AB34="",0,AC34/AB34)</f>
        <v>1</v>
      </c>
      <c r="AE34" s="24">
        <f t="shared" ref="AE34" si="20">IFERROR(IF(AB34="",0,($G34*(AC34/$E34))),0)</f>
        <v>5.2941176470588233E-3</v>
      </c>
      <c r="AF34" s="25"/>
      <c r="AG34" s="25">
        <v>2</v>
      </c>
      <c r="AH34" s="25">
        <v>2</v>
      </c>
      <c r="AI34" s="24">
        <f t="shared" ref="AI34" si="21">IF(AG34="",0,AH34/AG34)</f>
        <v>1</v>
      </c>
      <c r="AJ34" s="24">
        <f t="shared" ref="AJ34" si="22">IFERROR(IF(AG34="",0,($G34*(AH34/$E34))),0)</f>
        <v>3.529411764705882E-3</v>
      </c>
      <c r="AK34" s="25"/>
      <c r="AL34" s="25">
        <v>3</v>
      </c>
      <c r="AM34" s="25">
        <v>3</v>
      </c>
      <c r="AN34" s="24">
        <f t="shared" ref="AN34" si="23">IF(AL34="",0,AM34/AL34)</f>
        <v>1</v>
      </c>
      <c r="AO34" s="24">
        <f t="shared" ref="AO34" si="24">IFERROR(IF(AL34="",0,($G34*(AM34/$E34))),0)</f>
        <v>5.2941176470588233E-3</v>
      </c>
      <c r="AP34" s="25"/>
      <c r="AQ34" s="25"/>
      <c r="AR34" s="25"/>
      <c r="AS34" s="24"/>
      <c r="AT34" s="24"/>
      <c r="AU34" s="58"/>
      <c r="AV34" s="59">
        <f>H34+M34+R34+W34+AB34+AG34+AL34</f>
        <v>17</v>
      </c>
      <c r="AW34" s="59">
        <f>I34+N34+S34+X34+AC34+AH34+AR34+AM34</f>
        <v>17</v>
      </c>
      <c r="AX34" s="24">
        <f>IF(AV34=0,0,AW34/AV34)</f>
        <v>1</v>
      </c>
      <c r="AY34" s="24">
        <f>IFERROR(IF(AV34="",0,($G34*(AW34/$E34))),0)</f>
        <v>0.03</v>
      </c>
      <c r="AZ34" s="27">
        <f>AV34-E34</f>
        <v>0</v>
      </c>
    </row>
    <row r="35" spans="2:53" s="21" customFormat="1" ht="29.25" customHeight="1" x14ac:dyDescent="0.25">
      <c r="B35" s="28"/>
      <c r="C35" s="29" t="s">
        <v>48</v>
      </c>
      <c r="D35" s="30"/>
      <c r="E35" s="28">
        <f>SUM(E32:E34)</f>
        <v>165</v>
      </c>
      <c r="F35" s="28"/>
      <c r="G35" s="31">
        <f>SUM(G32:G34)</f>
        <v>0.34000000000000008</v>
      </c>
      <c r="H35" s="28">
        <f>SUM(H32:H34)</f>
        <v>4</v>
      </c>
      <c r="I35" s="28">
        <f>SUM(I32:I34)</f>
        <v>4</v>
      </c>
      <c r="J35" s="31">
        <f>IFERROR(IF(H35="",0,I35/H35),0)</f>
        <v>1</v>
      </c>
      <c r="K35" s="31">
        <f>SUM(K32:K34)*$G31</f>
        <v>3.7516339869281045E-4</v>
      </c>
      <c r="L35" s="28"/>
      <c r="M35" s="28">
        <f>SUM(M32:M34)</f>
        <v>12</v>
      </c>
      <c r="N35" s="28">
        <f>SUM(N32:N34)</f>
        <v>12</v>
      </c>
      <c r="O35" s="31">
        <f>IFERROR(IF(M35="",0,N35/M35),0)</f>
        <v>1</v>
      </c>
      <c r="P35" s="31">
        <f>SUM(P32:P34)*$G31</f>
        <v>5.5163398692810461E-4</v>
      </c>
      <c r="Q35" s="28"/>
      <c r="R35" s="28">
        <f>SUM(R32:R34)</f>
        <v>11</v>
      </c>
      <c r="S35" s="28">
        <f>SUM(S32:S34)</f>
        <v>11</v>
      </c>
      <c r="T35" s="31">
        <f>IFERROR(IF(R35="",0,S35/R35),0)</f>
        <v>1</v>
      </c>
      <c r="U35" s="31">
        <f>SUM(U32:U34)*$G31</f>
        <v>3.7516339869281045E-4</v>
      </c>
      <c r="V35" s="28"/>
      <c r="W35" s="28">
        <f>SUM(W32:W34)</f>
        <v>24</v>
      </c>
      <c r="X35" s="28">
        <f>SUM(X32:X34)</f>
        <v>24</v>
      </c>
      <c r="Y35" s="31">
        <f>IFERROR(IF(W35="",0,X35/W35),0)</f>
        <v>1</v>
      </c>
      <c r="Z35" s="31">
        <f>SUM(Z32:Z34)*$G31</f>
        <v>3.9738562091503271E-4</v>
      </c>
      <c r="AA35" s="28"/>
      <c r="AB35" s="28">
        <f>SUM(AB32:AB34)</f>
        <v>28</v>
      </c>
      <c r="AC35" s="28">
        <f>SUM(AC32:AC34)</f>
        <v>28</v>
      </c>
      <c r="AD35" s="31">
        <f>IFERROR(IF(AB35="",0,AC35/AB35),0)</f>
        <v>1</v>
      </c>
      <c r="AE35" s="31">
        <f>SUM(AE32:AE34)*$G31</f>
        <v>5.5163398692810461E-4</v>
      </c>
      <c r="AF35" s="28"/>
      <c r="AG35" s="28">
        <f>SUM(AG32:AG34)</f>
        <v>29</v>
      </c>
      <c r="AH35" s="28">
        <f>SUM(AH32:AH34)</f>
        <v>29</v>
      </c>
      <c r="AI35" s="31">
        <f>IFERROR(IF(AG35="",0,AH35/AG35),0)</f>
        <v>1</v>
      </c>
      <c r="AJ35" s="31">
        <f>SUM(AJ32:AJ34)*$G31</f>
        <v>3.9738562091503271E-4</v>
      </c>
      <c r="AK35" s="28"/>
      <c r="AL35" s="28">
        <f>SUM(AL32:AL34)</f>
        <v>22</v>
      </c>
      <c r="AM35" s="28">
        <f>SUM(AM32:AM34)</f>
        <v>22</v>
      </c>
      <c r="AN35" s="31">
        <f>IFERROR(IF(AL35="",0,AM35/AL35),0)</f>
        <v>1</v>
      </c>
      <c r="AO35" s="31">
        <f>SUM(AO32:AO34)*$G31</f>
        <v>5.2941176470588231E-4</v>
      </c>
      <c r="AP35" s="28"/>
      <c r="AQ35" s="28"/>
      <c r="AR35" s="28"/>
      <c r="AS35" s="31"/>
      <c r="AT35" s="31"/>
      <c r="AU35" s="66"/>
      <c r="AV35" s="68">
        <f>SUM(AV34)</f>
        <v>17</v>
      </c>
      <c r="AW35" s="69">
        <f>SUM(AW34)</f>
        <v>17</v>
      </c>
      <c r="AX35" s="24">
        <f>IF(AV35=0,0,AW35/AV35)</f>
        <v>1</v>
      </c>
      <c r="AY35" s="31">
        <f>SUM(AY32:AY34)*$G31</f>
        <v>3.2239999999999999E-3</v>
      </c>
      <c r="AZ35" s="27"/>
    </row>
    <row r="36" spans="2:53" s="21" customFormat="1" ht="59.25" customHeight="1" x14ac:dyDescent="0.25">
      <c r="B36" s="17">
        <v>5</v>
      </c>
      <c r="C36" s="18" t="s">
        <v>74</v>
      </c>
      <c r="D36" s="37" t="s">
        <v>75</v>
      </c>
      <c r="E36" s="17">
        <v>1</v>
      </c>
      <c r="F36" s="56"/>
      <c r="G36" s="19">
        <v>0.2</v>
      </c>
      <c r="H36" s="483"/>
      <c r="I36" s="484"/>
      <c r="J36" s="484"/>
      <c r="K36" s="484"/>
      <c r="L36" s="485"/>
      <c r="M36" s="483"/>
      <c r="N36" s="484"/>
      <c r="O36" s="484"/>
      <c r="P36" s="484"/>
      <c r="Q36" s="485"/>
      <c r="R36" s="483"/>
      <c r="S36" s="484"/>
      <c r="T36" s="484"/>
      <c r="U36" s="484"/>
      <c r="V36" s="485"/>
      <c r="W36" s="483"/>
      <c r="X36" s="484"/>
      <c r="Y36" s="484"/>
      <c r="Z36" s="484"/>
      <c r="AA36" s="485"/>
      <c r="AB36" s="483"/>
      <c r="AC36" s="484"/>
      <c r="AD36" s="484"/>
      <c r="AE36" s="484"/>
      <c r="AF36" s="485"/>
      <c r="AG36" s="54"/>
      <c r="AH36" s="54"/>
      <c r="AI36" s="54"/>
      <c r="AJ36" s="54"/>
      <c r="AK36" s="54"/>
      <c r="AL36" s="54"/>
      <c r="AM36" s="54"/>
      <c r="AN36" s="54"/>
      <c r="AO36" s="54"/>
      <c r="AP36" s="54"/>
      <c r="AQ36" s="54"/>
      <c r="AR36" s="54"/>
      <c r="AS36" s="54"/>
      <c r="AT36" s="54"/>
      <c r="AU36" s="54"/>
      <c r="AV36" s="487"/>
      <c r="AW36" s="487"/>
      <c r="AX36" s="487"/>
      <c r="AY36" s="487"/>
      <c r="AZ36" s="27"/>
    </row>
    <row r="37" spans="2:53" s="47" customFormat="1" ht="59.25" customHeight="1" x14ac:dyDescent="0.25">
      <c r="B37" s="52" t="s">
        <v>62</v>
      </c>
      <c r="C37" s="48" t="s">
        <v>77</v>
      </c>
      <c r="D37" s="38" t="s">
        <v>76</v>
      </c>
      <c r="E37" s="52">
        <v>1</v>
      </c>
      <c r="F37" s="23" t="s">
        <v>24</v>
      </c>
      <c r="G37" s="53">
        <v>0.2</v>
      </c>
      <c r="H37" s="23"/>
      <c r="I37" s="23"/>
      <c r="J37" s="24">
        <f>IF(H37="",0,I37/H37)</f>
        <v>0</v>
      </c>
      <c r="K37" s="24">
        <f>($G37*(I37/$E37))</f>
        <v>0</v>
      </c>
      <c r="L37" s="40"/>
      <c r="M37" s="23">
        <v>0.1</v>
      </c>
      <c r="N37" s="23">
        <v>0.1</v>
      </c>
      <c r="O37" s="24">
        <f>IF(M37="",0,N37/M37)</f>
        <v>1</v>
      </c>
      <c r="P37" s="24">
        <f>IFERROR(IF(M37="",0,($G37*(N37/$E37))),0)</f>
        <v>2.0000000000000004E-2</v>
      </c>
      <c r="Q37" s="26"/>
      <c r="R37" s="23">
        <v>0.1</v>
      </c>
      <c r="S37" s="23">
        <v>0.1</v>
      </c>
      <c r="T37" s="24">
        <f>IF(R37="",0,S37/R37)</f>
        <v>1</v>
      </c>
      <c r="U37" s="24">
        <f>IFERROR(IF(R37="",0,($G37*(S37/$E37))),0)</f>
        <v>2.0000000000000004E-2</v>
      </c>
      <c r="V37" s="25"/>
      <c r="W37" s="25">
        <v>0.2</v>
      </c>
      <c r="X37" s="25">
        <v>0.2</v>
      </c>
      <c r="Y37" s="24">
        <f t="shared" ref="Y37" si="25">IF(W37="",0,X37/W37)</f>
        <v>1</v>
      </c>
      <c r="Z37" s="24">
        <f>IFERROR(IF(W37="",0,($G37*(X37/$E37))),0)</f>
        <v>4.0000000000000008E-2</v>
      </c>
      <c r="AA37" s="25"/>
      <c r="AB37" s="23">
        <v>0.2</v>
      </c>
      <c r="AC37" s="25">
        <v>0.2</v>
      </c>
      <c r="AD37" s="24">
        <f>IF(AB37="",0,AC37/AB37)</f>
        <v>1</v>
      </c>
      <c r="AE37" s="24">
        <f>IFERROR(IF(AB37="",0,($G37*(AC37/$E37))),0)</f>
        <v>4.0000000000000008E-2</v>
      </c>
      <c r="AF37" s="25"/>
      <c r="AG37" s="23">
        <v>0.2</v>
      </c>
      <c r="AH37" s="23">
        <v>0.2</v>
      </c>
      <c r="AI37" s="24">
        <f>IF(AG37="",0,AH37/AG37)</f>
        <v>1</v>
      </c>
      <c r="AJ37" s="24">
        <f>IFERROR(IF(AG37="",0,($G37*(AH37/$E37))),0)</f>
        <v>4.0000000000000008E-2</v>
      </c>
      <c r="AK37" s="25"/>
      <c r="AL37" s="25">
        <v>0.2</v>
      </c>
      <c r="AM37" s="25">
        <v>0.2</v>
      </c>
      <c r="AN37" s="24">
        <f>IF(AL37="",0,AM37/AL37)</f>
        <v>1</v>
      </c>
      <c r="AO37" s="24">
        <f>IFERROR(IF(AL37="",0,($G37*(AM37/$E37))),0)</f>
        <v>4.0000000000000008E-2</v>
      </c>
      <c r="AP37" s="25"/>
      <c r="AQ37" s="25"/>
      <c r="AR37" s="25"/>
      <c r="AS37" s="24"/>
      <c r="AT37" s="24"/>
      <c r="AU37" s="58"/>
      <c r="AV37" s="26">
        <f>H37+M37+R37+W37+AB37+AG37+AL37</f>
        <v>1</v>
      </c>
      <c r="AW37" s="59">
        <f>I37+N37+S37+X37+AC37+AH37+AR37+AM37</f>
        <v>1</v>
      </c>
      <c r="AX37" s="24">
        <f>IF(AV37=0,0,AW37/AV37)</f>
        <v>1</v>
      </c>
      <c r="AY37" s="24">
        <f>IFERROR(IF(AV37="",0,($G37*(AW37/$E37))),0)</f>
        <v>0.2</v>
      </c>
      <c r="AZ37" s="49"/>
    </row>
    <row r="38" spans="2:53" s="47" customFormat="1" ht="29.25" customHeight="1" x14ac:dyDescent="0.25">
      <c r="B38" s="28"/>
      <c r="C38" s="29" t="s">
        <v>96</v>
      </c>
      <c r="D38" s="30"/>
      <c r="E38" s="28">
        <f>SUM(E37)</f>
        <v>1</v>
      </c>
      <c r="F38" s="28"/>
      <c r="G38" s="31">
        <f>SUM(G37)</f>
        <v>0.2</v>
      </c>
      <c r="H38" s="28">
        <f>SUM(H34:H34)</f>
        <v>2</v>
      </c>
      <c r="I38" s="28">
        <f>SUM(I34:I34)</f>
        <v>2</v>
      </c>
      <c r="J38" s="31">
        <f>IFERROR(IF(H38="",0,I38/H38),0)</f>
        <v>1</v>
      </c>
      <c r="K38" s="31">
        <f>SUM(K34:K34)*$G33</f>
        <v>1.0588235294117646E-4</v>
      </c>
      <c r="L38" s="28"/>
      <c r="M38" s="28">
        <f>SUM(M34:M34)</f>
        <v>3</v>
      </c>
      <c r="N38" s="28">
        <f>SUM(N34:N34)</f>
        <v>3</v>
      </c>
      <c r="O38" s="31">
        <f>IFERROR(IF(M38="",0,N38/M38),0)</f>
        <v>1</v>
      </c>
      <c r="P38" s="31">
        <f>SUM(P34:P34)*$G33</f>
        <v>1.5882352941176469E-4</v>
      </c>
      <c r="Q38" s="28"/>
      <c r="R38" s="28">
        <f>SUM(R34:R34)</f>
        <v>2</v>
      </c>
      <c r="S38" s="28">
        <f>SUM(S34:S34)</f>
        <v>2</v>
      </c>
      <c r="T38" s="31">
        <f>IFERROR(IF(R38="",0,S38/R38),0)</f>
        <v>1</v>
      </c>
      <c r="U38" s="31">
        <f>SUM(U34:U34)*$G33</f>
        <v>1.0588235294117646E-4</v>
      </c>
      <c r="V38" s="28"/>
      <c r="W38" s="28">
        <f>SUM(W34:W34)</f>
        <v>2</v>
      </c>
      <c r="X38" s="28">
        <f>SUM(X34:X34)</f>
        <v>2</v>
      </c>
      <c r="Y38" s="31">
        <f>IFERROR(IF(W38="",0,X38/W38),0)</f>
        <v>1</v>
      </c>
      <c r="Z38" s="31">
        <f>SUM(Z34:Z34)*$G33</f>
        <v>1.0588235294117646E-4</v>
      </c>
      <c r="AA38" s="28"/>
      <c r="AB38" s="28">
        <f>SUM(AB34:AB34)</f>
        <v>3</v>
      </c>
      <c r="AC38" s="28">
        <f>SUM(AC34:AC34)</f>
        <v>3</v>
      </c>
      <c r="AD38" s="31">
        <f>IFERROR(IF(AB38="",0,AC38/AB38),0)</f>
        <v>1</v>
      </c>
      <c r="AE38" s="31">
        <f>SUM(AE34:AE34)*$G33</f>
        <v>1.5882352941176469E-4</v>
      </c>
      <c r="AF38" s="28"/>
      <c r="AG38" s="28">
        <f>SUM(AG34:AG34)</f>
        <v>2</v>
      </c>
      <c r="AH38" s="28">
        <f>SUM(AH34:AH34)</f>
        <v>2</v>
      </c>
      <c r="AI38" s="31">
        <f>IFERROR(IF(AG38="",0,AH38/AG38),0)</f>
        <v>1</v>
      </c>
      <c r="AJ38" s="31">
        <f>SUM(AJ34:AJ34)*$G33</f>
        <v>1.0588235294117646E-4</v>
      </c>
      <c r="AK38" s="28"/>
      <c r="AL38" s="28">
        <f>SUM(AL34:AL34)</f>
        <v>3</v>
      </c>
      <c r="AM38" s="28">
        <f>SUM(AM34:AM34)</f>
        <v>3</v>
      </c>
      <c r="AN38" s="31">
        <f>IFERROR(IF(AL38="",0,AM38/AL38),0)</f>
        <v>1</v>
      </c>
      <c r="AO38" s="31">
        <f>SUM(AO34:AO34)*$G33</f>
        <v>1.5882352941176469E-4</v>
      </c>
      <c r="AP38" s="28"/>
      <c r="AQ38" s="28"/>
      <c r="AR38" s="28"/>
      <c r="AS38" s="31"/>
      <c r="AT38" s="31"/>
      <c r="AU38" s="66"/>
      <c r="AV38" s="68">
        <f>SUM(AV37)</f>
        <v>1</v>
      </c>
      <c r="AW38" s="68">
        <f>SUM(AW37)</f>
        <v>1</v>
      </c>
      <c r="AX38" s="24">
        <f>IF(AV38=0,0,AW38/AV38)</f>
        <v>1</v>
      </c>
      <c r="AY38" s="31">
        <f>SUM(AY34:AY34)*$G33</f>
        <v>8.9999999999999998E-4</v>
      </c>
      <c r="AZ38" s="49"/>
    </row>
    <row r="39" spans="2:53" s="3" customFormat="1" ht="24.75" customHeight="1" x14ac:dyDescent="0.25">
      <c r="B39" s="28"/>
      <c r="C39" s="29" t="s">
        <v>29</v>
      </c>
      <c r="D39" s="30"/>
      <c r="E39" s="33"/>
      <c r="F39" s="28"/>
      <c r="G39" s="31">
        <f>SUM(G17+G22+G30+G33+G36)</f>
        <v>1</v>
      </c>
      <c r="H39" s="28"/>
      <c r="I39" s="28"/>
      <c r="J39" s="28"/>
      <c r="K39" s="31">
        <f>+K21+K29+K32+K35+K38</f>
        <v>1.4950568301611944E-3</v>
      </c>
      <c r="L39" s="28"/>
      <c r="M39" s="28"/>
      <c r="N39" s="28"/>
      <c r="O39" s="31"/>
      <c r="P39" s="31">
        <f>+P21+P29+P32+P35+P38</f>
        <v>1.4945013704406493E-2</v>
      </c>
      <c r="Q39" s="28"/>
      <c r="R39" s="28"/>
      <c r="S39" s="28"/>
      <c r="T39" s="34"/>
      <c r="U39" s="31">
        <f>+U21+U29+U32+U35+U38</f>
        <v>2.4509719586759432E-2</v>
      </c>
      <c r="V39" s="28"/>
      <c r="W39" s="28"/>
      <c r="X39" s="28"/>
      <c r="Y39" s="34"/>
      <c r="Z39" s="31">
        <f>+Z21+Z29+Z32+Z35+Z38</f>
        <v>1.3636516972380349E-2</v>
      </c>
      <c r="AA39" s="28"/>
      <c r="AB39" s="28"/>
      <c r="AC39" s="28"/>
      <c r="AD39" s="34"/>
      <c r="AE39" s="31">
        <f>+AE21+AE29+AE32+AE35+AE38</f>
        <v>1.3990985758917445E-2</v>
      </c>
      <c r="AF39" s="28"/>
      <c r="AG39" s="28"/>
      <c r="AH39" s="28"/>
      <c r="AI39" s="34"/>
      <c r="AJ39" s="31">
        <f>+AJ21+AJ29+AJ32+AJ35+AJ38</f>
        <v>1.3371811090027408E-2</v>
      </c>
      <c r="AK39" s="28"/>
      <c r="AL39" s="28"/>
      <c r="AM39" s="28"/>
      <c r="AN39" s="34"/>
      <c r="AO39" s="31">
        <f>+AO21+AO29+AO32+AO38</f>
        <v>1.3377039848197341E-2</v>
      </c>
      <c r="AP39" s="28"/>
      <c r="AQ39" s="28"/>
      <c r="AR39" s="28"/>
      <c r="AS39" s="34"/>
      <c r="AT39" s="31"/>
      <c r="AU39" s="66"/>
      <c r="AV39" s="28"/>
      <c r="AW39" s="28"/>
      <c r="AX39" s="34"/>
      <c r="AY39" s="31">
        <f>+AY21+AY29+AY32+AY38</f>
        <v>0.10514</v>
      </c>
      <c r="BA39" s="42"/>
    </row>
  </sheetData>
  <mergeCells count="63">
    <mergeCell ref="H36:L36"/>
    <mergeCell ref="M36:Q36"/>
    <mergeCell ref="R36:V36"/>
    <mergeCell ref="W36:AA36"/>
    <mergeCell ref="AB36:AF36"/>
    <mergeCell ref="H33:L33"/>
    <mergeCell ref="M33:Q33"/>
    <mergeCell ref="R33:V33"/>
    <mergeCell ref="W33:AA33"/>
    <mergeCell ref="AB33:AF33"/>
    <mergeCell ref="R30:V30"/>
    <mergeCell ref="W30:AA30"/>
    <mergeCell ref="AB30:AF30"/>
    <mergeCell ref="AV30:AY30"/>
    <mergeCell ref="AV36:AY36"/>
    <mergeCell ref="AV33:AX33"/>
    <mergeCell ref="B25:B26"/>
    <mergeCell ref="C25:C26"/>
    <mergeCell ref="D25:D26"/>
    <mergeCell ref="H30:L30"/>
    <mergeCell ref="M30:Q30"/>
    <mergeCell ref="AQ17:AU17"/>
    <mergeCell ref="AV17:AX17"/>
    <mergeCell ref="H22:L22"/>
    <mergeCell ref="M22:Q22"/>
    <mergeCell ref="R22:V22"/>
    <mergeCell ref="W22:AA22"/>
    <mergeCell ref="AB22:AF22"/>
    <mergeCell ref="AG22:AK22"/>
    <mergeCell ref="AL22:AP22"/>
    <mergeCell ref="AQ22:AU22"/>
    <mergeCell ref="AV22:AX22"/>
    <mergeCell ref="AL15:AP15"/>
    <mergeCell ref="AQ15:AU15"/>
    <mergeCell ref="AV15:AY15"/>
    <mergeCell ref="H17:L17"/>
    <mergeCell ref="M17:Q17"/>
    <mergeCell ref="R17:V17"/>
    <mergeCell ref="W17:AA17"/>
    <mergeCell ref="AB17:AF17"/>
    <mergeCell ref="AG17:AK17"/>
    <mergeCell ref="AL17:AP17"/>
    <mergeCell ref="H15:L15"/>
    <mergeCell ref="M15:Q15"/>
    <mergeCell ref="R15:V15"/>
    <mergeCell ref="W15:AA15"/>
    <mergeCell ref="AB15:AF15"/>
    <mergeCell ref="AG15:AK15"/>
    <mergeCell ref="L2:O2"/>
    <mergeCell ref="L3:O3"/>
    <mergeCell ref="C6:G6"/>
    <mergeCell ref="D7:G7"/>
    <mergeCell ref="B15:D16"/>
    <mergeCell ref="E15:E16"/>
    <mergeCell ref="F15:F16"/>
    <mergeCell ref="G15:G16"/>
    <mergeCell ref="C2:E3"/>
    <mergeCell ref="F2:K3"/>
    <mergeCell ref="D8:G8"/>
    <mergeCell ref="D9:G9"/>
    <mergeCell ref="D10:G10"/>
    <mergeCell ref="D11:G11"/>
    <mergeCell ref="C12:G12"/>
  </mergeCells>
  <conditionalFormatting sqref="J23:J24 AX23:AX25 Y23:Y28 AD23:AD28 AI23:AI28 AS23:AS28 T23:T28 O23:O28">
    <cfRule type="cellIs" dxfId="119" priority="115" stopIfTrue="1" operator="between">
      <formula>0</formula>
      <formula>0.4</formula>
    </cfRule>
    <cfRule type="cellIs" dxfId="118" priority="116" stopIfTrue="1" operator="between">
      <formula>0.4001</formula>
      <formula>0.65</formula>
    </cfRule>
    <cfRule type="cellIs" dxfId="117" priority="117" stopIfTrue="1" operator="between">
      <formula>0.6501</formula>
      <formula>1</formula>
    </cfRule>
  </conditionalFormatting>
  <conditionalFormatting sqref="AX18 J18 AS18 AI18 AD18 Y18 T18 O18">
    <cfRule type="cellIs" dxfId="116" priority="112" stopIfTrue="1" operator="between">
      <formula>0</formula>
      <formula>0.4</formula>
    </cfRule>
    <cfRule type="cellIs" dxfId="115" priority="113" stopIfTrue="1" operator="between">
      <formula>0.4001</formula>
      <formula>0.65</formula>
    </cfRule>
    <cfRule type="cellIs" dxfId="114" priority="114" stopIfTrue="1" operator="between">
      <formula>0.6501</formula>
      <formula>1</formula>
    </cfRule>
  </conditionalFormatting>
  <conditionalFormatting sqref="AX34">
    <cfRule type="cellIs" dxfId="113" priority="109" stopIfTrue="1" operator="between">
      <formula>0</formula>
      <formula>0.4</formula>
    </cfRule>
    <cfRule type="cellIs" dxfId="112" priority="110" stopIfTrue="1" operator="between">
      <formula>0.4001</formula>
      <formula>0.65</formula>
    </cfRule>
    <cfRule type="cellIs" dxfId="111" priority="111" stopIfTrue="1" operator="between">
      <formula>0.6501</formula>
      <formula>1</formula>
    </cfRule>
  </conditionalFormatting>
  <conditionalFormatting sqref="AS31 AI31 AD31 T31 O31 J31 AX31">
    <cfRule type="cellIs" dxfId="110" priority="106" stopIfTrue="1" operator="between">
      <formula>0</formula>
      <formula>0.4</formula>
    </cfRule>
    <cfRule type="cellIs" dxfId="109" priority="107" stopIfTrue="1" operator="between">
      <formula>0.4001</formula>
      <formula>0.65</formula>
    </cfRule>
    <cfRule type="cellIs" dxfId="108" priority="108" stopIfTrue="1" operator="between">
      <formula>0.6501</formula>
      <formula>1</formula>
    </cfRule>
  </conditionalFormatting>
  <conditionalFormatting sqref="AS34 AI34 AD34 Y34 T34 O34 J34">
    <cfRule type="cellIs" dxfId="107" priority="103" stopIfTrue="1" operator="between">
      <formula>0</formula>
      <formula>0.4</formula>
    </cfRule>
    <cfRule type="cellIs" dxfId="106" priority="104" stopIfTrue="1" operator="between">
      <formula>0.4001</formula>
      <formula>0.65</formula>
    </cfRule>
    <cfRule type="cellIs" dxfId="105" priority="105" stopIfTrue="1" operator="between">
      <formula>0.6501</formula>
      <formula>1</formula>
    </cfRule>
  </conditionalFormatting>
  <conditionalFormatting sqref="AN23:AN28">
    <cfRule type="cellIs" dxfId="104" priority="100" stopIfTrue="1" operator="between">
      <formula>0</formula>
      <formula>0.4</formula>
    </cfRule>
    <cfRule type="cellIs" dxfId="103" priority="101" stopIfTrue="1" operator="between">
      <formula>0.4001</formula>
      <formula>0.65</formula>
    </cfRule>
    <cfRule type="cellIs" dxfId="102" priority="102" stopIfTrue="1" operator="between">
      <formula>0.6501</formula>
      <formula>1</formula>
    </cfRule>
  </conditionalFormatting>
  <conditionalFormatting sqref="AN18">
    <cfRule type="cellIs" dxfId="101" priority="97" stopIfTrue="1" operator="between">
      <formula>0</formula>
      <formula>0.4</formula>
    </cfRule>
    <cfRule type="cellIs" dxfId="100" priority="98" stopIfTrue="1" operator="between">
      <formula>0.4001</formula>
      <formula>0.65</formula>
    </cfRule>
    <cfRule type="cellIs" dxfId="99" priority="99" stopIfTrue="1" operator="between">
      <formula>0.6501</formula>
      <formula>1</formula>
    </cfRule>
  </conditionalFormatting>
  <conditionalFormatting sqref="AN31">
    <cfRule type="cellIs" dxfId="98" priority="94" stopIfTrue="1" operator="between">
      <formula>0</formula>
      <formula>0.4</formula>
    </cfRule>
    <cfRule type="cellIs" dxfId="97" priority="95" stopIfTrue="1" operator="between">
      <formula>0.4001</formula>
      <formula>0.65</formula>
    </cfRule>
    <cfRule type="cellIs" dxfId="96" priority="96" stopIfTrue="1" operator="between">
      <formula>0.6501</formula>
      <formula>1</formula>
    </cfRule>
  </conditionalFormatting>
  <conditionalFormatting sqref="AN34">
    <cfRule type="cellIs" dxfId="95" priority="91" stopIfTrue="1" operator="between">
      <formula>0</formula>
      <formula>0.4</formula>
    </cfRule>
    <cfRule type="cellIs" dxfId="94" priority="92" stopIfTrue="1" operator="between">
      <formula>0.4001</formula>
      <formula>0.65</formula>
    </cfRule>
    <cfRule type="cellIs" dxfId="93" priority="93" stopIfTrue="1" operator="between">
      <formula>0.6501</formula>
      <formula>1</formula>
    </cfRule>
  </conditionalFormatting>
  <conditionalFormatting sqref="AX19 J19 AS19 AI19 AD19 Y19 T19 O19">
    <cfRule type="cellIs" dxfId="92" priority="88" stopIfTrue="1" operator="between">
      <formula>0</formula>
      <formula>0.4</formula>
    </cfRule>
    <cfRule type="cellIs" dxfId="91" priority="89" stopIfTrue="1" operator="between">
      <formula>0.4001</formula>
      <formula>0.65</formula>
    </cfRule>
    <cfRule type="cellIs" dxfId="90" priority="90" stopIfTrue="1" operator="between">
      <formula>0.6501</formula>
      <formula>1</formula>
    </cfRule>
  </conditionalFormatting>
  <conditionalFormatting sqref="AN19">
    <cfRule type="cellIs" dxfId="89" priority="85" stopIfTrue="1" operator="between">
      <formula>0</formula>
      <formula>0.4</formula>
    </cfRule>
    <cfRule type="cellIs" dxfId="88" priority="86" stopIfTrue="1" operator="between">
      <formula>0.4001</formula>
      <formula>0.65</formula>
    </cfRule>
    <cfRule type="cellIs" dxfId="87" priority="87" stopIfTrue="1" operator="between">
      <formula>0.6501</formula>
      <formula>1</formula>
    </cfRule>
  </conditionalFormatting>
  <conditionalFormatting sqref="AX20 J20 AS20 AI20 AD20 Y20 T20 O20">
    <cfRule type="cellIs" dxfId="86" priority="82" stopIfTrue="1" operator="between">
      <formula>0</formula>
      <formula>0.4</formula>
    </cfRule>
    <cfRule type="cellIs" dxfId="85" priority="83" stopIfTrue="1" operator="between">
      <formula>0.4001</formula>
      <formula>0.65</formula>
    </cfRule>
    <cfRule type="cellIs" dxfId="84" priority="84" stopIfTrue="1" operator="between">
      <formula>0.6501</formula>
      <formula>1</formula>
    </cfRule>
  </conditionalFormatting>
  <conditionalFormatting sqref="AN20">
    <cfRule type="cellIs" dxfId="83" priority="79" stopIfTrue="1" operator="between">
      <formula>0</formula>
      <formula>0.4</formula>
    </cfRule>
    <cfRule type="cellIs" dxfId="82" priority="80" stopIfTrue="1" operator="between">
      <formula>0.4001</formula>
      <formula>0.65</formula>
    </cfRule>
    <cfRule type="cellIs" dxfId="81" priority="81" stopIfTrue="1" operator="between">
      <formula>0.6501</formula>
      <formula>1</formula>
    </cfRule>
  </conditionalFormatting>
  <conditionalFormatting sqref="AX37 AS37 AI37 AD37 T37 O37">
    <cfRule type="cellIs" dxfId="80" priority="76" stopIfTrue="1" operator="between">
      <formula>0</formula>
      <formula>0.4</formula>
    </cfRule>
    <cfRule type="cellIs" dxfId="79" priority="77" stopIfTrue="1" operator="between">
      <formula>0.4001</formula>
      <formula>0.65</formula>
    </cfRule>
    <cfRule type="cellIs" dxfId="78" priority="78" stopIfTrue="1" operator="between">
      <formula>0.6501</formula>
      <formula>1</formula>
    </cfRule>
  </conditionalFormatting>
  <conditionalFormatting sqref="AN37">
    <cfRule type="cellIs" dxfId="77" priority="73" stopIfTrue="1" operator="between">
      <formula>0</formula>
      <formula>0.4</formula>
    </cfRule>
    <cfRule type="cellIs" dxfId="76" priority="74" stopIfTrue="1" operator="between">
      <formula>0.4001</formula>
      <formula>0.65</formula>
    </cfRule>
    <cfRule type="cellIs" dxfId="75" priority="75" stopIfTrue="1" operator="between">
      <formula>0.6501</formula>
      <formula>1</formula>
    </cfRule>
  </conditionalFormatting>
  <conditionalFormatting sqref="AX26">
    <cfRule type="cellIs" dxfId="74" priority="70" stopIfTrue="1" operator="between">
      <formula>0</formula>
      <formula>0.4</formula>
    </cfRule>
    <cfRule type="cellIs" dxfId="73" priority="71" stopIfTrue="1" operator="between">
      <formula>0.4001</formula>
      <formula>0.65</formula>
    </cfRule>
    <cfRule type="cellIs" dxfId="72" priority="72" stopIfTrue="1" operator="between">
      <formula>0.6501</formula>
      <formula>1</formula>
    </cfRule>
  </conditionalFormatting>
  <conditionalFormatting sqref="AX27">
    <cfRule type="cellIs" dxfId="71" priority="67" stopIfTrue="1" operator="between">
      <formula>0</formula>
      <formula>0.4</formula>
    </cfRule>
    <cfRule type="cellIs" dxfId="70" priority="68" stopIfTrue="1" operator="between">
      <formula>0.4001</formula>
      <formula>0.65</formula>
    </cfRule>
    <cfRule type="cellIs" dxfId="69" priority="69" stopIfTrue="1" operator="between">
      <formula>0.6501</formula>
      <formula>1</formula>
    </cfRule>
  </conditionalFormatting>
  <conditionalFormatting sqref="AX28">
    <cfRule type="cellIs" dxfId="68" priority="64" stopIfTrue="1" operator="between">
      <formula>0</formula>
      <formula>0.4</formula>
    </cfRule>
    <cfRule type="cellIs" dxfId="67" priority="65" stopIfTrue="1" operator="between">
      <formula>0.4001</formula>
      <formula>0.65</formula>
    </cfRule>
    <cfRule type="cellIs" dxfId="66" priority="66" stopIfTrue="1" operator="between">
      <formula>0.6501</formula>
      <formula>1</formula>
    </cfRule>
  </conditionalFormatting>
  <conditionalFormatting sqref="J25:J26">
    <cfRule type="cellIs" dxfId="65" priority="61" stopIfTrue="1" operator="between">
      <formula>0</formula>
      <formula>0.4</formula>
    </cfRule>
    <cfRule type="cellIs" dxfId="64" priority="62" stopIfTrue="1" operator="between">
      <formula>0.4001</formula>
      <formula>0.65</formula>
    </cfRule>
    <cfRule type="cellIs" dxfId="63" priority="63" stopIfTrue="1" operator="between">
      <formula>0.6501</formula>
      <formula>1</formula>
    </cfRule>
  </conditionalFormatting>
  <conditionalFormatting sqref="J27">
    <cfRule type="cellIs" dxfId="62" priority="58" stopIfTrue="1" operator="between">
      <formula>0</formula>
      <formula>0.4</formula>
    </cfRule>
    <cfRule type="cellIs" dxfId="61" priority="59" stopIfTrue="1" operator="between">
      <formula>0.4001</formula>
      <formula>0.65</formula>
    </cfRule>
    <cfRule type="cellIs" dxfId="60" priority="60" stopIfTrue="1" operator="between">
      <formula>0.6501</formula>
      <formula>1</formula>
    </cfRule>
  </conditionalFormatting>
  <conditionalFormatting sqref="J28">
    <cfRule type="cellIs" dxfId="59" priority="55" stopIfTrue="1" operator="between">
      <formula>0</formula>
      <formula>0.4</formula>
    </cfRule>
    <cfRule type="cellIs" dxfId="58" priority="56" stopIfTrue="1" operator="between">
      <formula>0.4001</formula>
      <formula>0.65</formula>
    </cfRule>
    <cfRule type="cellIs" dxfId="57" priority="57" stopIfTrue="1" operator="between">
      <formula>0.6501</formula>
      <formula>1</formula>
    </cfRule>
  </conditionalFormatting>
  <conditionalFormatting sqref="J37">
    <cfRule type="cellIs" dxfId="56" priority="52" stopIfTrue="1" operator="between">
      <formula>0</formula>
      <formula>0.4</formula>
    </cfRule>
    <cfRule type="cellIs" dxfId="55" priority="53" stopIfTrue="1" operator="between">
      <formula>0.4001</formula>
      <formula>0.65</formula>
    </cfRule>
    <cfRule type="cellIs" dxfId="54" priority="54" stopIfTrue="1" operator="between">
      <formula>0.6501</formula>
      <formula>1</formula>
    </cfRule>
  </conditionalFormatting>
  <conditionalFormatting sqref="D11:E11">
    <cfRule type="cellIs" dxfId="53" priority="49" stopIfTrue="1" operator="lessThan">
      <formula>0.5001</formula>
    </cfRule>
    <cfRule type="cellIs" dxfId="52" priority="50" stopIfTrue="1" operator="between">
      <formula>0.5001</formula>
      <formula>0.7</formula>
    </cfRule>
    <cfRule type="cellIs" dxfId="51" priority="51" stopIfTrue="1" operator="greaterThan">
      <formula>0.7</formula>
    </cfRule>
  </conditionalFormatting>
  <conditionalFormatting sqref="Y31">
    <cfRule type="cellIs" dxfId="50" priority="46" stopIfTrue="1" operator="between">
      <formula>0</formula>
      <formula>0.4</formula>
    </cfRule>
    <cfRule type="cellIs" dxfId="49" priority="47" stopIfTrue="1" operator="between">
      <formula>0.4001</formula>
      <formula>0.65</formula>
    </cfRule>
    <cfRule type="cellIs" dxfId="48" priority="48" stopIfTrue="1" operator="between">
      <formula>0.6501</formula>
      <formula>1</formula>
    </cfRule>
  </conditionalFormatting>
  <conditionalFormatting sqref="Y37">
    <cfRule type="cellIs" dxfId="47" priority="43" stopIfTrue="1" operator="between">
      <formula>0</formula>
      <formula>0.4</formula>
    </cfRule>
    <cfRule type="cellIs" dxfId="46" priority="44" stopIfTrue="1" operator="between">
      <formula>0.4001</formula>
      <formula>0.65</formula>
    </cfRule>
    <cfRule type="cellIs" dxfId="45" priority="45" stopIfTrue="1" operator="between">
      <formula>0.6501</formula>
      <formula>1</formula>
    </cfRule>
  </conditionalFormatting>
  <conditionalFormatting sqref="G21">
    <cfRule type="cellIs" dxfId="44" priority="38" stopIfTrue="1" operator="equal">
      <formula>1</formula>
    </cfRule>
    <cfRule type="cellIs" dxfId="43" priority="39" stopIfTrue="1" operator="notEqual">
      <formula>1</formula>
    </cfRule>
  </conditionalFormatting>
  <conditionalFormatting sqref="J21 AX21 O21 T21 Y21 AD21 AI21 AS21">
    <cfRule type="cellIs" dxfId="42" priority="40" stopIfTrue="1" operator="between">
      <formula>0</formula>
      <formula>0.4</formula>
    </cfRule>
    <cfRule type="cellIs" dxfId="41" priority="41" stopIfTrue="1" operator="between">
      <formula>0.4001</formula>
      <formula>0.65</formula>
    </cfRule>
    <cfRule type="cellIs" dxfId="40" priority="42" stopIfTrue="1" operator="between">
      <formula>0.6501</formula>
      <formula>1</formula>
    </cfRule>
  </conditionalFormatting>
  <conditionalFormatting sqref="AN21">
    <cfRule type="cellIs" dxfId="39" priority="35" stopIfTrue="1" operator="between">
      <formula>0</formula>
      <formula>0.4</formula>
    </cfRule>
    <cfRule type="cellIs" dxfId="38" priority="36" stopIfTrue="1" operator="between">
      <formula>0.4001</formula>
      <formula>0.65</formula>
    </cfRule>
    <cfRule type="cellIs" dxfId="37" priority="37" stopIfTrue="1" operator="between">
      <formula>0.6501</formula>
      <formula>1</formula>
    </cfRule>
  </conditionalFormatting>
  <conditionalFormatting sqref="G29">
    <cfRule type="cellIs" dxfId="36" priority="30" stopIfTrue="1" operator="equal">
      <formula>1</formula>
    </cfRule>
    <cfRule type="cellIs" dxfId="35" priority="31" stopIfTrue="1" operator="notEqual">
      <formula>1</formula>
    </cfRule>
  </conditionalFormatting>
  <conditionalFormatting sqref="J29 AX29 O29 T29 Y29 AD29 AI29 AS29">
    <cfRule type="cellIs" dxfId="34" priority="32" stopIfTrue="1" operator="between">
      <formula>0</formula>
      <formula>0.4</formula>
    </cfRule>
    <cfRule type="cellIs" dxfId="33" priority="33" stopIfTrue="1" operator="between">
      <formula>0.4001</formula>
      <formula>0.65</formula>
    </cfRule>
    <cfRule type="cellIs" dxfId="32" priority="34" stopIfTrue="1" operator="between">
      <formula>0.6501</formula>
      <formula>1</formula>
    </cfRule>
  </conditionalFormatting>
  <conditionalFormatting sqref="AN29">
    <cfRule type="cellIs" dxfId="31" priority="27" stopIfTrue="1" operator="between">
      <formula>0</formula>
      <formula>0.4</formula>
    </cfRule>
    <cfRule type="cellIs" dxfId="30" priority="28" stopIfTrue="1" operator="between">
      <formula>0.4001</formula>
      <formula>0.65</formula>
    </cfRule>
    <cfRule type="cellIs" dxfId="29" priority="29" stopIfTrue="1" operator="between">
      <formula>0.6501</formula>
      <formula>1</formula>
    </cfRule>
  </conditionalFormatting>
  <conditionalFormatting sqref="G32">
    <cfRule type="cellIs" dxfId="28" priority="22" stopIfTrue="1" operator="equal">
      <formula>1</formula>
    </cfRule>
    <cfRule type="cellIs" dxfId="27" priority="23" stopIfTrue="1" operator="notEqual">
      <formula>1</formula>
    </cfRule>
  </conditionalFormatting>
  <conditionalFormatting sqref="J32 AX32 O32 T32 Y32 AD32 AI32 AS32">
    <cfRule type="cellIs" dxfId="26" priority="24" stopIfTrue="1" operator="between">
      <formula>0</formula>
      <formula>0.4</formula>
    </cfRule>
    <cfRule type="cellIs" dxfId="25" priority="25" stopIfTrue="1" operator="between">
      <formula>0.4001</formula>
      <formula>0.65</formula>
    </cfRule>
    <cfRule type="cellIs" dxfId="24" priority="26" stopIfTrue="1" operator="between">
      <formula>0.6501</formula>
      <formula>1</formula>
    </cfRule>
  </conditionalFormatting>
  <conditionalFormatting sqref="AN32">
    <cfRule type="cellIs" dxfId="23" priority="19" stopIfTrue="1" operator="between">
      <formula>0</formula>
      <formula>0.4</formula>
    </cfRule>
    <cfRule type="cellIs" dxfId="22" priority="20" stopIfTrue="1" operator="between">
      <formula>0.4001</formula>
      <formula>0.65</formula>
    </cfRule>
    <cfRule type="cellIs" dxfId="21" priority="21" stopIfTrue="1" operator="between">
      <formula>0.6501</formula>
      <formula>1</formula>
    </cfRule>
  </conditionalFormatting>
  <conditionalFormatting sqref="G35">
    <cfRule type="cellIs" dxfId="20" priority="14" stopIfTrue="1" operator="equal">
      <formula>1</formula>
    </cfRule>
    <cfRule type="cellIs" dxfId="19" priority="15" stopIfTrue="1" operator="notEqual">
      <formula>1</formula>
    </cfRule>
  </conditionalFormatting>
  <conditionalFormatting sqref="J35 AX35 O35 T35 Y35 AD35 AI35 AS35">
    <cfRule type="cellIs" dxfId="18" priority="16" stopIfTrue="1" operator="between">
      <formula>0</formula>
      <formula>0.4</formula>
    </cfRule>
    <cfRule type="cellIs" dxfId="17" priority="17" stopIfTrue="1" operator="between">
      <formula>0.4001</formula>
      <formula>0.65</formula>
    </cfRule>
    <cfRule type="cellIs" dxfId="16" priority="18" stopIfTrue="1" operator="between">
      <formula>0.6501</formula>
      <formula>1</formula>
    </cfRule>
  </conditionalFormatting>
  <conditionalFormatting sqref="AN35">
    <cfRule type="cellIs" dxfId="15" priority="11" stopIfTrue="1" operator="between">
      <formula>0</formula>
      <formula>0.4</formula>
    </cfRule>
    <cfRule type="cellIs" dxfId="14" priority="12" stopIfTrue="1" operator="between">
      <formula>0.4001</formula>
      <formula>0.65</formula>
    </cfRule>
    <cfRule type="cellIs" dxfId="13" priority="13" stopIfTrue="1" operator="between">
      <formula>0.6501</formula>
      <formula>1</formula>
    </cfRule>
  </conditionalFormatting>
  <conditionalFormatting sqref="G38">
    <cfRule type="cellIs" dxfId="12" priority="6" stopIfTrue="1" operator="equal">
      <formula>1</formula>
    </cfRule>
    <cfRule type="cellIs" dxfId="11" priority="7" stopIfTrue="1" operator="notEqual">
      <formula>1</formula>
    </cfRule>
  </conditionalFormatting>
  <conditionalFormatting sqref="O38 Y38 AD38 AI38 AS38 T38 J38 AX38">
    <cfRule type="cellIs" dxfId="10" priority="8" stopIfTrue="1" operator="between">
      <formula>0</formula>
      <formula>0.4</formula>
    </cfRule>
    <cfRule type="cellIs" dxfId="9" priority="9" stopIfTrue="1" operator="between">
      <formula>0.4001</formula>
      <formula>0.65</formula>
    </cfRule>
    <cfRule type="cellIs" dxfId="8" priority="10" stopIfTrue="1" operator="between">
      <formula>0.6501</formula>
      <formula>1</formula>
    </cfRule>
  </conditionalFormatting>
  <conditionalFormatting sqref="AN38">
    <cfRule type="cellIs" dxfId="7" priority="3" stopIfTrue="1" operator="between">
      <formula>0</formula>
      <formula>0.4</formula>
    </cfRule>
    <cfRule type="cellIs" dxfId="6" priority="4" stopIfTrue="1" operator="between">
      <formula>0.4001</formula>
      <formula>0.65</formula>
    </cfRule>
    <cfRule type="cellIs" dxfId="5" priority="5" stopIfTrue="1" operator="between">
      <formula>0.6501</formula>
      <formula>1</formula>
    </cfRule>
  </conditionalFormatting>
  <conditionalFormatting sqref="G39">
    <cfRule type="cellIs" dxfId="4" priority="1" stopIfTrue="1" operator="equal">
      <formula>1</formula>
    </cfRule>
    <cfRule type="cellIs" dxfId="3" priority="2" stopIfTrue="1" operator="notEqual">
      <formula>1</formula>
    </cfRule>
  </conditionalFormatting>
  <dataValidations count="3">
    <dataValidation operator="equal" allowBlank="1" showInputMessage="1" showErrorMessage="1" sqref="G21 G29 G32 G35 G38" xr:uid="{00000000-0002-0000-0100-000000000000}"/>
    <dataValidation allowBlank="1" showInputMessage="1" showErrorMessage="1" prompt="Defina la unidad de medida de la actividad. No emplee unidad GLOBAL, ya que no es descriptiva." sqref="F23:F28 F18:F20 F31 F34" xr:uid="{00000000-0002-0000-0100-000001000000}"/>
    <dataValidation allowBlank="1" showInputMessage="1" showErrorMessage="1" prompt="Los porcentajes de los actividades deben sumar el 100% para cada alcance._x000a_Los porcentajes de los alcances deben sumar el 100% de la meta o producto a obtener." sqref="G23:G28 G18:G20 G31 G34" xr:uid="{00000000-0002-0000-0100-000002000000}"/>
  </dataValidations>
  <pageMargins left="0.70000000000000007" right="0.70000000000000007" top="0.75000000000000011" bottom="0.75000000000000011" header="0.30000000000000004" footer="0.30000000000000004"/>
  <pageSetup scale="26" orientation="landscape" horizontalDpi="4294967292" verticalDpi="4294967292"/>
  <drawing r:id="rId1"/>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POI Fisico</vt:lpstr>
      <vt:lpstr>POI Ejecución Financiera</vt:lpstr>
      <vt:lpstr>Calculo de valores unitarios</vt:lpstr>
      <vt:lpstr>Cuadro A - Presupuesto</vt:lpstr>
      <vt:lpstr>Cuadro C</vt:lpstr>
      <vt:lpstr>C. B - Alcance 1 Declaratoria</vt:lpstr>
      <vt:lpstr>C. B - Alcance 2 Diagnostico</vt:lpstr>
      <vt:lpstr>C. B - Alcance 3 Usos</vt:lpstr>
      <vt:lpstr>C. B - Alcance 4 Elaboración</vt:lpstr>
      <vt:lpstr>C. B - Alcance 5 Consulta Prev.</vt:lpstr>
      <vt:lpstr>C. B - Plan de Comunicaciones</vt:lpstr>
      <vt:lpstr>POI Fisico (3)</vt:lpstr>
      <vt:lpstr>'C. B - Alcance 5 Consulta Prev.'!Área_de_impresión</vt:lpstr>
      <vt:lpstr>'Cuadro A - Presupuesto'!Área_de_impresión</vt:lpstr>
      <vt:lpstr>'POI Ejecución Financiera'!Área_de_impresión</vt:lpstr>
      <vt:lpstr>'Cuadro A - Presupuesto'!Títulos_a_imprimir</vt:lpstr>
      <vt:lpstr>'POI Ejecución Financiera'!Títulos_a_imprimir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Nathalia</dc:creator>
  <cp:lastModifiedBy>USUARIO</cp:lastModifiedBy>
  <cp:lastPrinted>2019-05-29T21:50:38Z</cp:lastPrinted>
  <dcterms:created xsi:type="dcterms:W3CDTF">2017-04-18T22:34:22Z</dcterms:created>
  <dcterms:modified xsi:type="dcterms:W3CDTF">2020-11-28T01:51:40Z</dcterms:modified>
</cp:coreProperties>
</file>