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31"/>
  <workbookPr/>
  <mc:AlternateContent xmlns:mc="http://schemas.openxmlformats.org/markup-compatibility/2006">
    <mc:Choice Requires="x15">
      <x15ac:absPath xmlns:x15ac="http://schemas.microsoft.com/office/spreadsheetml/2010/11/ac" url="/Users/nataliaarevalomora/Documents/memorandos/20265220103623 RCI/"/>
    </mc:Choice>
  </mc:AlternateContent>
  <xr:revisionPtr revIDLastSave="0" documentId="8_{F806DF56-3F28-3341-8D9B-40246D799F3D}" xr6:coauthVersionLast="47" xr6:coauthVersionMax="47" xr10:uidLastSave="{00000000-0000-0000-0000-000000000000}"/>
  <bookViews>
    <workbookView xWindow="4340" yWindow="500" windowWidth="24460" windowHeight="11740" xr2:uid="{00000000-000D-0000-FFFF-FFFF00000000}"/>
  </bookViews>
  <sheets>
    <sheet name="1.MANT PREVENTIVO" sheetId="4" r:id="rId1"/>
    <sheet name="2.MANT CORRECTIVO (Bolsa)" sheetId="1" r:id="rId2"/>
  </sheets>
  <definedNames>
    <definedName name="_xlnm._FilterDatabase" localSheetId="1" hidden="1">'2.MANT CORRECTIVO (Bolsa)'!$B$3:$F$3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J5" i="1" s="1"/>
  <c r="I6" i="1"/>
  <c r="I7" i="1"/>
  <c r="J7" i="1" s="1"/>
  <c r="I8" i="1"/>
  <c r="I9" i="1"/>
  <c r="J9" i="1" s="1"/>
  <c r="I10" i="1"/>
  <c r="J10" i="1" s="1"/>
  <c r="I11" i="1"/>
  <c r="I12" i="1"/>
  <c r="J12" i="1" s="1"/>
  <c r="I13" i="1"/>
  <c r="J13" i="1" s="1"/>
  <c r="I14" i="1"/>
  <c r="J14" i="1" s="1"/>
  <c r="I15" i="1"/>
  <c r="I16" i="1"/>
  <c r="I17" i="1"/>
  <c r="J17" i="1" s="1"/>
  <c r="I18" i="1"/>
  <c r="I19" i="1"/>
  <c r="I20" i="1"/>
  <c r="J20" i="1" s="1"/>
  <c r="I21" i="1"/>
  <c r="J21" i="1" s="1"/>
  <c r="I22" i="1"/>
  <c r="I23" i="1"/>
  <c r="J23" i="1" s="1"/>
  <c r="I24" i="1"/>
  <c r="I25" i="1"/>
  <c r="J25" i="1" s="1"/>
  <c r="I26" i="1"/>
  <c r="I27" i="1"/>
  <c r="I28" i="1"/>
  <c r="J28" i="1" s="1"/>
  <c r="I29" i="1"/>
  <c r="J29" i="1" s="1"/>
  <c r="I30" i="1"/>
  <c r="I31" i="1"/>
  <c r="I32" i="1"/>
  <c r="I4" i="1"/>
  <c r="J4" i="1" s="1"/>
  <c r="J6" i="1"/>
  <c r="J8" i="1"/>
  <c r="J11" i="1"/>
  <c r="J15" i="1"/>
  <c r="J16" i="1"/>
  <c r="J18" i="1"/>
  <c r="J19" i="1"/>
  <c r="J22" i="1"/>
  <c r="J24" i="1"/>
  <c r="J26" i="1"/>
  <c r="J27" i="1"/>
  <c r="J30" i="1"/>
  <c r="J31" i="1"/>
  <c r="J32" i="1"/>
  <c r="N7" i="4"/>
  <c r="N8" i="4"/>
  <c r="O7" i="4"/>
  <c r="P7" i="4" s="1"/>
  <c r="O8" i="4"/>
  <c r="P8" i="4" s="1"/>
  <c r="M7" i="4"/>
  <c r="M8" i="4"/>
  <c r="M9" i="4"/>
  <c r="O9" i="4" s="1"/>
  <c r="P9" i="4" s="1"/>
  <c r="M10" i="4"/>
  <c r="O10" i="4" s="1"/>
  <c r="P10" i="4" s="1"/>
  <c r="M11" i="4"/>
  <c r="O11" i="4" s="1"/>
  <c r="P11" i="4" s="1"/>
  <c r="M6" i="4"/>
  <c r="O6" i="4" s="1"/>
  <c r="P6" i="4" s="1"/>
  <c r="L7" i="4"/>
  <c r="W7" i="4" s="1"/>
  <c r="L8" i="4"/>
  <c r="L9" i="4"/>
  <c r="L10" i="4"/>
  <c r="L11" i="4"/>
  <c r="L6" i="4"/>
  <c r="P12" i="4" l="1"/>
  <c r="E15" i="4" s="1"/>
  <c r="E16" i="4" s="1"/>
  <c r="F16" i="4" s="1"/>
  <c r="N6" i="4"/>
  <c r="N11" i="4"/>
  <c r="N10" i="4"/>
  <c r="N9" i="4"/>
  <c r="W6" i="4"/>
  <c r="J7" i="4" l="1"/>
  <c r="J8" i="4"/>
  <c r="J9" i="4"/>
  <c r="J10" i="4"/>
  <c r="J11" i="4"/>
  <c r="J6" i="4"/>
  <c r="S6" i="4" l="1"/>
  <c r="S10" i="4"/>
  <c r="R7" i="4"/>
  <c r="S7" i="4"/>
  <c r="H7" i="4"/>
  <c r="T7" i="4" s="1"/>
  <c r="U7" i="4" s="1"/>
  <c r="H8" i="4"/>
  <c r="H9" i="4"/>
  <c r="H10" i="4"/>
  <c r="H11" i="4"/>
  <c r="H6" i="4"/>
  <c r="R6" i="4" l="1"/>
  <c r="S11" i="4"/>
  <c r="R11" i="4"/>
  <c r="W11" i="4" s="1"/>
  <c r="T10" i="4"/>
  <c r="U10" i="4" s="1"/>
  <c r="T11" i="4"/>
  <c r="U11" i="4" s="1"/>
  <c r="R10" i="4"/>
  <c r="W10" i="4" s="1"/>
  <c r="R9" i="4"/>
  <c r="W9" i="4" s="1"/>
  <c r="T6" i="4"/>
  <c r="U6" i="4" s="1"/>
  <c r="T9" i="4"/>
  <c r="U9" i="4" s="1"/>
  <c r="V7" i="4"/>
  <c r="X6" i="4"/>
  <c r="S9" i="4"/>
  <c r="R8" i="4"/>
  <c r="S8" i="4"/>
  <c r="T8" i="4"/>
  <c r="U8" i="4" s="1"/>
  <c r="V10" i="4" l="1"/>
  <c r="V11" i="4"/>
  <c r="V9" i="4"/>
  <c r="V6" i="4"/>
  <c r="W8" i="4"/>
  <c r="V8" i="4"/>
</calcChain>
</file>

<file path=xl/sharedStrings.xml><?xml version="1.0" encoding="utf-8"?>
<sst xmlns="http://schemas.openxmlformats.org/spreadsheetml/2006/main" count="120" uniqueCount="78">
  <si>
    <t>DESCRIPCION</t>
  </si>
  <si>
    <t>UNIDAD</t>
  </si>
  <si>
    <t>CANTIDAD</t>
  </si>
  <si>
    <t>Valor unitario IVA Incluido</t>
  </si>
  <si>
    <t>PZA</t>
  </si>
  <si>
    <t>LB</t>
  </si>
  <si>
    <t>ÍTEM</t>
  </si>
  <si>
    <t>FILTRO AIRE MOTOR DIESEL</t>
  </si>
  <si>
    <t>CARTUCHO FILTRO COMBUSTIBLE JHON DIEERE O SIMILAR</t>
  </si>
  <si>
    <t>FILTRO ACEITE JHON DIERRE O SIMILAR</t>
  </si>
  <si>
    <t>ACEITE MOTOR 15W40 JHON DEERE O SIMILAR</t>
  </si>
  <si>
    <t>GL</t>
  </si>
  <si>
    <t>REFRIGERANTE COOL GARD II PREMIUM JHON DEERE O SILMILAR</t>
  </si>
  <si>
    <t>Unidad</t>
  </si>
  <si>
    <t>Mes</t>
  </si>
  <si>
    <t>Ciudad</t>
  </si>
  <si>
    <t>Bogotá DC</t>
  </si>
  <si>
    <t>Barranquilla</t>
  </si>
  <si>
    <t>Bucaramanga</t>
  </si>
  <si>
    <t>Medellín</t>
  </si>
  <si>
    <t>Pruebas pito métricas red hidraulica
(Única vez durante la ejecución del contrato)</t>
  </si>
  <si>
    <t>LAMPARA DE EMERGENCIA LED</t>
  </si>
  <si>
    <t>Mantenimiento preventivo y pruebas mensual del sistema de DETECCIÓN y EXTINCIÓN.
(Red Supresión Agente Limpio en Datacenter)</t>
  </si>
  <si>
    <t>Mantenimiento preventivo y pruebas del sistema de detección 1 piso y extinción en Cuarto cableado Generador de extinción de incendios FIREPRO FP-2000.</t>
  </si>
  <si>
    <t>Mantenimiento preventivo y pruebas del sistema de extinción 2 pisos (Rociadores y Gabinete).</t>
  </si>
  <si>
    <t>Mantenimientos Preventivos a Nivel Nacional</t>
  </si>
  <si>
    <t xml:space="preserve">VÁLVULA MARIPOSA RANURADA 6" SUPERVISADA - 300 PSI - UL/FM MARCA MUELLER O SIMILAR Y/O SIMILAR </t>
  </si>
  <si>
    <t xml:space="preserve">SWING CHECK VALVE 200 PSI MODEL KT403W 2" THREADED MUELLER Y/O SIMILAR </t>
  </si>
  <si>
    <t xml:space="preserve">VÁLVULA DE ANGULO MODELO U-20 2 1/2"  </t>
  </si>
  <si>
    <t xml:space="preserve">ROCIADOR QR, K=5,6, 1/2" NPT, 155°F/68°C, BRONCE UPRIGHT Y/O SIMILAR </t>
  </si>
  <si>
    <t xml:space="preserve">ROCIADOR QR, K=5,6, 1/2" NPT, 155°F/68°C, CROMO PENDENT Y/O SIMILAR  </t>
  </si>
  <si>
    <t xml:space="preserve">VÁLVULA RISER CHECK CV1-FR DIAM 2" MARCA SHOTGUN Y/O SIMILAR. </t>
  </si>
  <si>
    <t xml:space="preserve">VÁLVULA DE ALIVIO DE PRESIÓN 175PSI </t>
  </si>
  <si>
    <t xml:space="preserve">VÁLVULA DE PRUEBA Y DRENAJE 11/4" UL/FM </t>
  </si>
  <si>
    <t xml:space="preserve">SENSOR DE FLUJO 2" UL/FM MARCA POTTER Y/O SIMILAR. </t>
  </si>
  <si>
    <t xml:space="preserve">DETECTOR FOTOELECTRICO DIRECCIONABLE MARCA EDWARDS Y/O SIMILAR </t>
  </si>
  <si>
    <t xml:space="preserve">DETECTOR TERMICO DIRECCIONABLE MARCA EDWARDS Y/O SIMILAR </t>
  </si>
  <si>
    <t xml:space="preserve">DETECTOR COMBINADO HUMO/TERMICO DIRECCIONABLE MARCA EDWARDS Y/O SIMILAR. </t>
  </si>
  <si>
    <t xml:space="preserve">BASE PARA DETECTORES MARCA EDWARDS Y/O SIMILAR. </t>
  </si>
  <si>
    <t xml:space="preserve">MODULO MONITOR DIRECCIONABLE MARCA EDWARDS Y/O SIMILAR. </t>
  </si>
  <si>
    <t xml:space="preserve">MODULO DE CONTROL DIRECCIONABLE MARCA EDWARDS Y/O SIMILAR. </t>
  </si>
  <si>
    <t xml:space="preserve">MODULO AISLADOR CORTOCIRCUITO MARCA EDWARDS Y/O SIMILAR. </t>
  </si>
  <si>
    <t xml:space="preserve">ESTACIÓN MANUAL DIRECCIONABLE DE DOBLE ACCIÓN MARCA EDWARDS SIGA-278 Y/O SIMILAR. </t>
  </si>
  <si>
    <t xml:space="preserve">CORNETA ESTROBO, 12/24VOLT, MULTICANDELA Y/O SIMILAR. </t>
  </si>
  <si>
    <t>SUMINISTRO COMBUSTIBLE DIESEL (TANQUE SOTANO 2) ALTURA MAX 2 METROS,</t>
  </si>
  <si>
    <t>BOMBA PRINCIPAL MOTOBOMBA ELÉCTRICA 78 GP, 77MCA, QE 1.5.100</t>
  </si>
  <si>
    <t>BOMBA AUXILIAR MOTOBOMBA IHM 1 1/2A-1.0MW RSS</t>
  </si>
  <si>
    <t>GENERADOR DE EXTINCIÓN DE INCENDIOS FIREPRO FP-2000</t>
  </si>
  <si>
    <t>AGENTE LIMPIO NOVEC 1230</t>
  </si>
  <si>
    <t xml:space="preserve">Mantenimiento preventivo y pruebas del sistema de detección (2 pisos) y extinción 1 Gabinete, </t>
  </si>
  <si>
    <t>Valor Total IVA Incluido</t>
  </si>
  <si>
    <t>Mantenimiento preventivo del sistema de detección y extinción de incendios (rociadores y gabinetes), incluyendo pruebas semanales mediante 4 visitas mensuales en los 10 pisos.</t>
  </si>
  <si>
    <t xml:space="preserve"> Mantenimiento Correctivo 
(Bolsa Monto Agotable)</t>
  </si>
  <si>
    <t>Cotizacion 1</t>
  </si>
  <si>
    <t>Cotizacion 2</t>
  </si>
  <si>
    <t>Cotizacion 3</t>
  </si>
  <si>
    <t>Cotización 1</t>
  </si>
  <si>
    <t>Media Armonica</t>
  </si>
  <si>
    <t>Cotización 2</t>
  </si>
  <si>
    <t>Cotización 3</t>
  </si>
  <si>
    <t>Mediana</t>
  </si>
  <si>
    <t>Desviación Estandar</t>
  </si>
  <si>
    <t>Max</t>
  </si>
  <si>
    <t>Min</t>
  </si>
  <si>
    <t>Maximos</t>
  </si>
  <si>
    <t>Minimos</t>
  </si>
  <si>
    <t>Precio Techo</t>
  </si>
  <si>
    <t>Promedio menos el 20%</t>
  </si>
  <si>
    <t>Promedio Mantenimiento Mensual</t>
  </si>
  <si>
    <t>Promedio Mesual menos el 20%</t>
  </si>
  <si>
    <t>Precio Techo Total IVA Incluido</t>
  </si>
  <si>
    <t>Promedio Total Mantenimientos</t>
  </si>
  <si>
    <t xml:space="preserve">Mantenimiento Preventivo </t>
  </si>
  <si>
    <t>Mantenimiento Correctivo</t>
  </si>
  <si>
    <t>Total Proceso</t>
  </si>
  <si>
    <t>Total</t>
  </si>
  <si>
    <t>Combustible</t>
  </si>
  <si>
    <t>Promedio unitario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</si>
</sst>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44" fontId="0" fillId="0" borderId="0" xfId="0" applyNumberFormat="1"/>
    <xf numFmtId="44" fontId="0" fillId="0" borderId="1" xfId="0" applyNumberFormat="1" applyBorder="1"/>
    <xf numFmtId="44" fontId="0" fillId="0" borderId="1" xfId="0" applyNumberFormat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44" fontId="0" fillId="0" borderId="1" xfId="1" applyFont="1" applyBorder="1" applyAlignment="1">
      <alignment vertical="center" wrapText="1"/>
    </xf>
    <xf numFmtId="44" fontId="0" fillId="4" borderId="1" xfId="1" applyFont="1" applyFill="1" applyBorder="1" applyAlignment="1">
      <alignment vertical="center"/>
    </xf>
    <xf numFmtId="44" fontId="0" fillId="4" borderId="2" xfId="1" applyFont="1" applyFill="1" applyBorder="1" applyAlignment="1">
      <alignment vertical="center"/>
    </xf>
    <xf numFmtId="44" fontId="0" fillId="5" borderId="1" xfId="1" applyFont="1" applyFill="1" applyBorder="1" applyAlignment="1">
      <alignment vertical="center"/>
    </xf>
    <xf numFmtId="44" fontId="0" fillId="0" borderId="0" xfId="1" applyFont="1"/>
    <xf numFmtId="1" fontId="2" fillId="3" borderId="1" xfId="0" applyNumberFormat="1" applyFont="1" applyFill="1" applyBorder="1" applyAlignment="1">
      <alignment horizontal="center" vertical="center"/>
    </xf>
    <xf numFmtId="44" fontId="0" fillId="0" borderId="2" xfId="1" applyFont="1" applyFill="1" applyBorder="1" applyAlignment="1">
      <alignment vertical="center"/>
    </xf>
    <xf numFmtId="44" fontId="1" fillId="6" borderId="1" xfId="0" applyNumberFormat="1" applyFont="1" applyFill="1" applyBorder="1" applyAlignment="1">
      <alignment vertical="center"/>
    </xf>
    <xf numFmtId="4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4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X19"/>
  <sheetViews>
    <sheetView showGridLines="0" tabSelected="1" workbookViewId="0">
      <selection activeCell="G16" sqref="G16"/>
    </sheetView>
  </sheetViews>
  <sheetFormatPr baseColWidth="10" defaultRowHeight="15" x14ac:dyDescent="0.2"/>
  <cols>
    <col min="2" max="2" width="11.5" style="1"/>
    <col min="3" max="3" width="12.6640625" style="1" bestFit="1" customWidth="1"/>
    <col min="4" max="4" width="52.1640625" style="1" customWidth="1"/>
    <col min="5" max="5" width="16.6640625" style="1" bestFit="1" customWidth="1"/>
    <col min="6" max="6" width="15.5" style="1" bestFit="1" customWidth="1"/>
    <col min="7" max="7" width="18" style="1" customWidth="1"/>
    <col min="8" max="8" width="19.6640625" customWidth="1"/>
    <col min="9" max="9" width="18.83203125" customWidth="1"/>
    <col min="10" max="10" width="18.33203125" customWidth="1"/>
    <col min="11" max="13" width="17.6640625" customWidth="1"/>
    <col min="14" max="14" width="16.6640625" bestFit="1" customWidth="1"/>
    <col min="15" max="17" width="16.6640625" customWidth="1"/>
    <col min="18" max="18" width="16.6640625" bestFit="1" customWidth="1"/>
    <col min="19" max="19" width="16.33203125" customWidth="1"/>
    <col min="20" max="20" width="15.5" bestFit="1" customWidth="1"/>
    <col min="21" max="23" width="16.6640625" bestFit="1" customWidth="1"/>
    <col min="24" max="24" width="15.5" bestFit="1" customWidth="1"/>
  </cols>
  <sheetData>
    <row r="3" spans="2:24" x14ac:dyDescent="0.2">
      <c r="G3" s="41"/>
      <c r="H3" s="41"/>
      <c r="I3" s="40"/>
      <c r="J3" s="40"/>
      <c r="K3" s="40"/>
      <c r="L3" s="40"/>
      <c r="M3" s="16"/>
    </row>
    <row r="4" spans="2:24" ht="30.75" customHeight="1" x14ac:dyDescent="0.2">
      <c r="B4" s="45" t="s">
        <v>25</v>
      </c>
      <c r="C4" s="45"/>
      <c r="D4" s="45"/>
      <c r="E4" s="45"/>
      <c r="F4" s="45"/>
      <c r="G4" s="46" t="s">
        <v>53</v>
      </c>
      <c r="H4" s="47"/>
      <c r="I4" s="46" t="s">
        <v>54</v>
      </c>
      <c r="J4" s="47"/>
      <c r="K4" s="46" t="s">
        <v>55</v>
      </c>
      <c r="L4" s="47"/>
      <c r="M4" s="38" t="s">
        <v>68</v>
      </c>
      <c r="N4" s="35" t="s">
        <v>71</v>
      </c>
      <c r="O4" s="36" t="s">
        <v>69</v>
      </c>
      <c r="P4" s="36" t="s">
        <v>70</v>
      </c>
      <c r="R4" s="35" t="s">
        <v>57</v>
      </c>
      <c r="S4" s="35" t="s">
        <v>60</v>
      </c>
      <c r="T4" s="35" t="s">
        <v>61</v>
      </c>
      <c r="U4" s="35" t="s">
        <v>64</v>
      </c>
      <c r="V4" s="35" t="s">
        <v>65</v>
      </c>
      <c r="W4" s="35" t="s">
        <v>66</v>
      </c>
    </row>
    <row r="5" spans="2:24" ht="28" x14ac:dyDescent="0.2">
      <c r="B5" s="6" t="s">
        <v>6</v>
      </c>
      <c r="C5" s="6" t="s">
        <v>15</v>
      </c>
      <c r="D5" s="3" t="s">
        <v>0</v>
      </c>
      <c r="E5" s="3" t="s">
        <v>1</v>
      </c>
      <c r="F5" s="3" t="s">
        <v>2</v>
      </c>
      <c r="G5" s="3" t="s">
        <v>3</v>
      </c>
      <c r="H5" s="3" t="s">
        <v>50</v>
      </c>
      <c r="I5" s="3" t="s">
        <v>3</v>
      </c>
      <c r="J5" s="3" t="s">
        <v>50</v>
      </c>
      <c r="K5" s="3" t="s">
        <v>3</v>
      </c>
      <c r="L5" s="3" t="s">
        <v>50</v>
      </c>
      <c r="M5" s="39"/>
      <c r="N5" s="35"/>
      <c r="O5" s="37"/>
      <c r="P5" s="37"/>
      <c r="R5" s="35"/>
      <c r="S5" s="35"/>
      <c r="T5" s="35" t="s">
        <v>61</v>
      </c>
      <c r="U5" s="35" t="s">
        <v>62</v>
      </c>
      <c r="V5" s="35" t="s">
        <v>63</v>
      </c>
      <c r="W5" s="35"/>
    </row>
    <row r="6" spans="2:24" ht="60.75" customHeight="1" x14ac:dyDescent="0.2">
      <c r="B6" s="2">
        <v>1</v>
      </c>
      <c r="C6" s="42" t="s">
        <v>16</v>
      </c>
      <c r="D6" s="7" t="s">
        <v>51</v>
      </c>
      <c r="E6" s="2" t="s">
        <v>14</v>
      </c>
      <c r="F6" s="2">
        <v>5</v>
      </c>
      <c r="G6" s="10">
        <v>11200000</v>
      </c>
      <c r="H6" s="22">
        <f>F6*G6</f>
        <v>56000000</v>
      </c>
      <c r="I6" s="11">
        <v>8376450</v>
      </c>
      <c r="J6" s="22">
        <f>I6*F6</f>
        <v>41882250</v>
      </c>
      <c r="K6" s="10">
        <v>9184320</v>
      </c>
      <c r="L6" s="23">
        <f>K6*F6</f>
        <v>45921600</v>
      </c>
      <c r="M6" s="27">
        <f>ROUNDUP(AVERAGE(G6,I6,K6),0)</f>
        <v>9586924</v>
      </c>
      <c r="N6" s="14">
        <f>ROUNDUP((M6*F6),0)</f>
        <v>47934620</v>
      </c>
      <c r="O6" s="14">
        <f>ROUNDUP((M6*0.8),0)</f>
        <v>7669540</v>
      </c>
      <c r="P6" s="28">
        <f>ROUNDUP((O6*F6),0)</f>
        <v>38347700</v>
      </c>
      <c r="R6" s="11">
        <f>ROUNDUP(HARMEAN(L6,J6,H6),0)</f>
        <v>47236767</v>
      </c>
      <c r="S6" s="11">
        <f>ROUNDUP(MEDIAN(L6,J6,H6),0)</f>
        <v>45921600</v>
      </c>
      <c r="T6" s="11">
        <f>ROUNDUP(_xlfn.STDEV.P(L6,J6,H6),0)</f>
        <v>5936716</v>
      </c>
      <c r="U6" s="24">
        <f t="shared" ref="U6:U11" si="0">ROUNDUP((T6+N6),0)</f>
        <v>53871336</v>
      </c>
      <c r="V6" s="24">
        <f t="shared" ref="V6:V11" si="1">ROUNDUP((N6-T6),0)</f>
        <v>41997904</v>
      </c>
      <c r="W6" s="14">
        <f>L6</f>
        <v>45921600</v>
      </c>
      <c r="X6" s="25">
        <f>ROUNDUP(HARMEAN(L6,J6,H6),0)</f>
        <v>47236767</v>
      </c>
    </row>
    <row r="7" spans="2:24" ht="34.5" customHeight="1" x14ac:dyDescent="0.2">
      <c r="B7" s="2">
        <v>2</v>
      </c>
      <c r="C7" s="43"/>
      <c r="D7" s="7" t="s">
        <v>20</v>
      </c>
      <c r="E7" s="2" t="s">
        <v>13</v>
      </c>
      <c r="F7" s="2">
        <v>1</v>
      </c>
      <c r="G7" s="10">
        <v>4500000</v>
      </c>
      <c r="H7" s="22">
        <f t="shared" ref="H7:H11" si="2">F7*G7</f>
        <v>4500000</v>
      </c>
      <c r="I7" s="11">
        <v>5842170</v>
      </c>
      <c r="J7" s="22">
        <f t="shared" ref="J7:J11" si="3">I7*F7</f>
        <v>5842170</v>
      </c>
      <c r="K7" s="10">
        <v>5126480</v>
      </c>
      <c r="L7" s="23">
        <f t="shared" ref="L7:L11" si="4">K7*F7</f>
        <v>5126480</v>
      </c>
      <c r="M7" s="27">
        <f t="shared" ref="M7:M11" si="5">ROUNDUP(AVERAGE(G7,I7,K7),0)</f>
        <v>5156217</v>
      </c>
      <c r="N7" s="14">
        <f t="shared" ref="N7:N11" si="6">ROUNDUP((M7*F7),0)</f>
        <v>5156217</v>
      </c>
      <c r="O7" s="14">
        <f t="shared" ref="O7:O11" si="7">ROUNDUP((M7*0.8),0)</f>
        <v>4124974</v>
      </c>
      <c r="P7" s="28">
        <f t="shared" ref="P7:P11" si="8">ROUNDUP((O7*F7),0)</f>
        <v>4124974</v>
      </c>
      <c r="R7" s="11">
        <f t="shared" ref="R7:R11" si="9">ROUNDUP(HARMEAN(L7,J7,H7),0)</f>
        <v>5098078</v>
      </c>
      <c r="S7" s="11">
        <f t="shared" ref="S7:S11" si="10">ROUNDUP(MEDIAN(L7,J7,H7),0)</f>
        <v>5126480</v>
      </c>
      <c r="T7" s="11">
        <f t="shared" ref="T7:T11" si="11">_xlfn.STDEV.P(L7,J7,H7)</f>
        <v>548341.91233410407</v>
      </c>
      <c r="U7" s="24">
        <f t="shared" si="0"/>
        <v>5704559</v>
      </c>
      <c r="V7" s="24">
        <f t="shared" si="1"/>
        <v>4607876</v>
      </c>
      <c r="W7" s="14">
        <f>L7</f>
        <v>5126480</v>
      </c>
    </row>
    <row r="8" spans="2:24" ht="48" x14ac:dyDescent="0.2">
      <c r="B8" s="2">
        <v>3</v>
      </c>
      <c r="C8" s="44"/>
      <c r="D8" s="7" t="s">
        <v>22</v>
      </c>
      <c r="E8" s="2" t="s">
        <v>14</v>
      </c>
      <c r="F8" s="2">
        <v>1</v>
      </c>
      <c r="G8" s="10">
        <v>5500000</v>
      </c>
      <c r="H8" s="22">
        <f t="shared" si="2"/>
        <v>5500000</v>
      </c>
      <c r="I8" s="11">
        <v>13245890</v>
      </c>
      <c r="J8" s="22">
        <f t="shared" si="3"/>
        <v>13245890</v>
      </c>
      <c r="K8" s="10">
        <v>14386000</v>
      </c>
      <c r="L8" s="23">
        <f t="shared" si="4"/>
        <v>14386000</v>
      </c>
      <c r="M8" s="27">
        <f t="shared" si="5"/>
        <v>11043964</v>
      </c>
      <c r="N8" s="14">
        <f t="shared" si="6"/>
        <v>11043964</v>
      </c>
      <c r="O8" s="14">
        <f t="shared" si="7"/>
        <v>8835172</v>
      </c>
      <c r="P8" s="28">
        <f t="shared" si="8"/>
        <v>8835172</v>
      </c>
      <c r="R8" s="11">
        <f t="shared" si="9"/>
        <v>9179216</v>
      </c>
      <c r="S8" s="11">
        <f t="shared" si="10"/>
        <v>13245890</v>
      </c>
      <c r="T8" s="11">
        <f t="shared" si="11"/>
        <v>3947709.0220390977</v>
      </c>
      <c r="U8" s="24">
        <f t="shared" si="0"/>
        <v>14991674</v>
      </c>
      <c r="V8" s="24">
        <f t="shared" si="1"/>
        <v>7096255</v>
      </c>
      <c r="W8" s="14">
        <f>R8</f>
        <v>9179216</v>
      </c>
    </row>
    <row r="9" spans="2:24" ht="48" x14ac:dyDescent="0.2">
      <c r="B9" s="2">
        <v>4</v>
      </c>
      <c r="C9" s="2" t="s">
        <v>17</v>
      </c>
      <c r="D9" s="7" t="s">
        <v>23</v>
      </c>
      <c r="E9" s="2" t="s">
        <v>14</v>
      </c>
      <c r="F9" s="2">
        <v>2</v>
      </c>
      <c r="G9" s="10">
        <v>7500000</v>
      </c>
      <c r="H9" s="22">
        <f t="shared" si="2"/>
        <v>15000000</v>
      </c>
      <c r="I9" s="11">
        <v>11693210</v>
      </c>
      <c r="J9" s="22">
        <f t="shared" si="3"/>
        <v>23386420</v>
      </c>
      <c r="K9" s="10">
        <v>10842000</v>
      </c>
      <c r="L9" s="23">
        <f t="shared" si="4"/>
        <v>21684000</v>
      </c>
      <c r="M9" s="27">
        <f t="shared" si="5"/>
        <v>10011737</v>
      </c>
      <c r="N9" s="14">
        <f t="shared" si="6"/>
        <v>20023474</v>
      </c>
      <c r="O9" s="14">
        <f t="shared" si="7"/>
        <v>8009390</v>
      </c>
      <c r="P9" s="28">
        <f t="shared" si="8"/>
        <v>16018780</v>
      </c>
      <c r="R9" s="11">
        <f t="shared" si="9"/>
        <v>19287212</v>
      </c>
      <c r="S9" s="11">
        <f t="shared" si="10"/>
        <v>21684000</v>
      </c>
      <c r="T9" s="11">
        <f t="shared" si="11"/>
        <v>3619486.3090530159</v>
      </c>
      <c r="U9" s="24">
        <f t="shared" si="0"/>
        <v>23642961</v>
      </c>
      <c r="V9" s="24">
        <f t="shared" si="1"/>
        <v>16403988</v>
      </c>
      <c r="W9" s="14">
        <f>R9</f>
        <v>19287212</v>
      </c>
    </row>
    <row r="10" spans="2:24" ht="32" x14ac:dyDescent="0.2">
      <c r="B10" s="2">
        <v>5</v>
      </c>
      <c r="C10" s="2" t="s">
        <v>18</v>
      </c>
      <c r="D10" s="7" t="s">
        <v>24</v>
      </c>
      <c r="E10" s="2" t="s">
        <v>14</v>
      </c>
      <c r="F10" s="2">
        <v>2</v>
      </c>
      <c r="G10" s="10">
        <v>7500000</v>
      </c>
      <c r="H10" s="22">
        <f t="shared" si="2"/>
        <v>15000000</v>
      </c>
      <c r="I10" s="11">
        <v>11768300</v>
      </c>
      <c r="J10" s="22">
        <f t="shared" si="3"/>
        <v>23536600</v>
      </c>
      <c r="K10" s="10">
        <v>9648000</v>
      </c>
      <c r="L10" s="23">
        <f t="shared" si="4"/>
        <v>19296000</v>
      </c>
      <c r="M10" s="27">
        <f t="shared" si="5"/>
        <v>9638767</v>
      </c>
      <c r="N10" s="14">
        <f t="shared" si="6"/>
        <v>19277534</v>
      </c>
      <c r="O10" s="14">
        <f t="shared" si="7"/>
        <v>7711014</v>
      </c>
      <c r="P10" s="28">
        <f t="shared" si="8"/>
        <v>15422028</v>
      </c>
      <c r="R10" s="11">
        <f t="shared" si="9"/>
        <v>18636099</v>
      </c>
      <c r="S10" s="11">
        <f t="shared" si="10"/>
        <v>19296000</v>
      </c>
      <c r="T10" s="11">
        <f t="shared" si="11"/>
        <v>3485076.8191756625</v>
      </c>
      <c r="U10" s="24">
        <f t="shared" si="0"/>
        <v>22762611</v>
      </c>
      <c r="V10" s="24">
        <f t="shared" si="1"/>
        <v>15792458</v>
      </c>
      <c r="W10" s="14">
        <f>R10</f>
        <v>18636099</v>
      </c>
    </row>
    <row r="11" spans="2:24" ht="32" x14ac:dyDescent="0.2">
      <c r="B11" s="2">
        <v>6</v>
      </c>
      <c r="C11" s="2" t="s">
        <v>19</v>
      </c>
      <c r="D11" s="7" t="s">
        <v>49</v>
      </c>
      <c r="E11" s="2" t="s">
        <v>14</v>
      </c>
      <c r="F11" s="2">
        <v>2</v>
      </c>
      <c r="G11" s="10">
        <v>7500000</v>
      </c>
      <c r="H11" s="22">
        <f t="shared" si="2"/>
        <v>15000000</v>
      </c>
      <c r="I11" s="11">
        <v>10052478</v>
      </c>
      <c r="J11" s="22">
        <f t="shared" si="3"/>
        <v>20104956</v>
      </c>
      <c r="K11" s="10">
        <v>12184000</v>
      </c>
      <c r="L11" s="23">
        <f t="shared" si="4"/>
        <v>24368000</v>
      </c>
      <c r="M11" s="27">
        <f t="shared" si="5"/>
        <v>9912160</v>
      </c>
      <c r="N11" s="14">
        <f t="shared" si="6"/>
        <v>19824320</v>
      </c>
      <c r="O11" s="14">
        <f t="shared" si="7"/>
        <v>7929728</v>
      </c>
      <c r="P11" s="28">
        <f t="shared" si="8"/>
        <v>15859456</v>
      </c>
      <c r="R11" s="11">
        <f t="shared" si="9"/>
        <v>19054507</v>
      </c>
      <c r="S11" s="11">
        <f t="shared" si="10"/>
        <v>20104956</v>
      </c>
      <c r="T11" s="11">
        <f t="shared" si="11"/>
        <v>3829614.7747648051</v>
      </c>
      <c r="U11" s="24">
        <f t="shared" si="0"/>
        <v>23653935</v>
      </c>
      <c r="V11" s="24">
        <f t="shared" si="1"/>
        <v>15994706</v>
      </c>
      <c r="W11" s="14">
        <f>R11</f>
        <v>19054507</v>
      </c>
    </row>
    <row r="12" spans="2:24" x14ac:dyDescent="0.2">
      <c r="B12"/>
      <c r="C12"/>
      <c r="D12"/>
      <c r="E12"/>
      <c r="F12"/>
      <c r="G12"/>
      <c r="O12" s="32" t="s">
        <v>75</v>
      </c>
      <c r="P12" s="33">
        <f>SUM(P6:P11)</f>
        <v>98608110</v>
      </c>
    </row>
    <row r="13" spans="2:24" x14ac:dyDescent="0.2">
      <c r="P13" s="12"/>
      <c r="R13" s="12"/>
    </row>
    <row r="15" spans="2:24" ht="15" customHeight="1" x14ac:dyDescent="0.2">
      <c r="B15"/>
      <c r="C15"/>
      <c r="D15" s="31" t="s">
        <v>72</v>
      </c>
      <c r="E15" s="13">
        <f>P12</f>
        <v>98608110</v>
      </c>
      <c r="F15"/>
      <c r="G15"/>
      <c r="R15" s="12"/>
    </row>
    <row r="16" spans="2:24" x14ac:dyDescent="0.2">
      <c r="B16"/>
      <c r="C16"/>
      <c r="D16" s="31" t="s">
        <v>73</v>
      </c>
      <c r="E16" s="13">
        <f>E18-E15-E17</f>
        <v>41291890</v>
      </c>
      <c r="F16" s="12">
        <f>E16+E17</f>
        <v>46291890</v>
      </c>
      <c r="G16"/>
    </row>
    <row r="17" spans="2:7" x14ac:dyDescent="0.2">
      <c r="B17"/>
      <c r="C17"/>
      <c r="D17" s="34" t="s">
        <v>76</v>
      </c>
      <c r="E17" s="13">
        <v>5000000</v>
      </c>
      <c r="F17"/>
      <c r="G17" s="12"/>
    </row>
    <row r="18" spans="2:7" x14ac:dyDescent="0.2">
      <c r="B18"/>
      <c r="C18"/>
      <c r="D18" s="30" t="s">
        <v>74</v>
      </c>
      <c r="E18" s="29">
        <v>144900000</v>
      </c>
      <c r="F18"/>
      <c r="G18"/>
    </row>
    <row r="19" spans="2:7" x14ac:dyDescent="0.2">
      <c r="B19"/>
      <c r="C19"/>
      <c r="D19"/>
      <c r="E19"/>
      <c r="F19"/>
      <c r="G19"/>
    </row>
  </sheetData>
  <mergeCells count="18">
    <mergeCell ref="I3:J3"/>
    <mergeCell ref="G3:H3"/>
    <mergeCell ref="K3:L3"/>
    <mergeCell ref="C6:C8"/>
    <mergeCell ref="R4:R5"/>
    <mergeCell ref="N4:N5"/>
    <mergeCell ref="B4:F4"/>
    <mergeCell ref="G4:H4"/>
    <mergeCell ref="I4:J4"/>
    <mergeCell ref="K4:L4"/>
    <mergeCell ref="W4:W5"/>
    <mergeCell ref="P4:P5"/>
    <mergeCell ref="M4:M5"/>
    <mergeCell ref="O4:O5"/>
    <mergeCell ref="S4:S5"/>
    <mergeCell ref="T4:T5"/>
    <mergeCell ref="U4:U5"/>
    <mergeCell ref="V4:V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33"/>
  <sheetViews>
    <sheetView workbookViewId="0">
      <selection activeCell="B2" sqref="B2:J32"/>
    </sheetView>
  </sheetViews>
  <sheetFormatPr baseColWidth="10" defaultRowHeight="15" x14ac:dyDescent="0.2"/>
  <cols>
    <col min="2" max="2" width="8.83203125" customWidth="1"/>
    <col min="3" max="3" width="43.6640625" style="4" customWidth="1"/>
    <col min="6" max="6" width="22.1640625" style="4" customWidth="1"/>
    <col min="7" max="7" width="15.5" bestFit="1" customWidth="1"/>
    <col min="8" max="8" width="19.1640625" customWidth="1"/>
    <col min="9" max="9" width="15.5" bestFit="1" customWidth="1"/>
    <col min="10" max="10" width="15.83203125" bestFit="1" customWidth="1"/>
    <col min="12" max="12" width="15.5" bestFit="1" customWidth="1"/>
    <col min="13" max="13" width="14.5" bestFit="1" customWidth="1"/>
  </cols>
  <sheetData>
    <row r="1" spans="2:13" x14ac:dyDescent="0.2">
      <c r="F1" s="15"/>
      <c r="G1" s="16"/>
      <c r="H1" s="16"/>
    </row>
    <row r="2" spans="2:13" ht="38.25" customHeight="1" x14ac:dyDescent="0.2">
      <c r="B2" s="45" t="s">
        <v>52</v>
      </c>
      <c r="C2" s="45"/>
      <c r="D2" s="45"/>
      <c r="E2" s="45"/>
      <c r="F2" s="9" t="s">
        <v>56</v>
      </c>
      <c r="G2" s="9" t="s">
        <v>58</v>
      </c>
      <c r="H2" s="9" t="s">
        <v>59</v>
      </c>
      <c r="I2" s="45" t="s">
        <v>77</v>
      </c>
      <c r="J2" s="45" t="s">
        <v>67</v>
      </c>
    </row>
    <row r="3" spans="2:13" ht="28" x14ac:dyDescent="0.2">
      <c r="B3" s="6" t="s">
        <v>6</v>
      </c>
      <c r="C3" s="3" t="s">
        <v>0</v>
      </c>
      <c r="D3" s="5" t="s">
        <v>1</v>
      </c>
      <c r="E3" s="5" t="s">
        <v>2</v>
      </c>
      <c r="F3" s="3" t="s">
        <v>3</v>
      </c>
      <c r="G3" s="3" t="s">
        <v>3</v>
      </c>
      <c r="H3" s="3" t="s">
        <v>3</v>
      </c>
      <c r="I3" s="45"/>
      <c r="J3" s="45"/>
    </row>
    <row r="4" spans="2:13" x14ac:dyDescent="0.2">
      <c r="B4" s="26">
        <v>1</v>
      </c>
      <c r="C4" s="18" t="s">
        <v>10</v>
      </c>
      <c r="D4" s="17" t="s">
        <v>11</v>
      </c>
      <c r="E4" s="17">
        <v>1</v>
      </c>
      <c r="F4" s="8">
        <v>775000</v>
      </c>
      <c r="G4" s="11">
        <v>985600</v>
      </c>
      <c r="H4" s="11">
        <v>1310000</v>
      </c>
      <c r="I4" s="11">
        <f>ROUNDUP(AVERAGE(F4,G4,H4),0)</f>
        <v>1023534</v>
      </c>
      <c r="J4" s="11">
        <f>I4*0.8</f>
        <v>818827.20000000007</v>
      </c>
      <c r="L4" s="12"/>
      <c r="M4" s="12"/>
    </row>
    <row r="5" spans="2:13" x14ac:dyDescent="0.2">
      <c r="B5" s="26">
        <v>2</v>
      </c>
      <c r="C5" s="18" t="s">
        <v>48</v>
      </c>
      <c r="D5" s="17" t="s">
        <v>5</v>
      </c>
      <c r="E5" s="17">
        <v>1</v>
      </c>
      <c r="F5" s="8">
        <v>540000</v>
      </c>
      <c r="G5" s="11">
        <v>769750</v>
      </c>
      <c r="H5" s="11">
        <v>1030000</v>
      </c>
      <c r="I5" s="11">
        <f t="shared" ref="I5:I32" si="0">ROUNDUP(AVERAGE(F5,G5,H5),0)</f>
        <v>779917</v>
      </c>
      <c r="J5" s="11">
        <f t="shared" ref="J5:J32" si="1">I5*0.8</f>
        <v>623933.6</v>
      </c>
    </row>
    <row r="6" spans="2:13" ht="28" x14ac:dyDescent="0.2">
      <c r="B6" s="26">
        <v>3</v>
      </c>
      <c r="C6" s="19" t="s">
        <v>38</v>
      </c>
      <c r="D6" s="20" t="s">
        <v>4</v>
      </c>
      <c r="E6" s="20">
        <v>1</v>
      </c>
      <c r="F6" s="8">
        <v>80000</v>
      </c>
      <c r="G6" s="11">
        <v>118450</v>
      </c>
      <c r="H6" s="11">
        <v>210000</v>
      </c>
      <c r="I6" s="11">
        <f t="shared" si="0"/>
        <v>136150</v>
      </c>
      <c r="J6" s="11">
        <f t="shared" si="1"/>
        <v>108920</v>
      </c>
    </row>
    <row r="7" spans="2:13" ht="28" x14ac:dyDescent="0.2">
      <c r="B7" s="26">
        <v>4</v>
      </c>
      <c r="C7" s="18" t="s">
        <v>46</v>
      </c>
      <c r="D7" s="17" t="s">
        <v>1</v>
      </c>
      <c r="E7" s="17">
        <v>1</v>
      </c>
      <c r="F7" s="8">
        <v>13500000</v>
      </c>
      <c r="G7" s="11">
        <v>19875300</v>
      </c>
      <c r="H7" s="11">
        <v>24780000</v>
      </c>
      <c r="I7" s="11">
        <f t="shared" si="0"/>
        <v>19385100</v>
      </c>
      <c r="J7" s="11">
        <f t="shared" si="1"/>
        <v>15508080</v>
      </c>
      <c r="L7" s="12"/>
    </row>
    <row r="8" spans="2:13" ht="28" x14ac:dyDescent="0.2">
      <c r="B8" s="26">
        <v>5</v>
      </c>
      <c r="C8" s="18" t="s">
        <v>45</v>
      </c>
      <c r="D8" s="17" t="s">
        <v>1</v>
      </c>
      <c r="E8" s="17">
        <v>1</v>
      </c>
      <c r="F8" s="8">
        <v>20300000</v>
      </c>
      <c r="G8" s="11">
        <v>27940750</v>
      </c>
      <c r="H8" s="11">
        <v>36400000</v>
      </c>
      <c r="I8" s="11">
        <f t="shared" si="0"/>
        <v>28213584</v>
      </c>
      <c r="J8" s="11">
        <f t="shared" si="1"/>
        <v>22570867.200000003</v>
      </c>
      <c r="L8" s="12"/>
    </row>
    <row r="9" spans="2:13" ht="28" x14ac:dyDescent="0.2">
      <c r="B9" s="26">
        <v>6</v>
      </c>
      <c r="C9" s="18" t="s">
        <v>8</v>
      </c>
      <c r="D9" s="17" t="s">
        <v>1</v>
      </c>
      <c r="E9" s="17">
        <v>1</v>
      </c>
      <c r="F9" s="8">
        <v>410000</v>
      </c>
      <c r="G9" s="11">
        <v>615420</v>
      </c>
      <c r="H9" s="11">
        <v>760000</v>
      </c>
      <c r="I9" s="11">
        <f t="shared" si="0"/>
        <v>595140</v>
      </c>
      <c r="J9" s="11">
        <f t="shared" si="1"/>
        <v>476112</v>
      </c>
    </row>
    <row r="10" spans="2:13" ht="28" x14ac:dyDescent="0.2">
      <c r="B10" s="26">
        <v>7</v>
      </c>
      <c r="C10" s="19" t="s">
        <v>43</v>
      </c>
      <c r="D10" s="20" t="s">
        <v>4</v>
      </c>
      <c r="E10" s="20">
        <v>1</v>
      </c>
      <c r="F10" s="8">
        <v>325000</v>
      </c>
      <c r="G10" s="11">
        <v>487300</v>
      </c>
      <c r="H10" s="11">
        <v>590000</v>
      </c>
      <c r="I10" s="11">
        <f t="shared" si="0"/>
        <v>467434</v>
      </c>
      <c r="J10" s="11">
        <f t="shared" si="1"/>
        <v>373947.2</v>
      </c>
    </row>
    <row r="11" spans="2:13" ht="28" x14ac:dyDescent="0.2">
      <c r="B11" s="26">
        <v>8</v>
      </c>
      <c r="C11" s="19" t="s">
        <v>37</v>
      </c>
      <c r="D11" s="20" t="s">
        <v>4</v>
      </c>
      <c r="E11" s="20">
        <v>1</v>
      </c>
      <c r="F11" s="8">
        <v>615000</v>
      </c>
      <c r="G11" s="11">
        <v>942680</v>
      </c>
      <c r="H11" s="11">
        <v>1020000</v>
      </c>
      <c r="I11" s="11">
        <f t="shared" si="0"/>
        <v>859227</v>
      </c>
      <c r="J11" s="11">
        <f t="shared" si="1"/>
        <v>687381.60000000009</v>
      </c>
    </row>
    <row r="12" spans="2:13" ht="28" x14ac:dyDescent="0.2">
      <c r="B12" s="26">
        <v>9</v>
      </c>
      <c r="C12" s="19" t="s">
        <v>35</v>
      </c>
      <c r="D12" s="20" t="s">
        <v>4</v>
      </c>
      <c r="E12" s="20">
        <v>1</v>
      </c>
      <c r="F12" s="8">
        <v>480000</v>
      </c>
      <c r="G12" s="11">
        <v>718320</v>
      </c>
      <c r="H12" s="11">
        <v>880000</v>
      </c>
      <c r="I12" s="11">
        <f t="shared" si="0"/>
        <v>692774</v>
      </c>
      <c r="J12" s="11">
        <f t="shared" si="1"/>
        <v>554219.20000000007</v>
      </c>
    </row>
    <row r="13" spans="2:13" ht="28" x14ac:dyDescent="0.2">
      <c r="B13" s="26">
        <v>10</v>
      </c>
      <c r="C13" s="19" t="s">
        <v>36</v>
      </c>
      <c r="D13" s="20" t="s">
        <v>4</v>
      </c>
      <c r="E13" s="20">
        <v>1</v>
      </c>
      <c r="F13" s="8">
        <v>445000</v>
      </c>
      <c r="G13" s="11">
        <v>666470</v>
      </c>
      <c r="H13" s="11">
        <v>705000</v>
      </c>
      <c r="I13" s="11">
        <f t="shared" si="0"/>
        <v>605490</v>
      </c>
      <c r="J13" s="11">
        <f t="shared" si="1"/>
        <v>484392</v>
      </c>
    </row>
    <row r="14" spans="2:13" ht="28" x14ac:dyDescent="0.2">
      <c r="B14" s="26">
        <v>11</v>
      </c>
      <c r="C14" s="19" t="s">
        <v>42</v>
      </c>
      <c r="D14" s="20" t="s">
        <v>4</v>
      </c>
      <c r="E14" s="20">
        <v>1</v>
      </c>
      <c r="F14" s="8">
        <v>600000</v>
      </c>
      <c r="G14" s="11">
        <v>874250</v>
      </c>
      <c r="H14" s="11">
        <v>1290000</v>
      </c>
      <c r="I14" s="11">
        <f t="shared" si="0"/>
        <v>921417</v>
      </c>
      <c r="J14" s="11">
        <f t="shared" si="1"/>
        <v>737133.60000000009</v>
      </c>
    </row>
    <row r="15" spans="2:13" ht="29.25" customHeight="1" x14ac:dyDescent="0.2">
      <c r="B15" s="26">
        <v>12</v>
      </c>
      <c r="C15" s="18" t="s">
        <v>9</v>
      </c>
      <c r="D15" s="17" t="s">
        <v>1</v>
      </c>
      <c r="E15" s="17">
        <v>1</v>
      </c>
      <c r="F15" s="8">
        <v>145000</v>
      </c>
      <c r="G15" s="11">
        <v>243180</v>
      </c>
      <c r="H15" s="11">
        <v>340000</v>
      </c>
      <c r="I15" s="11">
        <f t="shared" si="0"/>
        <v>242727</v>
      </c>
      <c r="J15" s="11">
        <f t="shared" si="1"/>
        <v>194181.6</v>
      </c>
    </row>
    <row r="16" spans="2:13" x14ac:dyDescent="0.2">
      <c r="B16" s="26">
        <v>13</v>
      </c>
      <c r="C16" s="18" t="s">
        <v>7</v>
      </c>
      <c r="D16" s="17" t="s">
        <v>1</v>
      </c>
      <c r="E16" s="17">
        <v>1</v>
      </c>
      <c r="F16" s="8">
        <v>250000</v>
      </c>
      <c r="G16" s="11">
        <v>396000</v>
      </c>
      <c r="H16" s="11">
        <v>540000</v>
      </c>
      <c r="I16" s="11">
        <f t="shared" si="0"/>
        <v>395334</v>
      </c>
      <c r="J16" s="11">
        <f t="shared" si="1"/>
        <v>316267.2</v>
      </c>
    </row>
    <row r="17" spans="2:10" ht="28" x14ac:dyDescent="0.2">
      <c r="B17" s="26">
        <v>14</v>
      </c>
      <c r="C17" s="18" t="s">
        <v>47</v>
      </c>
      <c r="D17" s="17" t="s">
        <v>1</v>
      </c>
      <c r="E17" s="17">
        <v>1</v>
      </c>
      <c r="F17" s="8">
        <v>12500000</v>
      </c>
      <c r="G17" s="11">
        <v>16845600</v>
      </c>
      <c r="H17" s="11">
        <v>24650000</v>
      </c>
      <c r="I17" s="11">
        <f t="shared" si="0"/>
        <v>17998534</v>
      </c>
      <c r="J17" s="11">
        <f t="shared" si="1"/>
        <v>14398827.200000001</v>
      </c>
    </row>
    <row r="18" spans="2:10" x14ac:dyDescent="0.2">
      <c r="B18" s="26">
        <v>15</v>
      </c>
      <c r="C18" s="19" t="s">
        <v>21</v>
      </c>
      <c r="D18" s="20" t="s">
        <v>1</v>
      </c>
      <c r="E18" s="20">
        <v>1</v>
      </c>
      <c r="F18" s="8">
        <v>210000</v>
      </c>
      <c r="G18" s="11">
        <v>298760</v>
      </c>
      <c r="H18" s="11">
        <v>275000</v>
      </c>
      <c r="I18" s="11">
        <f t="shared" si="0"/>
        <v>261254</v>
      </c>
      <c r="J18" s="11">
        <f t="shared" si="1"/>
        <v>209003.2</v>
      </c>
    </row>
    <row r="19" spans="2:10" ht="28" x14ac:dyDescent="0.2">
      <c r="B19" s="26">
        <v>16</v>
      </c>
      <c r="C19" s="19" t="s">
        <v>41</v>
      </c>
      <c r="D19" s="20" t="s">
        <v>4</v>
      </c>
      <c r="E19" s="20">
        <v>1</v>
      </c>
      <c r="F19" s="8">
        <v>510000</v>
      </c>
      <c r="G19" s="11">
        <v>725380</v>
      </c>
      <c r="H19" s="11">
        <v>725380</v>
      </c>
      <c r="I19" s="11">
        <f t="shared" si="0"/>
        <v>653587</v>
      </c>
      <c r="J19" s="11">
        <f t="shared" si="1"/>
        <v>522869.60000000003</v>
      </c>
    </row>
    <row r="20" spans="2:10" ht="29.25" customHeight="1" x14ac:dyDescent="0.2">
      <c r="B20" s="26">
        <v>17</v>
      </c>
      <c r="C20" s="19" t="s">
        <v>40</v>
      </c>
      <c r="D20" s="20" t="s">
        <v>4</v>
      </c>
      <c r="E20" s="20">
        <v>1</v>
      </c>
      <c r="F20" s="8">
        <v>800000</v>
      </c>
      <c r="G20" s="11">
        <v>1129450</v>
      </c>
      <c r="H20" s="11">
        <v>720000</v>
      </c>
      <c r="I20" s="11">
        <f t="shared" si="0"/>
        <v>883150</v>
      </c>
      <c r="J20" s="11">
        <f t="shared" si="1"/>
        <v>706520</v>
      </c>
    </row>
    <row r="21" spans="2:10" ht="29.25" customHeight="1" x14ac:dyDescent="0.2">
      <c r="B21" s="26">
        <v>18</v>
      </c>
      <c r="C21" s="19" t="s">
        <v>39</v>
      </c>
      <c r="D21" s="20" t="s">
        <v>4</v>
      </c>
      <c r="E21" s="20">
        <v>1</v>
      </c>
      <c r="F21" s="8">
        <v>770000</v>
      </c>
      <c r="G21" s="11">
        <v>865220</v>
      </c>
      <c r="H21" s="11">
        <v>690000</v>
      </c>
      <c r="I21" s="11">
        <f t="shared" si="0"/>
        <v>775074</v>
      </c>
      <c r="J21" s="11">
        <f t="shared" si="1"/>
        <v>620059.20000000007</v>
      </c>
    </row>
    <row r="22" spans="2:10" ht="28" x14ac:dyDescent="0.2">
      <c r="B22" s="26">
        <v>19</v>
      </c>
      <c r="C22" s="18" t="s">
        <v>12</v>
      </c>
      <c r="D22" s="17" t="s">
        <v>11</v>
      </c>
      <c r="E22" s="17">
        <v>1</v>
      </c>
      <c r="F22" s="8">
        <v>170000</v>
      </c>
      <c r="G22" s="11">
        <v>281540</v>
      </c>
      <c r="H22" s="11">
        <v>546780</v>
      </c>
      <c r="I22" s="11">
        <f t="shared" si="0"/>
        <v>332774</v>
      </c>
      <c r="J22" s="11">
        <f t="shared" si="1"/>
        <v>266219.2</v>
      </c>
    </row>
    <row r="23" spans="2:10" ht="28" x14ac:dyDescent="0.2">
      <c r="B23" s="26">
        <v>20</v>
      </c>
      <c r="C23" s="19" t="s">
        <v>29</v>
      </c>
      <c r="D23" s="20" t="s">
        <v>4</v>
      </c>
      <c r="E23" s="20">
        <v>1</v>
      </c>
      <c r="F23" s="8">
        <v>757000</v>
      </c>
      <c r="G23" s="11">
        <v>1046810</v>
      </c>
      <c r="H23" s="11">
        <v>759000</v>
      </c>
      <c r="I23" s="11">
        <f t="shared" si="0"/>
        <v>854270</v>
      </c>
      <c r="J23" s="11">
        <f t="shared" si="1"/>
        <v>683416</v>
      </c>
    </row>
    <row r="24" spans="2:10" ht="28" x14ac:dyDescent="0.2">
      <c r="B24" s="26">
        <v>21</v>
      </c>
      <c r="C24" s="19" t="s">
        <v>30</v>
      </c>
      <c r="D24" s="20" t="s">
        <v>4</v>
      </c>
      <c r="E24" s="20">
        <v>1</v>
      </c>
      <c r="F24" s="8">
        <v>763000</v>
      </c>
      <c r="G24" s="11">
        <v>865220</v>
      </c>
      <c r="H24" s="11">
        <v>890000</v>
      </c>
      <c r="I24" s="11">
        <f t="shared" si="0"/>
        <v>839407</v>
      </c>
      <c r="J24" s="11">
        <f t="shared" si="1"/>
        <v>671525.60000000009</v>
      </c>
    </row>
    <row r="25" spans="2:10" ht="28" x14ac:dyDescent="0.2">
      <c r="B25" s="26">
        <v>22</v>
      </c>
      <c r="C25" s="19" t="s">
        <v>34</v>
      </c>
      <c r="D25" s="20" t="s">
        <v>4</v>
      </c>
      <c r="E25" s="20">
        <v>1</v>
      </c>
      <c r="F25" s="8">
        <v>960000</v>
      </c>
      <c r="G25" s="11">
        <v>1046810</v>
      </c>
      <c r="H25" s="11">
        <v>1980000</v>
      </c>
      <c r="I25" s="11">
        <f t="shared" si="0"/>
        <v>1328937</v>
      </c>
      <c r="J25" s="11">
        <f t="shared" si="1"/>
        <v>1063149.6000000001</v>
      </c>
    </row>
    <row r="26" spans="2:10" ht="28" x14ac:dyDescent="0.2">
      <c r="B26" s="26">
        <v>23</v>
      </c>
      <c r="C26" s="18" t="s">
        <v>44</v>
      </c>
      <c r="D26" s="17" t="s">
        <v>11</v>
      </c>
      <c r="E26" s="17">
        <v>1</v>
      </c>
      <c r="F26" s="8">
        <v>63000</v>
      </c>
      <c r="G26" s="11">
        <v>94370</v>
      </c>
      <c r="H26" s="21">
        <v>78000</v>
      </c>
      <c r="I26" s="11">
        <f t="shared" si="0"/>
        <v>78457</v>
      </c>
      <c r="J26" s="11">
        <f t="shared" si="1"/>
        <v>62765.600000000006</v>
      </c>
    </row>
    <row r="27" spans="2:10" ht="28" x14ac:dyDescent="0.2">
      <c r="B27" s="26">
        <v>24</v>
      </c>
      <c r="C27" s="19" t="s">
        <v>27</v>
      </c>
      <c r="D27" s="20" t="s">
        <v>4</v>
      </c>
      <c r="E27" s="20">
        <v>1</v>
      </c>
      <c r="F27" s="8">
        <v>830000</v>
      </c>
      <c r="G27" s="11">
        <v>1256000</v>
      </c>
      <c r="H27" s="11">
        <v>2350000</v>
      </c>
      <c r="I27" s="11">
        <f t="shared" si="0"/>
        <v>1478667</v>
      </c>
      <c r="J27" s="11">
        <f t="shared" si="1"/>
        <v>1182933.6000000001</v>
      </c>
    </row>
    <row r="28" spans="2:10" x14ac:dyDescent="0.2">
      <c r="B28" s="26">
        <v>25</v>
      </c>
      <c r="C28" s="19" t="s">
        <v>32</v>
      </c>
      <c r="D28" s="20" t="s">
        <v>4</v>
      </c>
      <c r="E28" s="20">
        <v>1</v>
      </c>
      <c r="F28" s="8">
        <v>940000</v>
      </c>
      <c r="G28" s="11">
        <v>1753430</v>
      </c>
      <c r="H28" s="11">
        <v>2350000</v>
      </c>
      <c r="I28" s="11">
        <f t="shared" si="0"/>
        <v>1681144</v>
      </c>
      <c r="J28" s="11">
        <f t="shared" si="1"/>
        <v>1344915.2000000002</v>
      </c>
    </row>
    <row r="29" spans="2:10" x14ac:dyDescent="0.2">
      <c r="B29" s="26">
        <v>26</v>
      </c>
      <c r="C29" s="19" t="s">
        <v>28</v>
      </c>
      <c r="D29" s="20" t="s">
        <v>4</v>
      </c>
      <c r="E29" s="20">
        <v>1</v>
      </c>
      <c r="F29" s="8">
        <v>960000</v>
      </c>
      <c r="G29" s="11">
        <v>3453435</v>
      </c>
      <c r="H29" s="11">
        <v>2350000</v>
      </c>
      <c r="I29" s="11">
        <f t="shared" si="0"/>
        <v>2254479</v>
      </c>
      <c r="J29" s="11">
        <f t="shared" si="1"/>
        <v>1803583.2000000002</v>
      </c>
    </row>
    <row r="30" spans="2:10" x14ac:dyDescent="0.2">
      <c r="B30" s="26">
        <v>27</v>
      </c>
      <c r="C30" s="19" t="s">
        <v>33</v>
      </c>
      <c r="D30" s="20" t="s">
        <v>4</v>
      </c>
      <c r="E30" s="20">
        <v>1</v>
      </c>
      <c r="F30" s="8">
        <v>1530000</v>
      </c>
      <c r="G30" s="11">
        <v>1530000</v>
      </c>
      <c r="H30" s="11">
        <v>2350000</v>
      </c>
      <c r="I30" s="11">
        <f t="shared" si="0"/>
        <v>1803334</v>
      </c>
      <c r="J30" s="11">
        <f t="shared" si="1"/>
        <v>1442667.2000000002</v>
      </c>
    </row>
    <row r="31" spans="2:10" ht="42" x14ac:dyDescent="0.2">
      <c r="B31" s="26">
        <v>28</v>
      </c>
      <c r="C31" s="19" t="s">
        <v>26</v>
      </c>
      <c r="D31" s="20" t="s">
        <v>4</v>
      </c>
      <c r="E31" s="20">
        <v>1</v>
      </c>
      <c r="F31" s="8">
        <v>3130000</v>
      </c>
      <c r="G31" s="11">
        <v>4367454</v>
      </c>
      <c r="H31" s="11">
        <v>7850000</v>
      </c>
      <c r="I31" s="11">
        <f t="shared" si="0"/>
        <v>5115818</v>
      </c>
      <c r="J31" s="11">
        <f t="shared" si="1"/>
        <v>4092654.4000000004</v>
      </c>
    </row>
    <row r="32" spans="2:10" ht="28" x14ac:dyDescent="0.2">
      <c r="B32" s="26">
        <v>29</v>
      </c>
      <c r="C32" s="19" t="s">
        <v>31</v>
      </c>
      <c r="D32" s="20" t="s">
        <v>4</v>
      </c>
      <c r="E32" s="20">
        <v>1</v>
      </c>
      <c r="F32" s="8">
        <v>3900000</v>
      </c>
      <c r="G32" s="11">
        <v>3423423</v>
      </c>
      <c r="H32" s="11">
        <v>2350000</v>
      </c>
      <c r="I32" s="11">
        <f t="shared" si="0"/>
        <v>3224475</v>
      </c>
      <c r="J32" s="11">
        <f t="shared" si="1"/>
        <v>2579580</v>
      </c>
    </row>
    <row r="33" spans="10:10" x14ac:dyDescent="0.2">
      <c r="J33" s="12"/>
    </row>
  </sheetData>
  <sortState xmlns:xlrd2="http://schemas.microsoft.com/office/spreadsheetml/2017/richdata2" ref="B2:F33">
    <sortCondition ref="B4"/>
  </sortState>
  <mergeCells count="3">
    <mergeCell ref="B2:E2"/>
    <mergeCell ref="I2:I3"/>
    <mergeCell ref="J2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1.MANT PREVENTIVO</vt:lpstr>
      <vt:lpstr>2.MANT CORRECTIVO (Bolsa)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Castillo Orjuela</dc:creator>
  <cp:lastModifiedBy>Natalia Arevalo Mora</cp:lastModifiedBy>
  <dcterms:created xsi:type="dcterms:W3CDTF">2025-02-21T15:48:33Z</dcterms:created>
  <dcterms:modified xsi:type="dcterms:W3CDTF">2026-06-16T13:18:07Z</dcterms:modified>
</cp:coreProperties>
</file>